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Dustin L. Sawyers\Google Drive\USACE\Temp\"/>
    </mc:Choice>
  </mc:AlternateContent>
  <xr:revisionPtr revIDLastSave="0" documentId="13_ncr:1_{65F2F4C7-C3CA-41F5-88B8-8C2969C1C1A4}" xr6:coauthVersionLast="47" xr6:coauthVersionMax="47" xr10:uidLastSave="{00000000-0000-0000-0000-000000000000}"/>
  <bookViews>
    <workbookView xWindow="-108" yWindow="-108" windowWidth="46296" windowHeight="25536" tabRatio="901" activeTab="11" xr2:uid="{00000000-000D-0000-FFFF-FFFF00000000}"/>
  </bookViews>
  <sheets>
    <sheet name="0-Change Control Log" sheetId="1" r:id="rId1"/>
    <sheet name="1-Drop Down List" sheetId="19" r:id="rId2"/>
    <sheet name="2-Risk Register Legend" sheetId="13" r:id="rId3"/>
    <sheet name="&lt;---Reference Info" sheetId="48" r:id="rId4"/>
    <sheet name="A-Quick instructions" sheetId="2" r:id="rId5"/>
    <sheet name="B-Meeting Agenda" sheetId="3" r:id="rId6"/>
    <sheet name="C1-Risk Checklist (MILCON)" sheetId="4" r:id="rId7"/>
    <sheet name="C2-Risk Checklist (Civil Works)" sheetId="5" r:id="rId8"/>
    <sheet name="D-Project Data" sheetId="6" r:id="rId9"/>
    <sheet name="E-Cost &amp; Schedule Summary" sheetId="7" r:id="rId10"/>
    <sheet name="E-Cost &amp; Sched Summary (v2)" sheetId="20" state="hidden" r:id="rId11"/>
    <sheet name="H-Risk Register-Model" sheetId="12" r:id="rId12"/>
    <sheet name="F-Meeting Attendance" sheetId="10" r:id="rId13"/>
    <sheet name="G-Assumptions" sheetId="11" r:id="rId14"/>
    <sheet name="I-Project Contingency" sheetId="14" r:id="rId15"/>
    <sheet name="J-Sensitivity Charts" sheetId="15" r:id="rId16"/>
    <sheet name="K1-Risk Dashboard (Cost)" sheetId="17" r:id="rId17"/>
    <sheet name="K2-Risk Dashboard (Schedule)" sheetId="51" r:id="rId18"/>
    <sheet name="L-CHARTS FOR REPORT" sheetId="18" r:id="rId19"/>
    <sheet name="Optional Sheets--&gt;" sheetId="46" r:id="rId20"/>
    <sheet name="E1-Estimate Summary" sheetId="8" r:id="rId21"/>
    <sheet name="E2-Schedule Summary" sheetId="9" r:id="rId22"/>
    <sheet name="Model Assumptions" sheetId="33" r:id="rId23"/>
    <sheet name="CB_DATA_" sheetId="44" state="veryHidden" r:id="rId24"/>
    <sheet name="Common Risk-Escalation" sheetId="49" r:id="rId25"/>
    <sheet name="Common Risk-Markups" sheetId="50" r:id="rId26"/>
    <sheet name="REF Risk Detail Template" sheetId="22" r:id="rId27"/>
    <sheet name="1" sheetId="32" r:id="rId28"/>
  </sheets>
  <definedNames>
    <definedName name="_xlnm._FilterDatabase" localSheetId="6" hidden="1">'C1-Risk Checklist (MILCON)'!$A$3:$D$452</definedName>
    <definedName name="_xlnm._FilterDatabase" localSheetId="7" hidden="1">'C2-Risk Checklist (Civil Works)'!$A$3:$D$367</definedName>
    <definedName name="_xlnm._FilterDatabase" localSheetId="11" hidden="1">'H-Risk Register-Model'!$A$17:$BX$117</definedName>
    <definedName name="APC">'1-Drop Down List'!$H$5:'1-Drop Down List'!$H$13</definedName>
    <definedName name="CB_01a5d4220a3e431e953a8a1850b72499" localSheetId="11" hidden="1">'H-Risk Register-Model'!$BB$108</definedName>
    <definedName name="CB_036367f9e820477aafb02515a6b6d20b" localSheetId="11" hidden="1">'H-Risk Register-Model'!$AU$76</definedName>
    <definedName name="CB_05161b6e2e734b88b0f45a94876995fa" localSheetId="11" hidden="1">'H-Risk Register-Model'!$AU$93</definedName>
    <definedName name="CB_05ab2c63dea24fdcb1a93289e76307b1" localSheetId="11" hidden="1">'H-Risk Register-Model'!$BB$115</definedName>
    <definedName name="CB_068c689f6b5644d19db577237a722996" localSheetId="11" hidden="1">'H-Risk Register-Model'!$BB$50</definedName>
    <definedName name="CB_07604176288945c2b08e385fa05074a7" localSheetId="11" hidden="1">'H-Risk Register-Model'!$AU$106</definedName>
    <definedName name="CB_093a23f240fc4afa9b7178d5dcde802c" localSheetId="11" hidden="1">'H-Risk Register-Model'!$AU$90</definedName>
    <definedName name="CB_0a2bdcbdc5444d68abf848ea17d5fdf2" localSheetId="11" hidden="1">'H-Risk Register-Model'!$AU$35</definedName>
    <definedName name="CB_0be31c9913cb434b8eecdebc1cc6beb3" localSheetId="11" hidden="1">'H-Risk Register-Model'!$AU$47</definedName>
    <definedName name="CB_0dc4554ca5464b8b8fa23a45db23067c" localSheetId="11" hidden="1">'H-Risk Register-Model'!$BB$86</definedName>
    <definedName name="CB_0fc3eb6673cc474da974405bd57fd3d8" localSheetId="11" hidden="1">'H-Risk Register-Model'!$AU$60</definedName>
    <definedName name="CB_1037e4cc0cd44aa39e94d52e40445075" localSheetId="11" hidden="1">'H-Risk Register-Model'!$BB$73</definedName>
    <definedName name="CB_10c5c1989eb04a048a124de58d435d1c" localSheetId="11" hidden="1">'H-Risk Register-Model'!$BB$106</definedName>
    <definedName name="CB_127045abbe0e40bf828776f003e42562" localSheetId="11" hidden="1">'H-Risk Register-Model'!$BB$72</definedName>
    <definedName name="CB_12728ec5e9c747bcb8e155ac136d0207" localSheetId="11" hidden="1">'H-Risk Register-Model'!$AU$49</definedName>
    <definedName name="CB_13b05666fe444d4d9a60328c133a06d8" localSheetId="11" hidden="1">'H-Risk Register-Model'!$AU$50</definedName>
    <definedName name="CB_141c6ecf70f14837a5e8a50a57f969d1" localSheetId="11" hidden="1">'H-Risk Register-Model'!$BB$87</definedName>
    <definedName name="CB_14a9dc78395b4a7487f292f62bd4eea9" localSheetId="11" hidden="1">'H-Risk Register-Model'!$AU$78</definedName>
    <definedName name="CB_190e587d2d9d4c1c98a98b8eb649ab93" localSheetId="11" hidden="1">'H-Risk Register-Model'!$BB$68</definedName>
    <definedName name="CB_1a1243927fc34e65a4aef533b5d862f5" localSheetId="11" hidden="1">'H-Risk Register-Model'!$BB$79</definedName>
    <definedName name="CB_1adff252b7094eb4bbc246c4ba1ecc49" localSheetId="11" hidden="1">'H-Risk Register-Model'!$BB$74</definedName>
    <definedName name="CB_1c71bc7cc1c646059b8805ef1eb34c94" localSheetId="11" hidden="1">'H-Risk Register-Model'!$BB$66</definedName>
    <definedName name="CB_1e09b506935049a19df29a986a46bf79" localSheetId="11" hidden="1">'H-Risk Register-Model'!$BB$107</definedName>
    <definedName name="CB_1eae681a03f94b588d55c5d5fbbe9fb2" localSheetId="11" hidden="1">'H-Risk Register-Model'!$BB$78</definedName>
    <definedName name="CB_1f2f547e1d144fe6b2463194e7e26deb" localSheetId="11" hidden="1">'H-Risk Register-Model'!$AU$86</definedName>
    <definedName name="CB_1f758b8ba5ae4f2ba8b700a09795ff36" localSheetId="11" hidden="1">'H-Risk Register-Model'!$AU$33</definedName>
    <definedName name="CB_1fb53c30398a48d5851626b1f39d0dc1" localSheetId="11" hidden="1">'H-Risk Register-Model'!$BB$51</definedName>
    <definedName name="CB_20d67c73a0724b0582fdf5f836547b72" localSheetId="11" hidden="1">'H-Risk Register-Model'!$AU$26</definedName>
    <definedName name="CB_21cebd5344904bda8de12c0820a0213d" localSheetId="11" hidden="1">'H-Risk Register-Model'!$BB$31</definedName>
    <definedName name="CB_2321e37632bc401ba3981640995684f1" localSheetId="11" hidden="1">'H-Risk Register-Model'!$AU$27</definedName>
    <definedName name="CB_235657a25e074a46bca0d98fcfe2557e" localSheetId="11" hidden="1">'H-Risk Register-Model'!$AU$74</definedName>
    <definedName name="CB_2541c9e8030d4b608e9d3a11d67940cc" localSheetId="11" hidden="1">'H-Risk Register-Model'!$AU$57</definedName>
    <definedName name="CB_261622b8bc9448f997d1a5eb3355b72c" localSheetId="11" hidden="1">'H-Risk Register-Model'!$BB$91</definedName>
    <definedName name="CB_2a5eb744e41f45afa98573caadead222" localSheetId="11" hidden="1">'H-Risk Register-Model'!$AU$39</definedName>
    <definedName name="CB_2ad19950276f4fd69813590a34949672" localSheetId="11" hidden="1">'H-Risk Register-Model'!$BB$45</definedName>
    <definedName name="CB_2c53c2a1d92941c8ae28a547b6ef240b" localSheetId="11" hidden="1">'H-Risk Register-Model'!$AU$29</definedName>
    <definedName name="CB_2d9abd2a0693433ba6f05f277b1fa592" localSheetId="11" hidden="1">'H-Risk Register-Model'!$BB$30</definedName>
    <definedName name="CB_2ed52954316b43e7a5aec69ae330d21f" localSheetId="11" hidden="1">'H-Risk Register-Model'!$BB$57</definedName>
    <definedName name="CB_2f281f5f54b941868486984403b0ce23" localSheetId="11" hidden="1">'H-Risk Register-Model'!$BB$42</definedName>
    <definedName name="CB_2f60f439f8604d548286ceff89614709" localSheetId="11" hidden="1">'H-Risk Register-Model'!$BB$105</definedName>
    <definedName name="CB_32aadf5dac7d48df9416372b4013b390" localSheetId="11" hidden="1">'H-Risk Register-Model'!$AU$52</definedName>
    <definedName name="CB_33038e3fa3a649c4bf4b789801cf7eaf" localSheetId="11" hidden="1">'H-Risk Register-Model'!$AU$24</definedName>
    <definedName name="CB_3354a22edbe0432c861ec247bc060179" localSheetId="11" hidden="1">'H-Risk Register-Model'!$BB$29</definedName>
    <definedName name="CB_34000d5d98df42f398e00ca73ba8920a" localSheetId="11" hidden="1">'H-Risk Register-Model'!$AU$97</definedName>
    <definedName name="CB_355346fb3f19412ba0edbede0eb92cad" localSheetId="11" hidden="1">'H-Risk Register-Model'!$BB$114</definedName>
    <definedName name="CB_377e9d58a53643459cfa771b74342bd6" localSheetId="11" hidden="1">'H-Risk Register-Model'!$AU$48</definedName>
    <definedName name="CB_37c17f397edd4164aecdc5de3a1a97b9" localSheetId="11" hidden="1">'H-Risk Register-Model'!$AU$68</definedName>
    <definedName name="CB_384f3974aab84ce589115b0fcbe0f97a" localSheetId="11" hidden="1">'H-Risk Register-Model'!$BB$46</definedName>
    <definedName name="CB_38c2cd1a7fe94c52a9737fbe0fba22bb" localSheetId="11" hidden="1">'H-Risk Register-Model'!$BB$21</definedName>
    <definedName name="CB_390a2b9888a8445aac0272f0be3c04f6" localSheetId="11" hidden="1">'H-Risk Register-Model'!$AD$18</definedName>
    <definedName name="CB_3c2ec78b9990403d824de739d17212a4" localSheetId="11" hidden="1">'H-Risk Register-Model'!$BB$36</definedName>
    <definedName name="CB_3cfa815ae6674497a0941406c93cc6c2" localSheetId="11" hidden="1">'H-Risk Register-Model'!$BB$55</definedName>
    <definedName name="CB_3dbacc7056ac473f93e4f3c780bb26ec" localSheetId="11" hidden="1">'H-Risk Register-Model'!$AU$71</definedName>
    <definedName name="CB_3ee71b0f019341cd89433e7a05f83092" localSheetId="11" hidden="1">'H-Risk Register-Model'!$AU$43</definedName>
    <definedName name="CB_3f01ed6bb49c4415afa4cf1badf49d90" localSheetId="11" hidden="1">'H-Risk Register-Model'!$BB$20</definedName>
    <definedName name="CB_3f4578a8b4a84dd291ce5cbb16d85b55" localSheetId="11" hidden="1">'H-Risk Register-Model'!$BB$44</definedName>
    <definedName name="CB_3ffc9dd9c777463f891ef48ec344d60c" localSheetId="11" hidden="1">'H-Risk Register-Model'!$AU$117</definedName>
    <definedName name="CB_422716b314f64201903ee8b7c58f8be4" localSheetId="11" hidden="1">'H-Risk Register-Model'!$BB$69</definedName>
    <definedName name="CB_434d1f3c1c664d9a8a5a75dd591becbe" localSheetId="11" hidden="1">'H-Risk Register-Model'!$AU$112</definedName>
    <definedName name="CB_43fc5e8907194a83b0caf4e204f2871e" localSheetId="11" hidden="1">'H-Risk Register-Model'!$BB$70</definedName>
    <definedName name="CB_443b7a7015a949e0bee5e5bc67fe9739" localSheetId="11" hidden="1">'H-Risk Register-Model'!$AU$46</definedName>
    <definedName name="CB_446893d27378428a898935ece998374a" localSheetId="11" hidden="1">'H-Risk Register-Model'!$AU$67</definedName>
    <definedName name="CB_44d31d61d5f44c86830760550f4997a5" localSheetId="11" hidden="1">'H-Risk Register-Model'!$BB$99</definedName>
    <definedName name="CB_450e6fead31b416e85ad0b7d60361238" localSheetId="11" hidden="1">'H-Risk Register-Model'!$BB$71</definedName>
    <definedName name="CB_4550d9fcc21a43a7896310db012118ae" localSheetId="11" hidden="1">'H-Risk Register-Model'!$BB$59</definedName>
    <definedName name="CB_46479f4754d64cc1ac694c9ffb34a6f4" localSheetId="11" hidden="1">'H-Risk Register-Model'!$BB$35</definedName>
    <definedName name="CB_46b2028df4774170a990006a8867b3b9" localSheetId="11" hidden="1">'H-Risk Register-Model'!$BB$96</definedName>
    <definedName name="CB_46b50ff895834a4b8035be7d858ff6be" localSheetId="11" hidden="1">'H-Risk Register-Model'!$BB$61</definedName>
    <definedName name="CB_48958934abe249558d780eda626e42aa" localSheetId="11" hidden="1">'H-Risk Register-Model'!$BB$117</definedName>
    <definedName name="CB_4af408b9be8c41eb83684681a2402e3f" localSheetId="11" hidden="1">'H-Risk Register-Model'!$BB$60</definedName>
    <definedName name="CB_4c292f3be5644ffbbd86795e2db528ef" localSheetId="11" hidden="1">'H-Risk Register-Model'!$AU$70</definedName>
    <definedName name="CB_4e7e7973f15944b79515bbc3b50e7d65" localSheetId="11" hidden="1">'H-Risk Register-Model'!$BB$43</definedName>
    <definedName name="CB_4ef1b637e38543b4a2cb388af05ecf55" localSheetId="11" hidden="1">'H-Risk Register-Model'!$BB$85</definedName>
    <definedName name="CB_4f2849098359426fb4aa5216e57a77be" localSheetId="11" hidden="1">'H-Risk Register-Model'!$AF$20</definedName>
    <definedName name="CB_502b2acdb8cc4ebf8eeb87bb09144494" localSheetId="11" hidden="1">'H-Risk Register-Model'!$BB$111</definedName>
    <definedName name="CB_527d7adb5683418db863aaff53da5eb2" localSheetId="11" hidden="1">'H-Risk Register-Model'!$AU$40</definedName>
    <definedName name="CB_53202e6fddc84034a2c1843fe9f5e6ee" localSheetId="11" hidden="1">'H-Risk Register-Model'!$BB$26</definedName>
    <definedName name="CB_5417440fe62c483e9c809b072341e252" localSheetId="11" hidden="1">'H-Risk Register-Model'!$AU$61</definedName>
    <definedName name="CB_542f5817985044ac83506130c21a696e" localSheetId="11" hidden="1">'H-Risk Register-Model'!$AU$105</definedName>
    <definedName name="CB_56780ab12b884ce5a314bfa5c82a43bb" localSheetId="11" hidden="1">'H-Risk Register-Model'!$BB$63</definedName>
    <definedName name="CB_59d5bde93a704d46a86bee1e62dc03e8" localSheetId="11" hidden="1">'H-Risk Register-Model'!$BB$38</definedName>
    <definedName name="CB_5b8be0ce893b426b89d0ba0c1e3dbca0" localSheetId="11" hidden="1">'H-Risk Register-Model'!$AU$98</definedName>
    <definedName name="CB_61da42a35b7d4dd6a6a11825881a83bf" localSheetId="11" hidden="1">'H-Risk Register-Model'!$AU$99</definedName>
    <definedName name="CB_63093c942ab44a1ca1bf4c9c6b533bd7" localSheetId="11" hidden="1">'H-Risk Register-Model'!$AU$111</definedName>
    <definedName name="CB_64bb96e3a530493a93a7a5fc11743517" localSheetId="11" hidden="1">'H-Risk Register-Model'!$BB$90</definedName>
    <definedName name="CB_64e4fa38cf754c43a6fa0fa8d8f2b3eb" localSheetId="14" hidden="1">'I-Project Contingency'!$O$4</definedName>
    <definedName name="CB_65ff66a49956414ea86eadedc1afef9f" localSheetId="11" hidden="1">'H-Risk Register-Model'!$AU$66</definedName>
    <definedName name="CB_6724f78747c74295a3903ff0b670c09f" localSheetId="11" hidden="1">'H-Risk Register-Model'!$AU$20</definedName>
    <definedName name="CB_69b0438f2ce54a05904da986996d438f" localSheetId="11" hidden="1">'H-Risk Register-Model'!$AU$96</definedName>
    <definedName name="CB_69f4d5a1653443e2a2842fca202eaebc" localSheetId="11" hidden="1">'H-Risk Register-Model'!$AU$92</definedName>
    <definedName name="CB_6af868a847d745debb9a4d00bf8184a0" localSheetId="11" hidden="1">'H-Risk Register-Model'!$BB$100</definedName>
    <definedName name="CB_6d3f6e5e2a5f458f80968b47167550c5" localSheetId="11" hidden="1">'H-Risk Register-Model'!$BB$112</definedName>
    <definedName name="CB_6d6cb545d631453fad4d747fb1077919" localSheetId="11" hidden="1">'H-Risk Register-Model'!$BB$22</definedName>
    <definedName name="CB_6fa39b2948264696b63d1243eb77a0ef" localSheetId="11" hidden="1">'H-Risk Register-Model'!$AU$85</definedName>
    <definedName name="CB_722d1a179b104443b9d5b5370c5a1a37" localSheetId="11" hidden="1">'H-Risk Register-Model'!$BB$32</definedName>
    <definedName name="CB_739e592968784669b58b37628131c86a" localSheetId="11" hidden="1">'H-Risk Register-Model'!$AU$31</definedName>
    <definedName name="CB_73ed09e1eed54368bb553e638a89b858" localSheetId="11" hidden="1">'H-Risk Register-Model'!$BB$94</definedName>
    <definedName name="CB_7586a1ec095f44efbbe51b21a8f83240" localSheetId="11" hidden="1">'H-Risk Register-Model'!$BB$25</definedName>
    <definedName name="CB_7833e91099a148b5ac01859382cc36bd" localSheetId="11" hidden="1">'H-Risk Register-Model'!$AU$58</definedName>
    <definedName name="CB_78788fb0f2f14a389eba05dfdb135f29" localSheetId="11" hidden="1">'H-Risk Register-Model'!$BB$76</definedName>
    <definedName name="CB_7ac34fc7d56a4290b38481536a54d40d" localSheetId="11" hidden="1">'H-Risk Register-Model'!$BB$18</definedName>
    <definedName name="CB_7ac447a442584158883bad66a9ea0379" localSheetId="11" hidden="1">'H-Risk Register-Model'!$AU$75</definedName>
    <definedName name="CB_7c892fc748ca42bca21dec0a94ac271a" localSheetId="11" hidden="1">'H-Risk Register-Model'!$AU$62</definedName>
    <definedName name="CB_7d70b8f4ae36427ba5bc923b392a0cd8" localSheetId="11" hidden="1">'H-Risk Register-Model'!$AU$110</definedName>
    <definedName name="CB_7d9f8b1b55234274a8ce21ca7214cc6a" localSheetId="11" hidden="1">'H-Risk Register-Model'!$AU$116</definedName>
    <definedName name="CB_7da85f5c275345efb69c3d49be8360e0" localSheetId="11" hidden="1">'H-Risk Register-Model'!$AU$113</definedName>
    <definedName name="CB_7de7563e01524cc581f42d24373fbba0" localSheetId="11" hidden="1">'H-Risk Register-Model'!$BB$48</definedName>
    <definedName name="CB_7f1b0243955e438e930b72d7b5dd8baa" localSheetId="11" hidden="1">'H-Risk Register-Model'!$AU$59</definedName>
    <definedName name="CB_80098ab926064f9abf10ef5225e3a90d" localSheetId="11" hidden="1">'H-Risk Register-Model'!$BB$116</definedName>
    <definedName name="CB_80210ee978a2455181b9d3d2b58dfd23" localSheetId="11" hidden="1">'H-Risk Register-Model'!$BB$53</definedName>
    <definedName name="CB_8155bcb394ec4f558b44f1f6b73bfb3d" localSheetId="11" hidden="1">'H-Risk Register-Model'!$BB$65</definedName>
    <definedName name="CB_818397a7a3e4402596b8f2c7522554b9" localSheetId="11" hidden="1">'H-Risk Register-Model'!$AU$45</definedName>
    <definedName name="CB_86661cfe745846fcba20aa1705362e6b" localSheetId="11" hidden="1">'H-Risk Register-Model'!$BB$54</definedName>
    <definedName name="CB_89390542624e459693eaf99109a9874a" localSheetId="11" hidden="1">'H-Risk Register-Model'!$AU$25</definedName>
    <definedName name="CB_89a8908b0b384a54966e632dded79c31" localSheetId="11" hidden="1">'H-Risk Register-Model'!$AU$28</definedName>
    <definedName name="CB_8bdfa3cde0594aeda2e6fd128624715f" localSheetId="11" hidden="1">'H-Risk Register-Model'!$BB$27</definedName>
    <definedName name="CB_8c9369608af04019964c47af67c53f93" localSheetId="11" hidden="1">'H-Risk Register-Model'!$AU$109</definedName>
    <definedName name="CB_8e1cda6ed9834f94a85b16401c71e390" localSheetId="11" hidden="1">'H-Risk Register-Model'!$AF$18</definedName>
    <definedName name="CB_8e9e47a977e546799f99f70020ee6aa2" localSheetId="11" hidden="1">'H-Risk Register-Model'!$BB$40</definedName>
    <definedName name="CB_8eec551557f644c0a6b8d194768598fa" localSheetId="11" hidden="1">'H-Risk Register-Model'!$BB$39</definedName>
    <definedName name="CB_8f5cb3be6a044c01b9be159a08b24635" localSheetId="11" hidden="1">'H-Risk Register-Model'!$BB$84</definedName>
    <definedName name="CB_90267570cfa24396af57f4696fdbdc48" localSheetId="11" hidden="1">'H-Risk Register-Model'!$AU$88</definedName>
    <definedName name="CB_9614dbf6af8048e5a66981cde28055a4" localSheetId="11" hidden="1">'H-Risk Register-Model'!$AU$72</definedName>
    <definedName name="CB_96472798839f4a63a0cb56a113f31089" localSheetId="11" hidden="1">'H-Risk Register-Model'!$BB$101</definedName>
    <definedName name="CB_9b3a7076b8f14ed1927d4974a2611c6c" localSheetId="11" hidden="1">'H-Risk Register-Model'!$AU$83</definedName>
    <definedName name="CB_9bc454570fe74b8194d82dfe4a1641db" localSheetId="11" hidden="1">'H-Risk Register-Model'!$BB$52</definedName>
    <definedName name="CB_9e265946b4fd4ba594872978e15026f6" localSheetId="11" hidden="1">'H-Risk Register-Model'!$AU$42</definedName>
    <definedName name="CB_9e62c22e8bdb4df29e4e06cefd5a46ff" localSheetId="11" hidden="1">'H-Risk Register-Model'!$BB$67</definedName>
    <definedName name="CB_a060a7f3f3c0404a9622acaa9ab4222c" localSheetId="11" hidden="1">'H-Risk Register-Model'!$BB$47</definedName>
    <definedName name="CB_a1ad256ac76f4392886093c01cae0c63" localSheetId="11" hidden="1">'H-Risk Register-Model'!$BB$113</definedName>
    <definedName name="CB_a26e81bcab0b4f329208259ab2cdcaae" localSheetId="11" hidden="1">'H-Risk Register-Model'!$AU$81</definedName>
    <definedName name="CB_a2a26b6e5eeb4a32843403e6430bcc8c" localSheetId="11" hidden="1">'H-Risk Register-Model'!$AU$104</definedName>
    <definedName name="CB_a3444381927e4a02a8b86f3953b2f4f0" localSheetId="11" hidden="1">'H-Risk Register-Model'!$AU$19</definedName>
    <definedName name="CB_a344729850404646a6397d72665c6660" localSheetId="11" hidden="1">'H-Risk Register-Model'!$BB$89</definedName>
    <definedName name="CB_a40b0e71e1c3458b8c4c54fb748c6cec" localSheetId="11" hidden="1">'H-Risk Register-Model'!$AU$69</definedName>
    <definedName name="CB_a451a3fcc60b4571bd47852567b1ca62" localSheetId="11" hidden="1">'H-Risk Register-Model'!$AU$87</definedName>
    <definedName name="CB_a566f186adac47689b4fd740dee0715e" localSheetId="11" hidden="1">'H-Risk Register-Model'!$AU$63</definedName>
    <definedName name="CB_a56996828b55411ea36f722c17c3d534" localSheetId="11" hidden="1">'H-Risk Register-Model'!$AU$55</definedName>
    <definedName name="CB_a6ad434a79d141f29e1c9c66fe10e477" localSheetId="11" hidden="1">'H-Risk Register-Model'!$AU$82</definedName>
    <definedName name="CB_a76b4a4666a84b37888ff4c52ac61a4b" localSheetId="11" hidden="1">'H-Risk Register-Model'!$AU$80</definedName>
    <definedName name="CB_a76fbe3645d742479e0150342953c2c1" localSheetId="11" hidden="1">'H-Risk Register-Model'!$BB$109</definedName>
    <definedName name="CB_a7b9561ae7e74f6e99190f321059a459" localSheetId="11" hidden="1">'H-Risk Register-Model'!$BB$98</definedName>
    <definedName name="CB_a8c639aedc434771a657dff3bf0776c9" localSheetId="11" hidden="1">'H-Risk Register-Model'!$BB$58</definedName>
    <definedName name="CB_abf5d750845d45149d1e088e8e6029a6" localSheetId="11" hidden="1">'H-Risk Register-Model'!$AU$73</definedName>
    <definedName name="CB_b04cdc6d18424410a5c16561f53190ce" localSheetId="14" hidden="1">'I-Project Contingency'!$O$5</definedName>
    <definedName name="CB_b125799411ba44bb9905d3ef1762958a" localSheetId="11" hidden="1">'H-Risk Register-Model'!$AU$30</definedName>
    <definedName name="CB_b191a6d2f46944d6a284beb6702545b0" localSheetId="11" hidden="1">'H-Risk Register-Model'!$AU$77</definedName>
    <definedName name="CB_b1d1d1c425cd48e7ad0ec63c825fce69" localSheetId="11" hidden="1">'H-Risk Register-Model'!$BB$83</definedName>
    <definedName name="CB_b1d629f1263f41ca860ed0502cfb350f" localSheetId="11" hidden="1">'H-Risk Register-Model'!$BB$23</definedName>
    <definedName name="CB_b1d833fa6450434cabd5215592b9336a" localSheetId="11" hidden="1">'H-Risk Register-Model'!$AU$41</definedName>
    <definedName name="CB_b2c2c06ef05e47eb958ffb33a04def19" localSheetId="11" hidden="1">'H-Risk Register-Model'!$AU$37</definedName>
    <definedName name="CB_b2c8d0c212db4a2e91fbc4a022a2e18f" localSheetId="11" hidden="1">'H-Risk Register-Model'!$AU$95</definedName>
    <definedName name="CB_b2eaa126b6694bdf8ec6933cb16a27f3" localSheetId="11" hidden="1">'H-Risk Register-Model'!$AU$108</definedName>
    <definedName name="CB_b32de6cfa20b497a94a7ac511b534e31" localSheetId="11" hidden="1">'H-Risk Register-Model'!$AU$102</definedName>
    <definedName name="CB_b526e019c44642a3964722f9cf59321a" localSheetId="11" hidden="1">'H-Risk Register-Model'!$BB$75</definedName>
    <definedName name="CB_b55af7d9514f4273ae8821e486ff3ddb" localSheetId="11" hidden="1">'H-Risk Register-Model'!$BB$82</definedName>
    <definedName name="CB_b7c42a1e70604cdfb172b89aca9f2e8a" localSheetId="11" hidden="1">'H-Risk Register-Model'!$AU$84</definedName>
    <definedName name="CB_b812379b8bd641f69b18d12e602086ab" localSheetId="11" hidden="1">'H-Risk Register-Model'!$BB$24</definedName>
    <definedName name="CB_ba3905a6693147039bc0b8bdd700b203" localSheetId="11" hidden="1">'H-Risk Register-Model'!$BB$19</definedName>
    <definedName name="CB_baf8c867b8e94e488a7dcdc7f6af5522" localSheetId="11" hidden="1">'H-Risk Register-Model'!$AU$115</definedName>
    <definedName name="CB_bc499e51fdaa4147b2ef51b4870cecb1" localSheetId="11" hidden="1">'H-Risk Register-Model'!$BB$64</definedName>
    <definedName name="CB_bd2a1117ab58452aa84ec2701173129b" localSheetId="11" hidden="1">'H-Risk Register-Model'!$AU$89</definedName>
    <definedName name="CB_becd34bc58b349bcb51dee5d8b8dd0fd" localSheetId="11" hidden="1">'H-Risk Register-Model'!$AU$94</definedName>
    <definedName name="CB_Block_00000000000000000000000000000000" localSheetId="23" hidden="1">"'7.0.0.0"</definedName>
    <definedName name="CB_Block_00000000000000000000000000000000" localSheetId="11" hidden="1">"'7.0.0.0"</definedName>
    <definedName name="CB_Block_00000000000000000000000000000000" localSheetId="14" hidden="1">"'7.0.0.0"</definedName>
    <definedName name="CB_Block_00000000000000000000000000000001" localSheetId="23" hidden="1">"'637971090819962650"</definedName>
    <definedName name="CB_Block_00000000000000000000000000000001" localSheetId="11" hidden="1">"'637971090823665056"</definedName>
    <definedName name="CB_Block_00000000000000000000000000000001" localSheetId="14" hidden="1">"'637971090819922183"</definedName>
    <definedName name="CB_Block_00000000000000000000000000000003" localSheetId="23" hidden="1">"'11.1.4512.0"</definedName>
    <definedName name="CB_Block_00000000000000000000000000000003" localSheetId="11" hidden="1">"'11.1.4512.0"</definedName>
    <definedName name="CB_Block_00000000000000000000000000000003" localSheetId="14" hidden="1">"'11.1.4512.0"</definedName>
    <definedName name="CB_BlockExt_00000000000000000000000000000003" localSheetId="23" hidden="1">"'11.1.2.4.600"</definedName>
    <definedName name="CB_BlockExt_00000000000000000000000000000003" localSheetId="11" hidden="1">"'11.1.2.4.600"</definedName>
    <definedName name="CB_BlockExt_00000000000000000000000000000003" localSheetId="14" hidden="1">"'11.1.2.4.600"</definedName>
    <definedName name="CB_c04181b7d62b411689ceeb6b8b9d6ed5" localSheetId="11" hidden="1">'H-Risk Register-Model'!$AU$101</definedName>
    <definedName name="CB_c05bc3bb3f0f4d8895676098192a39a7" localSheetId="11" hidden="1">'H-Risk Register-Model'!$AU$91</definedName>
    <definedName name="CB_c39ebf611f304a3e8cdf4dbfc7d6905a" localSheetId="11" hidden="1">'H-Risk Register-Model'!$BB$28</definedName>
    <definedName name="CB_c3ae072b12d04a7894970e0c575e138f" localSheetId="11" hidden="1">'H-Risk Register-Model'!$AU$51</definedName>
    <definedName name="CB_c6c4156422dd4139af4f0e79bb914988" localSheetId="11" hidden="1">'H-Risk Register-Model'!$AU$114</definedName>
    <definedName name="CB_c78b0c67d76849c0bfb809bd6697568a" localSheetId="11" hidden="1">'H-Risk Register-Model'!$BB$37</definedName>
    <definedName name="CB_c8bfb12c7adf42e2863d9aaaa5e93f4b" localSheetId="11" hidden="1">'H-Risk Register-Model'!$AD$20</definedName>
    <definedName name="CB_ca742c0fc7654fc6ae07bff9e955248b" localSheetId="11" hidden="1">'H-Risk Register-Model'!$AU$64</definedName>
    <definedName name="CB_ca9d37ed11234a22a028df190284d5b0" localSheetId="11" hidden="1">'H-Risk Register-Model'!$AU$54</definedName>
    <definedName name="CB_cbf1464ffd484be4b7b3e2e68bcbacc4" localSheetId="11" hidden="1">'H-Risk Register-Model'!$BB$104</definedName>
    <definedName name="CB_d2d41b66b4364930a928846c71103f32" localSheetId="11" hidden="1">'H-Risk Register-Model'!$AU$107</definedName>
    <definedName name="CB_d4d5ead5cf01407a8e84038b6e308343" localSheetId="11" hidden="1">'H-Risk Register-Model'!$BB$92</definedName>
    <definedName name="CB_d4fa1ee0dc514892851491e9b43a3719" localSheetId="11" hidden="1">'H-Risk Register-Model'!$AD$19</definedName>
    <definedName name="CB_d5afb5c6c58c4998a321207763292f05" localSheetId="11" hidden="1">'H-Risk Register-Model'!$AU$100</definedName>
    <definedName name="CB_d8940b79b3d8434d9669b80dee937de7" localSheetId="11" hidden="1">'H-Risk Register-Model'!$AU$34</definedName>
    <definedName name="CB_da7b1147022e448d8ec3f26feb3a3333" localSheetId="11" hidden="1">'H-Risk Register-Model'!$AU$22</definedName>
    <definedName name="CB_db6fa8116816491490cee48ade62b27f" localSheetId="11" hidden="1">'H-Risk Register-Model'!$BB$49</definedName>
    <definedName name="CB_db8d0143e6854dcab00e564f4587c02d" localSheetId="11" hidden="1">'H-Risk Register-Model'!$BB$34</definedName>
    <definedName name="CB_dbecf26b56a7482fb1c0503271e90df4" localSheetId="11" hidden="1">'H-Risk Register-Model'!$BB$93</definedName>
    <definedName name="CB_dce4875a04724e139982d5ddb7650452" localSheetId="11" hidden="1">'H-Risk Register-Model'!$BB$81</definedName>
    <definedName name="CB_dd962c09bd0c4246887cc5b8f91d7a86" localSheetId="11" hidden="1">'H-Risk Register-Model'!$BB$33</definedName>
    <definedName name="CB_df6e877548b14a979974bd6a38cf783f" localSheetId="11" hidden="1">'H-Risk Register-Model'!$BB$56</definedName>
    <definedName name="CB_df83a74a555c46f1bde7af8933e98597" localSheetId="11" hidden="1">'H-Risk Register-Model'!$BB$62</definedName>
    <definedName name="CB_e3903540c84d40e2a86e41d1cdfd361c" localSheetId="11" hidden="1">'H-Risk Register-Model'!$AU$38</definedName>
    <definedName name="CB_e3d7b305f6dd4156a42b35b5f26dec4d" localSheetId="11" hidden="1">'H-Risk Register-Model'!$BB$97</definedName>
    <definedName name="CB_e401f2697b3b4ed081d6a430a9d4dcc5" localSheetId="11" hidden="1">'H-Risk Register-Model'!$AU$21</definedName>
    <definedName name="CB_e457ca120471416499eaf5ed0fc95f6c" localSheetId="11" hidden="1">'H-Risk Register-Model'!$AU$18</definedName>
    <definedName name="CB_e4beffa63af1478fb17b6f2512fb774a" localSheetId="11" hidden="1">'H-Risk Register-Model'!$AU$79</definedName>
    <definedName name="CB_e5d056ceb324428d994ec593189e89e9" localSheetId="11" hidden="1">'H-Risk Register-Model'!$BB$41</definedName>
    <definedName name="CB_e90c9409911945ebb4dff65f77cc02fe" localSheetId="11" hidden="1">'H-Risk Register-Model'!$BB$102</definedName>
    <definedName name="CB_e952c787434b42af9f320ff8f23e1863" localSheetId="11" hidden="1">'H-Risk Register-Model'!$BB$80</definedName>
    <definedName name="CB_eb8ce213564a498596c21d96f1dcc10e" localSheetId="11" hidden="1">'H-Risk Register-Model'!$BB$77</definedName>
    <definedName name="CB_eb910e2a223f4ca3bc3eac35690fc78f" localSheetId="11" hidden="1">'H-Risk Register-Model'!$AU$65</definedName>
    <definedName name="CB_ec3573bcf67944e480c5f34207f79d33" localSheetId="11" hidden="1">'H-Risk Register-Model'!$BB$95</definedName>
    <definedName name="CB_ec4364fd24da4368a6ab5fd095388092" localSheetId="11" hidden="1">'H-Risk Register-Model'!$AU$44</definedName>
    <definedName name="CB_ec68a6c622b54573a48dcac9c4534ac6" localSheetId="11" hidden="1">'H-Risk Register-Model'!$Z$20</definedName>
    <definedName name="CB_eece7b1bb60d4cf58e074be78e2cf153" localSheetId="11" hidden="1">'H-Risk Register-Model'!$BB$103</definedName>
    <definedName name="CB_ef72b566b5a2450f91d46b773af48bb9" localSheetId="11" hidden="1">'H-Risk Register-Model'!$BB$110</definedName>
    <definedName name="CB_f1142c1192224ddfaace45cdb1e82567" localSheetId="11" hidden="1">'H-Risk Register-Model'!$AU$56</definedName>
    <definedName name="CB_f37b76f6a4c545e09c234f31367fb00d" localSheetId="11" hidden="1">'H-Risk Register-Model'!$AU$32</definedName>
    <definedName name="CB_f3805bcaaac24b13a4cb4baea8df63d2" localSheetId="11" hidden="1">'H-Risk Register-Model'!$AU$36</definedName>
    <definedName name="CB_f7ed1cd012d246278f6b6a518276a32d" localSheetId="11" hidden="1">'H-Risk Register-Model'!$AU$103</definedName>
    <definedName name="CB_fae61e932c4744ff84edf2c837b78457" localSheetId="11" hidden="1">'H-Risk Register-Model'!$AU$53</definedName>
    <definedName name="CB_fb236efe96974e178a508b67ee8e62d0" localSheetId="11" hidden="1">'H-Risk Register-Model'!$BB$88</definedName>
    <definedName name="CB_fe7036c793c740ccaafd728f3cbc6d70" localSheetId="11" hidden="1">'H-Risk Register-Model'!$AU$23</definedName>
    <definedName name="CBCR_011d9f1d272843d7846c88fcd44ccc38" localSheetId="11" hidden="1">'H-Risk Register-Model'!$BC$28</definedName>
    <definedName name="CBCR_011f3d8fce4744af9cc8617d7e4e1a9d" localSheetId="11" hidden="1">'H-Risk Register-Model'!$BC$55</definedName>
    <definedName name="CBCR_015145707b444c2b8c86d71f06851046" localSheetId="11" hidden="1">'H-Risk Register-Model'!$AU$17&amp;": "&amp;'H-Risk Register-Model'!$A$69</definedName>
    <definedName name="CBCR_01e95b4675c64a8ba1e16ef997d84441" localSheetId="11" hidden="1">'H-Risk Register-Model'!$AV$89</definedName>
    <definedName name="CBCR_01f6770fb0fe4c80ae83ebbe9a6fbfec" localSheetId="11" hidden="1">'H-Risk Register-Model'!$AV$53</definedName>
    <definedName name="CBCR_031567e9aeb7479090e7ec1888c0a869" localSheetId="11" hidden="1">'H-Risk Register-Model'!$BB$17&amp;": "&amp;'H-Risk Register-Model'!$A$70</definedName>
    <definedName name="CBCR_0373ef76cbe041c9a62ae8bfaacdc00e" localSheetId="11" hidden="1">'H-Risk Register-Model'!$BC$44</definedName>
    <definedName name="CBCR_038d5e1345f9450baa959ac612b9641d" localSheetId="11" hidden="1">'H-Risk Register-Model'!$AU$17&amp;": "&amp;'H-Risk Register-Model'!$A$85</definedName>
    <definedName name="CBCR_0494c6489a234fab82c821bcfac86773" localSheetId="11" hidden="1">'H-Risk Register-Model'!$AU$17&amp;": "&amp;'H-Risk Register-Model'!$A$63</definedName>
    <definedName name="CBCR_04dc8d0a43254f10b1ef7a6764d0dcbe" localSheetId="11" hidden="1">'H-Risk Register-Model'!$AU$17&amp;": "&amp;'H-Risk Register-Model'!$A$62</definedName>
    <definedName name="CBCR_05d195cc5e144a13845fe69bf64aba56" localSheetId="11" hidden="1">'H-Risk Register-Model'!$AV$81</definedName>
    <definedName name="CBCR_05d8b286b7914c2e9f781a3f0c4b474f" localSheetId="11" hidden="1">'H-Risk Register-Model'!$AV$28</definedName>
    <definedName name="CBCR_064bb59175864302a44173ee8f006ff7" localSheetId="11" hidden="1">'H-Risk Register-Model'!$AU$17&amp;": "&amp;'H-Risk Register-Model'!$A$41</definedName>
    <definedName name="CBCR_069bf6987527452795c4d6f54b1ee6b1" localSheetId="11" hidden="1">'H-Risk Register-Model'!$AU$17&amp;": "&amp;'H-Risk Register-Model'!$A$110</definedName>
    <definedName name="CBCR_07700bab74384961a5d16d82dccb7f01" localSheetId="11" hidden="1">'H-Risk Register-Model'!$BB$17&amp;": "&amp;'H-Risk Register-Model'!$A$44</definedName>
    <definedName name="CBCR_07d65b0512e845ce833b187c7c4d2726" localSheetId="11" hidden="1">'H-Risk Register-Model'!$AV$94</definedName>
    <definedName name="CBCR_07f4a39573fc46f1baf4fd6a5efacd47" localSheetId="11" hidden="1">'H-Risk Register-Model'!$AV$65</definedName>
    <definedName name="CBCR_081237ebf94a421e9ace92c462f40086" localSheetId="11" hidden="1">'H-Risk Register-Model'!$BC$35</definedName>
    <definedName name="CBCR_085c0650697d425c86ebae1aea2ba452" localSheetId="11" hidden="1">'H-Risk Register-Model'!$BB$17&amp;": "&amp;'H-Risk Register-Model'!$A$37</definedName>
    <definedName name="CBCR_09c2ecdcb9c2417c8c01992ef4aafebf" localSheetId="11" hidden="1">'H-Risk Register-Model'!$BB$17&amp;": "&amp;'H-Risk Register-Model'!$A$79</definedName>
    <definedName name="CBCR_0bd9a2786dd94a52ae45f56d8a6e712a" localSheetId="11" hidden="1">'H-Risk Register-Model'!$BC$108</definedName>
    <definedName name="CBCR_0c0f675b88b344edaf646dc0d762f298" localSheetId="11" hidden="1">'H-Risk Register-Model'!$AF$17&amp;": "&amp;'H-Risk Register-Model'!$A$20&amp;" - "&amp;'H-Risk Register-Model'!$C$20</definedName>
    <definedName name="CBCR_0caa7e6c51674ffea3385c4948bc03bd" localSheetId="11" hidden="1">'H-Risk Register-Model'!$BC$58</definedName>
    <definedName name="CBCR_0d16fd6ea90c4095ab83bb342ec0a280" localSheetId="11" hidden="1">'H-Risk Register-Model'!$BB$17&amp;": "&amp;'H-Risk Register-Model'!$A$66</definedName>
    <definedName name="CBCR_0d9593891541485da60185be46dbe49c" localSheetId="11" hidden="1">'H-Risk Register-Model'!$AU$17&amp;": "&amp;'H-Risk Register-Model'!$A$100</definedName>
    <definedName name="CBCR_0dcea0618a3f46d387deaf113e61044d" localSheetId="11" hidden="1">'H-Risk Register-Model'!$BB$17&amp;": "&amp;'H-Risk Register-Model'!$A$112</definedName>
    <definedName name="CBCR_0e03f9ad6be34fd89e54b63f67c7508c" localSheetId="11" hidden="1">'H-Risk Register-Model'!$BC$38</definedName>
    <definedName name="CBCR_0e10cbf2ab72476aa9d0635f713b314a" localSheetId="11" hidden="1">'H-Risk Register-Model'!$BB$17&amp;": "&amp;'H-Risk Register-Model'!$A$100</definedName>
    <definedName name="CBCR_0e8a41dcf7b44a76beef8814bd13ac0d" localSheetId="11" hidden="1">'H-Risk Register-Model'!$BC$84</definedName>
    <definedName name="CBCR_0ff61a00a55c4215a7fafa4714082167" localSheetId="11" hidden="1">'H-Risk Register-Model'!$AV$98</definedName>
    <definedName name="CBCR_107b11956b584325bdb920d6e146a5ca" localSheetId="11" hidden="1">'H-Risk Register-Model'!$AV$61</definedName>
    <definedName name="CBCR_114ec625e9a64571a581382d28c3fa51" localSheetId="11" hidden="1">'H-Risk Register-Model'!$AC$20+0.001</definedName>
    <definedName name="CBCR_11f4471596654add9e5f3e339023d0ae" localSheetId="11" hidden="1">'H-Risk Register-Model'!$AU$17&amp;": "&amp;'H-Risk Register-Model'!$A$115</definedName>
    <definedName name="CBCR_1356e8660cd144c0b5600fd01b5d3c71" localSheetId="11" hidden="1">'H-Risk Register-Model'!$AV$96</definedName>
    <definedName name="CBCR_135a683f91ce4153ac1f93f7f9ce6204" localSheetId="11" hidden="1">'H-Risk Register-Model'!$BC$41</definedName>
    <definedName name="CBCR_13b91c3c38f84a7cb520a4320922b70c" localSheetId="11" hidden="1">'H-Risk Register-Model'!$AU$17&amp;": "&amp;'H-Risk Register-Model'!$A$117</definedName>
    <definedName name="CBCR_148b4354b1194467830d0e5cf9c03752" localSheetId="11" hidden="1">'H-Risk Register-Model'!$BC$59</definedName>
    <definedName name="CBCR_152ce25df4a1407bbf7175f55a605c2f" localSheetId="11" hidden="1">'H-Risk Register-Model'!$BB$17&amp;": "&amp;'H-Risk Register-Model'!$A$21</definedName>
    <definedName name="CBCR_15917a1396ce49a0848ce0a4bfe14f10" localSheetId="11" hidden="1">'H-Risk Register-Model'!$AA$18</definedName>
    <definedName name="CBCR_160cc9d8549a4edbbc809c5a598b8bc5" localSheetId="11" hidden="1">'H-Risk Register-Model'!$BB$17&amp;": "&amp;'H-Risk Register-Model'!$A$53</definedName>
    <definedName name="CBCR_161029d5ed4540ccb4a10081c2356d4d" localSheetId="11" hidden="1">'H-Risk Register-Model'!$AV$20</definedName>
    <definedName name="CBCR_1866c71e79c0490d892dfef82997939f" localSheetId="11" hidden="1">'H-Risk Register-Model'!$AU$17&amp;": "&amp;'H-Risk Register-Model'!$A$68</definedName>
    <definedName name="CBCR_1919a25786e842da84b01cd58d01a2a6" localSheetId="11" hidden="1">'H-Risk Register-Model'!$AD$17&amp;": "&amp;'H-Risk Register-Model'!$A$20&amp;" - "&amp;'H-Risk Register-Model'!$C$20</definedName>
    <definedName name="CBCR_19246cdb2dcf48b7ae6e53f7ffc22aa0" localSheetId="11" hidden="1">'H-Risk Register-Model'!$S$20-0.001</definedName>
    <definedName name="CBCR_19aacfde2dbc4eaeb9d0bfd5a62a748a" localSheetId="11" hidden="1">'H-Risk Register-Model'!$AU$17&amp;": "&amp;'H-Risk Register-Model'!$A$92</definedName>
    <definedName name="CBCR_19f07adb3c3641fe87caf92e1604fe82" localSheetId="11" hidden="1">'H-Risk Register-Model'!$AU$17&amp;": "&amp;'H-Risk Register-Model'!$A$104</definedName>
    <definedName name="CBCR_19fec49cf40c4333b7703071eafc8720" localSheetId="11" hidden="1">'H-Risk Register-Model'!$AU$17&amp;": "&amp;'H-Risk Register-Model'!$A$114</definedName>
    <definedName name="CBCR_1a0f7d6e10b340e8bd95d7a6405ea330" localSheetId="11" hidden="1">'H-Risk Register-Model'!$BB$17&amp;": "&amp;'H-Risk Register-Model'!$A$87</definedName>
    <definedName name="CBCR_1a397659c1824e69b071d545c0cf4c52" localSheetId="11" hidden="1">'H-Risk Register-Model'!$AV$57</definedName>
    <definedName name="CBCR_1a9ae5f65a2b40df970ca235bfd00ecf" localSheetId="11" hidden="1">'H-Risk Register-Model'!$BB$17&amp;": "&amp;'H-Risk Register-Model'!$A$110</definedName>
    <definedName name="CBCR_1bcc159fb9da4b8393c0360f7aa98b9e" localSheetId="11" hidden="1">'H-Risk Register-Model'!$BB$17&amp;": "&amp;'H-Risk Register-Model'!$A$30</definedName>
    <definedName name="CBCR_1bd06b2869de4b109398b6d77811ec5e" localSheetId="11" hidden="1">'H-Risk Register-Model'!$BB$17&amp;": "&amp;'H-Risk Register-Model'!$A$82</definedName>
    <definedName name="CBCR_1c0c44bba855482f96acbfad209d7644" localSheetId="11" hidden="1">'H-Risk Register-Model'!$BB$17&amp;": "&amp;'H-Risk Register-Model'!$A$93</definedName>
    <definedName name="CBCR_1d248f056fff49fbbc7cdae4ef7158ad" localSheetId="11" hidden="1">'H-Risk Register-Model'!$BB$17&amp;": "&amp;'H-Risk Register-Model'!$A$50</definedName>
    <definedName name="CBCR_1dd966e54f59425893989eada7b433c6" localSheetId="11" hidden="1">'H-Risk Register-Model'!$AV$71</definedName>
    <definedName name="CBCR_1e191b755cd541e49e2215cdb8589d50" localSheetId="11" hidden="1">'H-Risk Register-Model'!$AU$17&amp;": "&amp;'H-Risk Register-Model'!$A$108</definedName>
    <definedName name="CBCR_1edd963367f649f69bbd0061a59b6644" localSheetId="11" hidden="1">'H-Risk Register-Model'!$AV$100</definedName>
    <definedName name="CBCR_1fbdc4850edb4b5b922a0eaab75add5e" localSheetId="11" hidden="1">'H-Risk Register-Model'!$AU$17&amp;": "&amp;'H-Risk Register-Model'!$A$59</definedName>
    <definedName name="CBCR_1fdfe4a07c57481a8c3f489dea88a0ca" localSheetId="11" hidden="1">'H-Risk Register-Model'!$BC$32</definedName>
    <definedName name="CBCR_20456dff6b9f4dbfa1548a5d37dd5f61" localSheetId="11" hidden="1">'H-Risk Register-Model'!$AV$87</definedName>
    <definedName name="CBCR_237cbcb42e264ce0844700ad65a67680" localSheetId="11" hidden="1">'H-Risk Register-Model'!$BB$17&amp;": "&amp;'H-Risk Register-Model'!$A$96</definedName>
    <definedName name="CBCR_2440a296d7e849d196569a32390acd9e" localSheetId="11" hidden="1">'H-Risk Register-Model'!$BC$52</definedName>
    <definedName name="CBCR_24749aa479ea4908886ee1613f9c2d2a" localSheetId="11" hidden="1">'H-Risk Register-Model'!$BC$74</definedName>
    <definedName name="CBCR_24f611322aa84dcf9d9bc15ab22fbe68" localSheetId="11" hidden="1">'H-Risk Register-Model'!$AU$17&amp;": "&amp;'H-Risk Register-Model'!$A$19</definedName>
    <definedName name="CBCR_2623d22e35a840a19abae3c4981a1990" localSheetId="11" hidden="1">'H-Risk Register-Model'!$AU$17&amp;": "&amp;'H-Risk Register-Model'!$A$113</definedName>
    <definedName name="CBCR_27561e3e668545958c3326f7186180e1" localSheetId="11" hidden="1">'H-Risk Register-Model'!$AU$17&amp;": "&amp;'H-Risk Register-Model'!$A$71</definedName>
    <definedName name="CBCR_28504ea78010482fac23080e44224a50" localSheetId="11" hidden="1">'H-Risk Register-Model'!$AV$24</definedName>
    <definedName name="CBCR_29fcd7c967484811bcfd1bf93f950d60" localSheetId="11" hidden="1">'H-Risk Register-Model'!$BC$68</definedName>
    <definedName name="CBCR_2a3f406f49e748039f36611838b4850b" localSheetId="11" hidden="1">'H-Risk Register-Model'!$BB$17&amp;": "&amp;'H-Risk Register-Model'!$A$97</definedName>
    <definedName name="CBCR_2a5411c7f9f948cc9b0fd2edea2b654b" localSheetId="11" hidden="1">'H-Risk Register-Model'!$AV$79</definedName>
    <definedName name="CBCR_2b25f99156584bdabafd3ccc64a488f4" localSheetId="11" hidden="1">'H-Risk Register-Model'!$AU$17&amp;": "&amp;'H-Risk Register-Model'!$A$84</definedName>
    <definedName name="CBCR_2bab794bb1074e8fbd710d5941f6afa1" localSheetId="11" hidden="1">'H-Risk Register-Model'!$BC$43</definedName>
    <definedName name="CBCR_2c3996d2c0fa43c2808504a86209af09" localSheetId="11" hidden="1">'H-Risk Register-Model'!$BC$79</definedName>
    <definedName name="CBCR_2c4a093c787e40c5ad063b7d07e5d37a" localSheetId="11" hidden="1">'H-Risk Register-Model'!$BC$66</definedName>
    <definedName name="CBCR_2d216ade564c44f29e25bc33c437c01e" localSheetId="11" hidden="1">'H-Risk Register-Model'!$AV$113</definedName>
    <definedName name="CBCR_2d7d154ead9844c299637c49fcc54976" localSheetId="11" hidden="1">'H-Risk Register-Model'!$BC$56</definedName>
    <definedName name="CBCR_2e599c5c801049abab327e1eb22702e4" localSheetId="11" hidden="1">'H-Risk Register-Model'!$BB$17&amp;": "&amp;'H-Risk Register-Model'!$A$69</definedName>
    <definedName name="CBCR_2ea7d764ce7b4b6e9b361d3083d1c58b" localSheetId="11" hidden="1">'H-Risk Register-Model'!$BB$17&amp;": "&amp;'H-Risk Register-Model'!$A$117</definedName>
    <definedName name="CBCR_2f5793dd11014742bf7976f76396b752" localSheetId="11" hidden="1">'H-Risk Register-Model'!$BB$17&amp;": "&amp;'H-Risk Register-Model'!$A$71</definedName>
    <definedName name="CBCR_308f57d73b654c93a9f9821907b7d52a" localSheetId="11" hidden="1">'H-Risk Register-Model'!$BB$17&amp;": "&amp;'H-Risk Register-Model'!$A$19</definedName>
    <definedName name="CBCR_310e92b16a0441458012af7f5087231d" localSheetId="11" hidden="1">'H-Risk Register-Model'!$BB$17&amp;": "&amp;'H-Risk Register-Model'!$A$104</definedName>
    <definedName name="CBCR_318b1ddbb334483ca1e5b45dd6fa4f66" localSheetId="11" hidden="1">'H-Risk Register-Model'!$AV$55</definedName>
    <definedName name="CBCR_31fc2015891b4160ae32ff836a863728" localSheetId="11" hidden="1">'H-Risk Register-Model'!$AU$17&amp;": "&amp;'H-Risk Register-Model'!$A$29</definedName>
    <definedName name="CBCR_32540636b8c2422fb362e29f644e7f58" localSheetId="11" hidden="1">'H-Risk Register-Model'!$BC$20</definedName>
    <definedName name="CBCR_32b8eee111674909b004dabc0eeff31e" localSheetId="11" hidden="1">'H-Risk Register-Model'!$AV$43</definedName>
    <definedName name="CBCR_32e5dd3cf9a74f88bc2d935f56fb7126" localSheetId="11" hidden="1">'H-Risk Register-Model'!$AU$17&amp;": "&amp;'H-Risk Register-Model'!$A$96</definedName>
    <definedName name="CBCR_34b8f25c98c045a4b791d8b800479419" localSheetId="11" hidden="1">'H-Risk Register-Model'!$BC$37</definedName>
    <definedName name="CBCR_352fe663c7af447f8b74749a91a58c0d" localSheetId="11" hidden="1">'H-Risk Register-Model'!$AV$63</definedName>
    <definedName name="CBCR_3586092704ed4df4824cac782aef339f" localSheetId="11" hidden="1">'H-Risk Register-Model'!$AV$49</definedName>
    <definedName name="CBCR_3586a081ef314fe1a7ebace8fb6d7484" localSheetId="11" hidden="1">'H-Risk Register-Model'!$BC$76</definedName>
    <definedName name="CBCR_35e80f14e7ff4b34a93fcb41dab987f0" localSheetId="11" hidden="1">'H-Risk Register-Model'!$AV$85</definedName>
    <definedName name="CBCR_3630d70b3cf9481ba150e6d979fcb929" localSheetId="11" hidden="1">'H-Risk Register-Model'!$AU$17&amp;": "&amp;'H-Risk Register-Model'!$A$106</definedName>
    <definedName name="CBCR_367fda01076d4604ac5fe701bb19aea4" localSheetId="11" hidden="1">'H-Risk Register-Model'!$AA$20-0.001</definedName>
    <definedName name="CBCR_37a46007617b485081858ef1b22f8ef3" localSheetId="11" hidden="1">'H-Risk Register-Model'!$AU$17&amp;": "&amp;'H-Risk Register-Model'!$A$79</definedName>
    <definedName name="CBCR_37b0771ac22d4f3589652b3da9892d08" localSheetId="11" hidden="1">'H-Risk Register-Model'!$AU$17&amp;": "&amp;'H-Risk Register-Model'!$A$40</definedName>
    <definedName name="CBCR_385dd971502e4ecfaf5cffb7d3e3cfe6" localSheetId="11" hidden="1">'H-Risk Register-Model'!$AU$17&amp;": "&amp;'H-Risk Register-Model'!$A$75</definedName>
    <definedName name="CBCR_386a73ba9dd44fa19201571f3b019e99" localSheetId="11" hidden="1">'H-Risk Register-Model'!$AU$17&amp;": "&amp;'H-Risk Register-Model'!$A$30</definedName>
    <definedName name="CBCR_38c86c6d2b0b4227858b4c0dea5982b7" localSheetId="11" hidden="1">'H-Risk Register-Model'!$BC$98</definedName>
    <definedName name="CBCR_3a215e990cc743bcab46db550d218bf3" localSheetId="11" hidden="1">'H-Risk Register-Model'!$U$20+0.001</definedName>
    <definedName name="CBCR_3ab80e37997947c9a0e40bacbfd67dde" localSheetId="11" hidden="1">'H-Risk Register-Model'!$BB$17&amp;": "&amp;'H-Risk Register-Model'!$A$42</definedName>
    <definedName name="CBCR_3ac934773df044b5aed9d11d71f4b1f9" localSheetId="11" hidden="1">'H-Risk Register-Model'!$AU$17&amp;": "&amp;'H-Risk Register-Model'!$A$83</definedName>
    <definedName name="CBCR_3cf328b4001d4390b3c2c9522a1111b5" localSheetId="11" hidden="1">'H-Risk Register-Model'!$BC$111</definedName>
    <definedName name="CBCR_3d8aaf349f434ce585b8e6bd62445572" localSheetId="11" hidden="1">'H-Risk Register-Model'!$BC$24</definedName>
    <definedName name="CBCR_3dd072368173438081e165da0df5854f" localSheetId="11" hidden="1">'H-Risk Register-Model'!$AU$17&amp;": "&amp;'H-Risk Register-Model'!$A$77</definedName>
    <definedName name="CBCR_3e152db5898f4310ae5ea6bac881d7df" localSheetId="11" hidden="1">'H-Risk Register-Model'!$AU$17&amp;": "&amp;'H-Risk Register-Model'!$A$66</definedName>
    <definedName name="CBCR_3f867ec39b544e45b92ae0b85086d3fa" localSheetId="11" hidden="1">'H-Risk Register-Model'!$BC$53</definedName>
    <definedName name="CBCR_3fcc136ed6574b85855cc5bf6f6da386" localSheetId="11" hidden="1">'H-Risk Register-Model'!$AU$17&amp;": "&amp;'H-Risk Register-Model'!$A$51</definedName>
    <definedName name="CBCR_4153b966b8494d4bb6fc63e9617d6078" localSheetId="11" hidden="1">'H-Risk Register-Model'!$BB$17&amp;": "&amp;'H-Risk Register-Model'!$A$80</definedName>
    <definedName name="CBCR_41606a4662ee4c3e8313043b8913d219" localSheetId="11" hidden="1">'H-Risk Register-Model'!$S$18</definedName>
    <definedName name="CBCR_418e2ce8ef0b42cda849bfa334606e13" localSheetId="11" hidden="1">'H-Risk Register-Model'!$BB$17&amp;": "&amp;'H-Risk Register-Model'!$A$61</definedName>
    <definedName name="CBCR_419e65fc617841d0bf8852c73d9e3e71" localSheetId="11" hidden="1">'H-Risk Register-Model'!$BB$17&amp;": "&amp;'H-Risk Register-Model'!$A$33</definedName>
    <definedName name="CBCR_42200ca453c7456c8e6f9bd34979d531" localSheetId="11" hidden="1">'H-Risk Register-Model'!$BC$27</definedName>
    <definedName name="CBCR_423999038ef94d43a5c6a3a1f1320eee" localSheetId="11" hidden="1">'H-Risk Register-Model'!$AU$17&amp;": "&amp;'H-Risk Register-Model'!$A$72</definedName>
    <definedName name="CBCR_43c675408cea40f28922dbf6b8fc7460" localSheetId="11" hidden="1">'H-Risk Register-Model'!$BC$25</definedName>
    <definedName name="CBCR_43d41de7573c4ee097036890905800c7" localSheetId="11" hidden="1">'H-Risk Register-Model'!$BB$17&amp;": "&amp;'H-Risk Register-Model'!$A$41</definedName>
    <definedName name="CBCR_44bc65bf3e9a4c1ba3d16da950997855" localSheetId="11" hidden="1">'H-Risk Register-Model'!$Y$20</definedName>
    <definedName name="CBCR_451257f86e3a4f43ab6a10161d92debb" localSheetId="11" hidden="1">'H-Risk Register-Model'!$AV$95</definedName>
    <definedName name="CBCR_455a7ae0577d49459b43676d75f8a1c3" localSheetId="11" hidden="1">'H-Risk Register-Model'!$BC$67</definedName>
    <definedName name="CBCR_46633e59ebfc41cb8c6e9f116810af10" localSheetId="11" hidden="1">'H-Risk Register-Model'!$AV$80</definedName>
    <definedName name="CBCR_469cc64135184f9284097beb48cd5d78" localSheetId="11" hidden="1">'H-Risk Register-Model'!$AV$50</definedName>
    <definedName name="CBCR_469eb69cd8d64a58a1dda1a282dbd268" localSheetId="11" hidden="1">'H-Risk Register-Model'!$AU$17&amp;": "&amp;'H-Risk Register-Model'!$A$54</definedName>
    <definedName name="CBCR_47540de1c74e4dd598ac46d57d36640f" localSheetId="11" hidden="1">'H-Risk Register-Model'!$AV$111</definedName>
    <definedName name="CBCR_478a0e22a5a04b7981f9dc54ebf3f6b1" localSheetId="11" hidden="1">'H-Risk Register-Model'!$BC$45</definedName>
    <definedName name="CBCR_486d6653a69e4a9faf1d2508703e65b6" localSheetId="11" hidden="1">'H-Risk Register-Model'!$BC$101</definedName>
    <definedName name="CBCR_489c8d994c554e1fb609e57d84843921" localSheetId="11" hidden="1">'H-Risk Register-Model'!$AV$33</definedName>
    <definedName name="CBCR_48c4fcd61c974832b43483ebd095bdc0" localSheetId="11" hidden="1">'H-Risk Register-Model'!$AU$17&amp;": "&amp;'H-Risk Register-Model'!$A$97</definedName>
    <definedName name="CBCR_4978544da54a4d9ab4252fad1f6cb2d2" localSheetId="11" hidden="1">'H-Risk Register-Model'!$AV$107</definedName>
    <definedName name="CBCR_4981ff836cfa4afab620c45f52d862c5" localSheetId="11" hidden="1">'H-Risk Register-Model'!$AV$40</definedName>
    <definedName name="CBCR_4ac9fcb0caf94b208832f6ef5e9e7f7a" localSheetId="11" hidden="1">'H-Risk Register-Model'!$AV$26</definedName>
    <definedName name="CBCR_4b1d640e204a4eb19a8993087faca0a3" localSheetId="11" hidden="1">'H-Risk Register-Model'!$AU$17&amp;": "&amp;'H-Risk Register-Model'!$A$80</definedName>
    <definedName name="CBCR_4b4a0f962d8c4269bd3a5a13ea4e7041" localSheetId="11" hidden="1">'H-Risk Register-Model'!$BB$17&amp;": "&amp;'H-Risk Register-Model'!$A$103</definedName>
    <definedName name="CBCR_4dc4c078dc5c498fac502df8f1503c8f" localSheetId="11" hidden="1">'H-Risk Register-Model'!$BB$17&amp;": "&amp;'H-Risk Register-Model'!$A$43</definedName>
    <definedName name="CBCR_4ded64c35d0047ef876c36e616ce8cbc" localSheetId="11" hidden="1">'H-Risk Register-Model'!$AV$101</definedName>
    <definedName name="CBCR_4e021db4187b456bb96f901326b54065" localSheetId="11" hidden="1">'H-Risk Register-Model'!$AU$17&amp;": "&amp;'H-Risk Register-Model'!$A$86</definedName>
    <definedName name="CBCR_4e749c15cc404e399eb9bfd050408ba8" localSheetId="11" hidden="1">'H-Risk Register-Model'!$BC$93</definedName>
    <definedName name="CBCR_4f209d79dbef49c09d9b87918748ae51" localSheetId="11" hidden="1">'H-Risk Register-Model'!$AC$19</definedName>
    <definedName name="CBCR_500d5dff17334780a24ada09f534adbd" localSheetId="11" hidden="1">'H-Risk Register-Model'!$BC$54</definedName>
    <definedName name="CBCR_5012d7ba6b234633b78d73c75307d938" localSheetId="11" hidden="1">'H-Risk Register-Model'!$AU$17&amp;": "&amp;'H-Risk Register-Model'!$A$73</definedName>
    <definedName name="CBCR_51c319994e3c4b3f83016a557f80e426" localSheetId="11" hidden="1">'H-Risk Register-Model'!$BB$17&amp;": "&amp;'H-Risk Register-Model'!$A$24</definedName>
    <definedName name="CBCR_51d6c653f69c4baa9f0f64a245b6bae9" localSheetId="11" hidden="1">'H-Risk Register-Model'!$AU$17&amp;": "&amp;'H-Risk Register-Model'!$A$111</definedName>
    <definedName name="CBCR_520ee8ec26bb40fcbcc033ffc40dd9dd" localSheetId="11" hidden="1">'H-Risk Register-Model'!$BC$117</definedName>
    <definedName name="CBCR_523a45a7be924e768c858ff27de7d36a" localSheetId="11" hidden="1">'H-Risk Register-Model'!$AV$54</definedName>
    <definedName name="CBCR_5397797c297b417f8b02b1278d0fcfc2" localSheetId="11" hidden="1">'H-Risk Register-Model'!$BC$19</definedName>
    <definedName name="CBCR_53f8aa94f08546819c0893029226bcbb" localSheetId="11" hidden="1">'H-Risk Register-Model'!$BC$69</definedName>
    <definedName name="CBCR_557c7e471285421384b765db44e5d5aa" localSheetId="11" hidden="1">'H-Risk Register-Model'!$BC$42</definedName>
    <definedName name="CBCR_55ecff0f973b47e1a11b3355f7578b77" localSheetId="11" hidden="1">'H-Risk Register-Model'!$AU$17&amp;": "&amp;'H-Risk Register-Model'!$A$109</definedName>
    <definedName name="CBCR_5662b7ae486b419f8aeca05388e06845" localSheetId="11" hidden="1">'H-Risk Register-Model'!$AU$17&amp;": "&amp;'H-Risk Register-Model'!$A$98</definedName>
    <definedName name="CBCR_5790076faa8a476799c8d0b2c7faa123" localSheetId="11" hidden="1">'H-Risk Register-Model'!$Z$17&amp;": "&amp;'H-Risk Register-Model'!$A$20&amp;" - "&amp;'H-Risk Register-Model'!$C$20</definedName>
    <definedName name="CBCR_58aa1706a516462a97e1009cb9582dc7" localSheetId="11" hidden="1">'H-Risk Register-Model'!$BC$40</definedName>
    <definedName name="CBCR_59080adf3fe8473b9f5ba816ea0d36b0" localSheetId="11" hidden="1">'H-Risk Register-Model'!$AV$45</definedName>
    <definedName name="CBCR_595dff0b9ff74320a93fff70c2d6ad6f" localSheetId="11" hidden="1">'H-Risk Register-Model'!$BC$77</definedName>
    <definedName name="CBCR_597a5c67c952451dbe059ae44d90e6f2" localSheetId="11" hidden="1">'H-Risk Register-Model'!$AV$75</definedName>
    <definedName name="CBCR_597bcd14afb3438185dd014fe72c5669" localSheetId="11" hidden="1">'H-Risk Register-Model'!$AV$25</definedName>
    <definedName name="CBCR_5abc55eabe794c5c8bb6350fafc7a7b6" localSheetId="11" hidden="1">'H-Risk Register-Model'!$AU$17&amp;": "&amp;'H-Risk Register-Model'!$A$34</definedName>
    <definedName name="CBCR_5b80fba017094de8bc881ab291b512f0" localSheetId="11" hidden="1">'H-Risk Register-Model'!$BB$17&amp;": "&amp;'H-Risk Register-Model'!$A$55</definedName>
    <definedName name="CBCR_5c2107c9fe3b401ea40921c9c7b3e71e" localSheetId="11" hidden="1">'H-Risk Register-Model'!$AV$18</definedName>
    <definedName name="CBCR_5cb89a90faf54a3e816cd9932d722941" localSheetId="11" hidden="1">'H-Risk Register-Model'!$BB$17&amp;": "&amp;'H-Risk Register-Model'!$A$62</definedName>
    <definedName name="CBCR_6137fe0f8d9749648c17e02a660280fd" localSheetId="11" hidden="1">'H-Risk Register-Model'!$AV$37</definedName>
    <definedName name="CBCR_61666024968f490dbcc44ba3f8345ce2" localSheetId="11" hidden="1">'H-Risk Register-Model'!$BC$103</definedName>
    <definedName name="CBCR_62f27a3a3cf64baf8652c16abbbd8a5e" localSheetId="11" hidden="1">'H-Risk Register-Model'!$BB$17&amp;": "&amp;'H-Risk Register-Model'!$A$111</definedName>
    <definedName name="CBCR_643bbcada98941e592700d84c6d30213" localSheetId="11" hidden="1">'H-Risk Register-Model'!$BB$17&amp;": "&amp;'H-Risk Register-Model'!$A$68</definedName>
    <definedName name="CBCR_6638b151e5d34063973d158111d79705" localSheetId="11" hidden="1">'H-Risk Register-Model'!$BC$89</definedName>
    <definedName name="CBCR_66a4c8ccfe6a4a68bae3b59ba9fbf2ac" localSheetId="11" hidden="1">'H-Risk Register-Model'!$BB$17&amp;": "&amp;'H-Risk Register-Model'!$A$84</definedName>
    <definedName name="CBCR_6797216b05144d07b987e3bd27113c8a" localSheetId="11" hidden="1">'H-Risk Register-Model'!$AV$97</definedName>
    <definedName name="CBCR_67cd6a54de7c4fa0ace709152e04907c" localSheetId="11" hidden="1">'H-Risk Register-Model'!$AU$17&amp;": "&amp;'H-Risk Register-Model'!$A$21</definedName>
    <definedName name="CBCR_67fe94791d64412987112693028690d0" localSheetId="11" hidden="1">'H-Risk Register-Model'!$BB$17&amp;": "&amp;'H-Risk Register-Model'!$A$91</definedName>
    <definedName name="CBCR_682b0dad13d9485da7a8a511e88269fb" localSheetId="11" hidden="1">'H-Risk Register-Model'!$BC$78</definedName>
    <definedName name="CBCR_683d7eca76c54395b63cbc6afe112969" localSheetId="11" hidden="1">'H-Risk Register-Model'!$BB$17&amp;": "&amp;'H-Risk Register-Model'!$A$102</definedName>
    <definedName name="CBCR_6909419d37f743c48ad741f2f578e65f" localSheetId="11" hidden="1">'H-Risk Register-Model'!$BC$72</definedName>
    <definedName name="CBCR_691f1a02428e4636b9154973f328fdcd" localSheetId="11" hidden="1">'H-Risk Register-Model'!$AV$92</definedName>
    <definedName name="CBCR_69a274cbb6eb4e8aaf5d93349b73b14f" localSheetId="11" hidden="1">'H-Risk Register-Model'!$AU$17&amp;": "&amp;'H-Risk Register-Model'!$A$55</definedName>
    <definedName name="CBCR_69ae08f975434e00b3160f4ed84b952f" localSheetId="11" hidden="1">'H-Risk Register-Model'!$AU$17&amp;": "&amp;'H-Risk Register-Model'!$A$46</definedName>
    <definedName name="CBCR_6b131c8829134c848d0a79c790195f80" localSheetId="11" hidden="1">'H-Risk Register-Model'!$BB$17&amp;": "&amp;'H-Risk Register-Model'!$A$65</definedName>
    <definedName name="CBCR_6c0c5a94a31d41dbb259f6999a538ef8" localSheetId="11" hidden="1">'H-Risk Register-Model'!$BC$71</definedName>
    <definedName name="CBCR_6c4e6978893540929ba0aa4f0c7e7f52" localSheetId="11" hidden="1">'H-Risk Register-Model'!$BB$17&amp;": "&amp;'H-Risk Register-Model'!$A$36</definedName>
    <definedName name="CBCR_6d40b4f0b8da4e7bb33905f2db1d7d2f" localSheetId="11" hidden="1">'H-Risk Register-Model'!$BC$73</definedName>
    <definedName name="CBCR_6db2e792b6be4af0b996060562ee58fb" localSheetId="11" hidden="1">'H-Risk Register-Model'!$BC$75</definedName>
    <definedName name="CBCR_6dc395adecfc4da39c8210acb9047563" localSheetId="11" hidden="1">'H-Risk Register-Model'!$AU$17&amp;": "&amp;'H-Risk Register-Model'!$A$95</definedName>
    <definedName name="CBCR_6e2b50e6a7c84497b34797c590ad19ca" localSheetId="11" hidden="1">'H-Risk Register-Model'!$AU$17&amp;": "&amp;'H-Risk Register-Model'!$A$38</definedName>
    <definedName name="CBCR_6e9e328371ca463490e2785fbd568b37" localSheetId="11" hidden="1">'H-Risk Register-Model'!$BC$94</definedName>
    <definedName name="CBCR_6f5dfde7e237413095b99a027933da3a" localSheetId="11" hidden="1">'H-Risk Register-Model'!$BB$17&amp;": "&amp;'H-Risk Register-Model'!$A$49</definedName>
    <definedName name="CBCR_7046e426187a43b0b2132eb685373508" localSheetId="11" hidden="1">'H-Risk Register-Model'!$AV$52</definedName>
    <definedName name="CBCR_70a60be1476a43abb92f4de8452f32f8" localSheetId="11" hidden="1">'H-Risk Register-Model'!$BC$113</definedName>
    <definedName name="CBCR_71a0f5c01d8046d6a3a9700a4dba5cb5" localSheetId="11" hidden="1">'H-Risk Register-Model'!$AU$17&amp;": "&amp;'H-Risk Register-Model'!$A$78</definedName>
    <definedName name="CBCR_72c160869b574ee0b2224e92a2b8af7b" localSheetId="11" hidden="1">'H-Risk Register-Model'!$AC$18</definedName>
    <definedName name="CBCR_73055b0acfc8425ca8deceda7523017f" localSheetId="11" hidden="1">'H-Risk Register-Model'!$BC$85</definedName>
    <definedName name="CBCR_731521d25645450ca41c8a40e04dc7f3" localSheetId="11" hidden="1">'H-Risk Register-Model'!$AV$102</definedName>
    <definedName name="CBCR_731d562bb58f4153bbdbdd459bd5887f" localSheetId="11" hidden="1">'H-Risk Register-Model'!$AU$17&amp;": "&amp;'H-Risk Register-Model'!$A$48</definedName>
    <definedName name="CBCR_744fce70ea654320a7cbd75c6f2567a2" localSheetId="11" hidden="1">'H-Risk Register-Model'!$AV$106</definedName>
    <definedName name="CBCR_748a9b828b264692bde3502e7ae3c318" localSheetId="11" hidden="1">'H-Risk Register-Model'!$AV$42</definedName>
    <definedName name="CBCR_74ab813ccabc4c29b3fdc59ef9140d34" localSheetId="11" hidden="1">'H-Risk Register-Model'!$AU$17&amp;": "&amp;'H-Risk Register-Model'!$A$44</definedName>
    <definedName name="CBCR_758b75f8e79b4c219a3f01ae5ae6feb2" localSheetId="11" hidden="1">'H-Risk Register-Model'!$BB$17&amp;": "&amp;'H-Risk Register-Model'!$A$27</definedName>
    <definedName name="CBCR_7696aebf8372403daed8d5be59c6dd1d" localSheetId="11" hidden="1">'H-Risk Register-Model'!$BC$82</definedName>
    <definedName name="CBCR_76bb6bb1ddff4502bf4ac97eb8a1095d" localSheetId="11" hidden="1">'H-Risk Register-Model'!$AU$17&amp;": "&amp;'H-Risk Register-Model'!$A$112</definedName>
    <definedName name="CBCR_771128f93a444bf0b3d4e6c41e1bcb5e" localSheetId="11" hidden="1">'H-Risk Register-Model'!$BB$17&amp;": "&amp;'H-Risk Register-Model'!$A$45</definedName>
    <definedName name="CBCR_77121d1ba3f94cb6b7fef74db944faa6" localSheetId="11" hidden="1">'H-Risk Register-Model'!$AV$76</definedName>
    <definedName name="CBCR_772df945be034284a41eed36a6554603" localSheetId="11" hidden="1">'H-Risk Register-Model'!$BB$17&amp;": "&amp;'H-Risk Register-Model'!$A$35</definedName>
    <definedName name="CBCR_775516f201dc4fb7b687f5a72d383fc8" localSheetId="11" hidden="1">'H-Risk Register-Model'!$BC$26</definedName>
    <definedName name="CBCR_781ac6e49b084da196ad96cb25817620" localSheetId="11" hidden="1">'H-Risk Register-Model'!$AV$48</definedName>
    <definedName name="CBCR_78b0ab41933349e6b3e3e9ab1587ac30" localSheetId="11" hidden="1">'H-Risk Register-Model'!$BB$17&amp;": "&amp;'H-Risk Register-Model'!$A$86</definedName>
    <definedName name="CBCR_79fefdd55cf042378fbbee6969922946" localSheetId="11" hidden="1">'H-Risk Register-Model'!$BC$64</definedName>
    <definedName name="CBCR_7addbccdffd74699bff8bc1ebd252c2f" localSheetId="11" hidden="1">'H-Risk Register-Model'!$BB$17&amp;": "&amp;'H-Risk Register-Model'!$A$107</definedName>
    <definedName name="CBCR_7c0a1ddbb29f4842bfa8fc075aa38131" localSheetId="11" hidden="1">'H-Risk Register-Model'!$BC$48</definedName>
    <definedName name="CBCR_7e1aca0e4dc54af7b07aafb8cfd97cfc" localSheetId="11" hidden="1">'H-Risk Register-Model'!$AU$17&amp;": "&amp;'H-Risk Register-Model'!$A$53</definedName>
    <definedName name="CBCR_7e61d4ee76b1417d9aca9a9c9d6c500f" localSheetId="11" hidden="1">'H-Risk Register-Model'!$AU$17&amp;": "&amp;'H-Risk Register-Model'!$A$99</definedName>
    <definedName name="CBCR_7e65c17efc164e79b64cec00117e2613" localSheetId="11" hidden="1">'H-Risk Register-Model'!$AV$58</definedName>
    <definedName name="CBCR_7fabc6db58a0498fa2fc4f04bc42bcb2" localSheetId="11" hidden="1">'H-Risk Register-Model'!$BC$21</definedName>
    <definedName name="CBCR_80c858594a5d4af6bca7e1ea9fd5bc26" localSheetId="11" hidden="1">'H-Risk Register-Model'!$BC$60</definedName>
    <definedName name="CBCR_81a2484fa298434d826439653d739b81" localSheetId="11" hidden="1">'H-Risk Register-Model'!$AV$59</definedName>
    <definedName name="CBCR_829fba1eccd048c79618b175b2f044a7" localSheetId="11" hidden="1">'H-Risk Register-Model'!$AV$27</definedName>
    <definedName name="CBCR_82d51dfd9fb44e9b823f370824c237c8" localSheetId="11" hidden="1">'H-Risk Register-Model'!$BB$17&amp;": "&amp;'H-Risk Register-Model'!$A$116</definedName>
    <definedName name="CBCR_83deb5038f4d45918af0e7ec5306156a" localSheetId="11" hidden="1">'H-Risk Register-Model'!$BB$17&amp;": "&amp;'H-Risk Register-Model'!$A$25</definedName>
    <definedName name="CBCR_847f1775ee2649899b798bd074a1d145" localSheetId="11" hidden="1">'H-Risk Register-Model'!$AU$17&amp;": "&amp;'H-Risk Register-Model'!$A$102</definedName>
    <definedName name="CBCR_84fdfbcc0f9640b1a5f204d90bd9e6c6" localSheetId="11" hidden="1">'H-Risk Register-Model'!$BC$83</definedName>
    <definedName name="CBCR_85154d86648f4b7ebfc075949b9f639d" localSheetId="11" hidden="1">'H-Risk Register-Model'!$AU$17&amp;": "&amp;'H-Risk Register-Model'!$A$33</definedName>
    <definedName name="CBCR_85bb0b9808114d40905652095f08abb1" localSheetId="11" hidden="1">'H-Risk Register-Model'!$BB$17&amp;": "&amp;'H-Risk Register-Model'!$A$99</definedName>
    <definedName name="CBCR_8665d07a3eb74f498db15befa58bde51" localSheetId="11" hidden="1">'H-Risk Register-Model'!$BC$87</definedName>
    <definedName name="CBCR_876f9a87175c4d9e8e84a7b3df99229a" localSheetId="11" hidden="1">'H-Risk Register-Model'!$AU$17&amp;": "&amp;'H-Risk Register-Model'!$A$35</definedName>
    <definedName name="CBCR_87914748ddac42e09aa4183cb727e0dc" localSheetId="11" hidden="1">'H-Risk Register-Model'!$BC$47</definedName>
    <definedName name="CBCR_88995a4cfd5a4f81a86e8bd586937943" localSheetId="11" hidden="1">'H-Risk Register-Model'!$BB$17&amp;": "&amp;'H-Risk Register-Model'!$A$64</definedName>
    <definedName name="CBCR_890017a832b24983ad6414df43cbc2ab" localSheetId="11" hidden="1">'H-Risk Register-Model'!$BC$92</definedName>
    <definedName name="CBCR_8af90674fb24490da8617cbbd16891f4" localSheetId="11" hidden="1">'H-Risk Register-Model'!$AU$17&amp;": "&amp;'H-Risk Register-Model'!$A$26</definedName>
    <definedName name="CBCR_8b2c0e17d4f641209f3afa2414ceb673" localSheetId="11" hidden="1">'H-Risk Register-Model'!$BB$17&amp;": "&amp;'H-Risk Register-Model'!$A$28</definedName>
    <definedName name="CBCR_8bfbc15665e8476d945bdc508ff2f378" localSheetId="11" hidden="1">'H-Risk Register-Model'!$BB$17&amp;": "&amp;'H-Risk Register-Model'!$A$76</definedName>
    <definedName name="CBCR_8cfeb42b3ff84e28b9fab606bec42caa" localSheetId="11" hidden="1">'H-Risk Register-Model'!$BB$17&amp;": "&amp;'H-Risk Register-Model'!$A$73</definedName>
    <definedName name="CBCR_8e4df833ad0846f2a8897af90ed479f8" localSheetId="11" hidden="1">'H-Risk Register-Model'!$BC$97</definedName>
    <definedName name="CBCR_8e7ad67792f948d88330226f97de8638" localSheetId="11" hidden="1">'H-Risk Register-Model'!$BC$49</definedName>
    <definedName name="CBCR_8f0ab93dda844f99b6029fc47e3ba174" localSheetId="11" hidden="1">'H-Risk Register-Model'!$BC$88</definedName>
    <definedName name="CBCR_8fbb155af5804e24bbfd5a61bdfc8409" localSheetId="11" hidden="1">'H-Risk Register-Model'!$BC$22</definedName>
    <definedName name="CBCR_8fbe634c841c425b9fe21243218a4c97" localSheetId="11" hidden="1">'H-Risk Register-Model'!$AU$17&amp;": "&amp;'H-Risk Register-Model'!$A$60</definedName>
    <definedName name="CBCR_9072594ed69a4bac8bf83d961617a03b" localSheetId="11" hidden="1">'H-Risk Register-Model'!$AV$91</definedName>
    <definedName name="CBCR_90988a64b5ef42d987f4722a2167af0c" localSheetId="11" hidden="1">'H-Risk Register-Model'!$AV$36</definedName>
    <definedName name="CBCR_90b4da8f175741a98f7b457e7614a561" localSheetId="11" hidden="1">'H-Risk Register-Model'!$AU$17&amp;": "&amp;'H-Risk Register-Model'!$A$81</definedName>
    <definedName name="CBCR_91529aa21f274a63b90dcdb8cae6f715" localSheetId="11" hidden="1">'H-Risk Register-Model'!$BC$114</definedName>
    <definedName name="CBCR_91c82e963f7e4410add6d61eb382b7a2" localSheetId="11" hidden="1">'H-Risk Register-Model'!$BC$62</definedName>
    <definedName name="CBCR_933bc1ab702c444bb064f432fb47c29a" localSheetId="11" hidden="1">'H-Risk Register-Model'!$AV$47</definedName>
    <definedName name="CBCR_93719d60133340fca75330b00156c073" localSheetId="11" hidden="1">'H-Risk Register-Model'!$AU$17&amp;": "&amp;'H-Risk Register-Model'!$A$61</definedName>
    <definedName name="CBCR_93cd8c3cddd7429e9dd79efd8ba2c766" localSheetId="11" hidden="1">'H-Risk Register-Model'!$BB$17&amp;": "&amp;'H-Risk Register-Model'!$A$113</definedName>
    <definedName name="CBCR_953a9863eb854e28a1e93f82d0d2055d" localSheetId="11" hidden="1">'H-Risk Register-Model'!$AV$99</definedName>
    <definedName name="CBCR_956caadb518c4d6382e2db1f40059a0a" localSheetId="11" hidden="1">'H-Risk Register-Model'!$AV$105</definedName>
    <definedName name="CBCR_9572ceab615a40b695bb3c67bb45fb61" localSheetId="11" hidden="1">'H-Risk Register-Model'!$BB$17&amp;": "&amp;'H-Risk Register-Model'!$A$51</definedName>
    <definedName name="CBCR_960607c4de874e30b899a2ef9c978d2a" localSheetId="11" hidden="1">'H-Risk Register-Model'!$AV$19</definedName>
    <definedName name="CBCR_9837c7e40f0141adb3cb00a587240726" localSheetId="11" hidden="1">'H-Risk Register-Model'!$AV$64</definedName>
    <definedName name="CBCR_9a1d4835ba824d64a660ad37f3064715" localSheetId="11" hidden="1">'H-Risk Register-Model'!$BB$17&amp;": "&amp;'H-Risk Register-Model'!$A$46</definedName>
    <definedName name="CBCR_9b1ca55d5aff413c8aca63ace50ea52f" localSheetId="11" hidden="1">'H-Risk Register-Model'!$BB$17&amp;": "&amp;'H-Risk Register-Model'!$A$109</definedName>
    <definedName name="CBCR_9bb5416146484fec9993c451b848242c" localSheetId="11" hidden="1">'H-Risk Register-Model'!$BC$99</definedName>
    <definedName name="CBCR_9cb239cde6ff44b9bfd6aab73ff1a18d" localSheetId="11" hidden="1">'H-Risk Register-Model'!$AV$90</definedName>
    <definedName name="CBCR_9cd2ade3ed38429994f9dfa50aaddbed" localSheetId="11" hidden="1">'H-Risk Register-Model'!$AU$17&amp;": "&amp;'H-Risk Register-Model'!$A$22</definedName>
    <definedName name="CBCR_9d277ca3f1704f709454020f48e2a794" localSheetId="11" hidden="1">'H-Risk Register-Model'!$BB$17&amp;": "&amp;'H-Risk Register-Model'!$A$85</definedName>
    <definedName name="CBCR_9d33b20482ad4a57909bbfba0062e1de" localSheetId="11" hidden="1">'H-Risk Register-Model'!$BC$96</definedName>
    <definedName name="CBCR_9d910d3330f043278aa4d50504dcba37" localSheetId="11" hidden="1">'H-Risk Register-Model'!$AV$117</definedName>
    <definedName name="CBCR_9de68d804e8f465d9520718bf7553a78" localSheetId="11" hidden="1">'H-Risk Register-Model'!$BC$107</definedName>
    <definedName name="CBCR_9e75bb9b5b464632bb5ff4eed8c9799b" localSheetId="11" hidden="1">'H-Risk Register-Model'!$AB$18</definedName>
    <definedName name="CBCR_9eb438f882be423eb56ede941fdf871a" localSheetId="11" hidden="1">'H-Risk Register-Model'!$AU$17&amp;": "&amp;'H-Risk Register-Model'!$A$57</definedName>
    <definedName name="CBCR_9f46c9db6bb54113abacfcd5167154db" localSheetId="11" hidden="1">'H-Risk Register-Model'!$BB$17&amp;": "&amp;'H-Risk Register-Model'!$A$95</definedName>
    <definedName name="CBCR_a0217c70f1ea4909858febf6bdfa0fb2" localSheetId="11" hidden="1">'H-Risk Register-Model'!$AU$17&amp;": "&amp;'H-Risk Register-Model'!$A$18</definedName>
    <definedName name="CBCR_a04da837946b48359d288ee3f7c4fc4f" localSheetId="11" hidden="1">'H-Risk Register-Model'!$AU$17&amp;": "&amp;'H-Risk Register-Model'!$A$76</definedName>
    <definedName name="CBCR_a0b195af277f4073976f6893e0c59623" localSheetId="11" hidden="1">'H-Risk Register-Model'!$AU$17&amp;": "&amp;'H-Risk Register-Model'!$A$82</definedName>
    <definedName name="CBCR_a0b875e7951f4f4bbd90084843fa9571" localSheetId="11" hidden="1">'H-Risk Register-Model'!$AU$17&amp;": "&amp;'H-Risk Register-Model'!$A$43</definedName>
    <definedName name="CBCR_a117710d69a74e10ae413faf421024c9" localSheetId="11" hidden="1">'H-Risk Register-Model'!$BC$102</definedName>
    <definedName name="CBCR_a139bcdc118f43abb6a212574f3a1b2d" localSheetId="11" hidden="1">'H-Risk Register-Model'!$BB$17&amp;": "&amp;'H-Risk Register-Model'!$A$74</definedName>
    <definedName name="CBCR_a160e94e0ffe4961bd5109f592190cda" localSheetId="11" hidden="1">'H-Risk Register-Model'!$BB$17&amp;": "&amp;'H-Risk Register-Model'!$A$115</definedName>
    <definedName name="CBCR_a2a968d40f064842979b2a246451b382" localSheetId="11" hidden="1">'H-Risk Register-Model'!$BB$17&amp;": "&amp;'H-Risk Register-Model'!$A$89</definedName>
    <definedName name="CBCR_a42b0a1d7e54480b8362e69234d42fb0" localSheetId="11" hidden="1">'H-Risk Register-Model'!$AU$17&amp;": "&amp;'H-Risk Register-Model'!$A$74</definedName>
    <definedName name="CBCR_a4529bf5a36e4065a762615a3f49db91" localSheetId="11" hidden="1">'H-Risk Register-Model'!$BB$17&amp;": "&amp;'H-Risk Register-Model'!$A$54</definedName>
    <definedName name="CBCR_a4a5346720fa48379778b54c4ed30c51" localSheetId="11" hidden="1">'H-Risk Register-Model'!$BC$65</definedName>
    <definedName name="CBCR_a510390f932f479c9e992b8fc37e59d3" localSheetId="11" hidden="1">'H-Risk Register-Model'!$AA$19</definedName>
    <definedName name="CBCR_a52ef5dc13b0406fbff7166f8b367785" localSheetId="11" hidden="1">'H-Risk Register-Model'!$AU$17&amp;": "&amp;'H-Risk Register-Model'!$A$93</definedName>
    <definedName name="CBCR_a5852389be894601b6ab170548fb09a5" localSheetId="11" hidden="1">'H-Risk Register-Model'!$AV$103</definedName>
    <definedName name="CBCR_a5dc239b2bcf486baf1756e71446184c" localSheetId="11" hidden="1">'H-Risk Register-Model'!$AV$88</definedName>
    <definedName name="CBCR_a62a4f17a96745b8aec5af15e7375439" localSheetId="11" hidden="1">'H-Risk Register-Model'!$BB$17&amp;": "&amp;'H-Risk Register-Model'!$A$83</definedName>
    <definedName name="CBCR_a6551f2b335a42cab2c0ba9f31980c95" localSheetId="11" hidden="1">'H-Risk Register-Model'!$AU$17&amp;": "&amp;'H-Risk Register-Model'!$A$39</definedName>
    <definedName name="CBCR_a6974973edfc47bab32f28a5d23c4cc6" localSheetId="11" hidden="1">'H-Risk Register-Model'!$AV$23</definedName>
    <definedName name="CBCR_a706fed4fad045cba73e19f49aa1061e" localSheetId="11" hidden="1">'H-Risk Register-Model'!$AV$74</definedName>
    <definedName name="CBCR_a79ae987a77445c5b835dc909fb1b9f9" localSheetId="11" hidden="1">'H-Risk Register-Model'!$AU$17&amp;": "&amp;'H-Risk Register-Model'!$A$47</definedName>
    <definedName name="CBCR_a8724945ba1d4258b82ec06534886a78" localSheetId="11" hidden="1">'H-Risk Register-Model'!$AV$82</definedName>
    <definedName name="CBCR_a9053f10e9e44044b30cbaa7fbc1fec8" localSheetId="14" hidden="1">'I-Project Contingency'!$E$76</definedName>
    <definedName name="CBCR_a9ea598131a14bd58cd9619947b096f6" localSheetId="11" hidden="1">'H-Risk Register-Model'!$AV$115</definedName>
    <definedName name="CBCR_aa00d87f477b43c7a21318526642e34d" localSheetId="11" hidden="1">'H-Risk Register-Model'!$BC$57</definedName>
    <definedName name="CBCR_aac2845d376b4204b7cd5d7219c26c37" localSheetId="11" hidden="1">'H-Risk Register-Model'!$BB$17&amp;": "&amp;'H-Risk Register-Model'!$A$105</definedName>
    <definedName name="CBCR_ac0448713ba04678ba50b84d323e6e33" localSheetId="11" hidden="1">'H-Risk Register-Model'!$BC$33</definedName>
    <definedName name="CBCR_acb93a90793447518b20c54d1a46ee10" localSheetId="11" hidden="1">'H-Risk Register-Model'!$BC$112</definedName>
    <definedName name="CBCR_aeac10533edd4678bea7debe931c7efe" localSheetId="11" hidden="1">'H-Risk Register-Model'!$BC$90</definedName>
    <definedName name="CBCR_aed85d4b955c4cb1b7087e937af16ef1" localSheetId="11" hidden="1">'H-Risk Register-Model'!$AU$17&amp;": "&amp;'H-Risk Register-Model'!$A$23</definedName>
    <definedName name="CBCR_afa049a98592485e989d15a23238172b" localSheetId="11" hidden="1">'H-Risk Register-Model'!$AV$32</definedName>
    <definedName name="CBCR_afd103b225564af2921b071ad935bfb8" localSheetId="11" hidden="1">'H-Risk Register-Model'!$AV$104</definedName>
    <definedName name="CBCR_b151ecd8b7f04bcd87f69e688e86117c" localSheetId="11" hidden="1">'H-Risk Register-Model'!$AU$17&amp;": "&amp;'H-Risk Register-Model'!$A$25</definedName>
    <definedName name="CBCR_b17fcd6de06c4ae98a8a520f9895121d" localSheetId="11" hidden="1">'H-Risk Register-Model'!$AV$30</definedName>
    <definedName name="CBCR_b2a5e8e801e1414195a9234c93718331" localSheetId="11" hidden="1">'H-Risk Register-Model'!$BC$50</definedName>
    <definedName name="CBCR_b2f94d900902484faadb7a6ea0e967a0" localSheetId="11" hidden="1">'H-Risk Register-Model'!$BB$17&amp;": "&amp;'H-Risk Register-Model'!$A$56</definedName>
    <definedName name="CBCR_b4202cecd48944819b1d35c6b30d0ae3" localSheetId="11" hidden="1">'H-Risk Register-Model'!$BB$17&amp;": "&amp;'H-Risk Register-Model'!$A$58</definedName>
    <definedName name="CBCR_b545bb0368684e088b4aed8628714d84" localSheetId="11" hidden="1">'H-Risk Register-Model'!$AV$56</definedName>
    <definedName name="CBCR_b5b65d3eb43c46818eadeaf78b858d6e" localSheetId="11" hidden="1">'H-Risk Register-Model'!$AV$93</definedName>
    <definedName name="CBCR_b6356d06edd741e3af6ff8a9d8f4ac6e" localSheetId="11" hidden="1">'H-Risk Register-Model'!$AV$67</definedName>
    <definedName name="CBCR_b75b58dde3bd4c17816abe3e37fd3e33" localSheetId="11" hidden="1">'H-Risk Register-Model'!$AU$17&amp;": "&amp;'H-Risk Register-Model'!$A$91</definedName>
    <definedName name="CBCR_b7d26fa208024a70ad6df0c00243697e" localSheetId="11" hidden="1">'H-Risk Register-Model'!$AV$66</definedName>
    <definedName name="CBCR_b8051524a09e480f86ed869a018dbf06" localSheetId="11" hidden="1">'H-Risk Register-Model'!$AU$17&amp;": "&amp;'H-Risk Register-Model'!$A$31</definedName>
    <definedName name="CBCR_b859007f889d4de29cb85e42e5fea664" localSheetId="11" hidden="1">'H-Risk Register-Model'!$AU$17&amp;": "&amp;'H-Risk Register-Model'!$A$24</definedName>
    <definedName name="CBCR_b918642b382042678aaabdb3e45e7ebd" localSheetId="11" hidden="1">'H-Risk Register-Model'!$BB$17&amp;": "&amp;'H-Risk Register-Model'!$A$72</definedName>
    <definedName name="CBCR_ba172626178c4c1eb2d4bff9724a6b8b" localSheetId="11" hidden="1">'H-Risk Register-Model'!$AU$17&amp;": "&amp;'H-Risk Register-Model'!$A$20</definedName>
    <definedName name="CBCR_ba98637bc14c46b9af6a6c2d7fb99f50" localSheetId="11" hidden="1">'H-Risk Register-Model'!$BB$17&amp;": "&amp;'H-Risk Register-Model'!$A$77</definedName>
    <definedName name="CBCR_ba9fc0ca9c1c48e395877969c2acbebe" localSheetId="11" hidden="1">'H-Risk Register-Model'!$BC$23</definedName>
    <definedName name="CBCR_bb028e90ac02405b88f7730ee191ae2e" localSheetId="11" hidden="1">'H-Risk Register-Model'!$BB$17&amp;": "&amp;'H-Risk Register-Model'!$A$20</definedName>
    <definedName name="CBCR_bd68a83f350c45f6b4a8741332180abd" localSheetId="11" hidden="1">'H-Risk Register-Model'!$BB$17&amp;": "&amp;'H-Risk Register-Model'!$A$60</definedName>
    <definedName name="CBCR_beed5159525a4963a57d02176ed674ce" localSheetId="11" hidden="1">'H-Risk Register-Model'!$BC$51</definedName>
    <definedName name="CBCR_bf5df418f40d4978a4a960911922d0ec" localSheetId="11" hidden="1">'H-Risk Register-Model'!$BC$91</definedName>
    <definedName name="CBCR_c09883959507403d8a7681941f9e6cc7" localSheetId="11" hidden="1">'H-Risk Register-Model'!$AV$46</definedName>
    <definedName name="CBCR_c129f35792364aa4ab0367b07c1eb1f8" localSheetId="11" hidden="1">'H-Risk Register-Model'!$BB$17&amp;": "&amp;'H-Risk Register-Model'!$A$52</definedName>
    <definedName name="CBCR_c2589ca18360413095fe4aa14a1d69b1" localSheetId="11" hidden="1">'H-Risk Register-Model'!$BB$17&amp;": "&amp;'H-Risk Register-Model'!$A$98</definedName>
    <definedName name="CBCR_c2b465ca92fb4a9fa1ff5891974e56de" localSheetId="11" hidden="1">'H-Risk Register-Model'!$AV$35</definedName>
    <definedName name="CBCR_c382dea471ca472bb415f0006eafc965" localSheetId="11" hidden="1">'H-Risk Register-Model'!$BB$17&amp;": "&amp;'H-Risk Register-Model'!$A$34</definedName>
    <definedName name="CBCR_c3a76480eb2a41ac9eee4c82d6a3f568" localSheetId="11" hidden="1">'H-Risk Register-Model'!$AU$17&amp;": "&amp;'H-Risk Register-Model'!$A$116</definedName>
    <definedName name="CBCR_c4841df3944a4e8e9a0ff15a54107200" localSheetId="11" hidden="1">'H-Risk Register-Model'!$BC$18</definedName>
    <definedName name="CBCR_c493e922acd74887b6d695d4e01ccc54" localSheetId="11" hidden="1">'H-Risk Register-Model'!$BC$46</definedName>
    <definedName name="CBCR_c51659968be6442b9ce920d1100be8bb" localSheetId="11" hidden="1">'H-Risk Register-Model'!$AU$17&amp;": "&amp;'H-Risk Register-Model'!$A$107</definedName>
    <definedName name="CBCR_c54780b5e2474c9491f8907120f2476a" localSheetId="11" hidden="1">'H-Risk Register-Model'!$AU$17&amp;": "&amp;'H-Risk Register-Model'!$A$101</definedName>
    <definedName name="CBCR_cac8b15faccd4344a25a955610ad66b3" localSheetId="11" hidden="1">'H-Risk Register-Model'!$BB$17&amp;": "&amp;'H-Risk Register-Model'!$A$57</definedName>
    <definedName name="CBCR_cae7862c5e05437dab8052f5f8a4be9d" localSheetId="11" hidden="1">'H-Risk Register-Model'!$BC$106</definedName>
    <definedName name="CBCR_cbff6b39f6fd48239bd01bbae69cc6b9" localSheetId="11" hidden="1">'H-Risk Register-Model'!$BC$95</definedName>
    <definedName name="CBCR_cd7976baeb944861af9f10611940bb38" localSheetId="11" hidden="1">'H-Risk Register-Model'!$BC$115</definedName>
    <definedName name="CBCR_cda690063f28453c824b55fb1f399100" localSheetId="11" hidden="1">'H-Risk Register-Model'!$AU$17&amp;": "&amp;'H-Risk Register-Model'!$A$89</definedName>
    <definedName name="CBCR_ce20156e657e4514b87fd997bbfd709b" localSheetId="11" hidden="1">'H-Risk Register-Model'!$AV$39</definedName>
    <definedName name="CBCR_cf1122daebdf4ca89e7fe65b605e9cb5" localSheetId="11" hidden="1">'H-Risk Register-Model'!$BB$17&amp;": "&amp;'H-Risk Register-Model'!$A$38</definedName>
    <definedName name="CBCR_cf210e1bfeac498491af0d15d9191e71" localSheetId="11" hidden="1">'H-Risk Register-Model'!$BB$17&amp;": "&amp;'H-Risk Register-Model'!$A$32</definedName>
    <definedName name="CBCR_cf363631b7c141c79b0afa5ce76afb32" localSheetId="11" hidden="1">'H-Risk Register-Model'!$AV$112</definedName>
    <definedName name="CBCR_cf3eef396a134d47aaa6342cbca9d20c" localSheetId="11" hidden="1">'H-Risk Register-Model'!$AU$17&amp;": "&amp;'H-Risk Register-Model'!$A$64</definedName>
    <definedName name="CBCR_cf7a904446d04df189c6c666bf8c3448" localSheetId="11" hidden="1">'H-Risk Register-Model'!$BB$17&amp;": "&amp;'H-Risk Register-Model'!$A$92</definedName>
    <definedName name="CBCR_cf9597ee5c2f4ad7957b913ca4384fd8" localSheetId="11" hidden="1">'H-Risk Register-Model'!$AU$17&amp;": "&amp;'H-Risk Register-Model'!$A$65</definedName>
    <definedName name="CBCR_d046506ddb7943a4885510dda3861c1a" localSheetId="11" hidden="1">'H-Risk Register-Model'!$AF$17&amp;": "&amp;'H-Risk Register-Model'!$A$18&amp;" - "&amp;'H-Risk Register-Model'!$C$18</definedName>
    <definedName name="CBCR_d0e9790e12c84d3aa9e168d602f6cdb7" localSheetId="11" hidden="1">'H-Risk Register-Model'!$BB$17&amp;": "&amp;'H-Risk Register-Model'!$A$75</definedName>
    <definedName name="CBCR_d14253c86d8f41a495bb4476dfdf8e4d" localSheetId="11" hidden="1">'H-Risk Register-Model'!$BC$116</definedName>
    <definedName name="CBCR_d1d07d2a5ee3489b85dec6dfe20d702a" localSheetId="11" hidden="1">'H-Risk Register-Model'!$AU$17&amp;": "&amp;'H-Risk Register-Model'!$A$49</definedName>
    <definedName name="CBCR_d1d666ee6abc4c389c0881fcf760fa72" localSheetId="14" hidden="1">'I-Project Contingency'!$E$61</definedName>
    <definedName name="CBCR_d223c1e11674482f86819bf39e954f5d" localSheetId="11" hidden="1">'H-Risk Register-Model'!$BC$105</definedName>
    <definedName name="CBCR_d2503022b785413e89a5c5ab9d82d68f" localSheetId="11" hidden="1">'H-Risk Register-Model'!$BC$70</definedName>
    <definedName name="CBCR_d2cb6ec479cb466b96b8e47aa3812f68" localSheetId="11" hidden="1">'H-Risk Register-Model'!$T$18</definedName>
    <definedName name="CBCR_d4408be9c37b4a2d947dde6278db7f49" localSheetId="11" hidden="1">'H-Risk Register-Model'!$BC$86</definedName>
    <definedName name="CBCR_d46469e1070a4f2d810522ab0d858a35" localSheetId="11" hidden="1">'H-Risk Register-Model'!$AU$17&amp;": "&amp;'H-Risk Register-Model'!$A$70</definedName>
    <definedName name="CBCR_d4ad8c5cddc34d84a799d14e4bcf3ca4" localSheetId="11" hidden="1">'H-Risk Register-Model'!$AU$17&amp;": "&amp;'H-Risk Register-Model'!$A$27</definedName>
    <definedName name="CBCR_d531bab967b448ad877edac64423fde1" localSheetId="11" hidden="1">'H-Risk Register-Model'!$BB$17&amp;": "&amp;'H-Risk Register-Model'!$A$114</definedName>
    <definedName name="CBCR_d562aeda5b584c51b029c00edc812eae" localSheetId="11" hidden="1">'H-Risk Register-Model'!$AV$78</definedName>
    <definedName name="CBCR_d573a2f7987541c8a06d4ff5bd5fe9b2" localSheetId="11" hidden="1">'H-Risk Register-Model'!$AU$17&amp;": "&amp;'H-Risk Register-Model'!$A$37</definedName>
    <definedName name="CBCR_d6b2895d56de428399e12be34083cd47" localSheetId="11" hidden="1">'H-Risk Register-Model'!$BB$17&amp;": "&amp;'H-Risk Register-Model'!$A$29</definedName>
    <definedName name="CBCR_d7be90e24b5b443893f4755da640dd07" localSheetId="11" hidden="1">'H-Risk Register-Model'!$AV$21</definedName>
    <definedName name="CBCR_d84f59ba966249b09212846da4e9256f" localSheetId="11" hidden="1">'H-Risk Register-Model'!$BB$17&amp;": "&amp;'H-Risk Register-Model'!$A$23</definedName>
    <definedName name="CBCR_d8718d02fc724ba1a04a5cbff1267af2" localSheetId="11" hidden="1">'H-Risk Register-Model'!$BB$17&amp;": "&amp;'H-Risk Register-Model'!$A$90</definedName>
    <definedName name="CBCR_d8e64bae10ef4ac7aa49041336e4eab2" localSheetId="11" hidden="1">'H-Risk Register-Model'!$AU$17&amp;": "&amp;'H-Risk Register-Model'!$A$105</definedName>
    <definedName name="CBCR_d8e898114c044cfd90931ceefd894233" localSheetId="11" hidden="1">'H-Risk Register-Model'!$AV$73</definedName>
    <definedName name="CBCR_d8e99c7162904927ba5981bdee390e16" localSheetId="11" hidden="1">'H-Risk Register-Model'!$AV$68</definedName>
    <definedName name="CBCR_d8ed8375b6124371860b2cbbf8716ca6" localSheetId="11" hidden="1">'H-Risk Register-Model'!$AU$17&amp;": "&amp;'H-Risk Register-Model'!$A$58</definedName>
    <definedName name="CBCR_d9c6db9852844ee5aad69dc25a399c4d" localSheetId="11" hidden="1">'H-Risk Register-Model'!$BB$17&amp;": "&amp;'H-Risk Register-Model'!$A$88</definedName>
    <definedName name="CBCR_da226e9638384628937225d7aaa4d1a5" localSheetId="11" hidden="1">'H-Risk Register-Model'!$AV$86</definedName>
    <definedName name="CBCR_da780a9337b944b4afda666255934935" localSheetId="11" hidden="1">'H-Risk Register-Model'!$BB$17&amp;": "&amp;'H-Risk Register-Model'!$A$40</definedName>
    <definedName name="CBCR_dab42b5c6d2d4e6ea03d89a07ed7cfdd" localSheetId="11" hidden="1">'H-Risk Register-Model'!$BB$17&amp;": "&amp;'H-Risk Register-Model'!$A$26</definedName>
    <definedName name="CBCR_daba894a51fe4409ae628bf9c362cc1e" localSheetId="11" hidden="1">'H-Risk Register-Model'!$BC$39</definedName>
    <definedName name="CBCR_dae6c2bbe7084209937407c22789f28f" localSheetId="11" hidden="1">'H-Risk Register-Model'!$AV$109</definedName>
    <definedName name="CBCR_db6f461582524627a86048de1f7339ae" localSheetId="11" hidden="1">'H-Risk Register-Model'!$AV$77</definedName>
    <definedName name="CBCR_dc863b77b59149e9a12c0f01f8282536" localSheetId="11" hidden="1">'H-Risk Register-Model'!$AV$22</definedName>
    <definedName name="CBCR_de78740072084489ae65083339773335" localSheetId="11" hidden="1">'H-Risk Register-Model'!$AU$17&amp;": "&amp;'H-Risk Register-Model'!$A$28</definedName>
    <definedName name="CBCR_df5a4a983c994861999d2082dc652d81" localSheetId="11" hidden="1">'H-Risk Register-Model'!$AU$17&amp;": "&amp;'H-Risk Register-Model'!$A$67</definedName>
    <definedName name="CBCR_df73c7ee04974cd9b20bdfa1edaddac3" localSheetId="11" hidden="1">'H-Risk Register-Model'!$BB$17&amp;": "&amp;'H-Risk Register-Model'!$A$22</definedName>
    <definedName name="CBCR_df8f37c830534903ab93ff77c081f494" localSheetId="11" hidden="1">'H-Risk Register-Model'!$AV$31</definedName>
    <definedName name="CBCR_df92d2ed78d7481fb8b79c44b76e1971" localSheetId="11" hidden="1">'H-Risk Register-Model'!$AV$69</definedName>
    <definedName name="CBCR_df9d9574b08240809d88ab2f6fd473fa" localSheetId="11" hidden="1">'H-Risk Register-Model'!$U$18</definedName>
    <definedName name="CBCR_e020b272caa6415ba4af18315f6274a4" localSheetId="11" hidden="1">'H-Risk Register-Model'!$AU$17&amp;": "&amp;'H-Risk Register-Model'!$A$87</definedName>
    <definedName name="CBCR_e04c877174bc411585d0f522fd76a551" localSheetId="11" hidden="1">'H-Risk Register-Model'!$AV$29</definedName>
    <definedName name="CBCR_e1f4d647a4a94707998db28aaca971c1" localSheetId="11" hidden="1">'H-Risk Register-Model'!$BC$61</definedName>
    <definedName name="CBCR_e210fd1f55924a869e32f397e910aed5" localSheetId="11" hidden="1">'H-Risk Register-Model'!$BB$17&amp;": "&amp;'H-Risk Register-Model'!$A$78</definedName>
    <definedName name="CBCR_e214651a37bf4a07b1c3338b9343ffda" localSheetId="11" hidden="1">'H-Risk Register-Model'!$AV$114</definedName>
    <definedName name="CBCR_e26727aad1834228b1fa382d3d7e4dc7" localSheetId="11" hidden="1">'H-Risk Register-Model'!$BB$17&amp;": "&amp;'H-Risk Register-Model'!$A$31</definedName>
    <definedName name="CBCR_e2cd03c6e56245d88e9ae6cd6d781d6a" localSheetId="11" hidden="1">'H-Risk Register-Model'!$AV$38</definedName>
    <definedName name="CBCR_e2db7c77a52b4242aac3d92f60b49ae4" localSheetId="11" hidden="1">'H-Risk Register-Model'!$BC$100</definedName>
    <definedName name="CBCR_e300653ae34844b1b08addf12b46fcbc" localSheetId="11" hidden="1">'H-Risk Register-Model'!$BB$17&amp;": "&amp;'H-Risk Register-Model'!$A$81</definedName>
    <definedName name="CBCR_e32dee3f8e5e468c9ea741d7ddf69c69" localSheetId="11" hidden="1">'H-Risk Register-Model'!$AV$62</definedName>
    <definedName name="CBCR_e55bc79a85bf43d586a17ecff8b04ba9" localSheetId="11" hidden="1">'H-Risk Register-Model'!$AV$108</definedName>
    <definedName name="CBCR_e60df8bbb3a24d1a8dc4cd8dff161279" localSheetId="11" hidden="1">'H-Risk Register-Model'!$BB$17&amp;": "&amp;'H-Risk Register-Model'!$A$106</definedName>
    <definedName name="CBCR_e766af96e4634c8d9d0cbffb8e8c4abd" localSheetId="11" hidden="1">'H-Risk Register-Model'!$BC$29</definedName>
    <definedName name="CBCR_e7bf3a931c23406386843a4b03232688" localSheetId="11" hidden="1">'H-Risk Register-Model'!$AU$17&amp;": "&amp;'H-Risk Register-Model'!$A$42</definedName>
    <definedName name="CBCR_e8ffe53980de482c8604f155c7dfe41c" localSheetId="11" hidden="1">'H-Risk Register-Model'!$AV$44</definedName>
    <definedName name="CBCR_e939aad3404646459ded36bd62099aa8" localSheetId="11" hidden="1">'H-Risk Register-Model'!$BC$110</definedName>
    <definedName name="CBCR_e97f2419efc94dd99e58a898cf8c421c" localSheetId="11" hidden="1">'H-Risk Register-Model'!$AU$17&amp;": "&amp;'H-Risk Register-Model'!$A$32</definedName>
    <definedName name="CBCR_e9a38ff77ba0491d9a12de7ad5d50db5" localSheetId="11" hidden="1">'H-Risk Register-Model'!$BB$17&amp;": "&amp;'H-Risk Register-Model'!$A$108</definedName>
    <definedName name="CBCR_e9e935ad25894c8fb7fb77bd16096f60" localSheetId="11" hidden="1">'H-Risk Register-Model'!$AV$83</definedName>
    <definedName name="CBCR_ea7a3ff065d9482ea4e86a29abcb817d" localSheetId="11" hidden="1">'H-Risk Register-Model'!$AV$60</definedName>
    <definedName name="CBCR_ea801f3e9613467992c0a3e24e774139" localSheetId="11" hidden="1">'H-Risk Register-Model'!$AV$84</definedName>
    <definedName name="CBCR_eac4b7ea073741b4b3d51af8ef96b4d5" localSheetId="11" hidden="1">'H-Risk Register-Model'!$AU$17&amp;": "&amp;'H-Risk Register-Model'!$A$36</definedName>
    <definedName name="CBCR_ebb53b65c59a481caa509d328e416e08" localSheetId="11" hidden="1">'H-Risk Register-Model'!$AU$17&amp;": "&amp;'H-Risk Register-Model'!$A$94</definedName>
    <definedName name="CBCR_ec52c18c6aa04f1db079ed752120b7cd" localSheetId="11" hidden="1">'H-Risk Register-Model'!$AU$17&amp;": "&amp;'H-Risk Register-Model'!$A$90</definedName>
    <definedName name="CBCR_ee1490d8fdfc415cb9be0edcccd958cc" localSheetId="11" hidden="1">'H-Risk Register-Model'!$BC$31</definedName>
    <definedName name="CBCR_ee3d6f2d2bf442fcb40893767b890c2e" localSheetId="11" hidden="1">'H-Risk Register-Model'!$BB$17&amp;": "&amp;'H-Risk Register-Model'!$A$67</definedName>
    <definedName name="CBCR_efdcd05c1ec3448ab9944cc74e84b8ab" localSheetId="11" hidden="1">'H-Risk Register-Model'!$AV$110</definedName>
    <definedName name="CBCR_efec9a3128044babb26261f68e2fc908" localSheetId="11" hidden="1">'H-Risk Register-Model'!$BB$17&amp;": "&amp;'H-Risk Register-Model'!$A$101</definedName>
    <definedName name="CBCR_effca75350a54d97af2994b8effc2f00" localSheetId="11" hidden="1">'H-Risk Register-Model'!$BC$109</definedName>
    <definedName name="CBCR_f2763623a5794869b227964ca71d1b08" localSheetId="11" hidden="1">'H-Risk Register-Model'!$BC$104</definedName>
    <definedName name="CBCR_f2ae73af73874c1f9838b2194df90180" localSheetId="11" hidden="1">'H-Risk Register-Model'!$AU$17&amp;": "&amp;'H-Risk Register-Model'!$A$56</definedName>
    <definedName name="CBCR_f371465ae01f4c5cb6d8d923ff0cddd2" localSheetId="11" hidden="1">'H-Risk Register-Model'!$BB$17&amp;": "&amp;'H-Risk Register-Model'!$A$47</definedName>
    <definedName name="CBCR_f374da0c83fa4682ae964d0316334236" localSheetId="11" hidden="1">'H-Risk Register-Model'!$AU$17&amp;": "&amp;'H-Risk Register-Model'!$A$50</definedName>
    <definedName name="CBCR_f3e6d68237334e63bd62fb18765798ac" localSheetId="11" hidden="1">'H-Risk Register-Model'!$AU$17&amp;": "&amp;'H-Risk Register-Model'!$A$45</definedName>
    <definedName name="CBCR_f47a110c964749d2811796de01916304" localSheetId="11" hidden="1">'H-Risk Register-Model'!$BB$17&amp;": "&amp;'H-Risk Register-Model'!$A$94</definedName>
    <definedName name="CBCR_f509adc2aa464e72be5c4acb19db6e12" localSheetId="11" hidden="1">'H-Risk Register-Model'!$AU$17&amp;": "&amp;'H-Risk Register-Model'!$A$52</definedName>
    <definedName name="CBCR_f5cc2bf4f7874afe8ebcacff7bccd214" localSheetId="11" hidden="1">'H-Risk Register-Model'!$AU$17&amp;": "&amp;'H-Risk Register-Model'!$A$103</definedName>
    <definedName name="CBCR_f5deaa0b83174934ae52a7703c3ed762" localSheetId="11" hidden="1">'H-Risk Register-Model'!$BC$34</definedName>
    <definedName name="CBCR_f64a8434c8b64d1f85b156cf624bce18" localSheetId="11" hidden="1">'H-Risk Register-Model'!$AD$17&amp;": "&amp;'H-Risk Register-Model'!$A$19&amp;" - "&amp;'H-Risk Register-Model'!$C$19</definedName>
    <definedName name="CBCR_f6ee75201106454bba376c50f50528d1" localSheetId="11" hidden="1">'H-Risk Register-Model'!$BC$63</definedName>
    <definedName name="CBCR_f7e1f4b1bfd44541853be170d4652e44" localSheetId="11" hidden="1">'H-Risk Register-Model'!$AV$34</definedName>
    <definedName name="CBCR_f81357ed4a6c4db0aac5d843f42571de" localSheetId="11" hidden="1">'H-Risk Register-Model'!$AD$17&amp;": "&amp;'H-Risk Register-Model'!$A$18&amp;" - "&amp;'H-Risk Register-Model'!$C$18</definedName>
    <definedName name="CBCR_f818f8254f094c0b8a0dfa363b09f50a" localSheetId="11" hidden="1">'H-Risk Register-Model'!$BB$17&amp;": "&amp;'H-Risk Register-Model'!$A$59</definedName>
    <definedName name="CBCR_f954935360984249b51c62888580a001" localSheetId="11" hidden="1">'H-Risk Register-Model'!$BC$36</definedName>
    <definedName name="CBCR_f976986d08224fb3aa1530aa891dfa17" localSheetId="11" hidden="1">'H-Risk Register-Model'!$AU$17&amp;": "&amp;'H-Risk Register-Model'!$A$88</definedName>
    <definedName name="CBCR_f9e4de1fbcae45ac9a73e69c0e954b0c" localSheetId="11" hidden="1">'H-Risk Register-Model'!$AV$41</definedName>
    <definedName name="CBCR_fa730033669d4eb8805507fa629b43ac" localSheetId="11" hidden="1">'H-Risk Register-Model'!$BB$17&amp;": "&amp;'H-Risk Register-Model'!$A$18</definedName>
    <definedName name="CBCR_fb03f7027dfd469aac3280f1d0f4f81e" localSheetId="11" hidden="1">'H-Risk Register-Model'!$BC$30</definedName>
    <definedName name="CBCR_fb72a593315a4f21bda93821d82425ab" localSheetId="11" hidden="1">'H-Risk Register-Model'!$BB$17&amp;": "&amp;'H-Risk Register-Model'!$A$39</definedName>
    <definedName name="CBCR_fbd0f6a3a4f944c7b64a2820e75b546d" localSheetId="11" hidden="1">'H-Risk Register-Model'!$BC$80</definedName>
    <definedName name="CBCR_fd7ca4fbb9224da59ea941fcebd3ac58" localSheetId="11" hidden="1">'H-Risk Register-Model'!$AV$51</definedName>
    <definedName name="CBCR_fe296e2883dc4ad6abf34988134acd25" localSheetId="11" hidden="1">'H-Risk Register-Model'!$BB$17&amp;": "&amp;'H-Risk Register-Model'!$A$48</definedName>
    <definedName name="CBCR_fe5c4774d5ca49fdaa6043bdebf58069" localSheetId="11" hidden="1">'H-Risk Register-Model'!$BB$17&amp;": "&amp;'H-Risk Register-Model'!$A$63</definedName>
    <definedName name="CBCR_fe80a4e5fffb41069bb70ed0110712a6" localSheetId="11" hidden="1">'H-Risk Register-Model'!$AV$116</definedName>
    <definedName name="CBCR_fed61813cb704410be7214875adb7441" localSheetId="11" hidden="1">'H-Risk Register-Model'!$BC$81</definedName>
    <definedName name="CBCR_ff6964eb740a4d7b9bccf7783a024c29" localSheetId="11" hidden="1">'H-Risk Register-Model'!$AV$72</definedName>
    <definedName name="CBCR_fff93e7558ff4441af4205c79875f838" localSheetId="11" hidden="1">'H-Risk Register-Model'!$AV$70</definedName>
    <definedName name="CBWorkbookPriority" localSheetId="23" hidden="1">-2369715310150890</definedName>
    <definedName name="CBWorkbookPriority" hidden="1">-1160191503</definedName>
    <definedName name="CBx_1336952eb2114694b667130aa9294537" localSheetId="23" hidden="1">"'CB_DATA_'!$A$1"</definedName>
    <definedName name="CBx_a27905c286384000b9e5bd1207c9cd33" localSheetId="23" hidden="1">"'H-Risk Register-Model'!$A$1"</definedName>
    <definedName name="CBx_f5dd848643d8444687169ee9fdff0c22" localSheetId="23" hidden="1">"'I-Project Contingency'!$A$1"</definedName>
    <definedName name="CBx_Sheet_Guid" localSheetId="23" hidden="1">"'1336952e-b211-4694-b667-130aa9294537"</definedName>
    <definedName name="CBx_Sheet_Guid" localSheetId="11" hidden="1">"'a27905c2-8638-4000-b9e5-bd1207c9cd33"</definedName>
    <definedName name="CBx_Sheet_Guid" localSheetId="14" hidden="1">"'f5dd8486-43d8-4446-8716-9ee9fdff0c22"</definedName>
    <definedName name="CBx_SheetRef" localSheetId="23" hidden="1">CB_DATA_!$A$14</definedName>
    <definedName name="CBx_SheetRef" localSheetId="11" hidden="1">CB_DATA_!$B$14</definedName>
    <definedName name="CBx_SheetRef" localSheetId="14" hidden="1">CB_DATA_!$C$14</definedName>
    <definedName name="CBx_StorageType" localSheetId="23" hidden="1">2</definedName>
    <definedName name="CBx_StorageType" localSheetId="11" hidden="1">2</definedName>
    <definedName name="CBx_StorageType" localSheetId="14" hidden="1">2</definedName>
    <definedName name="CM_MO">'Model Assumptions'!$B$5</definedName>
    <definedName name="CW_WBS">'1-Drop Down List'!$K$5:$K$34</definedName>
    <definedName name="Distri">'1-Drop Down List'!$F$5:$F$31</definedName>
    <definedName name="EDC_MO">'Model Assumptions'!$B$4</definedName>
    <definedName name="FOOH_MO">'Model Assumptions'!$B$3</definedName>
    <definedName name="Impact">'1-Drop Down List'!$E$5:$E$9</definedName>
    <definedName name="Include">'1-Drop Down List'!$B$5:$B$6</definedName>
    <definedName name="LikeH">'1-Drop Down List'!$D$5:$D$10</definedName>
    <definedName name="MILCON_WBS">'1-Drop Down List'!$L$5:$L$49</definedName>
    <definedName name="PD">'1-Drop Down List'!$J$5:$J$19</definedName>
    <definedName name="PED_MO">'Model Assumptions'!$B$2</definedName>
    <definedName name="POC">'1-Drop Down List'!$G$5:$G$25</definedName>
    <definedName name="_xlnm.Print_Area" localSheetId="0">'0-Change Control Log'!$A$1:$D$35</definedName>
    <definedName name="_xlnm.Print_Area" localSheetId="27">'1'!$A$1:$H$14</definedName>
    <definedName name="_xlnm.Print_Area" localSheetId="1">'1-Drop Down List'!$B$3:$K$101</definedName>
    <definedName name="_xlnm.Print_Area" localSheetId="2">'2-Risk Register Legend'!$B$2:$B$14</definedName>
    <definedName name="_xlnm.Print_Area" localSheetId="4">'A-Quick instructions'!$A$1:$B$35</definedName>
    <definedName name="_xlnm.Print_Area" localSheetId="6">'C1-Risk Checklist (MILCON)'!$B$1:$D$452</definedName>
    <definedName name="_xlnm.Print_Area" localSheetId="7">'C2-Risk Checklist (Civil Works)'!$B$1:$D$367</definedName>
    <definedName name="_xlnm.Print_Area" localSheetId="20">'E1-Estimate Summary'!$A$1:$F$70,'E1-Estimate Summary'!$Q$1:$V$24</definedName>
    <definedName name="_xlnm.Print_Area" localSheetId="21">'E2-Schedule Summary'!$A$1:$KS$26</definedName>
    <definedName name="_xlnm.Print_Area" localSheetId="9">'E-Cost &amp; Schedule Summary'!$A$1:$G$54</definedName>
    <definedName name="_xlnm.Print_Area" localSheetId="13">'G-Assumptions'!$A$1:$L$79</definedName>
    <definedName name="_xlnm.Print_Area" localSheetId="11">'H-Risk Register-Model'!$A$1:$AI$51</definedName>
    <definedName name="_xlnm.Print_Area" localSheetId="14">'I-Project Contingency'!$A$1:$K$57</definedName>
    <definedName name="_xlnm.Print_Area" localSheetId="15">'J-Sensitivity Charts'!$A$1:$K$104</definedName>
    <definedName name="_xlnm.Print_Area" localSheetId="16">'K1-Risk Dashboard (Cost)'!$A$1:$M$49</definedName>
    <definedName name="_xlnm.Print_Area" localSheetId="17">'K2-Risk Dashboard (Schedule)'!$A$1:$M$49</definedName>
    <definedName name="_xlnm.Print_Titles" localSheetId="0">'0-Change Control Log'!$1:$3</definedName>
    <definedName name="_xlnm.Print_Titles" localSheetId="27">'1'!$1:$2</definedName>
    <definedName name="_xlnm.Print_Titles" localSheetId="1">'1-Drop Down List'!$3:$4</definedName>
    <definedName name="_xlnm.Print_Titles" localSheetId="2">'2-Risk Register Legend'!$2:$2</definedName>
    <definedName name="_xlnm.Print_Titles" localSheetId="4">'A-Quick instructions'!$1:$2</definedName>
    <definedName name="_xlnm.Print_Titles" localSheetId="5">'B-Meeting Agenda'!$1:$2</definedName>
    <definedName name="_xlnm.Print_Titles" localSheetId="6">'C1-Risk Checklist (MILCON)'!$1:$3</definedName>
    <definedName name="_xlnm.Print_Titles" localSheetId="7">'C2-Risk Checklist (Civil Works)'!$1:$3</definedName>
    <definedName name="_xlnm.Print_Titles" localSheetId="20">'E1-Estimate Summary'!$1:$2</definedName>
    <definedName name="_xlnm.Print_Titles" localSheetId="21">'E2-Schedule Summary'!$1:$2</definedName>
    <definedName name="_xlnm.Print_Titles" localSheetId="10">'E-Cost &amp; Sched Summary (v2)'!$1:$11</definedName>
    <definedName name="_xlnm.Print_Titles" localSheetId="9">'E-Cost &amp; Schedule Summary'!$1:$11</definedName>
    <definedName name="_xlnm.Print_Titles" localSheetId="12">'F-Meeting Attendance'!$1:$2</definedName>
    <definedName name="_xlnm.Print_Titles" localSheetId="11">'H-Risk Register-Model'!$1:$17</definedName>
    <definedName name="_xlnm.Print_Titles" localSheetId="14">'I-Project Contingency'!$1:$15</definedName>
    <definedName name="_xlnm.Print_Titles" localSheetId="15">'J-Sensitivity Charts'!$1:$15</definedName>
    <definedName name="_xlnm.Print_Titles" localSheetId="16">'K1-Risk Dashboard (Cost)'!$1:$38</definedName>
    <definedName name="_xlnm.Print_Titles" localSheetId="17">'K2-Risk Dashboard (Schedule)'!$1:$38</definedName>
    <definedName name="_xlnm.Print_Titles" localSheetId="18">'L-CHARTS FOR REPORT'!$1:$2</definedName>
    <definedName name="_xlnm.Print_Titles" localSheetId="26">'REF Risk Detail Template'!$1:$2</definedName>
    <definedName name="PROGRAM">'1-Drop Down List'!$C$5:$C$6</definedName>
    <definedName name="RT">'1-Drop Down List'!$I$5:$I$40</definedName>
    <definedName name="WBS">'1-Drop Down List'!$K$5:$K$34</definedName>
  </definedNames>
  <calcPr calcId="191029" concurrentCalc="0"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8" i="12" l="1" a="1"/>
  <c r="S18" i="12"/>
  <c r="T18" i="12" a="1"/>
  <c r="T18" i="12"/>
  <c r="U18" i="12" a="1"/>
  <c r="U18" i="12"/>
  <c r="AO18" i="12"/>
  <c r="P18" i="12" a="1"/>
  <c r="P18" i="12"/>
  <c r="V18" i="12"/>
  <c r="AA18" i="12"/>
  <c r="Q18" i="12" a="1"/>
  <c r="Q18" i="12"/>
  <c r="W18" i="12"/>
  <c r="AB18" i="12"/>
  <c r="R18" i="12" a="1"/>
  <c r="R18" i="12"/>
  <c r="X18" i="12"/>
  <c r="AC18" i="12"/>
  <c r="AN18" i="12"/>
  <c r="AQ117" i="12"/>
  <c r="AP117" i="12"/>
  <c r="AQ116" i="12"/>
  <c r="AP116" i="12"/>
  <c r="AQ115" i="12"/>
  <c r="AP115" i="12"/>
  <c r="AQ114" i="12"/>
  <c r="AP114" i="12"/>
  <c r="AQ113" i="12"/>
  <c r="AP113" i="12"/>
  <c r="AQ112" i="12"/>
  <c r="AP112" i="12"/>
  <c r="AQ111" i="12"/>
  <c r="AP111" i="12"/>
  <c r="AQ110" i="12"/>
  <c r="AP110" i="12"/>
  <c r="AQ109" i="12"/>
  <c r="AP109" i="12"/>
  <c r="AQ108" i="12"/>
  <c r="AP108" i="12"/>
  <c r="AQ107" i="12"/>
  <c r="AP107" i="12"/>
  <c r="AQ106" i="12"/>
  <c r="AP106" i="12"/>
  <c r="AQ105" i="12"/>
  <c r="AP105" i="12"/>
  <c r="AQ104" i="12"/>
  <c r="AP104" i="12"/>
  <c r="AQ103" i="12"/>
  <c r="AP103" i="12"/>
  <c r="AQ102" i="12"/>
  <c r="AP102" i="12"/>
  <c r="AQ101" i="12"/>
  <c r="AP101" i="12"/>
  <c r="AQ100" i="12"/>
  <c r="AP100" i="12"/>
  <c r="AQ99" i="12"/>
  <c r="AP99" i="12"/>
  <c r="AQ98" i="12"/>
  <c r="AP98" i="12"/>
  <c r="AQ97" i="12"/>
  <c r="AP97" i="12"/>
  <c r="AQ96" i="12"/>
  <c r="AP96" i="12"/>
  <c r="AQ95" i="12"/>
  <c r="AP95" i="12"/>
  <c r="AQ94" i="12"/>
  <c r="AP94" i="12"/>
  <c r="AQ93" i="12"/>
  <c r="AP93" i="12"/>
  <c r="AQ92" i="12"/>
  <c r="AP92" i="12"/>
  <c r="AQ91" i="12"/>
  <c r="AP91" i="12"/>
  <c r="AQ90" i="12"/>
  <c r="AP90" i="12"/>
  <c r="AQ89" i="12"/>
  <c r="AP89" i="12"/>
  <c r="AQ88" i="12"/>
  <c r="AP88" i="12"/>
  <c r="AQ87" i="12"/>
  <c r="AP87" i="12"/>
  <c r="AQ86" i="12"/>
  <c r="AP86" i="12"/>
  <c r="AQ85" i="12"/>
  <c r="AP85" i="12"/>
  <c r="AQ84" i="12"/>
  <c r="AP84" i="12"/>
  <c r="AQ83" i="12"/>
  <c r="AP83" i="12"/>
  <c r="AQ82" i="12"/>
  <c r="AP82" i="12"/>
  <c r="AQ81" i="12"/>
  <c r="AP81" i="12"/>
  <c r="AQ80" i="12"/>
  <c r="AP80" i="12"/>
  <c r="AQ79" i="12"/>
  <c r="AP79" i="12"/>
  <c r="AQ78" i="12"/>
  <c r="AP78" i="12"/>
  <c r="AQ77" i="12"/>
  <c r="AP77" i="12"/>
  <c r="AQ76" i="12"/>
  <c r="AP76" i="12"/>
  <c r="AQ75" i="12"/>
  <c r="AP75" i="12"/>
  <c r="AQ74" i="12"/>
  <c r="AP74" i="12"/>
  <c r="AQ73" i="12"/>
  <c r="AP73" i="12"/>
  <c r="AQ72" i="12"/>
  <c r="AP72" i="12"/>
  <c r="AQ71" i="12"/>
  <c r="AP71" i="12"/>
  <c r="AQ70" i="12"/>
  <c r="AP70" i="12"/>
  <c r="AQ69" i="12"/>
  <c r="AP69" i="12"/>
  <c r="AQ68" i="12"/>
  <c r="AP68" i="12"/>
  <c r="AQ67" i="12"/>
  <c r="AP67" i="12"/>
  <c r="AQ66" i="12"/>
  <c r="AP66" i="12"/>
  <c r="AQ65" i="12"/>
  <c r="AP65" i="12"/>
  <c r="AQ64" i="12"/>
  <c r="AP64" i="12"/>
  <c r="AQ63" i="12"/>
  <c r="AP63" i="12"/>
  <c r="AQ62" i="12"/>
  <c r="AP62" i="12"/>
  <c r="AQ61" i="12"/>
  <c r="AP61" i="12"/>
  <c r="AQ60" i="12"/>
  <c r="AP60" i="12"/>
  <c r="AQ59" i="12"/>
  <c r="AP59" i="12"/>
  <c r="AQ58" i="12"/>
  <c r="AP58" i="12"/>
  <c r="AQ57" i="12"/>
  <c r="AP57" i="12"/>
  <c r="AQ56" i="12"/>
  <c r="AP56" i="12"/>
  <c r="AQ55" i="12"/>
  <c r="AP55" i="12"/>
  <c r="AQ54" i="12"/>
  <c r="AP54" i="12"/>
  <c r="AQ53" i="12"/>
  <c r="AP53" i="12"/>
  <c r="AQ52" i="12"/>
  <c r="AP52" i="12"/>
  <c r="AQ51" i="12"/>
  <c r="AP51" i="12"/>
  <c r="AQ50" i="12"/>
  <c r="AP50" i="12"/>
  <c r="AQ49" i="12"/>
  <c r="AP49" i="12"/>
  <c r="AQ48" i="12"/>
  <c r="AP48" i="12"/>
  <c r="AQ47" i="12"/>
  <c r="AP47" i="12"/>
  <c r="AQ46" i="12"/>
  <c r="AP46" i="12"/>
  <c r="AQ45" i="12"/>
  <c r="AP45" i="12"/>
  <c r="AQ44" i="12"/>
  <c r="AP44" i="12"/>
  <c r="AQ43" i="12"/>
  <c r="AP43" i="12"/>
  <c r="AQ42" i="12"/>
  <c r="AP42" i="12"/>
  <c r="AQ41" i="12"/>
  <c r="AP41" i="12"/>
  <c r="AQ40" i="12"/>
  <c r="AP40" i="12"/>
  <c r="AQ39" i="12"/>
  <c r="AP39" i="12"/>
  <c r="AQ38" i="12"/>
  <c r="AP38" i="12"/>
  <c r="AQ37" i="12"/>
  <c r="AP37" i="12"/>
  <c r="AQ36" i="12"/>
  <c r="AP36" i="12"/>
  <c r="AQ35" i="12"/>
  <c r="AP35" i="12"/>
  <c r="AQ34" i="12"/>
  <c r="AP34" i="12"/>
  <c r="AQ33" i="12"/>
  <c r="AP33" i="12"/>
  <c r="AQ32" i="12"/>
  <c r="AP32" i="12"/>
  <c r="AQ31" i="12"/>
  <c r="AP31" i="12"/>
  <c r="AQ30" i="12"/>
  <c r="AP30" i="12"/>
  <c r="AQ29" i="12"/>
  <c r="AP29" i="12"/>
  <c r="AQ28" i="12"/>
  <c r="AP28" i="12"/>
  <c r="AQ27" i="12"/>
  <c r="AP27" i="12"/>
  <c r="AQ26" i="12"/>
  <c r="AP26" i="12"/>
  <c r="AQ25" i="12"/>
  <c r="AP25" i="12"/>
  <c r="AQ24" i="12"/>
  <c r="AP24" i="12"/>
  <c r="AQ23" i="12"/>
  <c r="AP23" i="12"/>
  <c r="AQ22" i="12"/>
  <c r="AP22" i="12"/>
  <c r="AQ21" i="12"/>
  <c r="AP21" i="12"/>
  <c r="AQ20" i="12"/>
  <c r="AP20" i="12"/>
  <c r="AQ19" i="12"/>
  <c r="AP19" i="12"/>
  <c r="AQ18" i="12"/>
  <c r="H18" i="12"/>
  <c r="AP18" i="12"/>
  <c r="AS13" i="12"/>
  <c r="AS12" i="12"/>
  <c r="AS11" i="12"/>
  <c r="AS10" i="12"/>
  <c r="AS9" i="12"/>
  <c r="AO13" i="12"/>
  <c r="AO12" i="12"/>
  <c r="AO11" i="12"/>
  <c r="AO10" i="12"/>
  <c r="AO9" i="12"/>
  <c r="C5" i="32"/>
  <c r="D5" i="32"/>
  <c r="E5" i="32"/>
  <c r="B26" i="2"/>
  <c r="B24" i="2"/>
  <c r="A18" i="2"/>
  <c r="A19" i="2"/>
  <c r="A23" i="2"/>
  <c r="A24" i="2"/>
  <c r="A34" i="2"/>
  <c r="B35" i="2"/>
  <c r="K8" i="2" a="1"/>
  <c r="K8" i="2"/>
  <c r="B33" i="2"/>
  <c r="K6" i="2" a="1"/>
  <c r="K6" i="2"/>
  <c r="B25" i="2"/>
  <c r="K7" i="2" a="1"/>
  <c r="K7" i="2"/>
  <c r="B32" i="2"/>
  <c r="B31" i="2"/>
  <c r="K9" i="2" a="1"/>
  <c r="K9" i="2"/>
  <c r="E12" i="2" a="1"/>
  <c r="E12" i="2"/>
  <c r="F12" i="2"/>
  <c r="G12" i="2"/>
  <c r="I12" i="2" a="1"/>
  <c r="I12" i="2"/>
  <c r="H12" i="2"/>
  <c r="E13" i="2" a="1"/>
  <c r="E13" i="2"/>
  <c r="F13" i="2"/>
  <c r="G13" i="2"/>
  <c r="I13" i="2" a="1"/>
  <c r="I13" i="2"/>
  <c r="H13" i="2"/>
  <c r="E14" i="2" a="1"/>
  <c r="E14" i="2"/>
  <c r="F14" i="2"/>
  <c r="G14" i="2"/>
  <c r="I14" i="2" a="1"/>
  <c r="I14" i="2"/>
  <c r="H14" i="2"/>
  <c r="E15" i="2" a="1"/>
  <c r="E15" i="2"/>
  <c r="F15" i="2"/>
  <c r="G15" i="2"/>
  <c r="I15" i="2" a="1"/>
  <c r="I15" i="2"/>
  <c r="H15" i="2"/>
  <c r="B30" i="2"/>
  <c r="K11" i="2" a="1"/>
  <c r="K11" i="2"/>
  <c r="E16" i="2" a="1"/>
  <c r="E16" i="2"/>
  <c r="F16" i="2"/>
  <c r="G16" i="2"/>
  <c r="E17" i="2" a="1"/>
  <c r="E17" i="2"/>
  <c r="F17" i="2"/>
  <c r="G17" i="2"/>
  <c r="E18" i="2" a="1"/>
  <c r="E18" i="2"/>
  <c r="F18" i="2"/>
  <c r="G18" i="2"/>
  <c r="E19" i="2" a="1"/>
  <c r="E19" i="2"/>
  <c r="F19" i="2"/>
  <c r="G19" i="2"/>
  <c r="K12" i="2" a="1"/>
  <c r="K12" i="2"/>
  <c r="K13" i="2" a="1"/>
  <c r="K13" i="2"/>
  <c r="B29" i="2"/>
  <c r="K10" i="2" a="1"/>
  <c r="K10" i="2"/>
  <c r="B28" i="2"/>
  <c r="B27" i="2"/>
  <c r="E20" i="2" a="1"/>
  <c r="E20" i="2"/>
  <c r="F20" i="2"/>
  <c r="G20" i="2"/>
  <c r="I20" i="2" a="1"/>
  <c r="I20" i="2"/>
  <c r="H20" i="2"/>
  <c r="B23" i="2"/>
  <c r="K14" i="2" a="1"/>
  <c r="K14" i="2"/>
  <c r="E23" i="2" a="1"/>
  <c r="E23" i="2"/>
  <c r="F23" i="2"/>
  <c r="G23" i="2"/>
  <c r="E24" i="2" a="1"/>
  <c r="E24" i="2"/>
  <c r="F24" i="2"/>
  <c r="G24" i="2"/>
  <c r="E30" i="2" a="1"/>
  <c r="E30" i="2"/>
  <c r="F30" i="2"/>
  <c r="G30" i="2"/>
  <c r="E31" i="2" a="1"/>
  <c r="E31" i="2"/>
  <c r="F31" i="2"/>
  <c r="G31" i="2"/>
  <c r="B22" i="2"/>
  <c r="B21" i="2"/>
  <c r="E28" i="2" a="1"/>
  <c r="E28" i="2"/>
  <c r="F28" i="2"/>
  <c r="G28" i="2"/>
  <c r="I28" i="2" a="1"/>
  <c r="I28" i="2"/>
  <c r="H28" i="2"/>
  <c r="E29" i="2" a="1"/>
  <c r="E29" i="2"/>
  <c r="F29" i="2"/>
  <c r="G29" i="2"/>
  <c r="I29" i="2" a="1"/>
  <c r="I29" i="2"/>
  <c r="H29" i="2"/>
  <c r="E26" i="2" a="1"/>
  <c r="E26" i="2"/>
  <c r="F26" i="2"/>
  <c r="G26" i="2"/>
  <c r="I26" i="2" a="1"/>
  <c r="I26" i="2"/>
  <c r="H26" i="2"/>
  <c r="E27" i="2" a="1"/>
  <c r="E27" i="2"/>
  <c r="F27" i="2"/>
  <c r="G27" i="2"/>
  <c r="I27" i="2" a="1"/>
  <c r="I27" i="2"/>
  <c r="H27" i="2"/>
  <c r="B20" i="2"/>
  <c r="E8" i="2" a="1"/>
  <c r="E8" i="2"/>
  <c r="F8" i="2"/>
  <c r="G8" i="2"/>
  <c r="E9" i="2" a="1"/>
  <c r="E9" i="2"/>
  <c r="F9" i="2"/>
  <c r="G9" i="2"/>
  <c r="B19" i="2"/>
  <c r="E10" i="2" a="1"/>
  <c r="E10" i="2"/>
  <c r="F10" i="2"/>
  <c r="G10" i="2"/>
  <c r="K5" i="2" a="1"/>
  <c r="K5" i="2"/>
  <c r="B18" i="2"/>
  <c r="B15" i="2"/>
  <c r="B14" i="2"/>
  <c r="B10" i="2"/>
  <c r="E4" i="2" a="1"/>
  <c r="E4" i="2"/>
  <c r="F4" i="2"/>
  <c r="G4" i="2"/>
  <c r="E5" i="2" a="1"/>
  <c r="E5" i="2"/>
  <c r="F5" i="2"/>
  <c r="G5" i="2"/>
  <c r="E6" i="2" a="1"/>
  <c r="E6" i="2"/>
  <c r="F6" i="2"/>
  <c r="G6" i="2"/>
  <c r="E7" i="2" a="1"/>
  <c r="E7" i="2"/>
  <c r="F7" i="2"/>
  <c r="G7" i="2"/>
  <c r="B6" i="2"/>
  <c r="B5" i="2"/>
  <c r="C8" i="7"/>
  <c r="C67" i="11"/>
  <c r="I70" i="11"/>
  <c r="I78" i="11"/>
  <c r="AQ13" i="12"/>
  <c r="I69" i="11"/>
  <c r="I77" i="11"/>
  <c r="AQ12" i="12"/>
  <c r="B41" i="11"/>
  <c r="F69" i="11"/>
  <c r="F77" i="11"/>
  <c r="AL12" i="12"/>
  <c r="AP12" i="12"/>
  <c r="AO95" i="12"/>
  <c r="AA89" i="12"/>
  <c r="AB89" i="12"/>
  <c r="AC89" i="12"/>
  <c r="AN89" i="12"/>
  <c r="D46" i="7"/>
  <c r="D47" i="7"/>
  <c r="D48" i="7"/>
  <c r="D50" i="7"/>
  <c r="B67" i="11"/>
  <c r="G70" i="11"/>
  <c r="G78" i="11"/>
  <c r="AM13" i="12"/>
  <c r="G69" i="11"/>
  <c r="G77" i="11"/>
  <c r="AM12" i="12"/>
  <c r="G68" i="11"/>
  <c r="G76" i="11"/>
  <c r="AM11" i="12"/>
  <c r="G67" i="11"/>
  <c r="G75" i="11"/>
  <c r="AM10" i="12"/>
  <c r="G66" i="11"/>
  <c r="G74" i="11"/>
  <c r="AM9" i="12"/>
  <c r="B38" i="11"/>
  <c r="F66" i="11"/>
  <c r="F74" i="11"/>
  <c r="AL9" i="12"/>
  <c r="I68" i="11"/>
  <c r="I76" i="11"/>
  <c r="AQ11" i="12"/>
  <c r="I67" i="11"/>
  <c r="I75" i="11"/>
  <c r="AQ10" i="12"/>
  <c r="I66" i="11"/>
  <c r="I74" i="11"/>
  <c r="AQ9" i="12"/>
  <c r="AP9" i="12"/>
  <c r="AA95" i="12"/>
  <c r="AB95" i="12"/>
  <c r="AC95" i="12"/>
  <c r="AN95" i="12"/>
  <c r="F18" i="32"/>
  <c r="C17" i="32"/>
  <c r="F17" i="32"/>
  <c r="G18" i="32"/>
  <c r="G33" i="33"/>
  <c r="G34" i="33"/>
  <c r="G35" i="33"/>
  <c r="E9" i="33"/>
  <c r="E11" i="33"/>
  <c r="B3" i="33"/>
  <c r="E20" i="33"/>
  <c r="E21" i="33"/>
  <c r="E23" i="33"/>
  <c r="B4" i="33"/>
  <c r="E26" i="33"/>
  <c r="E27" i="33"/>
  <c r="E29" i="33"/>
  <c r="B5" i="33"/>
  <c r="G17" i="32"/>
  <c r="F19" i="32"/>
  <c r="G19" i="32"/>
  <c r="B42" i="11"/>
  <c r="F70" i="11"/>
  <c r="F78" i="11"/>
  <c r="AL13" i="12"/>
  <c r="AO19" i="12"/>
  <c r="AO20" i="12"/>
  <c r="AO21" i="12"/>
  <c r="AO22" i="12"/>
  <c r="AO23" i="12"/>
  <c r="AO24" i="12"/>
  <c r="AO25" i="12"/>
  <c r="P19" i="12"/>
  <c r="AA19" i="12"/>
  <c r="AB19" i="12"/>
  <c r="R19" i="12"/>
  <c r="AC19" i="12"/>
  <c r="AN19" i="12"/>
  <c r="AO26" i="12"/>
  <c r="V20" i="12"/>
  <c r="AA20" i="12"/>
  <c r="W20" i="12"/>
  <c r="AB20" i="12"/>
  <c r="R20" i="12"/>
  <c r="X20" i="12"/>
  <c r="AC20" i="12"/>
  <c r="AN20" i="12"/>
  <c r="AO27" i="12"/>
  <c r="AA21" i="12"/>
  <c r="AB21" i="12"/>
  <c r="AC21" i="12"/>
  <c r="AN21" i="12"/>
  <c r="AO28" i="12"/>
  <c r="AA22" i="12"/>
  <c r="AB22" i="12"/>
  <c r="AC22" i="12"/>
  <c r="AN22" i="12"/>
  <c r="AO29" i="12"/>
  <c r="AA23" i="12"/>
  <c r="AB23" i="12"/>
  <c r="AC23" i="12"/>
  <c r="AN23" i="12"/>
  <c r="AO30" i="12"/>
  <c r="AA24" i="12"/>
  <c r="AB24" i="12"/>
  <c r="AC24" i="12"/>
  <c r="AN24" i="12"/>
  <c r="AO31" i="12"/>
  <c r="AA25" i="12"/>
  <c r="AB25" i="12"/>
  <c r="AC25" i="12"/>
  <c r="AN25" i="12"/>
  <c r="AO32" i="12"/>
  <c r="AA26" i="12"/>
  <c r="AB26" i="12"/>
  <c r="AC26" i="12"/>
  <c r="AN26" i="12"/>
  <c r="AO33" i="12"/>
  <c r="AA27" i="12"/>
  <c r="AB27" i="12"/>
  <c r="AC27" i="12"/>
  <c r="AN27" i="12"/>
  <c r="AO34" i="12"/>
  <c r="AA28" i="12"/>
  <c r="AB28" i="12"/>
  <c r="AC28" i="12"/>
  <c r="AN28" i="12"/>
  <c r="AO35" i="12"/>
  <c r="AA29" i="12"/>
  <c r="AB29" i="12"/>
  <c r="AC29" i="12"/>
  <c r="AN29" i="12"/>
  <c r="AO36" i="12"/>
  <c r="AA30" i="12"/>
  <c r="AB30" i="12"/>
  <c r="AC30" i="12"/>
  <c r="AN30" i="12"/>
  <c r="AO37" i="12"/>
  <c r="AA31" i="12"/>
  <c r="AB31" i="12"/>
  <c r="AC31" i="12"/>
  <c r="AN31" i="12"/>
  <c r="AO38" i="12"/>
  <c r="AA32" i="12"/>
  <c r="AB32" i="12"/>
  <c r="AC32" i="12"/>
  <c r="AN32" i="12"/>
  <c r="AO39" i="12"/>
  <c r="AA33" i="12"/>
  <c r="AB33" i="12"/>
  <c r="AC33" i="12"/>
  <c r="AN33" i="12"/>
  <c r="AO40" i="12"/>
  <c r="AA34" i="12"/>
  <c r="AB34" i="12"/>
  <c r="AC34" i="12"/>
  <c r="AN34" i="12"/>
  <c r="AO41" i="12"/>
  <c r="AA35" i="12"/>
  <c r="AB35" i="12"/>
  <c r="AC35" i="12"/>
  <c r="AN35" i="12"/>
  <c r="AO42" i="12"/>
  <c r="AA36" i="12"/>
  <c r="AB36" i="12"/>
  <c r="AC36" i="12"/>
  <c r="AN36" i="12"/>
  <c r="AO43" i="12"/>
  <c r="AA37" i="12"/>
  <c r="AB37" i="12"/>
  <c r="AC37" i="12"/>
  <c r="AN37" i="12"/>
  <c r="AO44" i="12"/>
  <c r="AA38" i="12"/>
  <c r="AB38" i="12"/>
  <c r="AC38" i="12"/>
  <c r="AN38" i="12"/>
  <c r="AO45" i="12"/>
  <c r="AA39" i="12"/>
  <c r="AB39" i="12"/>
  <c r="AC39" i="12"/>
  <c r="AN39" i="12"/>
  <c r="AO46" i="12"/>
  <c r="AA40" i="12"/>
  <c r="AB40" i="12"/>
  <c r="AC40" i="12"/>
  <c r="AN40" i="12"/>
  <c r="AO47" i="12"/>
  <c r="AA41" i="12"/>
  <c r="AB41" i="12"/>
  <c r="AC41" i="12"/>
  <c r="AN41" i="12"/>
  <c r="AO48" i="12"/>
  <c r="AA42" i="12"/>
  <c r="AB42" i="12"/>
  <c r="AC42" i="12"/>
  <c r="AN42" i="12"/>
  <c r="AO49" i="12"/>
  <c r="AA43" i="12"/>
  <c r="AB43" i="12"/>
  <c r="AC43" i="12"/>
  <c r="AN43" i="12"/>
  <c r="AO50" i="12"/>
  <c r="AA44" i="12"/>
  <c r="AB44" i="12"/>
  <c r="AC44" i="12"/>
  <c r="AN44" i="12"/>
  <c r="AO51" i="12"/>
  <c r="AA45" i="12"/>
  <c r="AB45" i="12"/>
  <c r="AC45" i="12"/>
  <c r="AN45" i="12"/>
  <c r="AO52" i="12"/>
  <c r="AA46" i="12"/>
  <c r="AB46" i="12"/>
  <c r="AC46" i="12"/>
  <c r="AN46" i="12"/>
  <c r="AO53" i="12"/>
  <c r="AA47" i="12"/>
  <c r="AB47" i="12"/>
  <c r="AC47" i="12"/>
  <c r="AN47" i="12"/>
  <c r="AO54" i="12"/>
  <c r="AA48" i="12"/>
  <c r="AB48" i="12"/>
  <c r="AC48" i="12"/>
  <c r="AN48" i="12"/>
  <c r="AO55" i="12"/>
  <c r="AA49" i="12"/>
  <c r="AB49" i="12"/>
  <c r="AC49" i="12"/>
  <c r="AN49" i="12"/>
  <c r="AO56" i="12"/>
  <c r="AA50" i="12"/>
  <c r="AB50" i="12"/>
  <c r="AC50" i="12"/>
  <c r="AN50" i="12"/>
  <c r="AO57" i="12"/>
  <c r="AA51" i="12"/>
  <c r="AB51" i="12"/>
  <c r="AC51" i="12"/>
  <c r="AN51" i="12"/>
  <c r="AO58" i="12"/>
  <c r="AA52" i="12"/>
  <c r="AB52" i="12"/>
  <c r="AC52" i="12"/>
  <c r="AN52" i="12"/>
  <c r="AO59" i="12"/>
  <c r="AA53" i="12"/>
  <c r="AB53" i="12"/>
  <c r="AC53" i="12"/>
  <c r="AN53" i="12"/>
  <c r="AO60" i="12"/>
  <c r="AA54" i="12"/>
  <c r="AB54" i="12"/>
  <c r="AC54" i="12"/>
  <c r="AN54" i="12"/>
  <c r="AO61" i="12"/>
  <c r="AA55" i="12"/>
  <c r="AB55" i="12"/>
  <c r="AC55" i="12"/>
  <c r="AN55" i="12"/>
  <c r="AO62" i="12"/>
  <c r="AA56" i="12"/>
  <c r="AB56" i="12"/>
  <c r="AC56" i="12"/>
  <c r="AN56" i="12"/>
  <c r="AO63" i="12"/>
  <c r="AA57" i="12"/>
  <c r="AB57" i="12"/>
  <c r="AC57" i="12"/>
  <c r="AN57" i="12"/>
  <c r="AO64" i="12"/>
  <c r="AA58" i="12"/>
  <c r="AB58" i="12"/>
  <c r="AC58" i="12"/>
  <c r="AN58" i="12"/>
  <c r="AO65" i="12"/>
  <c r="AA59" i="12"/>
  <c r="AB59" i="12"/>
  <c r="AC59" i="12"/>
  <c r="AN59" i="12"/>
  <c r="AO66" i="12"/>
  <c r="AA60" i="12"/>
  <c r="AB60" i="12"/>
  <c r="AC60" i="12"/>
  <c r="AN60" i="12"/>
  <c r="AO67" i="12"/>
  <c r="AA61" i="12"/>
  <c r="AB61" i="12"/>
  <c r="AC61" i="12"/>
  <c r="AN61" i="12"/>
  <c r="AO68" i="12"/>
  <c r="AA62" i="12"/>
  <c r="AB62" i="12"/>
  <c r="AC62" i="12"/>
  <c r="AN62" i="12"/>
  <c r="AO69" i="12"/>
  <c r="AA63" i="12"/>
  <c r="AB63" i="12"/>
  <c r="AC63" i="12"/>
  <c r="AN63" i="12"/>
  <c r="AO70" i="12"/>
  <c r="AA64" i="12"/>
  <c r="AB64" i="12"/>
  <c r="AC64" i="12"/>
  <c r="AN64" i="12"/>
  <c r="AO71" i="12"/>
  <c r="AA65" i="12"/>
  <c r="AB65" i="12"/>
  <c r="AC65" i="12"/>
  <c r="AN65" i="12"/>
  <c r="AO72" i="12"/>
  <c r="AA66" i="12"/>
  <c r="AB66" i="12"/>
  <c r="AC66" i="12"/>
  <c r="AN66" i="12"/>
  <c r="AO73" i="12"/>
  <c r="AA67" i="12"/>
  <c r="AB67" i="12"/>
  <c r="AC67" i="12"/>
  <c r="AN67" i="12"/>
  <c r="AO74" i="12"/>
  <c r="AA68" i="12"/>
  <c r="AB68" i="12"/>
  <c r="AC68" i="12"/>
  <c r="AN68" i="12"/>
  <c r="AO75" i="12"/>
  <c r="AA69" i="12"/>
  <c r="AB69" i="12"/>
  <c r="AC69" i="12"/>
  <c r="AN69" i="12"/>
  <c r="AO76" i="12"/>
  <c r="AA70" i="12"/>
  <c r="AB70" i="12"/>
  <c r="AC70" i="12"/>
  <c r="AN70" i="12"/>
  <c r="AO77" i="12"/>
  <c r="AA71" i="12"/>
  <c r="AB71" i="12"/>
  <c r="AC71" i="12"/>
  <c r="AN71" i="12"/>
  <c r="AO78" i="12"/>
  <c r="AA72" i="12"/>
  <c r="AB72" i="12"/>
  <c r="AC72" i="12"/>
  <c r="AN72" i="12"/>
  <c r="AO79" i="12"/>
  <c r="AA73" i="12"/>
  <c r="AB73" i="12"/>
  <c r="AC73" i="12"/>
  <c r="AN73" i="12"/>
  <c r="AO80" i="12"/>
  <c r="AA74" i="12"/>
  <c r="AB74" i="12"/>
  <c r="AC74" i="12"/>
  <c r="AN74" i="12"/>
  <c r="AO81" i="12"/>
  <c r="AA75" i="12"/>
  <c r="AB75" i="12"/>
  <c r="AC75" i="12"/>
  <c r="AN75" i="12"/>
  <c r="AO82" i="12"/>
  <c r="AA76" i="12"/>
  <c r="AB76" i="12"/>
  <c r="AC76" i="12"/>
  <c r="AN76" i="12"/>
  <c r="AO83" i="12"/>
  <c r="AA77" i="12"/>
  <c r="AB77" i="12"/>
  <c r="AC77" i="12"/>
  <c r="AN77" i="12"/>
  <c r="AO84" i="12"/>
  <c r="AA78" i="12"/>
  <c r="AB78" i="12"/>
  <c r="AC78" i="12"/>
  <c r="AN78" i="12"/>
  <c r="AO85" i="12"/>
  <c r="AA79" i="12"/>
  <c r="AB79" i="12"/>
  <c r="AC79" i="12"/>
  <c r="AN79" i="12"/>
  <c r="AO86" i="12"/>
  <c r="AA80" i="12"/>
  <c r="AB80" i="12"/>
  <c r="AC80" i="12"/>
  <c r="AN80" i="12"/>
  <c r="AO87" i="12"/>
  <c r="AA81" i="12"/>
  <c r="AB81" i="12"/>
  <c r="AC81" i="12"/>
  <c r="AN81" i="12"/>
  <c r="AO88" i="12"/>
  <c r="AA82" i="12"/>
  <c r="AB82" i="12"/>
  <c r="AC82" i="12"/>
  <c r="AN82" i="12"/>
  <c r="AO89" i="12"/>
  <c r="AA83" i="12"/>
  <c r="AB83" i="12"/>
  <c r="AC83" i="12"/>
  <c r="AN83" i="12"/>
  <c r="AO90" i="12"/>
  <c r="AA84" i="12"/>
  <c r="AB84" i="12"/>
  <c r="AC84" i="12"/>
  <c r="AN84" i="12"/>
  <c r="AO91" i="12"/>
  <c r="AA85" i="12"/>
  <c r="AB85" i="12"/>
  <c r="AC85" i="12"/>
  <c r="AN85" i="12"/>
  <c r="AO92" i="12"/>
  <c r="AA86" i="12"/>
  <c r="AB86" i="12"/>
  <c r="AC86" i="12"/>
  <c r="AN86" i="12"/>
  <c r="AO93" i="12"/>
  <c r="AA87" i="12"/>
  <c r="AB87" i="12"/>
  <c r="AC87" i="12"/>
  <c r="AN87" i="12"/>
  <c r="AO94" i="12"/>
  <c r="AA88" i="12"/>
  <c r="AB88" i="12"/>
  <c r="AC88" i="12"/>
  <c r="AN88" i="12"/>
  <c r="AO96" i="12"/>
  <c r="AA90" i="12"/>
  <c r="AB90" i="12"/>
  <c r="AC90" i="12"/>
  <c r="AN90" i="12"/>
  <c r="AO97" i="12"/>
  <c r="AA91" i="12"/>
  <c r="AB91" i="12"/>
  <c r="AC91" i="12"/>
  <c r="AN91" i="12"/>
  <c r="AO98" i="12"/>
  <c r="AA92" i="12"/>
  <c r="AB92" i="12"/>
  <c r="AC92" i="12"/>
  <c r="AN92" i="12"/>
  <c r="AO99" i="12"/>
  <c r="AA93" i="12"/>
  <c r="AB93" i="12"/>
  <c r="AC93" i="12"/>
  <c r="AN93" i="12"/>
  <c r="AO100" i="12"/>
  <c r="AA94" i="12"/>
  <c r="AB94" i="12"/>
  <c r="AC94" i="12"/>
  <c r="AN94" i="12"/>
  <c r="AO101" i="12"/>
  <c r="AO102" i="12"/>
  <c r="AA96" i="12"/>
  <c r="AB96" i="12"/>
  <c r="AC96" i="12"/>
  <c r="AN96" i="12"/>
  <c r="AO103" i="12"/>
  <c r="AA97" i="12"/>
  <c r="AB97" i="12"/>
  <c r="AC97" i="12"/>
  <c r="AN97" i="12"/>
  <c r="AO104" i="12"/>
  <c r="AA98" i="12"/>
  <c r="AB98" i="12"/>
  <c r="AC98" i="12"/>
  <c r="AN98" i="12"/>
  <c r="AO105" i="12"/>
  <c r="AA99" i="12"/>
  <c r="AB99" i="12"/>
  <c r="AC99" i="12"/>
  <c r="AN99" i="12"/>
  <c r="AO106" i="12"/>
  <c r="AA100" i="12"/>
  <c r="AB100" i="12"/>
  <c r="AC100" i="12"/>
  <c r="AN100" i="12"/>
  <c r="AO107" i="12"/>
  <c r="AA101" i="12"/>
  <c r="AB101" i="12"/>
  <c r="AC101" i="12"/>
  <c r="AN101" i="12"/>
  <c r="AO108" i="12"/>
  <c r="AA102" i="12"/>
  <c r="AB102" i="12"/>
  <c r="AC102" i="12"/>
  <c r="AN102" i="12"/>
  <c r="AO109" i="12"/>
  <c r="AA103" i="12"/>
  <c r="AB103" i="12"/>
  <c r="AC103" i="12"/>
  <c r="AN103" i="12"/>
  <c r="AO110" i="12"/>
  <c r="AA104" i="12"/>
  <c r="AB104" i="12"/>
  <c r="AC104" i="12"/>
  <c r="AN104" i="12"/>
  <c r="AO111" i="12"/>
  <c r="AA105" i="12"/>
  <c r="AB105" i="12"/>
  <c r="AC105" i="12"/>
  <c r="AN105" i="12"/>
  <c r="AO112" i="12"/>
  <c r="AA106" i="12"/>
  <c r="AB106" i="12"/>
  <c r="AC106" i="12"/>
  <c r="AN106" i="12"/>
  <c r="AO113" i="12"/>
  <c r="AA107" i="12"/>
  <c r="AB107" i="12"/>
  <c r="AC107" i="12"/>
  <c r="AN107" i="12"/>
  <c r="AO114" i="12"/>
  <c r="AA108" i="12"/>
  <c r="AB108" i="12"/>
  <c r="AC108" i="12"/>
  <c r="AN108" i="12"/>
  <c r="AO115" i="12"/>
  <c r="AA109" i="12"/>
  <c r="AB109" i="12"/>
  <c r="AC109" i="12"/>
  <c r="AN109" i="12"/>
  <c r="AO116" i="12"/>
  <c r="AA110" i="12"/>
  <c r="AB110" i="12"/>
  <c r="AC110" i="12"/>
  <c r="AN110" i="12"/>
  <c r="AO117" i="12"/>
  <c r="AA111" i="12"/>
  <c r="AB111" i="12"/>
  <c r="AC111" i="12"/>
  <c r="AN111" i="12"/>
  <c r="AA112" i="12"/>
  <c r="AB112" i="12"/>
  <c r="AC112" i="12"/>
  <c r="AN112" i="12"/>
  <c r="AA113" i="12"/>
  <c r="AB113" i="12"/>
  <c r="AC113" i="12"/>
  <c r="AN113" i="12"/>
  <c r="AA114" i="12"/>
  <c r="AB114" i="12"/>
  <c r="AC114" i="12"/>
  <c r="AN114" i="12"/>
  <c r="AA115" i="12"/>
  <c r="AB115" i="12"/>
  <c r="AC115" i="12"/>
  <c r="AN115" i="12"/>
  <c r="AA116" i="12"/>
  <c r="AB116" i="12"/>
  <c r="AC116" i="12"/>
  <c r="AN116" i="12"/>
  <c r="AA117" i="12"/>
  <c r="AB117" i="12"/>
  <c r="AC117" i="12"/>
  <c r="AN117" i="12"/>
  <c r="H74" i="11"/>
  <c r="AN9" i="12"/>
  <c r="H76" i="11"/>
  <c r="AN11" i="12"/>
  <c r="H75" i="11"/>
  <c r="AN10" i="12"/>
  <c r="BF117" i="12"/>
  <c r="BF18" i="12"/>
  <c r="BF19" i="12"/>
  <c r="BF20" i="12"/>
  <c r="BF21" i="12"/>
  <c r="BF22" i="12"/>
  <c r="BF23" i="12"/>
  <c r="BF24" i="12"/>
  <c r="BF25" i="12"/>
  <c r="BF26" i="12"/>
  <c r="BF27" i="12"/>
  <c r="BF28" i="12"/>
  <c r="BF29" i="12"/>
  <c r="BF30" i="12"/>
  <c r="BF31" i="12"/>
  <c r="BF32" i="12"/>
  <c r="BF33" i="12"/>
  <c r="BF34" i="12"/>
  <c r="BF35" i="12"/>
  <c r="BF36" i="12"/>
  <c r="BF37" i="12"/>
  <c r="BF38" i="12"/>
  <c r="BF39" i="12"/>
  <c r="BF40" i="12"/>
  <c r="BF41" i="12"/>
  <c r="BF42" i="12"/>
  <c r="BF43" i="12"/>
  <c r="BF44" i="12"/>
  <c r="BF45" i="12"/>
  <c r="BF46" i="12"/>
  <c r="BF47" i="12"/>
  <c r="BF48" i="12"/>
  <c r="BF49" i="12"/>
  <c r="BF50" i="12"/>
  <c r="BF51" i="12"/>
  <c r="BF52" i="12"/>
  <c r="BF53" i="12"/>
  <c r="BF54" i="12"/>
  <c r="BF55" i="12"/>
  <c r="BF56" i="12"/>
  <c r="BF57" i="12"/>
  <c r="BF58" i="12"/>
  <c r="BF59" i="12"/>
  <c r="BF60" i="12"/>
  <c r="BF61" i="12"/>
  <c r="BF62" i="12"/>
  <c r="BF63" i="12"/>
  <c r="BF64" i="12"/>
  <c r="BF65" i="12"/>
  <c r="BF66" i="12"/>
  <c r="BF67" i="12"/>
  <c r="BF68" i="12"/>
  <c r="BF69" i="12"/>
  <c r="BF70" i="12"/>
  <c r="BF71" i="12"/>
  <c r="BF72" i="12"/>
  <c r="BF73" i="12"/>
  <c r="BF74" i="12"/>
  <c r="BF75" i="12"/>
  <c r="BF76" i="12"/>
  <c r="BF77" i="12"/>
  <c r="BF78" i="12"/>
  <c r="BF79" i="12"/>
  <c r="BF80" i="12"/>
  <c r="BF81" i="12"/>
  <c r="BF82" i="12"/>
  <c r="BF83" i="12"/>
  <c r="BF84" i="12"/>
  <c r="BF85" i="12"/>
  <c r="BF86" i="12"/>
  <c r="BF87" i="12"/>
  <c r="BF88" i="12"/>
  <c r="BF89" i="12"/>
  <c r="BF90" i="12"/>
  <c r="BF91" i="12"/>
  <c r="BF92" i="12"/>
  <c r="BF93" i="12"/>
  <c r="BF94" i="12"/>
  <c r="BF95" i="12"/>
  <c r="BF96" i="12"/>
  <c r="BF97" i="12"/>
  <c r="BF98" i="12"/>
  <c r="BF99" i="12"/>
  <c r="BF100" i="12"/>
  <c r="BF101" i="12"/>
  <c r="BF102" i="12"/>
  <c r="BF103" i="12"/>
  <c r="BF104" i="12"/>
  <c r="BF105" i="12"/>
  <c r="BF106" i="12"/>
  <c r="BF107" i="12"/>
  <c r="BF108" i="12"/>
  <c r="BF109" i="12"/>
  <c r="BF110" i="12"/>
  <c r="BF111" i="12"/>
  <c r="BF112" i="12"/>
  <c r="BF113" i="12"/>
  <c r="BF114" i="12"/>
  <c r="BF115" i="12"/>
  <c r="BF116" i="12"/>
  <c r="D76" i="14"/>
  <c r="D77" i="14"/>
  <c r="D78" i="14"/>
  <c r="D79" i="14"/>
  <c r="D80" i="14"/>
  <c r="D81" i="14"/>
  <c r="H81" i="14"/>
  <c r="F81" i="14"/>
  <c r="BP117" i="12"/>
  <c r="BN117" i="12"/>
  <c r="BO117" i="12"/>
  <c r="BP116" i="12"/>
  <c r="BN116" i="12"/>
  <c r="BO116" i="12"/>
  <c r="BP115" i="12"/>
  <c r="BN115" i="12"/>
  <c r="BO115" i="12"/>
  <c r="BP114" i="12"/>
  <c r="BN114" i="12"/>
  <c r="BO114" i="12"/>
  <c r="BP113" i="12"/>
  <c r="BN113" i="12"/>
  <c r="BO113" i="12"/>
  <c r="BP112" i="12"/>
  <c r="BN112" i="12"/>
  <c r="BO112" i="12"/>
  <c r="BP111" i="12"/>
  <c r="BN111" i="12"/>
  <c r="BO111" i="12"/>
  <c r="BP110" i="12"/>
  <c r="BN110" i="12"/>
  <c r="BO110" i="12"/>
  <c r="BP109" i="12"/>
  <c r="BN109" i="12"/>
  <c r="BO109" i="12"/>
  <c r="BP108" i="12"/>
  <c r="BN108" i="12"/>
  <c r="BO108" i="12"/>
  <c r="BP107" i="12"/>
  <c r="BN107" i="12"/>
  <c r="BO107" i="12"/>
  <c r="BP106" i="12"/>
  <c r="BN106" i="12"/>
  <c r="BO106" i="12"/>
  <c r="BP105" i="12"/>
  <c r="BN105" i="12"/>
  <c r="BO105" i="12"/>
  <c r="BP104" i="12"/>
  <c r="BN104" i="12"/>
  <c r="BO104" i="12"/>
  <c r="BP103" i="12"/>
  <c r="BN103" i="12"/>
  <c r="BO103" i="12"/>
  <c r="BP102" i="12"/>
  <c r="BN102" i="12"/>
  <c r="BO102" i="12"/>
  <c r="BP101" i="12"/>
  <c r="BN101" i="12"/>
  <c r="BO101" i="12"/>
  <c r="BP100" i="12"/>
  <c r="BN100" i="12"/>
  <c r="BO100" i="12"/>
  <c r="BP99" i="12"/>
  <c r="BN99" i="12"/>
  <c r="BO99" i="12"/>
  <c r="BP98" i="12"/>
  <c r="BN98" i="12"/>
  <c r="BO98" i="12"/>
  <c r="BP97" i="12"/>
  <c r="BN97" i="12"/>
  <c r="BO97" i="12"/>
  <c r="BP96" i="12"/>
  <c r="BN96" i="12"/>
  <c r="BO96" i="12"/>
  <c r="BP95" i="12"/>
  <c r="BN95" i="12"/>
  <c r="BO95" i="12"/>
  <c r="BP94" i="12"/>
  <c r="BN94" i="12"/>
  <c r="BO94" i="12"/>
  <c r="BP93" i="12"/>
  <c r="BN93" i="12"/>
  <c r="BO93" i="12"/>
  <c r="BP92" i="12"/>
  <c r="BN92" i="12"/>
  <c r="BO92" i="12"/>
  <c r="BP91" i="12"/>
  <c r="BN91" i="12"/>
  <c r="BO91" i="12"/>
  <c r="BP90" i="12"/>
  <c r="BN90" i="12"/>
  <c r="BO90" i="12"/>
  <c r="BP89" i="12"/>
  <c r="BN89" i="12"/>
  <c r="BO89" i="12"/>
  <c r="BP88" i="12"/>
  <c r="BN88" i="12"/>
  <c r="BO88" i="12"/>
  <c r="BP87" i="12"/>
  <c r="BN87" i="12"/>
  <c r="BO87" i="12"/>
  <c r="BP86" i="12"/>
  <c r="BN86" i="12"/>
  <c r="BO86" i="12"/>
  <c r="BP85" i="12"/>
  <c r="BN85" i="12"/>
  <c r="BO85" i="12"/>
  <c r="BP84" i="12"/>
  <c r="BN84" i="12"/>
  <c r="BO84" i="12"/>
  <c r="BP83" i="12"/>
  <c r="BN83" i="12"/>
  <c r="BO83" i="12"/>
  <c r="BP82" i="12"/>
  <c r="BN82" i="12"/>
  <c r="BO82" i="12"/>
  <c r="BP81" i="12"/>
  <c r="BN81" i="12"/>
  <c r="BO81" i="12"/>
  <c r="BP80" i="12"/>
  <c r="BN80" i="12"/>
  <c r="BO80" i="12"/>
  <c r="BP79" i="12"/>
  <c r="BN79" i="12"/>
  <c r="BO79" i="12"/>
  <c r="BP78" i="12"/>
  <c r="BN78" i="12"/>
  <c r="BO78" i="12"/>
  <c r="BP77" i="12"/>
  <c r="BN77" i="12"/>
  <c r="BO77" i="12"/>
  <c r="BP76" i="12"/>
  <c r="BN76" i="12"/>
  <c r="BO76" i="12"/>
  <c r="BP75" i="12"/>
  <c r="BN75" i="12"/>
  <c r="BO75" i="12"/>
  <c r="BP74" i="12"/>
  <c r="BN74" i="12"/>
  <c r="BO74" i="12"/>
  <c r="BP73" i="12"/>
  <c r="BN73" i="12"/>
  <c r="BO73" i="12"/>
  <c r="BP72" i="12"/>
  <c r="BN72" i="12"/>
  <c r="BO72" i="12"/>
  <c r="BP71" i="12"/>
  <c r="BN71" i="12"/>
  <c r="BO71" i="12"/>
  <c r="BP70" i="12"/>
  <c r="BN70" i="12"/>
  <c r="BO70" i="12"/>
  <c r="BP69" i="12"/>
  <c r="BN69" i="12"/>
  <c r="BO69" i="12"/>
  <c r="BP68" i="12"/>
  <c r="BN68" i="12"/>
  <c r="BO68" i="12"/>
  <c r="BP67" i="12"/>
  <c r="BN67" i="12"/>
  <c r="BO67" i="12"/>
  <c r="BP66" i="12"/>
  <c r="BN66" i="12"/>
  <c r="BO66" i="12"/>
  <c r="BP65" i="12"/>
  <c r="BN65" i="12"/>
  <c r="BO65" i="12"/>
  <c r="BP64" i="12"/>
  <c r="BN64" i="12"/>
  <c r="BO64" i="12"/>
  <c r="BP63" i="12"/>
  <c r="BN63" i="12"/>
  <c r="BO63" i="12"/>
  <c r="BP62" i="12"/>
  <c r="BN62" i="12"/>
  <c r="BO62" i="12"/>
  <c r="BP61" i="12"/>
  <c r="BN61" i="12"/>
  <c r="BO61" i="12"/>
  <c r="BP60" i="12"/>
  <c r="BN60" i="12"/>
  <c r="BO60" i="12"/>
  <c r="BP59" i="12"/>
  <c r="BN59" i="12"/>
  <c r="BO59" i="12"/>
  <c r="BP58" i="12"/>
  <c r="BN58" i="12"/>
  <c r="BO58" i="12"/>
  <c r="BP57" i="12"/>
  <c r="BN57" i="12"/>
  <c r="BO57" i="12"/>
  <c r="BP56" i="12"/>
  <c r="BN56" i="12"/>
  <c r="BO56" i="12"/>
  <c r="BP55" i="12"/>
  <c r="BN55" i="12"/>
  <c r="BO55" i="12"/>
  <c r="BP54" i="12"/>
  <c r="BN54" i="12"/>
  <c r="BO54" i="12"/>
  <c r="BP53" i="12"/>
  <c r="BN53" i="12"/>
  <c r="BO53" i="12"/>
  <c r="BP52" i="12"/>
  <c r="BN52" i="12"/>
  <c r="BO52" i="12"/>
  <c r="BP51" i="12"/>
  <c r="BN51" i="12"/>
  <c r="BO51" i="12"/>
  <c r="BP50" i="12"/>
  <c r="BN50" i="12"/>
  <c r="BO50" i="12"/>
  <c r="BP49" i="12"/>
  <c r="BN49" i="12"/>
  <c r="BO49" i="12"/>
  <c r="BP48" i="12"/>
  <c r="BN48" i="12"/>
  <c r="BO48" i="12"/>
  <c r="BP47" i="12"/>
  <c r="BN47" i="12"/>
  <c r="BO47" i="12"/>
  <c r="BP46" i="12"/>
  <c r="BN46" i="12"/>
  <c r="BO46" i="12"/>
  <c r="BP45" i="12"/>
  <c r="BN45" i="12"/>
  <c r="BO45" i="12"/>
  <c r="BP44" i="12"/>
  <c r="BN44" i="12"/>
  <c r="BO44" i="12"/>
  <c r="BP43" i="12"/>
  <c r="BN43" i="12"/>
  <c r="BO43" i="12"/>
  <c r="BP42" i="12"/>
  <c r="BN42" i="12"/>
  <c r="BO42" i="12"/>
  <c r="BP41" i="12"/>
  <c r="BN41" i="12"/>
  <c r="BO41" i="12"/>
  <c r="BP40" i="12"/>
  <c r="BN40" i="12"/>
  <c r="BO40" i="12"/>
  <c r="BP39" i="12"/>
  <c r="BN39" i="12"/>
  <c r="BO39" i="12"/>
  <c r="BP38" i="12"/>
  <c r="BN38" i="12"/>
  <c r="BO38" i="12"/>
  <c r="BP37" i="12"/>
  <c r="BN37" i="12"/>
  <c r="BO37" i="12"/>
  <c r="BP36" i="12"/>
  <c r="BN36" i="12"/>
  <c r="BO36" i="12"/>
  <c r="BP35" i="12"/>
  <c r="BN35" i="12"/>
  <c r="BO35" i="12"/>
  <c r="BP34" i="12"/>
  <c r="BN34" i="12"/>
  <c r="BO34" i="12"/>
  <c r="BP33" i="12"/>
  <c r="BN33" i="12"/>
  <c r="BO33" i="12"/>
  <c r="BP32" i="12"/>
  <c r="BN32" i="12"/>
  <c r="BO32" i="12"/>
  <c r="BP31" i="12"/>
  <c r="BN31" i="12"/>
  <c r="BO31" i="12"/>
  <c r="BP30" i="12"/>
  <c r="BN30" i="12"/>
  <c r="BO30" i="12"/>
  <c r="BP29" i="12"/>
  <c r="BN29" i="12"/>
  <c r="BO29" i="12"/>
  <c r="BP28" i="12"/>
  <c r="BN28" i="12"/>
  <c r="BO28" i="12"/>
  <c r="BP27" i="12"/>
  <c r="BN27" i="12"/>
  <c r="BO27" i="12"/>
  <c r="BP26" i="12"/>
  <c r="BN26" i="12"/>
  <c r="BO26" i="12"/>
  <c r="BP25" i="12"/>
  <c r="BN25" i="12"/>
  <c r="BO25" i="12"/>
  <c r="BP24" i="12"/>
  <c r="BN24" i="12"/>
  <c r="BO24" i="12"/>
  <c r="BP23" i="12"/>
  <c r="BN23" i="12"/>
  <c r="BO23" i="12"/>
  <c r="BP22" i="12"/>
  <c r="BN22" i="12"/>
  <c r="BO22" i="12"/>
  <c r="BP21" i="12"/>
  <c r="BN21" i="12"/>
  <c r="BO21" i="12"/>
  <c r="BP20" i="12"/>
  <c r="BG20" i="12"/>
  <c r="BG18" i="12"/>
  <c r="BG19" i="12"/>
  <c r="BG21" i="12"/>
  <c r="BG22" i="12"/>
  <c r="BG23" i="12"/>
  <c r="BG24" i="12"/>
  <c r="BG25" i="12"/>
  <c r="BG26" i="12"/>
  <c r="BG27" i="12"/>
  <c r="BG28" i="12"/>
  <c r="BG29" i="12"/>
  <c r="BG30" i="12"/>
  <c r="BG31" i="12"/>
  <c r="BG32" i="12"/>
  <c r="BG33" i="12"/>
  <c r="BG34" i="12"/>
  <c r="BG35" i="12"/>
  <c r="BG36" i="12"/>
  <c r="BG37" i="12"/>
  <c r="BG38" i="12"/>
  <c r="BG39" i="12"/>
  <c r="BG40" i="12"/>
  <c r="BG41" i="12"/>
  <c r="BG42" i="12"/>
  <c r="BG43" i="12"/>
  <c r="BG44" i="12"/>
  <c r="BG45" i="12"/>
  <c r="BG46" i="12"/>
  <c r="BG47" i="12"/>
  <c r="BG48" i="12"/>
  <c r="BG49" i="12"/>
  <c r="BG50" i="12"/>
  <c r="BG51" i="12"/>
  <c r="BG52" i="12"/>
  <c r="BG53" i="12"/>
  <c r="BG54" i="12"/>
  <c r="BG55" i="12"/>
  <c r="BG56" i="12"/>
  <c r="BG57" i="12"/>
  <c r="BG58" i="12"/>
  <c r="BG59" i="12"/>
  <c r="BG60" i="12"/>
  <c r="BG61" i="12"/>
  <c r="BG62" i="12"/>
  <c r="BG63" i="12"/>
  <c r="BG64" i="12"/>
  <c r="BG65" i="12"/>
  <c r="BG66" i="12"/>
  <c r="BG67" i="12"/>
  <c r="BG68" i="12"/>
  <c r="BG69" i="12"/>
  <c r="BG70" i="12"/>
  <c r="BG71" i="12"/>
  <c r="BG72" i="12"/>
  <c r="BG73" i="12"/>
  <c r="BG74" i="12"/>
  <c r="BG75" i="12"/>
  <c r="BG76" i="12"/>
  <c r="BG77" i="12"/>
  <c r="BG78" i="12"/>
  <c r="BG79" i="12"/>
  <c r="BG80" i="12"/>
  <c r="BG81" i="12"/>
  <c r="BG82" i="12"/>
  <c r="BG83" i="12"/>
  <c r="BG84" i="12"/>
  <c r="BG85" i="12"/>
  <c r="BG86" i="12"/>
  <c r="BG87" i="12"/>
  <c r="BG88" i="12"/>
  <c r="BG89" i="12"/>
  <c r="BG90" i="12"/>
  <c r="BG91" i="12"/>
  <c r="BG92" i="12"/>
  <c r="BG93" i="12"/>
  <c r="BG94" i="12"/>
  <c r="BG95" i="12"/>
  <c r="BG96" i="12"/>
  <c r="BG97" i="12"/>
  <c r="BG98" i="12"/>
  <c r="BG99" i="12"/>
  <c r="BG100" i="12"/>
  <c r="BG101" i="12"/>
  <c r="BG102" i="12"/>
  <c r="BG103" i="12"/>
  <c r="BG104" i="12"/>
  <c r="BG105" i="12"/>
  <c r="BG106" i="12"/>
  <c r="BG107" i="12"/>
  <c r="BG108" i="12"/>
  <c r="BG109" i="12"/>
  <c r="BG110" i="12"/>
  <c r="BG111" i="12"/>
  <c r="BG112" i="12"/>
  <c r="BG113" i="12"/>
  <c r="BG114" i="12"/>
  <c r="BG115" i="12"/>
  <c r="BG116" i="12"/>
  <c r="BG117" i="12"/>
  <c r="D82" i="14"/>
  <c r="D83" i="14"/>
  <c r="D84" i="14"/>
  <c r="H84" i="14"/>
  <c r="F84" i="14"/>
  <c r="BQ20" i="12"/>
  <c r="BN20" i="12"/>
  <c r="BP18" i="12"/>
  <c r="BQ18" i="12"/>
  <c r="BN18" i="12"/>
  <c r="BP19" i="12"/>
  <c r="BN19" i="12"/>
  <c r="BO20" i="12"/>
  <c r="BO19" i="12"/>
  <c r="BO18" i="12"/>
  <c r="I4" i="14"/>
  <c r="E20" i="14"/>
  <c r="D61" i="14"/>
  <c r="D62" i="14"/>
  <c r="D63" i="14"/>
  <c r="D64" i="14"/>
  <c r="D65" i="14"/>
  <c r="D66" i="14"/>
  <c r="H66" i="14"/>
  <c r="F66" i="14"/>
  <c r="AY1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Y110" i="12"/>
  <c r="AY111" i="12"/>
  <c r="AY112" i="12"/>
  <c r="AY113" i="12"/>
  <c r="AY114" i="12"/>
  <c r="AY115" i="12"/>
  <c r="AY116" i="12"/>
  <c r="BK117" i="12"/>
  <c r="BI117" i="12"/>
  <c r="BJ117" i="12"/>
  <c r="BK116" i="12"/>
  <c r="BI116" i="12"/>
  <c r="BJ116" i="12"/>
  <c r="BK115" i="12"/>
  <c r="BI115" i="12"/>
  <c r="BJ115" i="12"/>
  <c r="BK114" i="12"/>
  <c r="BI114" i="12"/>
  <c r="BJ114" i="12"/>
  <c r="BK113" i="12"/>
  <c r="BI113" i="12"/>
  <c r="BJ113" i="12"/>
  <c r="BK112" i="12"/>
  <c r="BI112" i="12"/>
  <c r="BJ112" i="12"/>
  <c r="BK111" i="12"/>
  <c r="BI111" i="12"/>
  <c r="BJ111" i="12"/>
  <c r="BK110" i="12"/>
  <c r="BI110" i="12"/>
  <c r="BJ110" i="12"/>
  <c r="BK109" i="12"/>
  <c r="BI109" i="12"/>
  <c r="BJ109" i="12"/>
  <c r="BK108" i="12"/>
  <c r="BI108" i="12"/>
  <c r="BJ108" i="12"/>
  <c r="BK107" i="12"/>
  <c r="BI107" i="12"/>
  <c r="BJ107" i="12"/>
  <c r="BK106" i="12"/>
  <c r="BI106" i="12"/>
  <c r="BJ106" i="12"/>
  <c r="BK105" i="12"/>
  <c r="BI105" i="12"/>
  <c r="BJ105" i="12"/>
  <c r="BK104" i="12"/>
  <c r="BI104" i="12"/>
  <c r="BJ104" i="12"/>
  <c r="BK103" i="12"/>
  <c r="BI103" i="12"/>
  <c r="BJ103" i="12"/>
  <c r="BK102" i="12"/>
  <c r="BI102" i="12"/>
  <c r="BJ102" i="12"/>
  <c r="BK101" i="12"/>
  <c r="BI101" i="12"/>
  <c r="BJ101" i="12"/>
  <c r="BK100" i="12"/>
  <c r="BI100" i="12"/>
  <c r="BJ100" i="12"/>
  <c r="BK99" i="12"/>
  <c r="BI99" i="12"/>
  <c r="BJ99" i="12"/>
  <c r="BK98" i="12"/>
  <c r="BI98" i="12"/>
  <c r="BJ98" i="12"/>
  <c r="BK97" i="12"/>
  <c r="BI97" i="12"/>
  <c r="BJ97" i="12"/>
  <c r="BK96" i="12"/>
  <c r="BI96" i="12"/>
  <c r="BJ96" i="12"/>
  <c r="BK95" i="12"/>
  <c r="BI95" i="12"/>
  <c r="BJ95" i="12"/>
  <c r="BK94" i="12"/>
  <c r="BI94" i="12"/>
  <c r="BJ94" i="12"/>
  <c r="BK93" i="12"/>
  <c r="BI93" i="12"/>
  <c r="BJ93" i="12"/>
  <c r="BK92" i="12"/>
  <c r="BI92" i="12"/>
  <c r="BJ92" i="12"/>
  <c r="BK91" i="12"/>
  <c r="BI91" i="12"/>
  <c r="BJ91" i="12"/>
  <c r="BK90" i="12"/>
  <c r="BI90" i="12"/>
  <c r="BJ90" i="12"/>
  <c r="BK89" i="12"/>
  <c r="BI89" i="12"/>
  <c r="BJ89" i="12"/>
  <c r="BK88" i="12"/>
  <c r="BI88" i="12"/>
  <c r="BJ88" i="12"/>
  <c r="BK87" i="12"/>
  <c r="BI87" i="12"/>
  <c r="BJ87" i="12"/>
  <c r="BK86" i="12"/>
  <c r="BI86" i="12"/>
  <c r="BJ86" i="12"/>
  <c r="BK85" i="12"/>
  <c r="BI85" i="12"/>
  <c r="BJ85" i="12"/>
  <c r="BK84" i="12"/>
  <c r="BI84" i="12"/>
  <c r="BJ84" i="12"/>
  <c r="BK83" i="12"/>
  <c r="BI83" i="12"/>
  <c r="BJ83" i="12"/>
  <c r="BK82" i="12"/>
  <c r="BI82" i="12"/>
  <c r="BJ82" i="12"/>
  <c r="BK81" i="12"/>
  <c r="BI81" i="12"/>
  <c r="BJ81" i="12"/>
  <c r="BK80" i="12"/>
  <c r="BI80" i="12"/>
  <c r="BJ80" i="12"/>
  <c r="BK79" i="12"/>
  <c r="BI79" i="12"/>
  <c r="BJ79" i="12"/>
  <c r="BK78" i="12"/>
  <c r="BI78" i="12"/>
  <c r="BJ78" i="12"/>
  <c r="BK77" i="12"/>
  <c r="BI77" i="12"/>
  <c r="BJ77" i="12"/>
  <c r="BK76" i="12"/>
  <c r="BI76" i="12"/>
  <c r="BJ76" i="12"/>
  <c r="BK75" i="12"/>
  <c r="BI75" i="12"/>
  <c r="BJ75" i="12"/>
  <c r="BK74" i="12"/>
  <c r="BI74" i="12"/>
  <c r="BJ74" i="12"/>
  <c r="BK73" i="12"/>
  <c r="BI73" i="12"/>
  <c r="BJ73" i="12"/>
  <c r="BK72" i="12"/>
  <c r="BI72" i="12"/>
  <c r="BJ72" i="12"/>
  <c r="BK71" i="12"/>
  <c r="BI71" i="12"/>
  <c r="BJ71" i="12"/>
  <c r="BK70" i="12"/>
  <c r="BI70" i="12"/>
  <c r="BJ70" i="12"/>
  <c r="BK69" i="12"/>
  <c r="BI69" i="12"/>
  <c r="BJ69" i="12"/>
  <c r="BK68" i="12"/>
  <c r="BI68" i="12"/>
  <c r="BJ68" i="12"/>
  <c r="BK67" i="12"/>
  <c r="BI67" i="12"/>
  <c r="BJ67" i="12"/>
  <c r="BK66" i="12"/>
  <c r="BI66" i="12"/>
  <c r="BJ66" i="12"/>
  <c r="BK65" i="12"/>
  <c r="BI65" i="12"/>
  <c r="BJ65" i="12"/>
  <c r="BK64" i="12"/>
  <c r="BI64" i="12"/>
  <c r="BJ64" i="12"/>
  <c r="BK63" i="12"/>
  <c r="BI63" i="12"/>
  <c r="BJ63" i="12"/>
  <c r="BK62" i="12"/>
  <c r="BI62" i="12"/>
  <c r="BJ62" i="12"/>
  <c r="BK61" i="12"/>
  <c r="BI61" i="12"/>
  <c r="BJ61" i="12"/>
  <c r="BK60" i="12"/>
  <c r="BI60" i="12"/>
  <c r="BJ60" i="12"/>
  <c r="BK59" i="12"/>
  <c r="BI59" i="12"/>
  <c r="BJ59" i="12"/>
  <c r="BK58" i="12"/>
  <c r="BI58" i="12"/>
  <c r="BJ58" i="12"/>
  <c r="BK57" i="12"/>
  <c r="BI57" i="12"/>
  <c r="BJ57" i="12"/>
  <c r="BK56" i="12"/>
  <c r="BI56" i="12"/>
  <c r="BJ56" i="12"/>
  <c r="BK55" i="12"/>
  <c r="BI55" i="12"/>
  <c r="BJ55" i="12"/>
  <c r="BK54" i="12"/>
  <c r="BI54" i="12"/>
  <c r="BJ54" i="12"/>
  <c r="BK53" i="12"/>
  <c r="BI53" i="12"/>
  <c r="BJ53" i="12"/>
  <c r="BK52" i="12"/>
  <c r="BI52" i="12"/>
  <c r="BJ52" i="12"/>
  <c r="BK51" i="12"/>
  <c r="BI51" i="12"/>
  <c r="BJ51" i="12"/>
  <c r="BK50" i="12"/>
  <c r="BI50" i="12"/>
  <c r="BJ50" i="12"/>
  <c r="BK49" i="12"/>
  <c r="BI49" i="12"/>
  <c r="BJ49" i="12"/>
  <c r="BK48" i="12"/>
  <c r="BI48" i="12"/>
  <c r="BJ48" i="12"/>
  <c r="BK47" i="12"/>
  <c r="BI47" i="12"/>
  <c r="BJ47" i="12"/>
  <c r="BK46" i="12"/>
  <c r="BI46" i="12"/>
  <c r="BJ46" i="12"/>
  <c r="BK45" i="12"/>
  <c r="BI45" i="12"/>
  <c r="BJ45" i="12"/>
  <c r="BK44" i="12"/>
  <c r="BI44" i="12"/>
  <c r="BJ44" i="12"/>
  <c r="BK43" i="12"/>
  <c r="BI43" i="12"/>
  <c r="BJ43" i="12"/>
  <c r="BK42" i="12"/>
  <c r="BI42" i="12"/>
  <c r="BJ42" i="12"/>
  <c r="BK41" i="12"/>
  <c r="BI41" i="12"/>
  <c r="BJ41" i="12"/>
  <c r="BK40" i="12"/>
  <c r="BI40" i="12"/>
  <c r="BJ40" i="12"/>
  <c r="BK39" i="12"/>
  <c r="BI39" i="12"/>
  <c r="BJ39" i="12"/>
  <c r="BK38" i="12"/>
  <c r="BI38" i="12"/>
  <c r="BJ38" i="12"/>
  <c r="BK37" i="12"/>
  <c r="BI37" i="12"/>
  <c r="BJ37" i="12"/>
  <c r="BK36" i="12"/>
  <c r="BI36" i="12"/>
  <c r="BJ36" i="12"/>
  <c r="BK35" i="12"/>
  <c r="BI35" i="12"/>
  <c r="BJ35" i="12"/>
  <c r="BK34" i="12"/>
  <c r="BI34" i="12"/>
  <c r="BJ34" i="12"/>
  <c r="BK33" i="12"/>
  <c r="BI33" i="12"/>
  <c r="BJ33" i="12"/>
  <c r="BK32" i="12"/>
  <c r="BI32" i="12"/>
  <c r="BJ32" i="12"/>
  <c r="BK31" i="12"/>
  <c r="BI31" i="12"/>
  <c r="BJ31" i="12"/>
  <c r="BK30" i="12"/>
  <c r="BI30" i="12"/>
  <c r="BJ30" i="12"/>
  <c r="BK29" i="12"/>
  <c r="BI29" i="12"/>
  <c r="BJ29" i="12"/>
  <c r="BK28" i="12"/>
  <c r="BI28" i="12"/>
  <c r="BJ28" i="12"/>
  <c r="BK27" i="12"/>
  <c r="BI27" i="12"/>
  <c r="BJ27" i="12"/>
  <c r="BK26" i="12"/>
  <c r="BI26" i="12"/>
  <c r="BJ26" i="12"/>
  <c r="BK25" i="12"/>
  <c r="BI25" i="12"/>
  <c r="BJ25" i="12"/>
  <c r="BK24" i="12"/>
  <c r="BI24" i="12"/>
  <c r="BJ24" i="12"/>
  <c r="BK23" i="12"/>
  <c r="BI23" i="12"/>
  <c r="BJ23" i="12"/>
  <c r="BK22" i="12"/>
  <c r="BI22" i="12"/>
  <c r="BJ22" i="12"/>
  <c r="BK21" i="12"/>
  <c r="BI21" i="12"/>
  <c r="BJ21" i="12"/>
  <c r="BK20" i="12"/>
  <c r="D67" i="14"/>
  <c r="D68" i="14"/>
  <c r="D69" i="14"/>
  <c r="H69" i="14"/>
  <c r="F69" i="14"/>
  <c r="AZ20" i="12"/>
  <c r="AZ18" i="12"/>
  <c r="AZ19" i="12"/>
  <c r="AZ21" i="12"/>
  <c r="AZ22" i="12"/>
  <c r="AZ23" i="12"/>
  <c r="AZ24" i="12"/>
  <c r="AZ25" i="12"/>
  <c r="AZ26" i="12"/>
  <c r="AZ27" i="12"/>
  <c r="AZ28" i="12"/>
  <c r="AZ29" i="12"/>
  <c r="AZ30" i="12"/>
  <c r="AZ31" i="12"/>
  <c r="AZ32" i="12"/>
  <c r="AZ33" i="12"/>
  <c r="AZ34" i="12"/>
  <c r="AZ35" i="12"/>
  <c r="AZ36" i="12"/>
  <c r="AZ37" i="12"/>
  <c r="AZ38" i="12"/>
  <c r="AZ39" i="12"/>
  <c r="AZ40" i="12"/>
  <c r="AZ41" i="12"/>
  <c r="AZ42" i="12"/>
  <c r="AZ43" i="12"/>
  <c r="AZ44" i="12"/>
  <c r="AZ45" i="12"/>
  <c r="AZ46" i="12"/>
  <c r="AZ47" i="12"/>
  <c r="AZ48" i="12"/>
  <c r="AZ49" i="12"/>
  <c r="AZ50" i="12"/>
  <c r="AZ51" i="12"/>
  <c r="AZ52" i="12"/>
  <c r="AZ53" i="12"/>
  <c r="AZ54" i="12"/>
  <c r="AZ55" i="12"/>
  <c r="AZ56" i="12"/>
  <c r="AZ57" i="12"/>
  <c r="AZ58" i="12"/>
  <c r="AZ59" i="12"/>
  <c r="AZ60" i="12"/>
  <c r="AZ61" i="12"/>
  <c r="AZ62" i="12"/>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Z110" i="12"/>
  <c r="AZ111" i="12"/>
  <c r="AZ112" i="12"/>
  <c r="AZ113" i="12"/>
  <c r="AZ114" i="12"/>
  <c r="AZ115" i="12"/>
  <c r="AZ116" i="12"/>
  <c r="AZ117" i="12"/>
  <c r="BL20" i="12"/>
  <c r="BI20" i="12"/>
  <c r="BK18" i="12"/>
  <c r="BL18" i="12"/>
  <c r="BI18" i="12"/>
  <c r="BK19" i="12"/>
  <c r="BL19" i="12"/>
  <c r="BI19" i="12"/>
  <c r="BJ20" i="12"/>
  <c r="BJ19" i="12"/>
  <c r="BJ18" i="12"/>
  <c r="C50" i="7"/>
  <c r="J77" i="11"/>
  <c r="J76" i="11"/>
  <c r="J75" i="11"/>
  <c r="J74" i="11"/>
  <c r="H77" i="11"/>
  <c r="D20" i="9"/>
  <c r="D19" i="9"/>
  <c r="C19" i="9"/>
  <c r="D15" i="9"/>
  <c r="D16" i="9"/>
  <c r="C12" i="9"/>
  <c r="D12" i="9"/>
  <c r="KS19" i="9"/>
  <c r="B19" i="9"/>
  <c r="I8" i="14"/>
  <c r="A66" i="9"/>
  <c r="C3" i="7"/>
  <c r="A53" i="9"/>
  <c r="U6" i="8"/>
  <c r="X6" i="8"/>
  <c r="U7" i="8"/>
  <c r="X7" i="8"/>
  <c r="U8" i="8"/>
  <c r="X8" i="8"/>
  <c r="U9" i="8"/>
  <c r="X9" i="8"/>
  <c r="U10" i="8"/>
  <c r="X10" i="8"/>
  <c r="U11" i="8"/>
  <c r="X11" i="8"/>
  <c r="U13" i="8"/>
  <c r="X13" i="8"/>
  <c r="U14" i="8"/>
  <c r="X14" i="8"/>
  <c r="U15" i="8"/>
  <c r="X15" i="8"/>
  <c r="U16" i="8"/>
  <c r="X16" i="8"/>
  <c r="U17" i="8"/>
  <c r="X17" i="8"/>
  <c r="U20" i="8"/>
  <c r="X20" i="8"/>
  <c r="U21" i="8"/>
  <c r="X21" i="8"/>
  <c r="U22" i="8"/>
  <c r="X22" i="8"/>
  <c r="U23" i="8"/>
  <c r="X23" i="8"/>
  <c r="V24" i="8"/>
  <c r="W6" i="8"/>
  <c r="X27" i="8" a="1"/>
  <c r="X27" i="8"/>
  <c r="W27" i="8"/>
  <c r="W9" i="8"/>
  <c r="W17" i="8"/>
  <c r="W21" i="8"/>
  <c r="W13" i="8"/>
  <c r="W10" i="8"/>
  <c r="W20" i="8"/>
  <c r="W16" i="8"/>
  <c r="W11" i="8"/>
  <c r="W23" i="8"/>
  <c r="W7" i="8"/>
  <c r="W15" i="8"/>
  <c r="W8" i="8"/>
  <c r="W14" i="8"/>
  <c r="W22" i="8"/>
  <c r="C51" i="7"/>
  <c r="G13" i="14"/>
  <c r="D52" i="14"/>
  <c r="I12" i="14"/>
  <c r="I10" i="14"/>
  <c r="I14" i="14"/>
  <c r="D66" i="9"/>
  <c r="C66" i="9"/>
  <c r="E47" i="9"/>
  <c r="E46" i="9"/>
  <c r="E66" i="9"/>
  <c r="F47" i="9"/>
  <c r="F46" i="9"/>
  <c r="F66" i="9"/>
  <c r="C55" i="9"/>
  <c r="D55" i="9"/>
  <c r="KS55" i="9"/>
  <c r="B56" i="9"/>
  <c r="KS56" i="9"/>
  <c r="C57" i="9"/>
  <c r="D58" i="9"/>
  <c r="D57" i="9"/>
  <c r="KS58" i="9"/>
  <c r="B59" i="9"/>
  <c r="KS59" i="9"/>
  <c r="C60" i="9"/>
  <c r="C53" i="9"/>
  <c r="D61" i="9"/>
  <c r="D62" i="9"/>
  <c r="B62" i="9"/>
  <c r="E62" i="9"/>
  <c r="KS62" i="9"/>
  <c r="D63" i="9"/>
  <c r="B63" i="9"/>
  <c r="E63" i="9"/>
  <c r="B66" i="9"/>
  <c r="KS66" i="9"/>
  <c r="F63" i="9"/>
  <c r="F62" i="9"/>
  <c r="F60" i="9"/>
  <c r="E61" i="9"/>
  <c r="E60" i="9"/>
  <c r="D60" i="9"/>
  <c r="KS60" i="9"/>
  <c r="KS63" i="9"/>
  <c r="B61" i="9"/>
  <c r="KS61" i="9"/>
  <c r="F61" i="9"/>
  <c r="F59" i="9"/>
  <c r="F57" i="9"/>
  <c r="F55" i="9"/>
  <c r="F56" i="9"/>
  <c r="F53" i="9"/>
  <c r="F58" i="9"/>
  <c r="D53" i="9"/>
  <c r="B53" i="9"/>
  <c r="KS57" i="9"/>
  <c r="B58" i="9"/>
  <c r="E59" i="9"/>
  <c r="E57" i="9"/>
  <c r="E55" i="9"/>
  <c r="E58" i="9"/>
  <c r="E53" i="9"/>
  <c r="E56" i="9"/>
  <c r="G47" i="9"/>
  <c r="G46" i="9"/>
  <c r="H47" i="9"/>
  <c r="KS53" i="9"/>
  <c r="H46" i="9"/>
  <c r="I47" i="9"/>
  <c r="G59" i="9"/>
  <c r="G57" i="9"/>
  <c r="G55" i="9"/>
  <c r="G63" i="9"/>
  <c r="G56" i="9"/>
  <c r="G53" i="9"/>
  <c r="G66" i="9"/>
  <c r="G58" i="9"/>
  <c r="G60" i="9"/>
  <c r="G61" i="9"/>
  <c r="G62" i="9"/>
  <c r="I46" i="9"/>
  <c r="J47" i="9"/>
  <c r="H57" i="9"/>
  <c r="H55" i="9"/>
  <c r="H63" i="9"/>
  <c r="H56" i="9"/>
  <c r="H53" i="9"/>
  <c r="H66" i="9"/>
  <c r="H58" i="9"/>
  <c r="H60" i="9"/>
  <c r="H61" i="9"/>
  <c r="H62" i="9"/>
  <c r="H59" i="9"/>
  <c r="J46" i="9"/>
  <c r="K47" i="9"/>
  <c r="I59" i="9"/>
  <c r="I57" i="9"/>
  <c r="I55" i="9"/>
  <c r="I56" i="9"/>
  <c r="I53" i="9"/>
  <c r="I66" i="9"/>
  <c r="I58" i="9"/>
  <c r="I63" i="9"/>
  <c r="I60" i="9"/>
  <c r="I61" i="9"/>
  <c r="I62" i="9"/>
  <c r="K46" i="9"/>
  <c r="L47" i="9"/>
  <c r="J59" i="9"/>
  <c r="J57" i="9"/>
  <c r="J63" i="9"/>
  <c r="J56" i="9"/>
  <c r="J53" i="9"/>
  <c r="J55" i="9"/>
  <c r="J62" i="9"/>
  <c r="J66" i="9"/>
  <c r="J58" i="9"/>
  <c r="J60" i="9"/>
  <c r="J61" i="9"/>
  <c r="L46" i="9"/>
  <c r="M47" i="9"/>
  <c r="K61" i="9"/>
  <c r="K59" i="9"/>
  <c r="K57" i="9"/>
  <c r="K63" i="9"/>
  <c r="K56" i="9"/>
  <c r="K53" i="9"/>
  <c r="K55" i="9"/>
  <c r="K62" i="9"/>
  <c r="K66" i="9"/>
  <c r="K58" i="9"/>
  <c r="K60" i="9"/>
  <c r="M46" i="9"/>
  <c r="N47" i="9"/>
  <c r="L59" i="9"/>
  <c r="L63" i="9"/>
  <c r="L56" i="9"/>
  <c r="L53" i="9"/>
  <c r="L62" i="9"/>
  <c r="L58" i="9"/>
  <c r="L57" i="9"/>
  <c r="L55" i="9"/>
  <c r="L66" i="9"/>
  <c r="L60" i="9"/>
  <c r="L61" i="9"/>
  <c r="N46" i="9"/>
  <c r="O47" i="9"/>
  <c r="M59" i="9"/>
  <c r="M56" i="9"/>
  <c r="M53" i="9"/>
  <c r="M62" i="9"/>
  <c r="M58" i="9"/>
  <c r="M57" i="9"/>
  <c r="M55" i="9"/>
  <c r="M66" i="9"/>
  <c r="M63" i="9"/>
  <c r="M60" i="9"/>
  <c r="M61" i="9"/>
  <c r="O46" i="9"/>
  <c r="P47" i="9"/>
  <c r="N56" i="9"/>
  <c r="N53" i="9"/>
  <c r="N55" i="9"/>
  <c r="N60" i="9"/>
  <c r="N62" i="9"/>
  <c r="N58" i="9"/>
  <c r="N57" i="9"/>
  <c r="N66" i="9"/>
  <c r="N63" i="9"/>
  <c r="N61" i="9"/>
  <c r="N59" i="9"/>
  <c r="P46" i="9"/>
  <c r="Q47" i="9"/>
  <c r="E51" i="9"/>
  <c r="O56" i="9"/>
  <c r="O53" i="9"/>
  <c r="O60" i="9"/>
  <c r="O62" i="9"/>
  <c r="O58" i="9"/>
  <c r="O57" i="9"/>
  <c r="O55" i="9"/>
  <c r="O66" i="9"/>
  <c r="O61" i="9"/>
  <c r="O59" i="9"/>
  <c r="O63" i="9"/>
  <c r="Q46" i="9"/>
  <c r="R47" i="9"/>
  <c r="P53" i="9"/>
  <c r="P56" i="9"/>
  <c r="P60" i="9"/>
  <c r="P62" i="9"/>
  <c r="P58" i="9"/>
  <c r="P57" i="9"/>
  <c r="P55" i="9"/>
  <c r="P63" i="9"/>
  <c r="P66" i="9"/>
  <c r="P61" i="9"/>
  <c r="P59" i="9"/>
  <c r="R46" i="9"/>
  <c r="S47" i="9"/>
  <c r="Q56" i="9"/>
  <c r="Q59" i="9"/>
  <c r="Q60" i="9"/>
  <c r="Q62" i="9"/>
  <c r="Q58" i="9"/>
  <c r="Q57" i="9"/>
  <c r="Q55" i="9"/>
  <c r="Q63" i="9"/>
  <c r="Q66" i="9"/>
  <c r="Q61" i="9"/>
  <c r="S46" i="9"/>
  <c r="T47" i="9"/>
  <c r="R56" i="9"/>
  <c r="R59" i="9"/>
  <c r="R60" i="9"/>
  <c r="R62" i="9"/>
  <c r="R58" i="9"/>
  <c r="R57" i="9"/>
  <c r="R55" i="9"/>
  <c r="R63" i="9"/>
  <c r="R66" i="9"/>
  <c r="R61" i="9"/>
  <c r="T46" i="9"/>
  <c r="U47" i="9"/>
  <c r="S58" i="9"/>
  <c r="S56" i="9"/>
  <c r="S61" i="9"/>
  <c r="S59" i="9"/>
  <c r="S60" i="9"/>
  <c r="S62" i="9"/>
  <c r="S57" i="9"/>
  <c r="S63" i="9"/>
  <c r="S55" i="9"/>
  <c r="S66" i="9"/>
  <c r="U46" i="9"/>
  <c r="V47" i="9"/>
  <c r="T58" i="9"/>
  <c r="T56" i="9"/>
  <c r="T60" i="9"/>
  <c r="T61" i="9"/>
  <c r="T59" i="9"/>
  <c r="T62" i="9"/>
  <c r="T57" i="9"/>
  <c r="T63" i="9"/>
  <c r="T55" i="9"/>
  <c r="T66" i="9"/>
  <c r="V46" i="9"/>
  <c r="W47" i="9"/>
  <c r="U60" i="9"/>
  <c r="U58" i="9"/>
  <c r="U56" i="9"/>
  <c r="U57" i="9"/>
  <c r="U63" i="9"/>
  <c r="U61" i="9"/>
  <c r="U59" i="9"/>
  <c r="U62" i="9"/>
  <c r="U55" i="9"/>
  <c r="U66" i="9"/>
  <c r="W46" i="9"/>
  <c r="X47" i="9"/>
  <c r="V56" i="9"/>
  <c r="V57" i="9"/>
  <c r="V60" i="9"/>
  <c r="V62" i="9"/>
  <c r="V63" i="9"/>
  <c r="V61" i="9"/>
  <c r="V59" i="9"/>
  <c r="V58" i="9"/>
  <c r="V55" i="9"/>
  <c r="V66" i="9"/>
  <c r="Y47" i="9"/>
  <c r="X46" i="9"/>
  <c r="W58" i="9"/>
  <c r="W56" i="9"/>
  <c r="W55" i="9"/>
  <c r="W57" i="9"/>
  <c r="W60" i="9"/>
  <c r="W62" i="9"/>
  <c r="W66" i="9"/>
  <c r="W63" i="9"/>
  <c r="W61" i="9"/>
  <c r="W59" i="9"/>
  <c r="X58" i="9"/>
  <c r="X56" i="9"/>
  <c r="X55" i="9"/>
  <c r="X57" i="9"/>
  <c r="X60" i="9"/>
  <c r="X62" i="9"/>
  <c r="X63" i="9"/>
  <c r="X61" i="9"/>
  <c r="X59" i="9"/>
  <c r="X66" i="9"/>
  <c r="Z47" i="9"/>
  <c r="Y46" i="9"/>
  <c r="AA47" i="9"/>
  <c r="Z46" i="9"/>
  <c r="Y60" i="9"/>
  <c r="Y58" i="9"/>
  <c r="Y56" i="9"/>
  <c r="Y55" i="9"/>
  <c r="Y57" i="9"/>
  <c r="Y62" i="9"/>
  <c r="Y63" i="9"/>
  <c r="Y61" i="9"/>
  <c r="Y59" i="9"/>
  <c r="Y66" i="9"/>
  <c r="Z60" i="9"/>
  <c r="Z58" i="9"/>
  <c r="Z56" i="9"/>
  <c r="Z61" i="9"/>
  <c r="Z55" i="9"/>
  <c r="Z57" i="9"/>
  <c r="Z62" i="9"/>
  <c r="Z66" i="9"/>
  <c r="Z63" i="9"/>
  <c r="Z59" i="9"/>
  <c r="AB47" i="9"/>
  <c r="AA46" i="9"/>
  <c r="AA58" i="9"/>
  <c r="AA56" i="9"/>
  <c r="AA59" i="9"/>
  <c r="AA61" i="9"/>
  <c r="AA55" i="9"/>
  <c r="AA60" i="9"/>
  <c r="AA57" i="9"/>
  <c r="AA62" i="9"/>
  <c r="AA63" i="9"/>
  <c r="AA66" i="9"/>
  <c r="AC47" i="9"/>
  <c r="AB46" i="9"/>
  <c r="Q51" i="9"/>
  <c r="AB59" i="9"/>
  <c r="AB61" i="9"/>
  <c r="AB55" i="9"/>
  <c r="AB60" i="9"/>
  <c r="AB57" i="9"/>
  <c r="AB56" i="9"/>
  <c r="AB63" i="9"/>
  <c r="AB62" i="9"/>
  <c r="AB58" i="9"/>
  <c r="AB66" i="9"/>
  <c r="AD47" i="9"/>
  <c r="AC46" i="9"/>
  <c r="AE47" i="9"/>
  <c r="AD46" i="9"/>
  <c r="AC59" i="9"/>
  <c r="AC61" i="9"/>
  <c r="AC55" i="9"/>
  <c r="AC60" i="9"/>
  <c r="AC57" i="9"/>
  <c r="AC56" i="9"/>
  <c r="AC63" i="9"/>
  <c r="AC58" i="9"/>
  <c r="AC66" i="9"/>
  <c r="AC62" i="9"/>
  <c r="AD59" i="9"/>
  <c r="AD61" i="9"/>
  <c r="AD55" i="9"/>
  <c r="AD57" i="9"/>
  <c r="AD56" i="9"/>
  <c r="AD60" i="9"/>
  <c r="AD63" i="9"/>
  <c r="AD62" i="9"/>
  <c r="AD58" i="9"/>
  <c r="AD66" i="9"/>
  <c r="AF47" i="9"/>
  <c r="AE46" i="9"/>
  <c r="AE59" i="9"/>
  <c r="AE61" i="9"/>
  <c r="AE55" i="9"/>
  <c r="AE57" i="9"/>
  <c r="AE63" i="9"/>
  <c r="AE60" i="9"/>
  <c r="AE56" i="9"/>
  <c r="AE58" i="9"/>
  <c r="AE66" i="9"/>
  <c r="AE62" i="9"/>
  <c r="AG47" i="9"/>
  <c r="AF46" i="9"/>
  <c r="AF55" i="9"/>
  <c r="AF59" i="9"/>
  <c r="AF61" i="9"/>
  <c r="AF60" i="9"/>
  <c r="AF56" i="9"/>
  <c r="AF63" i="9"/>
  <c r="AF66" i="9"/>
  <c r="AF58" i="9"/>
  <c r="AF57" i="9"/>
  <c r="AF62" i="9"/>
  <c r="AH47" i="9"/>
  <c r="AG46" i="9"/>
  <c r="AG55" i="9"/>
  <c r="AG58" i="9"/>
  <c r="AG59" i="9"/>
  <c r="AG57" i="9"/>
  <c r="AG61" i="9"/>
  <c r="AG60" i="9"/>
  <c r="AG56" i="9"/>
  <c r="AG66" i="9"/>
  <c r="AG63" i="9"/>
  <c r="AG62" i="9"/>
  <c r="AI47" i="9"/>
  <c r="AH46" i="9"/>
  <c r="AH57" i="9"/>
  <c r="AH55" i="9"/>
  <c r="AH58" i="9"/>
  <c r="AH59" i="9"/>
  <c r="AH61" i="9"/>
  <c r="AH60" i="9"/>
  <c r="AH56" i="9"/>
  <c r="AH63" i="9"/>
  <c r="AH66" i="9"/>
  <c r="AH62" i="9"/>
  <c r="AJ47" i="9"/>
  <c r="AI46" i="9"/>
  <c r="AI57" i="9"/>
  <c r="AI55" i="9"/>
  <c r="AI58" i="9"/>
  <c r="AI59" i="9"/>
  <c r="AI61" i="9"/>
  <c r="AI60" i="9"/>
  <c r="AI56" i="9"/>
  <c r="AI62" i="9"/>
  <c r="AI63" i="9"/>
  <c r="AI66" i="9"/>
  <c r="AK47" i="9"/>
  <c r="AJ46" i="9"/>
  <c r="AJ57" i="9"/>
  <c r="AJ55" i="9"/>
  <c r="AJ58" i="9"/>
  <c r="AJ66" i="9"/>
  <c r="AJ59" i="9"/>
  <c r="AJ61" i="9"/>
  <c r="AJ60" i="9"/>
  <c r="AJ56" i="9"/>
  <c r="AJ63" i="9"/>
  <c r="AJ62" i="9"/>
  <c r="AK46" i="9"/>
  <c r="AL47" i="9"/>
  <c r="AL46" i="9"/>
  <c r="AM47" i="9"/>
  <c r="AK59" i="9"/>
  <c r="AK57" i="9"/>
  <c r="AK55" i="9"/>
  <c r="AK58" i="9"/>
  <c r="AK66" i="9"/>
  <c r="AK61" i="9"/>
  <c r="AK60" i="9"/>
  <c r="AK63" i="9"/>
  <c r="AK62" i="9"/>
  <c r="AK56" i="9"/>
  <c r="AM46" i="9"/>
  <c r="AN47" i="9"/>
  <c r="AL61" i="9"/>
  <c r="AL59" i="9"/>
  <c r="AL57" i="9"/>
  <c r="AL55" i="9"/>
  <c r="AL58" i="9"/>
  <c r="AL66" i="9"/>
  <c r="AL60" i="9"/>
  <c r="AL63" i="9"/>
  <c r="AL62" i="9"/>
  <c r="AL56" i="9"/>
  <c r="AN46" i="9"/>
  <c r="AO47" i="9"/>
  <c r="AC51" i="9"/>
  <c r="AM59" i="9"/>
  <c r="AM57" i="9"/>
  <c r="AM55" i="9"/>
  <c r="AM63" i="9"/>
  <c r="AM58" i="9"/>
  <c r="AM66" i="9"/>
  <c r="AM61" i="9"/>
  <c r="AM60" i="9"/>
  <c r="AM62" i="9"/>
  <c r="AM56" i="9"/>
  <c r="AO46" i="9"/>
  <c r="AP47" i="9"/>
  <c r="AN57" i="9"/>
  <c r="AN55" i="9"/>
  <c r="AN63" i="9"/>
  <c r="AN58" i="9"/>
  <c r="AN66" i="9"/>
  <c r="AN59" i="9"/>
  <c r="AN61" i="9"/>
  <c r="AN60" i="9"/>
  <c r="AN62" i="9"/>
  <c r="AN56" i="9"/>
  <c r="AP46" i="9"/>
  <c r="AQ47" i="9"/>
  <c r="AO59" i="9"/>
  <c r="AO57" i="9"/>
  <c r="AO55" i="9"/>
  <c r="AO58" i="9"/>
  <c r="AO66" i="9"/>
  <c r="AO61" i="9"/>
  <c r="AO60" i="9"/>
  <c r="AO63" i="9"/>
  <c r="AO62" i="9"/>
  <c r="AO56" i="9"/>
  <c r="AQ46" i="9"/>
  <c r="AR47" i="9"/>
  <c r="AP59" i="9"/>
  <c r="AP57" i="9"/>
  <c r="AP63" i="9"/>
  <c r="AP55" i="9"/>
  <c r="AP58" i="9"/>
  <c r="AP56" i="9"/>
  <c r="AP66" i="9"/>
  <c r="AP61" i="9"/>
  <c r="AP60" i="9"/>
  <c r="AP62" i="9"/>
  <c r="AR46" i="9"/>
  <c r="AS47" i="9"/>
  <c r="AQ61" i="9"/>
  <c r="AQ59" i="9"/>
  <c r="AQ57" i="9"/>
  <c r="AQ63" i="9"/>
  <c r="AQ55" i="9"/>
  <c r="AQ56" i="9"/>
  <c r="AQ66" i="9"/>
  <c r="AQ62" i="9"/>
  <c r="AQ58" i="9"/>
  <c r="AQ60" i="9"/>
  <c r="AS46" i="9"/>
  <c r="AT47" i="9"/>
  <c r="AR59" i="9"/>
  <c r="AR63" i="9"/>
  <c r="AR55" i="9"/>
  <c r="AR57" i="9"/>
  <c r="AR56" i="9"/>
  <c r="AR66" i="9"/>
  <c r="AR58" i="9"/>
  <c r="AR60" i="9"/>
  <c r="AR62" i="9"/>
  <c r="AR61" i="9"/>
  <c r="AT46" i="9"/>
  <c r="AU47" i="9"/>
  <c r="AS56" i="9"/>
  <c r="AS55" i="9"/>
  <c r="AS58" i="9"/>
  <c r="AS57" i="9"/>
  <c r="AS66" i="9"/>
  <c r="AS59" i="9"/>
  <c r="AS63" i="9"/>
  <c r="AS61" i="9"/>
  <c r="AS62" i="9"/>
  <c r="AS60" i="9"/>
  <c r="AU46" i="9"/>
  <c r="AV47" i="9"/>
  <c r="AT56" i="9"/>
  <c r="AT59" i="9"/>
  <c r="AT55" i="9"/>
  <c r="AT58" i="9"/>
  <c r="AT57" i="9"/>
  <c r="AT66" i="9"/>
  <c r="AT63" i="9"/>
  <c r="AT62" i="9"/>
  <c r="AT60" i="9"/>
  <c r="AT61" i="9"/>
  <c r="AV46" i="9"/>
  <c r="AW47" i="9"/>
  <c r="AU56" i="9"/>
  <c r="AU59" i="9"/>
  <c r="AU55" i="9"/>
  <c r="AU57" i="9"/>
  <c r="AU62" i="9"/>
  <c r="AU66" i="9"/>
  <c r="AU58" i="9"/>
  <c r="AU63" i="9"/>
  <c r="AU60" i="9"/>
  <c r="AU61" i="9"/>
  <c r="AW46" i="9"/>
  <c r="AX47" i="9"/>
  <c r="AV56" i="9"/>
  <c r="AV55" i="9"/>
  <c r="AV62" i="9"/>
  <c r="AV59" i="9"/>
  <c r="AV66" i="9"/>
  <c r="AV63" i="9"/>
  <c r="AV57" i="9"/>
  <c r="AV58" i="9"/>
  <c r="AV60" i="9"/>
  <c r="AV61" i="9"/>
  <c r="AX46" i="9"/>
  <c r="AY47" i="9"/>
  <c r="AW56" i="9"/>
  <c r="AW55" i="9"/>
  <c r="AW62" i="9"/>
  <c r="AW59" i="9"/>
  <c r="AW66" i="9"/>
  <c r="AW63" i="9"/>
  <c r="AW57" i="9"/>
  <c r="AW58" i="9"/>
  <c r="AW60" i="9"/>
  <c r="AW61" i="9"/>
  <c r="AY46" i="9"/>
  <c r="AZ47" i="9"/>
  <c r="AX56" i="9"/>
  <c r="AX55" i="9"/>
  <c r="AX62" i="9"/>
  <c r="AX59" i="9"/>
  <c r="AX66" i="9"/>
  <c r="AX63" i="9"/>
  <c r="AX57" i="9"/>
  <c r="AX58" i="9"/>
  <c r="AX61" i="9"/>
  <c r="AX60" i="9"/>
  <c r="AZ46" i="9"/>
  <c r="BA47" i="9"/>
  <c r="AO51" i="9"/>
  <c r="AY58" i="9"/>
  <c r="AY56" i="9"/>
  <c r="AY55" i="9"/>
  <c r="AY62" i="9"/>
  <c r="AY59" i="9"/>
  <c r="AY66" i="9"/>
  <c r="AY57" i="9"/>
  <c r="AY63" i="9"/>
  <c r="AY60" i="9"/>
  <c r="AY61" i="9"/>
  <c r="BA46" i="9"/>
  <c r="BB47" i="9"/>
  <c r="AZ58" i="9"/>
  <c r="AZ56" i="9"/>
  <c r="AZ55" i="9"/>
  <c r="AZ62" i="9"/>
  <c r="AZ59" i="9"/>
  <c r="AZ66" i="9"/>
  <c r="AZ57" i="9"/>
  <c r="AZ63" i="9"/>
  <c r="AZ61" i="9"/>
  <c r="AZ60" i="9"/>
  <c r="BB46" i="9"/>
  <c r="BC47" i="9"/>
  <c r="BA60" i="9"/>
  <c r="BA58" i="9"/>
  <c r="BA56" i="9"/>
  <c r="BA55" i="9"/>
  <c r="BA62" i="9"/>
  <c r="BA63" i="9"/>
  <c r="BA61" i="9"/>
  <c r="BA66" i="9"/>
  <c r="BA57" i="9"/>
  <c r="BA59" i="9"/>
  <c r="BC46" i="9"/>
  <c r="BD47" i="9"/>
  <c r="BB56" i="9"/>
  <c r="BB62" i="9"/>
  <c r="BB57" i="9"/>
  <c r="BB55" i="9"/>
  <c r="BB61" i="9"/>
  <c r="BB66" i="9"/>
  <c r="BB58" i="9"/>
  <c r="BB63" i="9"/>
  <c r="BB60" i="9"/>
  <c r="BB59" i="9"/>
  <c r="BE47" i="9"/>
  <c r="BD46" i="9"/>
  <c r="BC58" i="9"/>
  <c r="BC56" i="9"/>
  <c r="BC62" i="9"/>
  <c r="BC66" i="9"/>
  <c r="BC57" i="9"/>
  <c r="BC55" i="9"/>
  <c r="BC61" i="9"/>
  <c r="BC63" i="9"/>
  <c r="BC60" i="9"/>
  <c r="BC59" i="9"/>
  <c r="BD58" i="9"/>
  <c r="BD56" i="9"/>
  <c r="BD60" i="9"/>
  <c r="BD62" i="9"/>
  <c r="BD57" i="9"/>
  <c r="BD55" i="9"/>
  <c r="BD59" i="9"/>
  <c r="BD61" i="9"/>
  <c r="BD63" i="9"/>
  <c r="BD66" i="9"/>
  <c r="BF47" i="9"/>
  <c r="BE46" i="9"/>
  <c r="BG47" i="9"/>
  <c r="BF46" i="9"/>
  <c r="BE58" i="9"/>
  <c r="BE56" i="9"/>
  <c r="BE60" i="9"/>
  <c r="BE62" i="9"/>
  <c r="BE57" i="9"/>
  <c r="BE55" i="9"/>
  <c r="BE59" i="9"/>
  <c r="BE61" i="9"/>
  <c r="BE63" i="9"/>
  <c r="BE66" i="9"/>
  <c r="BF60" i="9"/>
  <c r="BF58" i="9"/>
  <c r="BF56" i="9"/>
  <c r="BF62" i="9"/>
  <c r="BF66" i="9"/>
  <c r="BF63" i="9"/>
  <c r="BF57" i="9"/>
  <c r="BF55" i="9"/>
  <c r="BF59" i="9"/>
  <c r="BF61" i="9"/>
  <c r="BH47" i="9"/>
  <c r="BG46" i="9"/>
  <c r="BG58" i="9"/>
  <c r="BG56" i="9"/>
  <c r="BG60" i="9"/>
  <c r="BG62" i="9"/>
  <c r="BG63" i="9"/>
  <c r="BG57" i="9"/>
  <c r="BG55" i="9"/>
  <c r="BG59" i="9"/>
  <c r="BG61" i="9"/>
  <c r="BG66" i="9"/>
  <c r="BI47" i="9"/>
  <c r="BH46" i="9"/>
  <c r="BH61" i="9"/>
  <c r="BH60" i="9"/>
  <c r="BH56" i="9"/>
  <c r="BH63" i="9"/>
  <c r="BH57" i="9"/>
  <c r="BH62" i="9"/>
  <c r="BH55" i="9"/>
  <c r="BH59" i="9"/>
  <c r="BH66" i="9"/>
  <c r="BH58" i="9"/>
  <c r="BJ47" i="9"/>
  <c r="BI46" i="9"/>
  <c r="BI61" i="9"/>
  <c r="BI60" i="9"/>
  <c r="BI56" i="9"/>
  <c r="BI58" i="9"/>
  <c r="BI63" i="9"/>
  <c r="BI57" i="9"/>
  <c r="BI62" i="9"/>
  <c r="BI55" i="9"/>
  <c r="BI66" i="9"/>
  <c r="BI59" i="9"/>
  <c r="BK47" i="9"/>
  <c r="BJ46" i="9"/>
  <c r="BL47" i="9"/>
  <c r="BK46" i="9"/>
  <c r="BJ61" i="9"/>
  <c r="BJ60" i="9"/>
  <c r="BJ56" i="9"/>
  <c r="BJ58" i="9"/>
  <c r="BJ63" i="9"/>
  <c r="BJ57" i="9"/>
  <c r="BJ62" i="9"/>
  <c r="BJ55" i="9"/>
  <c r="BJ66" i="9"/>
  <c r="BJ59" i="9"/>
  <c r="BK57" i="9"/>
  <c r="BK61" i="9"/>
  <c r="BK60" i="9"/>
  <c r="BK56" i="9"/>
  <c r="BK62" i="9"/>
  <c r="BK58" i="9"/>
  <c r="BK63" i="9"/>
  <c r="BK55" i="9"/>
  <c r="BK66" i="9"/>
  <c r="BK59" i="9"/>
  <c r="BM47" i="9"/>
  <c r="BL46" i="9"/>
  <c r="BA51" i="9"/>
  <c r="BL55" i="9"/>
  <c r="BL57" i="9"/>
  <c r="BL61" i="9"/>
  <c r="BL56" i="9"/>
  <c r="BL62" i="9"/>
  <c r="BL58" i="9"/>
  <c r="BL63" i="9"/>
  <c r="BL59" i="9"/>
  <c r="BL60" i="9"/>
  <c r="BL66" i="9"/>
  <c r="BN47" i="9"/>
  <c r="BM46" i="9"/>
  <c r="BM55" i="9"/>
  <c r="BM57" i="9"/>
  <c r="BM61" i="9"/>
  <c r="BM56" i="9"/>
  <c r="BM60" i="9"/>
  <c r="BM58" i="9"/>
  <c r="BM63" i="9"/>
  <c r="BM62" i="9"/>
  <c r="BM59" i="9"/>
  <c r="BM66" i="9"/>
  <c r="BO47" i="9"/>
  <c r="BN46" i="9"/>
  <c r="BN57" i="9"/>
  <c r="BN55" i="9"/>
  <c r="BN59" i="9"/>
  <c r="BN61" i="9"/>
  <c r="BN56" i="9"/>
  <c r="BN60" i="9"/>
  <c r="BN58" i="9"/>
  <c r="BN63" i="9"/>
  <c r="BN62" i="9"/>
  <c r="BN66" i="9"/>
  <c r="BP47" i="9"/>
  <c r="BO46" i="9"/>
  <c r="BO57" i="9"/>
  <c r="BO55" i="9"/>
  <c r="BO59" i="9"/>
  <c r="BO56" i="9"/>
  <c r="BO61" i="9"/>
  <c r="BO60" i="9"/>
  <c r="BO63" i="9"/>
  <c r="BO58" i="9"/>
  <c r="BO62" i="9"/>
  <c r="BO66" i="9"/>
  <c r="BQ47" i="9"/>
  <c r="BP46" i="9"/>
  <c r="BP57" i="9"/>
  <c r="BP55" i="9"/>
  <c r="BP59" i="9"/>
  <c r="BP56" i="9"/>
  <c r="BP61" i="9"/>
  <c r="BP63" i="9"/>
  <c r="BP60" i="9"/>
  <c r="BP58" i="9"/>
  <c r="BP62" i="9"/>
  <c r="BP66" i="9"/>
  <c r="BQ46" i="9"/>
  <c r="BR47" i="9"/>
  <c r="BQ59" i="9"/>
  <c r="BQ57" i="9"/>
  <c r="BQ55" i="9"/>
  <c r="BQ56" i="9"/>
  <c r="BQ61" i="9"/>
  <c r="BQ60" i="9"/>
  <c r="BQ58" i="9"/>
  <c r="BQ66" i="9"/>
  <c r="BQ62" i="9"/>
  <c r="BQ63" i="9"/>
  <c r="BR46" i="9"/>
  <c r="BS47" i="9"/>
  <c r="BR61" i="9"/>
  <c r="BR59" i="9"/>
  <c r="BR57" i="9"/>
  <c r="BR55" i="9"/>
  <c r="BR56" i="9"/>
  <c r="BR66" i="9"/>
  <c r="BR60" i="9"/>
  <c r="BR58" i="9"/>
  <c r="BR62" i="9"/>
  <c r="BR63" i="9"/>
  <c r="BS46" i="9"/>
  <c r="BT47" i="9"/>
  <c r="BT46" i="9"/>
  <c r="BU47" i="9"/>
  <c r="BS59" i="9"/>
  <c r="BS57" i="9"/>
  <c r="BS55" i="9"/>
  <c r="BS63" i="9"/>
  <c r="BS56" i="9"/>
  <c r="BS66" i="9"/>
  <c r="BS61" i="9"/>
  <c r="BS60" i="9"/>
  <c r="BS58" i="9"/>
  <c r="BS62" i="9"/>
  <c r="BU46" i="9"/>
  <c r="BV47" i="9"/>
  <c r="BT57" i="9"/>
  <c r="BT55" i="9"/>
  <c r="BT63" i="9"/>
  <c r="BT59" i="9"/>
  <c r="BT56" i="9"/>
  <c r="BT66" i="9"/>
  <c r="BT61" i="9"/>
  <c r="BT60" i="9"/>
  <c r="BT58" i="9"/>
  <c r="BT62" i="9"/>
  <c r="BV46" i="9"/>
  <c r="BW47" i="9"/>
  <c r="BU59" i="9"/>
  <c r="BU57" i="9"/>
  <c r="BU55" i="9"/>
  <c r="BU58" i="9"/>
  <c r="BU66" i="9"/>
  <c r="BU56" i="9"/>
  <c r="BU61" i="9"/>
  <c r="BU60" i="9"/>
  <c r="BU62" i="9"/>
  <c r="BU63" i="9"/>
  <c r="BW46" i="9"/>
  <c r="BX47" i="9"/>
  <c r="BV59" i="9"/>
  <c r="BV57" i="9"/>
  <c r="BV58" i="9"/>
  <c r="BV63" i="9"/>
  <c r="BV56" i="9"/>
  <c r="BV66" i="9"/>
  <c r="BV61" i="9"/>
  <c r="BV60" i="9"/>
  <c r="BV55" i="9"/>
  <c r="BV62" i="9"/>
  <c r="BX46" i="9"/>
  <c r="BY47" i="9"/>
  <c r="BM51" i="9"/>
  <c r="BW61" i="9"/>
  <c r="BW59" i="9"/>
  <c r="BW57" i="9"/>
  <c r="BW55" i="9"/>
  <c r="BW58" i="9"/>
  <c r="BW63" i="9"/>
  <c r="BW56" i="9"/>
  <c r="BW66" i="9"/>
  <c r="BW60" i="9"/>
  <c r="BW62" i="9"/>
  <c r="BY46" i="9"/>
  <c r="BZ47" i="9"/>
  <c r="BX55" i="9"/>
  <c r="BX57" i="9"/>
  <c r="BX58" i="9"/>
  <c r="BX59" i="9"/>
  <c r="BX63" i="9"/>
  <c r="BX56" i="9"/>
  <c r="BX66" i="9"/>
  <c r="BX61" i="9"/>
  <c r="BX60" i="9"/>
  <c r="BX62" i="9"/>
  <c r="BZ46" i="9"/>
  <c r="CA47" i="9"/>
  <c r="BY55" i="9"/>
  <c r="BY57" i="9"/>
  <c r="BY58" i="9"/>
  <c r="BY59" i="9"/>
  <c r="BY66" i="9"/>
  <c r="BY56" i="9"/>
  <c r="BY61" i="9"/>
  <c r="BY60" i="9"/>
  <c r="BY62" i="9"/>
  <c r="BY63" i="9"/>
  <c r="CA46" i="9"/>
  <c r="CB47" i="9"/>
  <c r="BZ55" i="9"/>
  <c r="BZ57" i="9"/>
  <c r="BZ58" i="9"/>
  <c r="BZ59" i="9"/>
  <c r="BZ56" i="9"/>
  <c r="BZ66" i="9"/>
  <c r="BZ61" i="9"/>
  <c r="BZ60" i="9"/>
  <c r="BZ63" i="9"/>
  <c r="BZ62" i="9"/>
  <c r="CB46" i="9"/>
  <c r="CC47" i="9"/>
  <c r="CA55" i="9"/>
  <c r="CA57" i="9"/>
  <c r="CA58" i="9"/>
  <c r="CA59" i="9"/>
  <c r="CA66" i="9"/>
  <c r="CA56" i="9"/>
  <c r="CA61" i="9"/>
  <c r="CA60" i="9"/>
  <c r="CA62" i="9"/>
  <c r="CA63" i="9"/>
  <c r="CC46" i="9"/>
  <c r="CD47" i="9"/>
  <c r="CB55" i="9"/>
  <c r="CB57" i="9"/>
  <c r="CB58" i="9"/>
  <c r="CB59" i="9"/>
  <c r="CB66" i="9"/>
  <c r="CB56" i="9"/>
  <c r="CB61" i="9"/>
  <c r="CB60" i="9"/>
  <c r="CB63" i="9"/>
  <c r="CB62" i="9"/>
  <c r="CD46" i="9"/>
  <c r="CE47" i="9"/>
  <c r="CC55" i="9"/>
  <c r="CC57" i="9"/>
  <c r="CC58" i="9"/>
  <c r="CC56" i="9"/>
  <c r="CC61" i="9"/>
  <c r="CC60" i="9"/>
  <c r="CC63" i="9"/>
  <c r="CC59" i="9"/>
  <c r="CC62" i="9"/>
  <c r="CC66" i="9"/>
  <c r="CE46" i="9"/>
  <c r="CF47" i="9"/>
  <c r="CD56" i="9"/>
  <c r="CD55" i="9"/>
  <c r="CD57" i="9"/>
  <c r="CD59" i="9"/>
  <c r="CD58" i="9"/>
  <c r="CD60" i="9"/>
  <c r="CD63" i="9"/>
  <c r="CD62" i="9"/>
  <c r="CD61" i="9"/>
  <c r="CD66" i="9"/>
  <c r="CF46" i="9"/>
  <c r="CG47" i="9"/>
  <c r="CE58" i="9"/>
  <c r="CE56" i="9"/>
  <c r="CE55" i="9"/>
  <c r="CE57" i="9"/>
  <c r="CE59" i="9"/>
  <c r="CE61" i="9"/>
  <c r="CE63" i="9"/>
  <c r="CE66" i="9"/>
  <c r="CE62" i="9"/>
  <c r="CE60" i="9"/>
  <c r="CG46" i="9"/>
  <c r="CH47" i="9"/>
  <c r="CF58" i="9"/>
  <c r="CF56" i="9"/>
  <c r="CF55" i="9"/>
  <c r="CF59" i="9"/>
  <c r="CF57" i="9"/>
  <c r="CF61" i="9"/>
  <c r="CF60" i="9"/>
  <c r="CF66" i="9"/>
  <c r="CF63" i="9"/>
  <c r="CF62" i="9"/>
  <c r="CH46" i="9"/>
  <c r="CI47" i="9"/>
  <c r="CG60" i="9"/>
  <c r="CG58" i="9"/>
  <c r="CG56" i="9"/>
  <c r="CG55" i="9"/>
  <c r="CG57" i="9"/>
  <c r="CG59" i="9"/>
  <c r="CG62" i="9"/>
  <c r="CG66" i="9"/>
  <c r="CG63" i="9"/>
  <c r="CG61" i="9"/>
  <c r="CI46" i="9"/>
  <c r="CJ47" i="9"/>
  <c r="CH56" i="9"/>
  <c r="CH62" i="9"/>
  <c r="CH55" i="9"/>
  <c r="CH57" i="9"/>
  <c r="CH59" i="9"/>
  <c r="CH58" i="9"/>
  <c r="CH66" i="9"/>
  <c r="CH60" i="9"/>
  <c r="CH63" i="9"/>
  <c r="CH61" i="9"/>
  <c r="CK47" i="9"/>
  <c r="CJ46" i="9"/>
  <c r="BY51" i="9"/>
  <c r="CI58" i="9"/>
  <c r="CI56" i="9"/>
  <c r="CI62" i="9"/>
  <c r="CI66" i="9"/>
  <c r="CI55" i="9"/>
  <c r="CI57" i="9"/>
  <c r="CI59" i="9"/>
  <c r="CI60" i="9"/>
  <c r="CI63" i="9"/>
  <c r="CI61" i="9"/>
  <c r="CJ58" i="9"/>
  <c r="CJ56" i="9"/>
  <c r="CJ62" i="9"/>
  <c r="CJ55" i="9"/>
  <c r="CJ57" i="9"/>
  <c r="CJ59" i="9"/>
  <c r="CJ60" i="9"/>
  <c r="CJ66" i="9"/>
  <c r="CJ63" i="9"/>
  <c r="CJ61" i="9"/>
  <c r="CL47" i="9"/>
  <c r="CK46" i="9"/>
  <c r="CM47" i="9"/>
  <c r="CL46" i="9"/>
  <c r="CK58" i="9"/>
  <c r="CK56" i="9"/>
  <c r="CK62" i="9"/>
  <c r="CK55" i="9"/>
  <c r="CK57" i="9"/>
  <c r="CK59" i="9"/>
  <c r="CK60" i="9"/>
  <c r="CK66" i="9"/>
  <c r="CK63" i="9"/>
  <c r="CK61" i="9"/>
  <c r="CL60" i="9"/>
  <c r="CL58" i="9"/>
  <c r="CL56" i="9"/>
  <c r="CL62" i="9"/>
  <c r="CL66" i="9"/>
  <c r="CL55" i="9"/>
  <c r="CL59" i="9"/>
  <c r="CL57" i="9"/>
  <c r="CL63" i="9"/>
  <c r="CL61" i="9"/>
  <c r="CN47" i="9"/>
  <c r="CM46" i="9"/>
  <c r="CO47" i="9"/>
  <c r="CN46" i="9"/>
  <c r="CM58" i="9"/>
  <c r="CM56" i="9"/>
  <c r="CM60" i="9"/>
  <c r="CM62" i="9"/>
  <c r="CM55" i="9"/>
  <c r="CM59" i="9"/>
  <c r="CM57" i="9"/>
  <c r="CM66" i="9"/>
  <c r="CM63" i="9"/>
  <c r="CM61" i="9"/>
  <c r="CN60" i="9"/>
  <c r="CN55" i="9"/>
  <c r="CN62" i="9"/>
  <c r="CN59" i="9"/>
  <c r="CN56" i="9"/>
  <c r="CN57" i="9"/>
  <c r="CN58" i="9"/>
  <c r="CN66" i="9"/>
  <c r="CN63" i="9"/>
  <c r="CN61" i="9"/>
  <c r="CP47" i="9"/>
  <c r="CO46" i="9"/>
  <c r="CO60" i="9"/>
  <c r="CO58" i="9"/>
  <c r="CO62" i="9"/>
  <c r="CO59" i="9"/>
  <c r="CO55" i="9"/>
  <c r="CO56" i="9"/>
  <c r="CO57" i="9"/>
  <c r="CO66" i="9"/>
  <c r="CO63" i="9"/>
  <c r="CO61" i="9"/>
  <c r="CQ47" i="9"/>
  <c r="CP46" i="9"/>
  <c r="CP61" i="9"/>
  <c r="CP60" i="9"/>
  <c r="CP58" i="9"/>
  <c r="CP62" i="9"/>
  <c r="CP59" i="9"/>
  <c r="CP55" i="9"/>
  <c r="CP56" i="9"/>
  <c r="CP57" i="9"/>
  <c r="CP66" i="9"/>
  <c r="CP63" i="9"/>
  <c r="CR47" i="9"/>
  <c r="CQ46" i="9"/>
  <c r="CQ61" i="9"/>
  <c r="CQ60" i="9"/>
  <c r="CQ63" i="9"/>
  <c r="CQ62" i="9"/>
  <c r="CQ59" i="9"/>
  <c r="CQ55" i="9"/>
  <c r="CQ56" i="9"/>
  <c r="CQ57" i="9"/>
  <c r="CQ58" i="9"/>
  <c r="CQ66" i="9"/>
  <c r="CS47" i="9"/>
  <c r="CR46" i="9"/>
  <c r="CR55" i="9"/>
  <c r="CR61" i="9"/>
  <c r="CR60" i="9"/>
  <c r="CR63" i="9"/>
  <c r="CR62" i="9"/>
  <c r="CR59" i="9"/>
  <c r="CR56" i="9"/>
  <c r="CR57" i="9"/>
  <c r="CR58" i="9"/>
  <c r="CR66" i="9"/>
  <c r="CT47" i="9"/>
  <c r="CS46" i="9"/>
  <c r="CS55" i="9"/>
  <c r="CS56" i="9"/>
  <c r="CS61" i="9"/>
  <c r="CS60" i="9"/>
  <c r="CS63" i="9"/>
  <c r="CS62" i="9"/>
  <c r="CS59" i="9"/>
  <c r="CS57" i="9"/>
  <c r="CS58" i="9"/>
  <c r="CS66" i="9"/>
  <c r="CU47" i="9"/>
  <c r="CT46" i="9"/>
  <c r="CV47" i="9"/>
  <c r="CU46" i="9"/>
  <c r="CT57" i="9"/>
  <c r="CT55" i="9"/>
  <c r="CT56" i="9"/>
  <c r="CT61" i="9"/>
  <c r="CT63" i="9"/>
  <c r="CT62" i="9"/>
  <c r="CT59" i="9"/>
  <c r="CT58" i="9"/>
  <c r="CT60" i="9"/>
  <c r="CT66" i="9"/>
  <c r="CU57" i="9"/>
  <c r="CU55" i="9"/>
  <c r="CU56" i="9"/>
  <c r="CU61" i="9"/>
  <c r="CU63" i="9"/>
  <c r="CU62" i="9"/>
  <c r="CU59" i="9"/>
  <c r="CU58" i="9"/>
  <c r="CU66" i="9"/>
  <c r="CU60" i="9"/>
  <c r="CW47" i="9"/>
  <c r="CV46" i="9"/>
  <c r="CK51" i="9"/>
  <c r="CV57" i="9"/>
  <c r="CV55" i="9"/>
  <c r="CV56" i="9"/>
  <c r="CV61" i="9"/>
  <c r="CV63" i="9"/>
  <c r="CV62" i="9"/>
  <c r="CV59" i="9"/>
  <c r="CV58" i="9"/>
  <c r="CV66" i="9"/>
  <c r="CV60" i="9"/>
  <c r="CW46" i="9"/>
  <c r="CX47" i="9"/>
  <c r="CX46" i="9"/>
  <c r="CY47" i="9"/>
  <c r="CW59" i="9"/>
  <c r="CW57" i="9"/>
  <c r="CW55" i="9"/>
  <c r="CW56" i="9"/>
  <c r="CW63" i="9"/>
  <c r="CW62" i="9"/>
  <c r="CW58" i="9"/>
  <c r="CW60" i="9"/>
  <c r="CW66" i="9"/>
  <c r="CW61" i="9"/>
  <c r="CY46" i="9"/>
  <c r="CZ47" i="9"/>
  <c r="CX61" i="9"/>
  <c r="CX59" i="9"/>
  <c r="CX57" i="9"/>
  <c r="CX55" i="9"/>
  <c r="CX56" i="9"/>
  <c r="CX62" i="9"/>
  <c r="CX63" i="9"/>
  <c r="CX58" i="9"/>
  <c r="CX60" i="9"/>
  <c r="CX66" i="9"/>
  <c r="CZ46" i="9"/>
  <c r="DA47" i="9"/>
  <c r="CY59" i="9"/>
  <c r="CY57" i="9"/>
  <c r="CY55" i="9"/>
  <c r="CY63" i="9"/>
  <c r="CY56" i="9"/>
  <c r="CY62" i="9"/>
  <c r="CY66" i="9"/>
  <c r="CY60" i="9"/>
  <c r="CY61" i="9"/>
  <c r="CY58" i="9"/>
  <c r="DA46" i="9"/>
  <c r="DB47" i="9"/>
  <c r="CZ57" i="9"/>
  <c r="CZ55" i="9"/>
  <c r="CZ63" i="9"/>
  <c r="CZ56" i="9"/>
  <c r="CZ66" i="9"/>
  <c r="CZ62" i="9"/>
  <c r="CZ59" i="9"/>
  <c r="CZ60" i="9"/>
  <c r="CZ61" i="9"/>
  <c r="CZ58" i="9"/>
  <c r="DB46" i="9"/>
  <c r="DC47" i="9"/>
  <c r="DA59" i="9"/>
  <c r="DA57" i="9"/>
  <c r="DA55" i="9"/>
  <c r="DA56" i="9"/>
  <c r="DA66" i="9"/>
  <c r="DA63" i="9"/>
  <c r="DA62" i="9"/>
  <c r="DA60" i="9"/>
  <c r="DA61" i="9"/>
  <c r="DA58" i="9"/>
  <c r="DC46" i="9"/>
  <c r="DD47" i="9"/>
  <c r="DB59" i="9"/>
  <c r="DB57" i="9"/>
  <c r="DB63" i="9"/>
  <c r="DB56" i="9"/>
  <c r="DB60" i="9"/>
  <c r="DB66" i="9"/>
  <c r="DB62" i="9"/>
  <c r="DB55" i="9"/>
  <c r="DB61" i="9"/>
  <c r="DB58" i="9"/>
  <c r="DD46" i="9"/>
  <c r="DE47" i="9"/>
  <c r="DC61" i="9"/>
  <c r="DC57" i="9"/>
  <c r="DC63" i="9"/>
  <c r="DC56" i="9"/>
  <c r="DC60" i="9"/>
  <c r="DC66" i="9"/>
  <c r="DC55" i="9"/>
  <c r="DC59" i="9"/>
  <c r="DC62" i="9"/>
  <c r="DC58" i="9"/>
  <c r="DE46" i="9"/>
  <c r="DF47" i="9"/>
  <c r="DD63" i="9"/>
  <c r="DD56" i="9"/>
  <c r="DD60" i="9"/>
  <c r="DD66" i="9"/>
  <c r="DD55" i="9"/>
  <c r="DD57" i="9"/>
  <c r="DD59" i="9"/>
  <c r="DD61" i="9"/>
  <c r="DD62" i="9"/>
  <c r="DD58" i="9"/>
  <c r="DF46" i="9"/>
  <c r="DG47" i="9"/>
  <c r="DE59" i="9"/>
  <c r="DE56" i="9"/>
  <c r="DE63" i="9"/>
  <c r="DE60" i="9"/>
  <c r="DE66" i="9"/>
  <c r="DE55" i="9"/>
  <c r="DE57" i="9"/>
  <c r="DE61" i="9"/>
  <c r="DE62" i="9"/>
  <c r="DE58" i="9"/>
  <c r="DG46" i="9"/>
  <c r="DH47" i="9"/>
  <c r="DF59" i="9"/>
  <c r="DF56" i="9"/>
  <c r="DF61" i="9"/>
  <c r="DF63" i="9"/>
  <c r="DF60" i="9"/>
  <c r="DF66" i="9"/>
  <c r="DF55" i="9"/>
  <c r="DF57" i="9"/>
  <c r="DF62" i="9"/>
  <c r="DF58" i="9"/>
  <c r="I9" i="14"/>
  <c r="I11" i="14"/>
  <c r="AM117" i="12"/>
  <c r="AM116" i="12"/>
  <c r="AM115" i="12"/>
  <c r="AM114" i="12"/>
  <c r="AM113" i="12"/>
  <c r="AM112" i="12"/>
  <c r="AM111" i="12"/>
  <c r="AM110" i="12"/>
  <c r="AM109" i="12"/>
  <c r="AM108" i="12"/>
  <c r="AM107" i="12"/>
  <c r="AM106" i="12"/>
  <c r="AM105" i="12"/>
  <c r="AM104" i="12"/>
  <c r="AM103" i="12"/>
  <c r="AM102" i="12"/>
  <c r="AM101" i="12"/>
  <c r="AM100" i="12"/>
  <c r="AM99" i="12"/>
  <c r="AM98" i="12"/>
  <c r="AM97" i="12"/>
  <c r="AM96" i="12"/>
  <c r="AM95" i="12"/>
  <c r="AM94" i="12"/>
  <c r="AM93" i="12"/>
  <c r="AM92" i="12"/>
  <c r="AM91" i="12"/>
  <c r="AM90" i="12"/>
  <c r="AM89" i="12"/>
  <c r="AM88" i="12"/>
  <c r="AM87" i="12"/>
  <c r="AM86" i="12"/>
  <c r="AM85" i="12"/>
  <c r="AM84" i="12"/>
  <c r="AM83" i="12"/>
  <c r="AM82" i="12"/>
  <c r="AM81" i="12"/>
  <c r="AM80" i="12"/>
  <c r="AM79" i="12"/>
  <c r="AM78" i="12"/>
  <c r="AM77" i="12"/>
  <c r="AM76" i="12"/>
  <c r="AM75" i="12"/>
  <c r="AM74" i="12"/>
  <c r="AM73" i="12"/>
  <c r="AM72" i="12"/>
  <c r="AM71" i="12"/>
  <c r="AM70" i="12"/>
  <c r="AM69" i="12"/>
  <c r="AM68" i="12"/>
  <c r="AM67" i="12"/>
  <c r="AM66" i="12"/>
  <c r="AM65" i="12"/>
  <c r="AM64" i="12"/>
  <c r="AM63" i="12"/>
  <c r="AM62" i="12"/>
  <c r="AM61" i="12"/>
  <c r="AM60" i="12"/>
  <c r="AM59" i="12"/>
  <c r="AM58" i="12"/>
  <c r="AM57" i="12"/>
  <c r="AM56" i="12"/>
  <c r="AM55" i="12"/>
  <c r="AM54" i="12"/>
  <c r="AM53" i="12"/>
  <c r="AM52" i="12"/>
  <c r="AM51" i="12"/>
  <c r="AM50" i="12"/>
  <c r="AM49" i="12"/>
  <c r="AM48" i="12"/>
  <c r="AM47" i="12"/>
  <c r="AM46" i="12"/>
  <c r="AM45" i="12"/>
  <c r="AM44" i="12"/>
  <c r="AM43" i="12"/>
  <c r="AM42" i="12"/>
  <c r="AM41" i="12"/>
  <c r="AM40" i="12"/>
  <c r="AM39" i="12"/>
  <c r="AM38" i="12"/>
  <c r="AM37" i="12"/>
  <c r="AM36" i="12"/>
  <c r="AM35" i="12"/>
  <c r="AM34" i="12"/>
  <c r="AM33" i="12"/>
  <c r="AM32" i="12"/>
  <c r="AM31" i="12"/>
  <c r="AM30" i="12"/>
  <c r="AM29" i="12"/>
  <c r="AM28" i="12"/>
  <c r="AM27" i="12"/>
  <c r="AM26" i="12"/>
  <c r="AM25" i="12"/>
  <c r="AM24" i="12"/>
  <c r="AM23" i="12"/>
  <c r="AM22" i="12"/>
  <c r="AM21" i="12"/>
  <c r="AM20" i="12"/>
  <c r="AM19" i="12"/>
  <c r="AM18" i="12"/>
  <c r="C7" i="4"/>
  <c r="C8" i="4"/>
  <c r="C10" i="4"/>
  <c r="C11" i="4"/>
  <c r="C12" i="4"/>
  <c r="C13" i="4"/>
  <c r="C14" i="4"/>
  <c r="C15" i="4"/>
  <c r="C16" i="4"/>
  <c r="C18" i="4"/>
  <c r="C19" i="4"/>
  <c r="C20" i="4"/>
  <c r="C21" i="4"/>
  <c r="C22" i="4"/>
  <c r="C23" i="4"/>
  <c r="C24" i="4"/>
  <c r="C25" i="4"/>
  <c r="C26" i="4"/>
  <c r="C27" i="4"/>
  <c r="C28" i="4"/>
  <c r="C29" i="4"/>
  <c r="C30" i="4"/>
  <c r="C32" i="4"/>
  <c r="C33" i="4"/>
  <c r="C34" i="4"/>
  <c r="C35" i="4"/>
  <c r="C36" i="4"/>
  <c r="C37" i="4"/>
  <c r="C38" i="4"/>
  <c r="C39" i="4"/>
  <c r="C40" i="4"/>
  <c r="C41" i="4"/>
  <c r="C42" i="4"/>
  <c r="C43" i="4"/>
  <c r="C44" i="4"/>
  <c r="C45" i="4"/>
  <c r="C47" i="4"/>
  <c r="C48" i="4"/>
  <c r="C49" i="4"/>
  <c r="C50" i="4"/>
  <c r="C51" i="4"/>
  <c r="C52" i="4"/>
  <c r="C54" i="4"/>
  <c r="C55" i="4"/>
  <c r="C56" i="4"/>
  <c r="C57" i="4"/>
  <c r="C58" i="4"/>
  <c r="C59" i="4"/>
  <c r="C60" i="4"/>
  <c r="C61" i="4"/>
  <c r="C62" i="4"/>
  <c r="C63" i="4"/>
  <c r="C64" i="4"/>
  <c r="C65" i="4"/>
  <c r="C66" i="4"/>
  <c r="C67" i="4"/>
  <c r="C68" i="4"/>
  <c r="C69" i="4"/>
  <c r="C70" i="4"/>
  <c r="C72" i="4"/>
  <c r="C73" i="4"/>
  <c r="C74" i="4"/>
  <c r="C76" i="4"/>
  <c r="C77" i="4"/>
  <c r="C78" i="4"/>
  <c r="C79" i="4"/>
  <c r="C80" i="4"/>
  <c r="C81" i="4"/>
  <c r="C82" i="4"/>
  <c r="C83" i="4"/>
  <c r="C84" i="4"/>
  <c r="C85" i="4"/>
  <c r="C86" i="4"/>
  <c r="C87" i="4"/>
  <c r="C88" i="4"/>
  <c r="C89" i="4"/>
  <c r="C90" i="4"/>
  <c r="C91" i="4"/>
  <c r="C92" i="4"/>
  <c r="C93" i="4"/>
  <c r="C94" i="4"/>
  <c r="C95" i="4"/>
  <c r="C96" i="4"/>
  <c r="C97" i="4"/>
  <c r="C98" i="4"/>
  <c r="C100" i="4"/>
  <c r="C101" i="4"/>
  <c r="C102" i="4"/>
  <c r="C103" i="4"/>
  <c r="C104" i="4"/>
  <c r="C106" i="4"/>
  <c r="C107" i="4"/>
  <c r="C108" i="4"/>
  <c r="C109" i="4"/>
  <c r="C110" i="4"/>
  <c r="C111" i="4"/>
  <c r="C112" i="4"/>
  <c r="C113" i="4"/>
  <c r="C114" i="4"/>
  <c r="C115" i="4"/>
  <c r="C116" i="4"/>
  <c r="C117" i="4"/>
  <c r="C118" i="4"/>
  <c r="C119" i="4"/>
  <c r="C120" i="4"/>
  <c r="C121" i="4"/>
  <c r="C123" i="4"/>
  <c r="C124" i="4"/>
  <c r="C125" i="4"/>
  <c r="C126" i="4"/>
  <c r="C127" i="4"/>
  <c r="C128" i="4"/>
  <c r="C129" i="4"/>
  <c r="C130" i="4"/>
  <c r="C131" i="4"/>
  <c r="C132" i="4"/>
  <c r="C133" i="4"/>
  <c r="C134" i="4"/>
  <c r="C135" i="4"/>
  <c r="C136" i="4"/>
  <c r="C137" i="4"/>
  <c r="C138" i="4"/>
  <c r="C139" i="4"/>
  <c r="C140" i="4"/>
  <c r="C141" i="4"/>
  <c r="C142" i="4"/>
  <c r="C143" i="4"/>
  <c r="C144" i="4"/>
  <c r="C146" i="4"/>
  <c r="C147" i="4"/>
  <c r="C148" i="4"/>
  <c r="C149" i="4"/>
  <c r="C150" i="4"/>
  <c r="C151" i="4"/>
  <c r="C152" i="4"/>
  <c r="C153" i="4"/>
  <c r="C154" i="4"/>
  <c r="C155" i="4"/>
  <c r="C156" i="4"/>
  <c r="C157" i="4"/>
  <c r="C158" i="4"/>
  <c r="C159" i="4"/>
  <c r="C160" i="4"/>
  <c r="C162" i="4"/>
  <c r="C163" i="4"/>
  <c r="C164" i="4"/>
  <c r="C165" i="4"/>
  <c r="C166" i="4"/>
  <c r="C167" i="4"/>
  <c r="C168" i="4"/>
  <c r="C169" i="4"/>
  <c r="C170" i="4"/>
  <c r="C172" i="4"/>
  <c r="C173" i="4"/>
  <c r="C174" i="4"/>
  <c r="C175" i="4"/>
  <c r="C176" i="4"/>
  <c r="C177" i="4"/>
  <c r="C178" i="4"/>
  <c r="C179" i="4"/>
  <c r="C180" i="4"/>
  <c r="C181" i="4"/>
  <c r="C182" i="4"/>
  <c r="C183" i="4"/>
  <c r="C184" i="4"/>
  <c r="C185" i="4"/>
  <c r="C186" i="4"/>
  <c r="C187" i="4"/>
  <c r="C188" i="4"/>
  <c r="C189" i="4"/>
  <c r="C190" i="4"/>
  <c r="C191" i="4"/>
  <c r="C193" i="4"/>
  <c r="C194" i="4"/>
  <c r="C195" i="4"/>
  <c r="C196" i="4"/>
  <c r="C197" i="4"/>
  <c r="C198" i="4"/>
  <c r="C199" i="4"/>
  <c r="C200" i="4"/>
  <c r="C201" i="4"/>
  <c r="C202" i="4"/>
  <c r="C203" i="4"/>
  <c r="C204" i="4"/>
  <c r="C205" i="4"/>
  <c r="C206" i="4"/>
  <c r="C207" i="4"/>
  <c r="C208" i="4"/>
  <c r="C209" i="4"/>
  <c r="C210" i="4"/>
  <c r="C211" i="4"/>
  <c r="C212" i="4"/>
  <c r="C213" i="4"/>
  <c r="C214" i="4"/>
  <c r="C215" i="4"/>
  <c r="C217" i="4"/>
  <c r="C218" i="4"/>
  <c r="C219" i="4"/>
  <c r="C220" i="4"/>
  <c r="C221" i="4"/>
  <c r="C222"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8" i="4"/>
  <c r="C259" i="4"/>
  <c r="C260" i="4"/>
  <c r="C261" i="4"/>
  <c r="C262" i="4"/>
  <c r="C263" i="4"/>
  <c r="C264" i="4"/>
  <c r="C265" i="4"/>
  <c r="C266" i="4"/>
  <c r="C267" i="4"/>
  <c r="C268" i="4"/>
  <c r="C269" i="4"/>
  <c r="C271" i="4"/>
  <c r="C272" i="4"/>
  <c r="C273" i="4"/>
  <c r="C274" i="4"/>
  <c r="C275" i="4"/>
  <c r="C276" i="4"/>
  <c r="C277" i="4"/>
  <c r="C278" i="4"/>
  <c r="C279"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W51" i="9"/>
  <c r="DH46" i="9"/>
  <c r="DI47" i="9"/>
  <c r="DG59" i="9"/>
  <c r="DG56" i="9"/>
  <c r="DG66" i="9"/>
  <c r="DG61" i="9"/>
  <c r="DG60" i="9"/>
  <c r="DG55" i="9"/>
  <c r="DG57" i="9"/>
  <c r="DG63" i="9"/>
  <c r="DG62" i="9"/>
  <c r="DG58" i="9"/>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4" i="4"/>
  <c r="C445" i="4"/>
  <c r="C446" i="4"/>
  <c r="C447" i="4"/>
  <c r="C448" i="4"/>
  <c r="C449" i="4"/>
  <c r="C450" i="4"/>
  <c r="C451" i="4"/>
  <c r="C452" i="4"/>
  <c r="C393" i="4"/>
  <c r="C394" i="4"/>
  <c r="C395" i="4"/>
  <c r="C396" i="4"/>
  <c r="C397" i="4"/>
  <c r="C398" i="4"/>
  <c r="C399" i="4"/>
  <c r="C400" i="4"/>
  <c r="C402" i="4"/>
  <c r="C403" i="4"/>
  <c r="C404" i="4"/>
  <c r="C405" i="4"/>
  <c r="C406" i="4"/>
  <c r="C407" i="4"/>
  <c r="C408" i="4"/>
  <c r="C409" i="4"/>
  <c r="C410" i="4"/>
  <c r="C411" i="4"/>
  <c r="DI46" i="9"/>
  <c r="DJ47" i="9"/>
  <c r="DH59" i="9"/>
  <c r="DH56" i="9"/>
  <c r="DH58" i="9"/>
  <c r="DH61" i="9"/>
  <c r="DH60" i="9"/>
  <c r="DH66" i="9"/>
  <c r="DH55" i="9"/>
  <c r="DH57" i="9"/>
  <c r="DH63" i="9"/>
  <c r="DH62" i="9"/>
  <c r="F13" i="7"/>
  <c r="F14" i="7"/>
  <c r="F15" i="7"/>
  <c r="F16" i="7"/>
  <c r="F45" i="7"/>
  <c r="D45" i="7"/>
  <c r="E45" i="7"/>
  <c r="B11" i="7"/>
  <c r="C45" i="7"/>
  <c r="A35" i="2"/>
  <c r="A5" i="2"/>
  <c r="A6" i="2"/>
  <c r="A7" i="2"/>
  <c r="A10" i="2"/>
  <c r="A13" i="2"/>
  <c r="B3" i="14"/>
  <c r="H38" i="51"/>
  <c r="G38" i="51"/>
  <c r="G37" i="51"/>
  <c r="C4" i="51"/>
  <c r="C3" i="51"/>
  <c r="I9" i="15"/>
  <c r="J4" i="51"/>
  <c r="C25" i="9"/>
  <c r="D22" i="50"/>
  <c r="C22" i="50"/>
  <c r="B22" i="50"/>
  <c r="B24" i="50"/>
  <c r="D14" i="50"/>
  <c r="C14" i="50"/>
  <c r="B14" i="50"/>
  <c r="B7" i="49"/>
  <c r="B8" i="49"/>
  <c r="D6" i="49"/>
  <c r="C6" i="49"/>
  <c r="D4" i="49"/>
  <c r="D7" i="49"/>
  <c r="C4" i="49"/>
  <c r="C7" i="49"/>
  <c r="B28" i="50"/>
  <c r="B25" i="50"/>
  <c r="B26" i="50"/>
  <c r="B30" i="50"/>
  <c r="C24" i="50"/>
  <c r="C10" i="49"/>
  <c r="C9" i="49"/>
  <c r="C8" i="49"/>
  <c r="D10" i="49"/>
  <c r="D9" i="49"/>
  <c r="D8" i="49"/>
  <c r="C28" i="50"/>
  <c r="C25" i="50"/>
  <c r="C26" i="50"/>
  <c r="C30" i="50"/>
  <c r="D24" i="50"/>
  <c r="B31" i="50"/>
  <c r="B32" i="50"/>
  <c r="C31" i="50"/>
  <c r="C32" i="50"/>
  <c r="C33" i="50"/>
  <c r="D25" i="50"/>
  <c r="D28" i="50"/>
  <c r="D26" i="50"/>
  <c r="D30" i="50"/>
  <c r="D31" i="50"/>
  <c r="D32" i="50"/>
  <c r="D33" i="50"/>
  <c r="G13" i="15"/>
  <c r="G8" i="51"/>
  <c r="KS17" i="9"/>
  <c r="KS13" i="9"/>
  <c r="BI17" i="12"/>
  <c r="BA18" i="12"/>
  <c r="BA19" i="12"/>
  <c r="BA20" i="12"/>
  <c r="BA21" i="12"/>
  <c r="BA22" i="12"/>
  <c r="BA23" i="12"/>
  <c r="BA24" i="12"/>
  <c r="BA25" i="12"/>
  <c r="BA26" i="12"/>
  <c r="BA27" i="12"/>
  <c r="BA28" i="12"/>
  <c r="BA29" i="12"/>
  <c r="BA30" i="12"/>
  <c r="BA31" i="12"/>
  <c r="BA32" i="12"/>
  <c r="BA33" i="12"/>
  <c r="BA34" i="12"/>
  <c r="BA35" i="12"/>
  <c r="BA36" i="12"/>
  <c r="BA37" i="12"/>
  <c r="BA38" i="12"/>
  <c r="BA39" i="12"/>
  <c r="BA40" i="12"/>
  <c r="BA41" i="12"/>
  <c r="BA42" i="12"/>
  <c r="BA43" i="12"/>
  <c r="BA44" i="12"/>
  <c r="BA45" i="12"/>
  <c r="BA46" i="12"/>
  <c r="BA47" i="12"/>
  <c r="BA48" i="12"/>
  <c r="BA49" i="12"/>
  <c r="BA50" i="12"/>
  <c r="BA51" i="12"/>
  <c r="BA52" i="12"/>
  <c r="BA53" i="12"/>
  <c r="BA54" i="12"/>
  <c r="BA55" i="12"/>
  <c r="BA56" i="12"/>
  <c r="BA57" i="12"/>
  <c r="BA58" i="12"/>
  <c r="BA59" i="12"/>
  <c r="BA60" i="12"/>
  <c r="BA61" i="12"/>
  <c r="BA62" i="12"/>
  <c r="BA63" i="12"/>
  <c r="BA64" i="12"/>
  <c r="BA65" i="12"/>
  <c r="BA66" i="12"/>
  <c r="BA67" i="12"/>
  <c r="BA68" i="12"/>
  <c r="BA69" i="12"/>
  <c r="BA70" i="12"/>
  <c r="BA71" i="12"/>
  <c r="BA72" i="12"/>
  <c r="BA73" i="12"/>
  <c r="BA74" i="12"/>
  <c r="BA75" i="12"/>
  <c r="BA76" i="12"/>
  <c r="BA77" i="12"/>
  <c r="BA78" i="12"/>
  <c r="BA79" i="12"/>
  <c r="BA80" i="12"/>
  <c r="BA81" i="12"/>
  <c r="BA82" i="12"/>
  <c r="BA83" i="12"/>
  <c r="BA84" i="12"/>
  <c r="BA85" i="12"/>
  <c r="BA86" i="12"/>
  <c r="BA87" i="12"/>
  <c r="BA88" i="12"/>
  <c r="BA89" i="12"/>
  <c r="BA90" i="12"/>
  <c r="BA91" i="12"/>
  <c r="BA92" i="12"/>
  <c r="BA93" i="12"/>
  <c r="BA94" i="12"/>
  <c r="BA95" i="12"/>
  <c r="BA96" i="12"/>
  <c r="BA97" i="12"/>
  <c r="BA98" i="12"/>
  <c r="BA99" i="12"/>
  <c r="BA100" i="12"/>
  <c r="BA101" i="12"/>
  <c r="BA102" i="12"/>
  <c r="BA103" i="12"/>
  <c r="BA104" i="12"/>
  <c r="BA105" i="12"/>
  <c r="BA106" i="12"/>
  <c r="BA107" i="12"/>
  <c r="BA108" i="12"/>
  <c r="BA109" i="12"/>
  <c r="BA110" i="12"/>
  <c r="BA111" i="12"/>
  <c r="BA112" i="12"/>
  <c r="BA113" i="12"/>
  <c r="BA114" i="12"/>
  <c r="BA115" i="12"/>
  <c r="BA116" i="12"/>
  <c r="BA117" i="12"/>
  <c r="BJ17" i="12"/>
  <c r="BN17" i="12"/>
  <c r="BO17" i="12"/>
  <c r="F37" i="17"/>
  <c r="F37" i="51"/>
  <c r="E50" i="20"/>
  <c r="G6" i="14"/>
  <c r="E48" i="20"/>
  <c r="D12" i="20"/>
  <c r="D48" i="20"/>
  <c r="B48" i="20"/>
  <c r="D18" i="20"/>
  <c r="D19" i="20"/>
  <c r="D20" i="20"/>
  <c r="G42" i="7"/>
  <c r="E11" i="7"/>
  <c r="BX117" i="12"/>
  <c r="BW117" i="12"/>
  <c r="BH117" i="12"/>
  <c r="AG117" i="12"/>
  <c r="AE117" i="12"/>
  <c r="BV117" i="12"/>
  <c r="BU117" i="12"/>
  <c r="J117" i="12"/>
  <c r="H117" i="12"/>
  <c r="AK117" i="12"/>
  <c r="BX116" i="12"/>
  <c r="BW116" i="12"/>
  <c r="BV116" i="12"/>
  <c r="BH116" i="12"/>
  <c r="AG116" i="12"/>
  <c r="AE116" i="12"/>
  <c r="J116" i="12"/>
  <c r="H116" i="12"/>
  <c r="AK116" i="12"/>
  <c r="BX115" i="12"/>
  <c r="BW115" i="12"/>
  <c r="BH115" i="12"/>
  <c r="AG115" i="12"/>
  <c r="AE115" i="12"/>
  <c r="BV115" i="12"/>
  <c r="J115" i="12"/>
  <c r="H115" i="12"/>
  <c r="BX114" i="12"/>
  <c r="BW114" i="12"/>
  <c r="BV114" i="12"/>
  <c r="BH114" i="12"/>
  <c r="AG114" i="12"/>
  <c r="AE114" i="12"/>
  <c r="J114" i="12"/>
  <c r="H114" i="12"/>
  <c r="BX113" i="12"/>
  <c r="BW113" i="12"/>
  <c r="BU113" i="12"/>
  <c r="BH113" i="12"/>
  <c r="AG113" i="12"/>
  <c r="AE113" i="12"/>
  <c r="BV113" i="12"/>
  <c r="J113" i="12"/>
  <c r="H113" i="12"/>
  <c r="AK113" i="12"/>
  <c r="BX112" i="12"/>
  <c r="BW112" i="12"/>
  <c r="BH112" i="12"/>
  <c r="AG112" i="12"/>
  <c r="AE112" i="12"/>
  <c r="BV112" i="12"/>
  <c r="J112" i="12"/>
  <c r="H112" i="12"/>
  <c r="BX111" i="12"/>
  <c r="BW111" i="12"/>
  <c r="BV111" i="12"/>
  <c r="BU111" i="12"/>
  <c r="BH111" i="12"/>
  <c r="AG111" i="12"/>
  <c r="AE111" i="12"/>
  <c r="J111" i="12"/>
  <c r="H111" i="12"/>
  <c r="BX110" i="12"/>
  <c r="BW110" i="12"/>
  <c r="BV110" i="12"/>
  <c r="BH110" i="12"/>
  <c r="H110" i="12"/>
  <c r="J110" i="12"/>
  <c r="AK110" i="12"/>
  <c r="AG110" i="12"/>
  <c r="AE110" i="12"/>
  <c r="BU110" i="12"/>
  <c r="BX109" i="12"/>
  <c r="BW109" i="12"/>
  <c r="BV109" i="12"/>
  <c r="BH109" i="12"/>
  <c r="AG109" i="12"/>
  <c r="AE109" i="12"/>
  <c r="J109" i="12"/>
  <c r="H109" i="12"/>
  <c r="BX108" i="12"/>
  <c r="BW108" i="12"/>
  <c r="BH108" i="12"/>
  <c r="AG108" i="12"/>
  <c r="AE108" i="12"/>
  <c r="BV108" i="12"/>
  <c r="BU108" i="12"/>
  <c r="J108" i="12"/>
  <c r="H108" i="12"/>
  <c r="BX107" i="12"/>
  <c r="BW107" i="12"/>
  <c r="BV107" i="12"/>
  <c r="BU107" i="12"/>
  <c r="BH107" i="12"/>
  <c r="H107" i="12"/>
  <c r="J107" i="12"/>
  <c r="AK107" i="12"/>
  <c r="AG107" i="12"/>
  <c r="AE107" i="12"/>
  <c r="BX106" i="12"/>
  <c r="BW106" i="12"/>
  <c r="BH106" i="12"/>
  <c r="AG106" i="12"/>
  <c r="AE106" i="12"/>
  <c r="BV106" i="12"/>
  <c r="J106" i="12"/>
  <c r="H106" i="12"/>
  <c r="AK106" i="12"/>
  <c r="BX105" i="12"/>
  <c r="BW105" i="12"/>
  <c r="BH105" i="12"/>
  <c r="H105" i="12"/>
  <c r="J105" i="12"/>
  <c r="AK105" i="12"/>
  <c r="AG105" i="12"/>
  <c r="AE105" i="12"/>
  <c r="BV105" i="12"/>
  <c r="BX104" i="12"/>
  <c r="BW104" i="12"/>
  <c r="BH104" i="12"/>
  <c r="H104" i="12"/>
  <c r="J104" i="12"/>
  <c r="AK104" i="12"/>
  <c r="AG104" i="12"/>
  <c r="AE104" i="12"/>
  <c r="BV104" i="12"/>
  <c r="BU104" i="12"/>
  <c r="BX103" i="12"/>
  <c r="BW103" i="12"/>
  <c r="BV103" i="12"/>
  <c r="BH103" i="12"/>
  <c r="AG103" i="12"/>
  <c r="AE103" i="12"/>
  <c r="J103" i="12"/>
  <c r="H103" i="12"/>
  <c r="AK103" i="12"/>
  <c r="BX102" i="12"/>
  <c r="BW102" i="12"/>
  <c r="BV102" i="12"/>
  <c r="BH102" i="12"/>
  <c r="AG102" i="12"/>
  <c r="AE102" i="12"/>
  <c r="J102" i="12"/>
  <c r="H102" i="12"/>
  <c r="BX101" i="12"/>
  <c r="BW101" i="12"/>
  <c r="BH101" i="12"/>
  <c r="AG101" i="12"/>
  <c r="AE101" i="12"/>
  <c r="BV101" i="12"/>
  <c r="BU101" i="12"/>
  <c r="J101" i="12"/>
  <c r="H101" i="12"/>
  <c r="AK101" i="12"/>
  <c r="BX100" i="12"/>
  <c r="BW100" i="12"/>
  <c r="BV100" i="12"/>
  <c r="BH100" i="12"/>
  <c r="AG100" i="12"/>
  <c r="AE100" i="12"/>
  <c r="J100" i="12"/>
  <c r="H100" i="12"/>
  <c r="AK100" i="12"/>
  <c r="BX99" i="12"/>
  <c r="BW99" i="12"/>
  <c r="BH99" i="12"/>
  <c r="H99" i="12"/>
  <c r="J99" i="12"/>
  <c r="AK99" i="12"/>
  <c r="AG99" i="12"/>
  <c r="AE99" i="12"/>
  <c r="BV99" i="12"/>
  <c r="BX98" i="12"/>
  <c r="BW98" i="12"/>
  <c r="BV98" i="12"/>
  <c r="BH98" i="12"/>
  <c r="H98" i="12"/>
  <c r="J98" i="12"/>
  <c r="AK98" i="12"/>
  <c r="AG98" i="12"/>
  <c r="AE98" i="12"/>
  <c r="BU98" i="12"/>
  <c r="BX97" i="12"/>
  <c r="BW97" i="12"/>
  <c r="BH97" i="12"/>
  <c r="AG97" i="12"/>
  <c r="AE97" i="12"/>
  <c r="BV97" i="12"/>
  <c r="J97" i="12"/>
  <c r="H97" i="12"/>
  <c r="AK97" i="12"/>
  <c r="BX96" i="12"/>
  <c r="BW96" i="12"/>
  <c r="BH96" i="12"/>
  <c r="AG96" i="12"/>
  <c r="AE96" i="12"/>
  <c r="BV96" i="12"/>
  <c r="BU96" i="12"/>
  <c r="J96" i="12"/>
  <c r="H96" i="12"/>
  <c r="BX95" i="12"/>
  <c r="BW95" i="12"/>
  <c r="BV95" i="12"/>
  <c r="BU95" i="12"/>
  <c r="BH95" i="12"/>
  <c r="H95" i="12"/>
  <c r="J95" i="12"/>
  <c r="AK95" i="12"/>
  <c r="AG95" i="12"/>
  <c r="AE95" i="12"/>
  <c r="BX94" i="12"/>
  <c r="BW94" i="12"/>
  <c r="BH94" i="12"/>
  <c r="AG94" i="12"/>
  <c r="AE94" i="12"/>
  <c r="BV94" i="12"/>
  <c r="J94" i="12"/>
  <c r="H94" i="12"/>
  <c r="AK94" i="12"/>
  <c r="BX93" i="12"/>
  <c r="BW93" i="12"/>
  <c r="BU93" i="12"/>
  <c r="BH93" i="12"/>
  <c r="AG93" i="12"/>
  <c r="AE93" i="12"/>
  <c r="BV93" i="12"/>
  <c r="J93" i="12"/>
  <c r="H93" i="12"/>
  <c r="BX92" i="12"/>
  <c r="BW92" i="12"/>
  <c r="BV92" i="12"/>
  <c r="BU92" i="12"/>
  <c r="BH92" i="12"/>
  <c r="H92" i="12"/>
  <c r="J92" i="12"/>
  <c r="AK92" i="12"/>
  <c r="AG92" i="12"/>
  <c r="AE92" i="12"/>
  <c r="BX91" i="12"/>
  <c r="BW91" i="12"/>
  <c r="BH91" i="12"/>
  <c r="AG91" i="12"/>
  <c r="AE91" i="12"/>
  <c r="BV91" i="12"/>
  <c r="J91" i="12"/>
  <c r="H91" i="12"/>
  <c r="AK91" i="12"/>
  <c r="BX90" i="12"/>
  <c r="BW90" i="12"/>
  <c r="BU90" i="12"/>
  <c r="BH90" i="12"/>
  <c r="AG90" i="12"/>
  <c r="AE90" i="12"/>
  <c r="J90" i="12"/>
  <c r="H90" i="12"/>
  <c r="BX89" i="12"/>
  <c r="BW89" i="12"/>
  <c r="BV89" i="12"/>
  <c r="BU89" i="12"/>
  <c r="BH89" i="12"/>
  <c r="H89" i="12"/>
  <c r="J89" i="12"/>
  <c r="AK89" i="12"/>
  <c r="AG89" i="12"/>
  <c r="AE89" i="12"/>
  <c r="BX88" i="12"/>
  <c r="BW88" i="12"/>
  <c r="BH88" i="12"/>
  <c r="AG88" i="12"/>
  <c r="AE88" i="12"/>
  <c r="BV88" i="12"/>
  <c r="J88" i="12"/>
  <c r="H88" i="12"/>
  <c r="BX87" i="12"/>
  <c r="BW87" i="12"/>
  <c r="BH87" i="12"/>
  <c r="H87" i="12"/>
  <c r="J87" i="12"/>
  <c r="AK87" i="12"/>
  <c r="AG87" i="12"/>
  <c r="AE87" i="12"/>
  <c r="BV87" i="12"/>
  <c r="BX86" i="12"/>
  <c r="BW86" i="12"/>
  <c r="BV86" i="12"/>
  <c r="BU86" i="12"/>
  <c r="BH86" i="12"/>
  <c r="H86" i="12"/>
  <c r="J86" i="12"/>
  <c r="AK86" i="12"/>
  <c r="AG86" i="12"/>
  <c r="AE86" i="12"/>
  <c r="BX85" i="12"/>
  <c r="BW85" i="12"/>
  <c r="BH85" i="12"/>
  <c r="AG85" i="12"/>
  <c r="AE85" i="12"/>
  <c r="BV85" i="12"/>
  <c r="J85" i="12"/>
  <c r="H85" i="12"/>
  <c r="BX84" i="12"/>
  <c r="BW84" i="12"/>
  <c r="BV84" i="12"/>
  <c r="BH84" i="12"/>
  <c r="H84" i="12"/>
  <c r="J84" i="12"/>
  <c r="AK84" i="12"/>
  <c r="AG84" i="12"/>
  <c r="AE84" i="12"/>
  <c r="BU84" i="12"/>
  <c r="BX83" i="12"/>
  <c r="BW83" i="12"/>
  <c r="BV83" i="12"/>
  <c r="BU83" i="12"/>
  <c r="BH83" i="12"/>
  <c r="H83" i="12"/>
  <c r="J83" i="12"/>
  <c r="AK83" i="12"/>
  <c r="AG83" i="12"/>
  <c r="AE83" i="12"/>
  <c r="BX82" i="12"/>
  <c r="BW82" i="12"/>
  <c r="BH82" i="12"/>
  <c r="AG82" i="12"/>
  <c r="AE82" i="12"/>
  <c r="BV82" i="12"/>
  <c r="J82" i="12"/>
  <c r="H82" i="12"/>
  <c r="BX81" i="12"/>
  <c r="BW81" i="12"/>
  <c r="BH81" i="12"/>
  <c r="AG81" i="12"/>
  <c r="AE81" i="12"/>
  <c r="BV81" i="12"/>
  <c r="J81" i="12"/>
  <c r="H81" i="12"/>
  <c r="BX80" i="12"/>
  <c r="BW80" i="12"/>
  <c r="BV80" i="12"/>
  <c r="BU80" i="12"/>
  <c r="BH80" i="12"/>
  <c r="H80" i="12"/>
  <c r="J80" i="12"/>
  <c r="AK80" i="12"/>
  <c r="AG80" i="12"/>
  <c r="AE80" i="12"/>
  <c r="BX79" i="12"/>
  <c r="BW79" i="12"/>
  <c r="BU79" i="12"/>
  <c r="BH79" i="12"/>
  <c r="AG79" i="12"/>
  <c r="AE79" i="12"/>
  <c r="BV79" i="12"/>
  <c r="J79" i="12"/>
  <c r="H79" i="12"/>
  <c r="BX78" i="12"/>
  <c r="BW78" i="12"/>
  <c r="BU78" i="12"/>
  <c r="BH78" i="12"/>
  <c r="AG78" i="12"/>
  <c r="AE78" i="12"/>
  <c r="J78" i="12"/>
  <c r="H78" i="12"/>
  <c r="BX77" i="12"/>
  <c r="BW77" i="12"/>
  <c r="BH77" i="12"/>
  <c r="H77" i="12"/>
  <c r="J77" i="12"/>
  <c r="AK77" i="12"/>
  <c r="AG77" i="12"/>
  <c r="AE77" i="12"/>
  <c r="BV77" i="12"/>
  <c r="BU77" i="12"/>
  <c r="BX76" i="12"/>
  <c r="BW76" i="12"/>
  <c r="BV76" i="12"/>
  <c r="BU76" i="12"/>
  <c r="BH76" i="12"/>
  <c r="AG76" i="12"/>
  <c r="AE76" i="12"/>
  <c r="J76" i="12"/>
  <c r="H76" i="12"/>
  <c r="BX75" i="12"/>
  <c r="BW75" i="12"/>
  <c r="BU75" i="12"/>
  <c r="BH75" i="12"/>
  <c r="H75" i="12"/>
  <c r="J75" i="12"/>
  <c r="AK75" i="12"/>
  <c r="AG75" i="12"/>
  <c r="AE75" i="12"/>
  <c r="BX74" i="12"/>
  <c r="BW74" i="12"/>
  <c r="BU74" i="12"/>
  <c r="BH74" i="12"/>
  <c r="AG74" i="12"/>
  <c r="AE74" i="12"/>
  <c r="BV74" i="12"/>
  <c r="J74" i="12"/>
  <c r="H74" i="12"/>
  <c r="AK74" i="12"/>
  <c r="BX73" i="12"/>
  <c r="BW73" i="12"/>
  <c r="BU73" i="12"/>
  <c r="BH73" i="12"/>
  <c r="H73" i="12"/>
  <c r="J73" i="12"/>
  <c r="AK73" i="12"/>
  <c r="AG73" i="12"/>
  <c r="AE73" i="12"/>
  <c r="BV73" i="12"/>
  <c r="BX72" i="12"/>
  <c r="BW72" i="12"/>
  <c r="BU72" i="12"/>
  <c r="BH72" i="12"/>
  <c r="AG72" i="12"/>
  <c r="AE72" i="12"/>
  <c r="BV72" i="12"/>
  <c r="J72" i="12"/>
  <c r="H72" i="12"/>
  <c r="AK72" i="12"/>
  <c r="BX71" i="12"/>
  <c r="BW71" i="12"/>
  <c r="BV71" i="12"/>
  <c r="BU71" i="12"/>
  <c r="BH71" i="12"/>
  <c r="AG71" i="12"/>
  <c r="AE71" i="12"/>
  <c r="J71" i="12"/>
  <c r="H71" i="12"/>
  <c r="AK71" i="12"/>
  <c r="BX70" i="12"/>
  <c r="BW70" i="12"/>
  <c r="BU70" i="12"/>
  <c r="BH70" i="12"/>
  <c r="AG70" i="12"/>
  <c r="AE70" i="12"/>
  <c r="BV70" i="12"/>
  <c r="J70" i="12"/>
  <c r="H70" i="12"/>
  <c r="BX69" i="12"/>
  <c r="BW69" i="12"/>
  <c r="BV69" i="12"/>
  <c r="BU69" i="12"/>
  <c r="BH69" i="12"/>
  <c r="AG69" i="12"/>
  <c r="AE69" i="12"/>
  <c r="J69" i="12"/>
  <c r="H69" i="12"/>
  <c r="BX68" i="12"/>
  <c r="BW68" i="12"/>
  <c r="BV68" i="12"/>
  <c r="BH68" i="12"/>
  <c r="AG68" i="12"/>
  <c r="AE68" i="12"/>
  <c r="BU68" i="12"/>
  <c r="J68" i="12"/>
  <c r="H68" i="12"/>
  <c r="AK68" i="12"/>
  <c r="BX67" i="12"/>
  <c r="BW67" i="12"/>
  <c r="BU67" i="12"/>
  <c r="BH67" i="12"/>
  <c r="AG67" i="12"/>
  <c r="AE67" i="12"/>
  <c r="J67" i="12"/>
  <c r="H67" i="12"/>
  <c r="BX66" i="12"/>
  <c r="BW66" i="12"/>
  <c r="BV66" i="12"/>
  <c r="BU66" i="12"/>
  <c r="BH66" i="12"/>
  <c r="AG66" i="12"/>
  <c r="AE66" i="12"/>
  <c r="J66" i="12"/>
  <c r="H66" i="12"/>
  <c r="A19" i="12"/>
  <c r="A20" i="12"/>
  <c r="A21" i="12"/>
  <c r="BT20" i="12"/>
  <c r="B17" i="9"/>
  <c r="G16" i="7"/>
  <c r="G15" i="7"/>
  <c r="G14" i="7"/>
  <c r="BV75" i="12"/>
  <c r="BU85" i="12"/>
  <c r="BU87" i="12"/>
  <c r="AK88" i="12"/>
  <c r="BU105" i="12"/>
  <c r="BU114" i="12"/>
  <c r="BV67" i="12"/>
  <c r="BU88" i="12"/>
  <c r="BV90" i="12"/>
  <c r="BV78" i="12"/>
  <c r="AK102" i="12"/>
  <c r="BU115" i="12"/>
  <c r="AK90" i="12"/>
  <c r="BU91" i="12"/>
  <c r="BU81" i="12"/>
  <c r="AK66" i="12"/>
  <c r="AK115" i="12"/>
  <c r="AK69" i="12"/>
  <c r="AK114" i="12"/>
  <c r="AK79" i="12"/>
  <c r="AK81" i="12"/>
  <c r="AK93" i="12"/>
  <c r="AK82" i="12"/>
  <c r="AK70" i="12"/>
  <c r="BU82" i="12"/>
  <c r="AK108" i="12"/>
  <c r="AK78" i="12"/>
  <c r="BU99" i="12"/>
  <c r="AK109" i="12"/>
  <c r="AK76" i="12"/>
  <c r="AK67" i="12"/>
  <c r="AK85" i="12"/>
  <c r="AK96" i="12"/>
  <c r="BU102" i="12"/>
  <c r="AK111" i="12"/>
  <c r="BU112" i="12"/>
  <c r="BU116" i="12"/>
  <c r="BU109" i="12"/>
  <c r="BU106" i="12"/>
  <c r="BU94" i="12"/>
  <c r="AK112" i="12"/>
  <c r="BU97" i="12"/>
  <c r="BU103" i="12"/>
  <c r="BU100" i="12"/>
  <c r="I8" i="15"/>
  <c r="J3" i="51"/>
  <c r="AG52" i="12"/>
  <c r="AE52" i="12"/>
  <c r="J52" i="12"/>
  <c r="H52" i="12"/>
  <c r="E14" i="33"/>
  <c r="E15" i="33"/>
  <c r="E17" i="33"/>
  <c r="B2" i="33"/>
  <c r="B3" i="15"/>
  <c r="Q18" i="15"/>
  <c r="Q19" i="15"/>
  <c r="Q20" i="15"/>
  <c r="Q21" i="15"/>
  <c r="Q22" i="15"/>
  <c r="Q23" i="15"/>
  <c r="Q24" i="15"/>
  <c r="Q25" i="15"/>
  <c r="Q26" i="15"/>
  <c r="W16" i="15"/>
  <c r="V16" i="15"/>
  <c r="X16" i="15"/>
  <c r="T38" i="15"/>
  <c r="U38" i="15"/>
  <c r="R16" i="15"/>
  <c r="R38" i="15"/>
  <c r="Q40" i="15"/>
  <c r="Q41" i="15"/>
  <c r="Q42" i="15"/>
  <c r="Q43" i="15"/>
  <c r="Q44" i="15"/>
  <c r="Q45" i="15"/>
  <c r="Q46" i="15"/>
  <c r="Q47" i="15"/>
  <c r="Q48" i="15"/>
  <c r="T16" i="15"/>
  <c r="U16" i="15"/>
  <c r="J18" i="12"/>
  <c r="AK18" i="12"/>
  <c r="AE18" i="12"/>
  <c r="AG18" i="12"/>
  <c r="AE20" i="12"/>
  <c r="AE19"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3" i="12"/>
  <c r="AE54" i="12"/>
  <c r="AE55" i="12"/>
  <c r="AE56" i="12"/>
  <c r="AE57" i="12"/>
  <c r="AE58" i="12"/>
  <c r="AE59" i="12"/>
  <c r="AE60" i="12"/>
  <c r="AE61" i="12"/>
  <c r="AE62" i="12"/>
  <c r="AE63" i="12"/>
  <c r="AE64" i="12"/>
  <c r="AE65" i="12"/>
  <c r="H20" i="12"/>
  <c r="J20" i="12"/>
  <c r="AG20" i="12"/>
  <c r="H19" i="12"/>
  <c r="J19" i="12"/>
  <c r="AK19" i="12"/>
  <c r="AG19" i="12"/>
  <c r="H21" i="12"/>
  <c r="J21" i="12"/>
  <c r="AK21" i="12"/>
  <c r="AG21" i="12"/>
  <c r="H22" i="12"/>
  <c r="J22" i="12"/>
  <c r="AG22" i="12"/>
  <c r="H23" i="12"/>
  <c r="J23" i="12"/>
  <c r="AG23" i="12"/>
  <c r="H24" i="12"/>
  <c r="J24" i="12"/>
  <c r="AG24" i="12"/>
  <c r="H25" i="12"/>
  <c r="J25" i="12"/>
  <c r="AG25" i="12"/>
  <c r="H26" i="12"/>
  <c r="J26" i="12"/>
  <c r="AG26" i="12"/>
  <c r="H27" i="12"/>
  <c r="J27" i="12"/>
  <c r="AG27" i="12"/>
  <c r="H28" i="12"/>
  <c r="J28" i="12"/>
  <c r="AG28" i="12"/>
  <c r="H29" i="12"/>
  <c r="J29" i="12"/>
  <c r="AG29" i="12"/>
  <c r="H30" i="12"/>
  <c r="J30" i="12"/>
  <c r="AG30" i="12"/>
  <c r="H31" i="12"/>
  <c r="J31" i="12"/>
  <c r="AG31" i="12"/>
  <c r="H32" i="12"/>
  <c r="J32" i="12"/>
  <c r="AG32" i="12"/>
  <c r="H33" i="12"/>
  <c r="J33" i="12"/>
  <c r="AG33" i="12"/>
  <c r="H34" i="12"/>
  <c r="J34" i="12"/>
  <c r="AG34" i="12"/>
  <c r="H35" i="12"/>
  <c r="J35" i="12"/>
  <c r="AK35" i="12"/>
  <c r="AG35" i="12"/>
  <c r="H36" i="12"/>
  <c r="J36" i="12"/>
  <c r="AG36" i="12"/>
  <c r="H37" i="12"/>
  <c r="J37" i="12"/>
  <c r="AG37" i="12"/>
  <c r="H38" i="12"/>
  <c r="J38" i="12"/>
  <c r="AG38" i="12"/>
  <c r="H39" i="12"/>
  <c r="J39" i="12"/>
  <c r="AG39" i="12"/>
  <c r="H40" i="12"/>
  <c r="J40" i="12"/>
  <c r="AK40" i="12"/>
  <c r="AG40" i="12"/>
  <c r="H41" i="12"/>
  <c r="J41" i="12"/>
  <c r="AG41" i="12"/>
  <c r="H42" i="12"/>
  <c r="J42" i="12"/>
  <c r="AK42" i="12"/>
  <c r="AG42" i="12"/>
  <c r="H43" i="12"/>
  <c r="J43" i="12"/>
  <c r="AK43" i="12"/>
  <c r="AG43" i="12"/>
  <c r="H44" i="12"/>
  <c r="J44" i="12"/>
  <c r="AK44" i="12"/>
  <c r="AG44" i="12"/>
  <c r="H45" i="12"/>
  <c r="J45" i="12"/>
  <c r="AK45" i="12"/>
  <c r="AG45" i="12"/>
  <c r="H46" i="12"/>
  <c r="J46" i="12"/>
  <c r="AK46" i="12"/>
  <c r="AG46" i="12"/>
  <c r="H47" i="12"/>
  <c r="J47" i="12"/>
  <c r="AG47" i="12"/>
  <c r="H48" i="12"/>
  <c r="J48" i="12"/>
  <c r="AG48" i="12"/>
  <c r="H49" i="12"/>
  <c r="J49" i="12"/>
  <c r="AG49" i="12"/>
  <c r="H50" i="12"/>
  <c r="J50" i="12"/>
  <c r="AG50" i="12"/>
  <c r="H51" i="12"/>
  <c r="J51" i="12"/>
  <c r="AK51" i="12"/>
  <c r="AG51" i="12"/>
  <c r="AK52" i="12"/>
  <c r="H53" i="12"/>
  <c r="J53" i="12"/>
  <c r="AK53" i="12"/>
  <c r="AG53" i="12"/>
  <c r="H54" i="12"/>
  <c r="J54" i="12"/>
  <c r="AG54" i="12"/>
  <c r="H55" i="12"/>
  <c r="J55" i="12"/>
  <c r="AK55" i="12"/>
  <c r="AG55" i="12"/>
  <c r="H56" i="12"/>
  <c r="J56" i="12"/>
  <c r="AK56" i="12"/>
  <c r="AG56" i="12"/>
  <c r="H57" i="12"/>
  <c r="J57" i="12"/>
  <c r="AG57" i="12"/>
  <c r="H58" i="12"/>
  <c r="J58" i="12"/>
  <c r="AK58" i="12"/>
  <c r="AG58" i="12"/>
  <c r="H59" i="12"/>
  <c r="J59" i="12"/>
  <c r="AG59" i="12"/>
  <c r="H60" i="12"/>
  <c r="J60" i="12"/>
  <c r="AG60" i="12"/>
  <c r="H61" i="12"/>
  <c r="J61" i="12"/>
  <c r="AG61" i="12"/>
  <c r="H62" i="12"/>
  <c r="J62" i="12"/>
  <c r="AG62" i="12"/>
  <c r="H63" i="12"/>
  <c r="J63" i="12"/>
  <c r="AG63" i="12"/>
  <c r="H64" i="12"/>
  <c r="J64" i="12"/>
  <c r="AG64" i="12"/>
  <c r="H65" i="12"/>
  <c r="J65" i="12"/>
  <c r="AG65" i="12"/>
  <c r="C11" i="44"/>
  <c r="BH18" i="12"/>
  <c r="BH20" i="12"/>
  <c r="BH19" i="12"/>
  <c r="BH21" i="12"/>
  <c r="BH22" i="12"/>
  <c r="BH23" i="12"/>
  <c r="BH24" i="12"/>
  <c r="BH25" i="12"/>
  <c r="BH26" i="12"/>
  <c r="BH27" i="12"/>
  <c r="BH28" i="12"/>
  <c r="BH29" i="12"/>
  <c r="BH30" i="12"/>
  <c r="BH31" i="12"/>
  <c r="BH32" i="12"/>
  <c r="BH33" i="12"/>
  <c r="BH34" i="12"/>
  <c r="BH35" i="12"/>
  <c r="BH36" i="12"/>
  <c r="BH37" i="12"/>
  <c r="BH38" i="12"/>
  <c r="BH39" i="12"/>
  <c r="BH40" i="12"/>
  <c r="BH41" i="12"/>
  <c r="BH42" i="12"/>
  <c r="BH43" i="12"/>
  <c r="BH44" i="12"/>
  <c r="BH45" i="12"/>
  <c r="BH46" i="12"/>
  <c r="BH47" i="12"/>
  <c r="BH48" i="12"/>
  <c r="BH49" i="12"/>
  <c r="BH50" i="12"/>
  <c r="BH51" i="12"/>
  <c r="BH52" i="12"/>
  <c r="BH53" i="12"/>
  <c r="BH54" i="12"/>
  <c r="BH55" i="12"/>
  <c r="BH56" i="12"/>
  <c r="BH57" i="12"/>
  <c r="BH58" i="12"/>
  <c r="BH59" i="12"/>
  <c r="BH60" i="12"/>
  <c r="BH61" i="12"/>
  <c r="BH62" i="12"/>
  <c r="BH63" i="12"/>
  <c r="BH64" i="12"/>
  <c r="BH65" i="12"/>
  <c r="BS18" i="12"/>
  <c r="BT18" i="12"/>
  <c r="BS20" i="12"/>
  <c r="W38" i="15"/>
  <c r="V38" i="15"/>
  <c r="X38" i="15"/>
  <c r="S16" i="15"/>
  <c r="S38" i="15"/>
  <c r="B11" i="44"/>
  <c r="A11" i="44"/>
  <c r="E5" i="8"/>
  <c r="F5" i="8"/>
  <c r="D22" i="9"/>
  <c r="B22" i="9"/>
  <c r="C5" i="33"/>
  <c r="C4" i="33"/>
  <c r="C3" i="33"/>
  <c r="C2" i="33"/>
  <c r="F70" i="8"/>
  <c r="G40" i="8"/>
  <c r="B18" i="20"/>
  <c r="H69" i="8"/>
  <c r="H68" i="8"/>
  <c r="H66" i="8"/>
  <c r="H65" i="8"/>
  <c r="H64" i="8"/>
  <c r="H63" i="8"/>
  <c r="H62" i="8"/>
  <c r="H60" i="8"/>
  <c r="H59" i="8"/>
  <c r="H58" i="8"/>
  <c r="H57" i="8"/>
  <c r="H56" i="8"/>
  <c r="H55" i="8"/>
  <c r="H54" i="8"/>
  <c r="H53" i="8"/>
  <c r="H52" i="8"/>
  <c r="H51" i="8"/>
  <c r="H49" i="8"/>
  <c r="H48" i="8"/>
  <c r="H47" i="8"/>
  <c r="H46" i="8"/>
  <c r="H45" i="8"/>
  <c r="H44" i="8"/>
  <c r="H42" i="8"/>
  <c r="H41" i="8"/>
  <c r="H40" i="8"/>
  <c r="H39" i="8"/>
  <c r="H38" i="8"/>
  <c r="H37" i="8"/>
  <c r="H35" i="8"/>
  <c r="H34" i="8"/>
  <c r="H33" i="8"/>
  <c r="H32" i="8"/>
  <c r="H31" i="8"/>
  <c r="H29" i="8"/>
  <c r="H28" i="8"/>
  <c r="H27" i="8"/>
  <c r="H26" i="8"/>
  <c r="H25" i="8"/>
  <c r="H24" i="8"/>
  <c r="H23" i="8"/>
  <c r="H22" i="8"/>
  <c r="H30" i="8"/>
  <c r="F73" i="8" a="1"/>
  <c r="F73" i="8"/>
  <c r="E69" i="8"/>
  <c r="E35" i="8"/>
  <c r="E34" i="8"/>
  <c r="E33" i="8"/>
  <c r="E32" i="8"/>
  <c r="E31" i="8"/>
  <c r="E30" i="8"/>
  <c r="E29" i="8"/>
  <c r="E28" i="8"/>
  <c r="E27" i="8"/>
  <c r="E26" i="8"/>
  <c r="E25" i="8"/>
  <c r="E24" i="8"/>
  <c r="E23" i="8"/>
  <c r="E53" i="8"/>
  <c r="E52" i="8"/>
  <c r="G51" i="8"/>
  <c r="E51" i="8"/>
  <c r="E49" i="8"/>
  <c r="E48" i="8"/>
  <c r="E47" i="8"/>
  <c r="E46" i="8"/>
  <c r="E45" i="8"/>
  <c r="E44" i="8"/>
  <c r="F6" i="8"/>
  <c r="F7" i="8"/>
  <c r="F8" i="8"/>
  <c r="F13" i="8"/>
  <c r="F14" i="8"/>
  <c r="F15" i="8"/>
  <c r="F16" i="8"/>
  <c r="E22" i="8"/>
  <c r="E37" i="8"/>
  <c r="E38" i="8"/>
  <c r="E39" i="8"/>
  <c r="E40" i="8"/>
  <c r="E41" i="8"/>
  <c r="E42" i="8"/>
  <c r="E54" i="8"/>
  <c r="E55" i="8"/>
  <c r="E56" i="8"/>
  <c r="E57" i="8"/>
  <c r="E58" i="8"/>
  <c r="E59" i="8"/>
  <c r="E60" i="8"/>
  <c r="E62" i="8"/>
  <c r="E63" i="8"/>
  <c r="E64" i="8"/>
  <c r="E65" i="8"/>
  <c r="E66" i="8"/>
  <c r="E68" i="8"/>
  <c r="A5" i="32" a="1"/>
  <c r="A5" i="32"/>
  <c r="A11" i="32"/>
  <c r="A10" i="32"/>
  <c r="H7" i="32"/>
  <c r="G7" i="32"/>
  <c r="C7" i="32"/>
  <c r="F7" i="32"/>
  <c r="E7" i="32"/>
  <c r="D7" i="32"/>
  <c r="B4" i="32"/>
  <c r="H4" i="32"/>
  <c r="G4" i="32"/>
  <c r="F4" i="32"/>
  <c r="A4" i="32"/>
  <c r="D21" i="9"/>
  <c r="B21" i="9"/>
  <c r="C18" i="9"/>
  <c r="B15" i="9"/>
  <c r="E4" i="9"/>
  <c r="F4" i="9"/>
  <c r="A5" i="22" a="1"/>
  <c r="A5" i="22"/>
  <c r="A11" i="22"/>
  <c r="A10" i="22"/>
  <c r="B4" i="22"/>
  <c r="H7" i="22"/>
  <c r="G7" i="22"/>
  <c r="C7" i="22"/>
  <c r="F7" i="22"/>
  <c r="E7" i="22"/>
  <c r="D7" i="22"/>
  <c r="A4" i="22"/>
  <c r="F4" i="22"/>
  <c r="G4" i="22"/>
  <c r="H4" i="22"/>
  <c r="G14" i="14"/>
  <c r="G14" i="15"/>
  <c r="G9" i="51"/>
  <c r="F6" i="7"/>
  <c r="D7" i="20"/>
  <c r="F4" i="7"/>
  <c r="B4" i="7"/>
  <c r="B3" i="7"/>
  <c r="E44" i="20"/>
  <c r="B6" i="20"/>
  <c r="A6" i="20"/>
  <c r="A5" i="20"/>
  <c r="A4" i="20"/>
  <c r="A3" i="20"/>
  <c r="E3" i="20"/>
  <c r="B5" i="20"/>
  <c r="B4" i="20"/>
  <c r="B3" i="20"/>
  <c r="B37" i="17"/>
  <c r="B37" i="51"/>
  <c r="D37" i="17"/>
  <c r="D37" i="51"/>
  <c r="B18" i="11"/>
  <c r="F2" i="12"/>
  <c r="I37" i="17"/>
  <c r="I37" i="51"/>
  <c r="H36" i="17"/>
  <c r="H36" i="51"/>
  <c r="G36" i="17"/>
  <c r="G36" i="51"/>
  <c r="E37" i="17"/>
  <c r="E37" i="51"/>
  <c r="C3" i="17"/>
  <c r="C4" i="17"/>
  <c r="G3" i="15"/>
  <c r="G3" i="17"/>
  <c r="I3" i="14"/>
  <c r="I3" i="15"/>
  <c r="J3" i="17"/>
  <c r="G4" i="15"/>
  <c r="I4" i="17"/>
  <c r="G5" i="15"/>
  <c r="I5" i="17"/>
  <c r="G8" i="15"/>
  <c r="G3" i="51"/>
  <c r="G9" i="15"/>
  <c r="I4" i="51"/>
  <c r="G10" i="15"/>
  <c r="I5" i="51"/>
  <c r="G11" i="15"/>
  <c r="I6" i="51"/>
  <c r="G12" i="15"/>
  <c r="I7" i="51"/>
  <c r="J9" i="15"/>
  <c r="Z41" i="15"/>
  <c r="Z19" i="15"/>
  <c r="Q38" i="15"/>
  <c r="AA41" i="15"/>
  <c r="AA42" i="15"/>
  <c r="AA43" i="15"/>
  <c r="AA44" i="15"/>
  <c r="C20" i="14"/>
  <c r="L23" i="14"/>
  <c r="L24" i="14"/>
  <c r="L25" i="14"/>
  <c r="L26" i="14"/>
  <c r="L27" i="14"/>
  <c r="L28" i="14"/>
  <c r="L29" i="14"/>
  <c r="L30" i="14"/>
  <c r="L31" i="14"/>
  <c r="L32" i="14"/>
  <c r="L33" i="14"/>
  <c r="C41" i="14"/>
  <c r="C77" i="14"/>
  <c r="C78" i="14"/>
  <c r="C79" i="14"/>
  <c r="C80" i="14"/>
  <c r="C81" i="14"/>
  <c r="C82" i="14"/>
  <c r="C83" i="14"/>
  <c r="C84" i="14"/>
  <c r="C85" i="14"/>
  <c r="C86" i="14"/>
  <c r="B19" i="11"/>
  <c r="G2" i="12"/>
  <c r="B20" i="11"/>
  <c r="H2" i="12"/>
  <c r="B21" i="11"/>
  <c r="F29" i="11"/>
  <c r="B22" i="11"/>
  <c r="J2" i="12"/>
  <c r="B23" i="11"/>
  <c r="K2" i="12"/>
  <c r="F3" i="12"/>
  <c r="G3" i="12"/>
  <c r="H3" i="12"/>
  <c r="I3" i="12"/>
  <c r="J3" i="12"/>
  <c r="B56" i="11"/>
  <c r="B39" i="11"/>
  <c r="B57" i="11"/>
  <c r="B40" i="11"/>
  <c r="B58" i="11"/>
  <c r="B59" i="11"/>
  <c r="N4" i="12"/>
  <c r="H67" i="11"/>
  <c r="H68" i="11"/>
  <c r="H69" i="11"/>
  <c r="G8" i="12"/>
  <c r="H8" i="12"/>
  <c r="I8" i="12"/>
  <c r="J8" i="12"/>
  <c r="K8" i="12"/>
  <c r="F9" i="12"/>
  <c r="F10" i="12"/>
  <c r="F11" i="12"/>
  <c r="F12" i="12"/>
  <c r="F13" i="12"/>
  <c r="AN13" i="12"/>
  <c r="AR13" i="12"/>
  <c r="A15" i="12"/>
  <c r="A16" i="12"/>
  <c r="KS20" i="9"/>
  <c r="B20" i="9"/>
  <c r="C50" i="11"/>
  <c r="C49" i="11"/>
  <c r="C48" i="11"/>
  <c r="C47" i="11"/>
  <c r="B32" i="11"/>
  <c r="C26" i="11"/>
  <c r="C27" i="11"/>
  <c r="C28" i="11"/>
  <c r="C29" i="11"/>
  <c r="C30" i="11"/>
  <c r="C56" i="11"/>
  <c r="C57" i="11"/>
  <c r="C58" i="11"/>
  <c r="C59" i="11"/>
  <c r="C51" i="11"/>
  <c r="C60" i="11"/>
  <c r="H66" i="11"/>
  <c r="J66" i="11"/>
  <c r="J67" i="11"/>
  <c r="J68" i="11"/>
  <c r="J69" i="11"/>
  <c r="F73" i="11"/>
  <c r="A10" i="9"/>
  <c r="C4" i="7"/>
  <c r="F11" i="7"/>
  <c r="G11" i="7"/>
  <c r="E24" i="7"/>
  <c r="F24" i="7"/>
  <c r="G24" i="7"/>
  <c r="E25" i="7"/>
  <c r="F25" i="7"/>
  <c r="G25" i="7"/>
  <c r="E26" i="7"/>
  <c r="F26" i="7"/>
  <c r="G26" i="7"/>
  <c r="E27" i="7"/>
  <c r="F27" i="7"/>
  <c r="G27" i="7"/>
  <c r="E28" i="7"/>
  <c r="F28" i="7"/>
  <c r="G28" i="7"/>
  <c r="E29" i="7"/>
  <c r="F29" i="7"/>
  <c r="G29" i="7"/>
  <c r="E30" i="7"/>
  <c r="F30" i="7"/>
  <c r="G30" i="7"/>
  <c r="E31" i="7"/>
  <c r="F31" i="7"/>
  <c r="G31" i="7"/>
  <c r="E32" i="7"/>
  <c r="F32" i="7"/>
  <c r="G32" i="7"/>
  <c r="E33" i="7"/>
  <c r="F33" i="7"/>
  <c r="G33" i="7"/>
  <c r="E34" i="7"/>
  <c r="F34" i="7"/>
  <c r="G34" i="7"/>
  <c r="E35" i="7"/>
  <c r="F35" i="7"/>
  <c r="G35" i="7"/>
  <c r="E36" i="7"/>
  <c r="F36" i="7"/>
  <c r="G36" i="7"/>
  <c r="E37" i="7"/>
  <c r="F37" i="7"/>
  <c r="G37" i="7"/>
  <c r="E38" i="7"/>
  <c r="F38" i="7"/>
  <c r="G38" i="7"/>
  <c r="E39" i="7"/>
  <c r="F39" i="7"/>
  <c r="G39" i="7"/>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8" i="5"/>
  <c r="C39" i="5"/>
  <c r="C40" i="5"/>
  <c r="C41" i="5"/>
  <c r="C42" i="5"/>
  <c r="C43" i="5"/>
  <c r="C44" i="5"/>
  <c r="C45" i="5"/>
  <c r="C46" i="5"/>
  <c r="C47" i="5"/>
  <c r="C48" i="5"/>
  <c r="C49" i="5"/>
  <c r="C50" i="5"/>
  <c r="C51" i="5"/>
  <c r="C52" i="5"/>
  <c r="C53" i="5"/>
  <c r="C54" i="5"/>
  <c r="C55"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7" i="5"/>
  <c r="C88" i="5"/>
  <c r="C89" i="5"/>
  <c r="C90" i="5"/>
  <c r="C91" i="5"/>
  <c r="C92" i="5"/>
  <c r="C93" i="5"/>
  <c r="C94" i="5"/>
  <c r="C95" i="5"/>
  <c r="C96" i="5"/>
  <c r="C97" i="5"/>
  <c r="C98" i="5"/>
  <c r="C99" i="5"/>
  <c r="C100" i="5"/>
  <c r="C101" i="5"/>
  <c r="C102" i="5"/>
  <c r="C103" i="5"/>
  <c r="C104" i="5"/>
  <c r="C105" i="5"/>
  <c r="C106" i="5"/>
  <c r="C107" i="5"/>
  <c r="C108" i="5"/>
  <c r="C109" i="5"/>
  <c r="C110" i="5"/>
  <c r="C112" i="5"/>
  <c r="C113" i="5"/>
  <c r="C114" i="5"/>
  <c r="C115" i="5"/>
  <c r="C116" i="5"/>
  <c r="C117" i="5"/>
  <c r="C118" i="5"/>
  <c r="C119" i="5"/>
  <c r="C120" i="5"/>
  <c r="C121" i="5"/>
  <c r="C122" i="5"/>
  <c r="C123" i="5"/>
  <c r="C124" i="5"/>
  <c r="C125" i="5"/>
  <c r="C127" i="5"/>
  <c r="C128" i="5"/>
  <c r="C129" i="5"/>
  <c r="C130" i="5"/>
  <c r="C131" i="5"/>
  <c r="C132" i="5"/>
  <c r="C133" i="5"/>
  <c r="C134" i="5"/>
  <c r="C135" i="5"/>
  <c r="C137" i="5"/>
  <c r="C138" i="5"/>
  <c r="C139" i="5"/>
  <c r="C140" i="5"/>
  <c r="C141" i="5"/>
  <c r="C142" i="5"/>
  <c r="C143" i="5"/>
  <c r="C144" i="5"/>
  <c r="C145" i="5"/>
  <c r="C146" i="5"/>
  <c r="C147" i="5"/>
  <c r="C148" i="5"/>
  <c r="C149" i="5"/>
  <c r="C150" i="5"/>
  <c r="C151" i="5"/>
  <c r="C152" i="5"/>
  <c r="C153" i="5"/>
  <c r="C154" i="5"/>
  <c r="C155" i="5"/>
  <c r="C156" i="5"/>
  <c r="C158" i="5"/>
  <c r="C159" i="5"/>
  <c r="C160" i="5"/>
  <c r="C161" i="5"/>
  <c r="C162" i="5"/>
  <c r="C163" i="5"/>
  <c r="C164" i="5"/>
  <c r="C165" i="5"/>
  <c r="C166" i="5"/>
  <c r="C167" i="5"/>
  <c r="C168" i="5"/>
  <c r="C169" i="5"/>
  <c r="C170" i="5"/>
  <c r="C171" i="5"/>
  <c r="C172" i="5"/>
  <c r="C173" i="5"/>
  <c r="C174" i="5"/>
  <c r="C175" i="5"/>
  <c r="C176" i="5"/>
  <c r="C177" i="5"/>
  <c r="C178" i="5"/>
  <c r="C179" i="5"/>
  <c r="C180" i="5"/>
  <c r="C182" i="5"/>
  <c r="C183" i="5"/>
  <c r="C184" i="5"/>
  <c r="C185" i="5"/>
  <c r="C186" i="5"/>
  <c r="C187" i="5"/>
  <c r="C188" i="5"/>
  <c r="C189" i="5"/>
  <c r="C191" i="5"/>
  <c r="C192" i="5"/>
  <c r="C193" i="5"/>
  <c r="C194" i="5"/>
  <c r="C195" i="5"/>
  <c r="C196" i="5"/>
  <c r="C197" i="5"/>
  <c r="C198" i="5"/>
  <c r="C199" i="5"/>
  <c r="C200" i="5"/>
  <c r="C201" i="5"/>
  <c r="C202" i="5"/>
  <c r="C203" i="5"/>
  <c r="C204" i="5"/>
  <c r="C205" i="5"/>
  <c r="C206" i="5"/>
  <c r="C207" i="5"/>
  <c r="C208" i="5"/>
  <c r="C209" i="5"/>
  <c r="C211" i="5"/>
  <c r="C212" i="5"/>
  <c r="C213" i="5"/>
  <c r="C214" i="5"/>
  <c r="C215" i="5"/>
  <c r="C216" i="5"/>
  <c r="C217" i="5"/>
  <c r="C218" i="5"/>
  <c r="C219" i="5"/>
  <c r="C220" i="5"/>
  <c r="C222" i="5"/>
  <c r="C223" i="5"/>
  <c r="C224" i="5"/>
  <c r="C225" i="5"/>
  <c r="C226" i="5"/>
  <c r="C227" i="5"/>
  <c r="C228" i="5"/>
  <c r="C229" i="5"/>
  <c r="C230" i="5"/>
  <c r="C232" i="5"/>
  <c r="C233" i="5"/>
  <c r="C234" i="5"/>
  <c r="C235" i="5"/>
  <c r="C236" i="5"/>
  <c r="C237" i="5"/>
  <c r="C238" i="5"/>
  <c r="C239" i="5"/>
  <c r="C240" i="5"/>
  <c r="C241" i="5"/>
  <c r="C242" i="5"/>
  <c r="C243" i="5"/>
  <c r="C244" i="5"/>
  <c r="C245"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8" i="5"/>
  <c r="C349" i="5"/>
  <c r="C350" i="5"/>
  <c r="C351" i="5"/>
  <c r="C352" i="5"/>
  <c r="C353" i="5"/>
  <c r="C354" i="5"/>
  <c r="C355" i="5"/>
  <c r="C356" i="5"/>
  <c r="C357" i="5"/>
  <c r="C358" i="5"/>
  <c r="C359" i="5"/>
  <c r="C360" i="5"/>
  <c r="C361" i="5"/>
  <c r="C362" i="5"/>
  <c r="C363" i="5"/>
  <c r="C364" i="5"/>
  <c r="C365" i="5"/>
  <c r="C366" i="5"/>
  <c r="C367" i="5"/>
  <c r="B13" i="9"/>
  <c r="C14" i="9"/>
  <c r="AK36" i="12"/>
  <c r="AK61" i="12"/>
  <c r="AK47" i="12"/>
  <c r="AK31" i="12"/>
  <c r="AK23" i="12"/>
  <c r="BX27" i="12"/>
  <c r="BX24" i="12"/>
  <c r="BV26" i="12"/>
  <c r="BU25" i="12"/>
  <c r="BU24" i="12"/>
  <c r="BV25" i="12"/>
  <c r="BU26" i="12"/>
  <c r="BX25" i="12"/>
  <c r="BU21" i="12"/>
  <c r="BX23" i="12"/>
  <c r="BU23" i="12"/>
  <c r="BU29" i="12"/>
  <c r="BX29" i="12"/>
  <c r="BV23" i="12"/>
  <c r="BX28" i="12"/>
  <c r="BX21" i="12"/>
  <c r="BU28" i="12"/>
  <c r="BV28" i="12"/>
  <c r="BX20" i="12"/>
  <c r="BU27" i="12"/>
  <c r="BV27" i="12"/>
  <c r="BV24" i="12"/>
  <c r="BV21" i="12"/>
  <c r="BX26" i="12"/>
  <c r="BX19" i="12"/>
  <c r="BW21" i="12"/>
  <c r="BW24" i="12"/>
  <c r="BW22" i="12"/>
  <c r="BX22" i="12"/>
  <c r="BW25" i="12"/>
  <c r="BW23" i="12"/>
  <c r="BW29" i="12"/>
  <c r="BW20" i="12"/>
  <c r="BW19" i="12"/>
  <c r="BW27" i="12"/>
  <c r="BW28" i="12"/>
  <c r="E6" i="20"/>
  <c r="BV19" i="12"/>
  <c r="BU19" i="12"/>
  <c r="BW26" i="12"/>
  <c r="BV22" i="12"/>
  <c r="BU22" i="12"/>
  <c r="AK34" i="12"/>
  <c r="AK22" i="12"/>
  <c r="AK32" i="12"/>
  <c r="AK41" i="12"/>
  <c r="AK62" i="12"/>
  <c r="AK50" i="12"/>
  <c r="AK37" i="12"/>
  <c r="AK57" i="12"/>
  <c r="AK64" i="12"/>
  <c r="AK54" i="12"/>
  <c r="AK63" i="12"/>
  <c r="AK60" i="12"/>
  <c r="AK30" i="12"/>
  <c r="AK59" i="12"/>
  <c r="AK49" i="12"/>
  <c r="AK39" i="12"/>
  <c r="AK29" i="12"/>
  <c r="AK48" i="12"/>
  <c r="AK38" i="12"/>
  <c r="AK28" i="12"/>
  <c r="AK65" i="12"/>
  <c r="AK20" i="12"/>
  <c r="AK27" i="12"/>
  <c r="AK33" i="12"/>
  <c r="AR11" i="12"/>
  <c r="I10" i="15"/>
  <c r="J5" i="51"/>
  <c r="B19" i="20"/>
  <c r="B20" i="20"/>
  <c r="BT19" i="12"/>
  <c r="BS19" i="12"/>
  <c r="AG1" i="12"/>
  <c r="O5" i="14"/>
  <c r="BB87" i="12"/>
  <c r="AK26" i="12"/>
  <c r="BV29" i="12"/>
  <c r="AK25" i="12"/>
  <c r="AK24" i="12"/>
  <c r="AE1" i="12"/>
  <c r="O4" i="14"/>
  <c r="AU117" i="12"/>
  <c r="AU99" i="12"/>
  <c r="AU108" i="12"/>
  <c r="AU87" i="12"/>
  <c r="AU81" i="12"/>
  <c r="AU111" i="12"/>
  <c r="AU107" i="12"/>
  <c r="AU106" i="12"/>
  <c r="AU68" i="12"/>
  <c r="AU77" i="12"/>
  <c r="AU91" i="12"/>
  <c r="AU89" i="12"/>
  <c r="AU79" i="12"/>
  <c r="AU66" i="12"/>
  <c r="AU110" i="12"/>
  <c r="AU116" i="12"/>
  <c r="AU98" i="12"/>
  <c r="AU88" i="12"/>
  <c r="AU97" i="12"/>
  <c r="AU85" i="12"/>
  <c r="AU83" i="12"/>
  <c r="AU72" i="12"/>
  <c r="AU82" i="12"/>
  <c r="AU92" i="12"/>
  <c r="AU19" i="12"/>
  <c r="AU42" i="12"/>
  <c r="AU36" i="12"/>
  <c r="AU22" i="12"/>
  <c r="AU30" i="12"/>
  <c r="AU38" i="12"/>
  <c r="AU28" i="12"/>
  <c r="AU65" i="12"/>
  <c r="AU53" i="12"/>
  <c r="AU63" i="12"/>
  <c r="AU49" i="12"/>
  <c r="AU64" i="12"/>
  <c r="AU20" i="12"/>
  <c r="AU57" i="12"/>
  <c r="AU35" i="12"/>
  <c r="AU61" i="12"/>
  <c r="AU45" i="12"/>
  <c r="AU55" i="12"/>
  <c r="AU23" i="12"/>
  <c r="AU48" i="12"/>
  <c r="AU52" i="12"/>
  <c r="AU44" i="12"/>
  <c r="AU40" i="12"/>
  <c r="AU59" i="12"/>
  <c r="AU34" i="12"/>
  <c r="AU18" i="12"/>
  <c r="AU33" i="12"/>
  <c r="AU41" i="12"/>
  <c r="AU62" i="12"/>
  <c r="AU60" i="12"/>
  <c r="AU54" i="12"/>
  <c r="AU39" i="12"/>
  <c r="AU51" i="12"/>
  <c r="BB55" i="12"/>
  <c r="AU56" i="12"/>
  <c r="AU32" i="12"/>
  <c r="AU47" i="12"/>
  <c r="AU58" i="12"/>
  <c r="BS21" i="12"/>
  <c r="BT21" i="12"/>
  <c r="A22" i="12"/>
  <c r="BT22" i="12"/>
  <c r="A23" i="12"/>
  <c r="BS22" i="12"/>
  <c r="A24" i="12"/>
  <c r="BS23" i="12"/>
  <c r="BT23" i="12"/>
  <c r="BT24" i="12"/>
  <c r="A25" i="12"/>
  <c r="BS24" i="12"/>
  <c r="BT25" i="12"/>
  <c r="A26" i="12"/>
  <c r="BS25" i="12"/>
  <c r="BS26" i="12"/>
  <c r="A27" i="12"/>
  <c r="BT26" i="12"/>
  <c r="BS27" i="12"/>
  <c r="BT27" i="12"/>
  <c r="A28" i="12"/>
  <c r="BT28" i="12"/>
  <c r="A29" i="12"/>
  <c r="BS28" i="12"/>
  <c r="BS29" i="12"/>
  <c r="A30" i="12"/>
  <c r="BT29" i="12"/>
  <c r="A31" i="12"/>
  <c r="BT30" i="12"/>
  <c r="BS30" i="12"/>
  <c r="BX31" i="12"/>
  <c r="BV31" i="12"/>
  <c r="BS31" i="12"/>
  <c r="A32" i="12"/>
  <c r="BT31" i="12"/>
  <c r="BX30" i="12"/>
  <c r="BW30" i="12"/>
  <c r="BV30" i="12"/>
  <c r="A33" i="12"/>
  <c r="BS32" i="12"/>
  <c r="BT32" i="12"/>
  <c r="BW31" i="12"/>
  <c r="BU31" i="12"/>
  <c r="BU30" i="12"/>
  <c r="BX33" i="12"/>
  <c r="BV33" i="12"/>
  <c r="BS33" i="12"/>
  <c r="BT33" i="12"/>
  <c r="A34" i="12"/>
  <c r="BW32" i="12"/>
  <c r="BX32" i="12"/>
  <c r="BV32" i="12"/>
  <c r="A35" i="12"/>
  <c r="BS34" i="12"/>
  <c r="BT34" i="12"/>
  <c r="BU32" i="12"/>
  <c r="BU33" i="12"/>
  <c r="BW33" i="12"/>
  <c r="BV35" i="12"/>
  <c r="BX35" i="12"/>
  <c r="BW34" i="12"/>
  <c r="BX34" i="12"/>
  <c r="BV34" i="12"/>
  <c r="BS35" i="12"/>
  <c r="A36" i="12"/>
  <c r="BT35" i="12"/>
  <c r="BT36" i="12"/>
  <c r="BS36" i="12"/>
  <c r="A37" i="12"/>
  <c r="BU34" i="12"/>
  <c r="BW35" i="12"/>
  <c r="BU35" i="12"/>
  <c r="BT37" i="12"/>
  <c r="A38" i="12"/>
  <c r="BS37" i="12"/>
  <c r="BV36" i="12"/>
  <c r="BX36" i="12"/>
  <c r="BW36" i="12"/>
  <c r="A39" i="12"/>
  <c r="BS38" i="12"/>
  <c r="BT38" i="12"/>
  <c r="BW37" i="12"/>
  <c r="BV37" i="12"/>
  <c r="BX37" i="12"/>
  <c r="BX39" i="12"/>
  <c r="BV39" i="12"/>
  <c r="BU37" i="12"/>
  <c r="BT39" i="12"/>
  <c r="A40" i="12"/>
  <c r="BS39" i="12"/>
  <c r="BW38" i="12"/>
  <c r="BX38" i="12"/>
  <c r="BU36" i="12"/>
  <c r="BV38" i="12"/>
  <c r="BU38" i="12"/>
  <c r="BT40" i="12"/>
  <c r="A41" i="12"/>
  <c r="BS40" i="12"/>
  <c r="BU39" i="12"/>
  <c r="BW39" i="12"/>
  <c r="BV41" i="12"/>
  <c r="BX41" i="12"/>
  <c r="BT41" i="12"/>
  <c r="A42" i="12"/>
  <c r="BS41" i="12"/>
  <c r="BX40" i="12"/>
  <c r="BW40" i="12"/>
  <c r="BX42" i="12"/>
  <c r="BV42" i="12"/>
  <c r="BV40" i="12"/>
  <c r="A43" i="12"/>
  <c r="BS42" i="12"/>
  <c r="BT42" i="12"/>
  <c r="BW41" i="12"/>
  <c r="BU41" i="12"/>
  <c r="BX43" i="12"/>
  <c r="BV43" i="12"/>
  <c r="BS43" i="12"/>
  <c r="A44" i="12"/>
  <c r="BT43" i="12"/>
  <c r="BU40" i="12"/>
  <c r="BW42" i="12"/>
  <c r="BU42" i="12"/>
  <c r="BV44" i="12"/>
  <c r="BX44" i="12"/>
  <c r="BT44" i="12"/>
  <c r="A45" i="12"/>
  <c r="BS44" i="12"/>
  <c r="BU43" i="12"/>
  <c r="BW43" i="12"/>
  <c r="BU44" i="12"/>
  <c r="BW44" i="12"/>
  <c r="BT45" i="12"/>
  <c r="A46" i="12"/>
  <c r="BS45" i="12"/>
  <c r="BV46" i="12"/>
  <c r="BX46" i="12"/>
  <c r="BS46" i="12"/>
  <c r="BT46" i="12"/>
  <c r="A47" i="12"/>
  <c r="BX45" i="12"/>
  <c r="BW45" i="12"/>
  <c r="BV47" i="12"/>
  <c r="BX47" i="12"/>
  <c r="BV45" i="12"/>
  <c r="A48" i="12"/>
  <c r="BS47" i="12"/>
  <c r="BT47" i="12"/>
  <c r="BW46" i="12"/>
  <c r="BU46" i="12"/>
  <c r="BV48" i="12"/>
  <c r="BX48" i="12"/>
  <c r="A49" i="12"/>
  <c r="BT48" i="12"/>
  <c r="BS48" i="12"/>
  <c r="BU47" i="12"/>
  <c r="BU45" i="12"/>
  <c r="BW47" i="12"/>
  <c r="BX49" i="12"/>
  <c r="BV49" i="12"/>
  <c r="BS49" i="12"/>
  <c r="A50" i="12"/>
  <c r="BT49" i="12"/>
  <c r="BU48" i="12"/>
  <c r="BW48" i="12"/>
  <c r="BT50" i="12"/>
  <c r="A51" i="12"/>
  <c r="BS50" i="12"/>
  <c r="BW49" i="12"/>
  <c r="BU49" i="12"/>
  <c r="BX51" i="12"/>
  <c r="BV51" i="12"/>
  <c r="A52" i="12"/>
  <c r="BS51" i="12"/>
  <c r="BT51" i="12"/>
  <c r="BW50" i="12"/>
  <c r="BX50" i="12"/>
  <c r="BV52" i="12"/>
  <c r="BX52" i="12"/>
  <c r="BS52" i="12"/>
  <c r="A53" i="12"/>
  <c r="BT52" i="12"/>
  <c r="BV50" i="12"/>
  <c r="BW51" i="12"/>
  <c r="BU51" i="12"/>
  <c r="BV53" i="12"/>
  <c r="BX53" i="12"/>
  <c r="BS53" i="12"/>
  <c r="BT53" i="12"/>
  <c r="A54" i="12"/>
  <c r="BW52" i="12"/>
  <c r="BU50" i="12"/>
  <c r="BU52" i="12"/>
  <c r="BV54" i="12"/>
  <c r="BX54" i="12"/>
  <c r="A55" i="12"/>
  <c r="BS54" i="12"/>
  <c r="BT54" i="12"/>
  <c r="BW53" i="12"/>
  <c r="BU53" i="12"/>
  <c r="BV55" i="12"/>
  <c r="BX55" i="12"/>
  <c r="BU54" i="12"/>
  <c r="BT55" i="12"/>
  <c r="A56" i="12"/>
  <c r="BS55" i="12"/>
  <c r="BW54" i="12"/>
  <c r="BX56" i="12"/>
  <c r="BV56" i="12"/>
  <c r="BT56" i="12"/>
  <c r="BS56" i="12"/>
  <c r="A57" i="12"/>
  <c r="BU55" i="12"/>
  <c r="BW55" i="12"/>
  <c r="BX57" i="12"/>
  <c r="BV57" i="12"/>
  <c r="BT57" i="12"/>
  <c r="BS57" i="12"/>
  <c r="A58" i="12"/>
  <c r="BU56" i="12"/>
  <c r="BW56" i="12"/>
  <c r="BX58" i="12"/>
  <c r="BV58" i="12"/>
  <c r="BS58" i="12"/>
  <c r="BT58" i="12"/>
  <c r="A59" i="12"/>
  <c r="BW57" i="12"/>
  <c r="BU57" i="12"/>
  <c r="BV59" i="12"/>
  <c r="BX59" i="12"/>
  <c r="BW58" i="12"/>
  <c r="BT59" i="12"/>
  <c r="A60" i="12"/>
  <c r="BS59" i="12"/>
  <c r="BU58" i="12"/>
  <c r="BX60" i="12"/>
  <c r="BV60" i="12"/>
  <c r="BT60" i="12"/>
  <c r="A61" i="12"/>
  <c r="BS60" i="12"/>
  <c r="BU59" i="12"/>
  <c r="BW59" i="12"/>
  <c r="BV61" i="12"/>
  <c r="BX61" i="12"/>
  <c r="BS61" i="12"/>
  <c r="BT61" i="12"/>
  <c r="A62" i="12"/>
  <c r="BU60" i="12"/>
  <c r="BW60" i="12"/>
  <c r="BX62" i="12"/>
  <c r="BV62" i="12"/>
  <c r="A63" i="12"/>
  <c r="BT62" i="12"/>
  <c r="BS62" i="12"/>
  <c r="BU61" i="12"/>
  <c r="BW61" i="12"/>
  <c r="BX63" i="12"/>
  <c r="BV63" i="12"/>
  <c r="BS63" i="12"/>
  <c r="A64" i="12"/>
  <c r="BT63" i="12"/>
  <c r="BU62" i="12"/>
  <c r="BW62" i="12"/>
  <c r="BX64" i="12"/>
  <c r="BV64" i="12"/>
  <c r="BS64" i="12"/>
  <c r="BT64" i="12"/>
  <c r="A65" i="12"/>
  <c r="A66" i="12"/>
  <c r="BW63" i="12"/>
  <c r="BU63" i="12"/>
  <c r="A67" i="12"/>
  <c r="BT66" i="12"/>
  <c r="BS66" i="12"/>
  <c r="BX65" i="12"/>
  <c r="BV65" i="12"/>
  <c r="BT65" i="12"/>
  <c r="BS65" i="12"/>
  <c r="BU64" i="12"/>
  <c r="BW64" i="12"/>
  <c r="BS67" i="12"/>
  <c r="A68" i="12"/>
  <c r="BT67" i="12"/>
  <c r="BW65" i="12"/>
  <c r="BU65" i="12"/>
  <c r="A69" i="12"/>
  <c r="BT68" i="12"/>
  <c r="BS68" i="12"/>
  <c r="BT69" i="12"/>
  <c r="A70" i="12"/>
  <c r="BS69" i="12"/>
  <c r="A71" i="12"/>
  <c r="BT70" i="12"/>
  <c r="BS70" i="12"/>
  <c r="BT71" i="12"/>
  <c r="BS71" i="12"/>
  <c r="A72" i="12"/>
  <c r="BT72" i="12"/>
  <c r="A73" i="12"/>
  <c r="BS72" i="12"/>
  <c r="A74" i="12"/>
  <c r="BT73" i="12"/>
  <c r="BS73" i="12"/>
  <c r="BT74" i="12"/>
  <c r="BS74" i="12"/>
  <c r="A75" i="12"/>
  <c r="BT75" i="12"/>
  <c r="BS75" i="12"/>
  <c r="A76" i="12"/>
  <c r="A77" i="12"/>
  <c r="BT76" i="12"/>
  <c r="BS76" i="12"/>
  <c r="BT77" i="12"/>
  <c r="BS77" i="12"/>
  <c r="A78" i="12"/>
  <c r="BT78" i="12"/>
  <c r="BS78" i="12"/>
  <c r="A79" i="12"/>
  <c r="A80" i="12"/>
  <c r="BT79" i="12"/>
  <c r="BS79" i="12"/>
  <c r="BT80" i="12"/>
  <c r="BS80" i="12"/>
  <c r="A81" i="12"/>
  <c r="A82" i="12"/>
  <c r="BT81" i="12"/>
  <c r="BS81" i="12"/>
  <c r="A83" i="12"/>
  <c r="BT82" i="12"/>
  <c r="BS82" i="12"/>
  <c r="BT83" i="12"/>
  <c r="BS83" i="12"/>
  <c r="A84" i="12"/>
  <c r="A85" i="12"/>
  <c r="BT84" i="12"/>
  <c r="BS84" i="12"/>
  <c r="A86" i="12"/>
  <c r="BT85" i="12"/>
  <c r="BS85" i="12"/>
  <c r="BS86" i="12"/>
  <c r="A87" i="12"/>
  <c r="BT86" i="12"/>
  <c r="BS87" i="12"/>
  <c r="A88" i="12"/>
  <c r="BT87" i="12"/>
  <c r="A89" i="12"/>
  <c r="BS88" i="12"/>
  <c r="BT88" i="12"/>
  <c r="A90" i="12"/>
  <c r="BT89" i="12"/>
  <c r="BS89" i="12"/>
  <c r="A91" i="12"/>
  <c r="BS90" i="12"/>
  <c r="BT90" i="12"/>
  <c r="A92" i="12"/>
  <c r="BT91" i="12"/>
  <c r="BS91" i="12"/>
  <c r="A93" i="12"/>
  <c r="BT92" i="12"/>
  <c r="BS92" i="12"/>
  <c r="A94" i="12"/>
  <c r="BS93" i="12"/>
  <c r="BT93" i="12"/>
  <c r="A95" i="12"/>
  <c r="BT94" i="12"/>
  <c r="BS94" i="12"/>
  <c r="A96" i="12"/>
  <c r="BT95" i="12"/>
  <c r="BS95" i="12"/>
  <c r="A97" i="12"/>
  <c r="BT96" i="12"/>
  <c r="BS96" i="12"/>
  <c r="A98" i="12"/>
  <c r="BT97" i="12"/>
  <c r="BS97" i="12"/>
  <c r="A99" i="12"/>
  <c r="BT98" i="12"/>
  <c r="BS98" i="12"/>
  <c r="A100" i="12"/>
  <c r="BT99" i="12"/>
  <c r="BS99" i="12"/>
  <c r="A101" i="12"/>
  <c r="BT100" i="12"/>
  <c r="BS100" i="12"/>
  <c r="BT101" i="12"/>
  <c r="BS101" i="12"/>
  <c r="A102" i="12"/>
  <c r="A103" i="12"/>
  <c r="BT102" i="12"/>
  <c r="BS102" i="12"/>
  <c r="A104" i="12"/>
  <c r="BT103" i="12"/>
  <c r="BS103" i="12"/>
  <c r="BT104" i="12"/>
  <c r="A105" i="12"/>
  <c r="BS104" i="12"/>
  <c r="A106" i="12"/>
  <c r="BT105" i="12"/>
  <c r="BS105" i="12"/>
  <c r="A107" i="12"/>
  <c r="BT106" i="12"/>
  <c r="BS106" i="12"/>
  <c r="BS107" i="12"/>
  <c r="A108" i="12"/>
  <c r="BT107" i="12"/>
  <c r="A109" i="12"/>
  <c r="BT108" i="12"/>
  <c r="BS108" i="12"/>
  <c r="A110" i="12"/>
  <c r="BT109" i="12"/>
  <c r="BS109" i="12"/>
  <c r="BT110" i="12"/>
  <c r="BS110" i="12"/>
  <c r="A111" i="12"/>
  <c r="A112" i="12"/>
  <c r="BT111" i="12"/>
  <c r="BS111" i="12"/>
  <c r="A113" i="12"/>
  <c r="BT112" i="12"/>
  <c r="BS112" i="12"/>
  <c r="A114" i="12"/>
  <c r="BT113" i="12"/>
  <c r="BS113" i="12"/>
  <c r="A115" i="12"/>
  <c r="BT114" i="12"/>
  <c r="BS114" i="12"/>
  <c r="A116" i="12"/>
  <c r="BT115" i="12"/>
  <c r="BS115" i="12"/>
  <c r="A117" i="12"/>
  <c r="BT116" i="12"/>
  <c r="BS116" i="12"/>
  <c r="BT117" i="12"/>
  <c r="BS117" i="12"/>
  <c r="F8" i="7"/>
  <c r="D9" i="20"/>
  <c r="A25" i="9"/>
  <c r="BB67" i="12"/>
  <c r="E41" i="14"/>
  <c r="AU78" i="12"/>
  <c r="AU90" i="12"/>
  <c r="AU93" i="12"/>
  <c r="AU96" i="12"/>
  <c r="AU105" i="12"/>
  <c r="BB33" i="12"/>
  <c r="BB24" i="12"/>
  <c r="BB99" i="12"/>
  <c r="BB35" i="12"/>
  <c r="BB70" i="12"/>
  <c r="BB42" i="12"/>
  <c r="BB106" i="12"/>
  <c r="BB20" i="12"/>
  <c r="BB76" i="12"/>
  <c r="BB116" i="12"/>
  <c r="BB89" i="12"/>
  <c r="BB32" i="12"/>
  <c r="BB107" i="12"/>
  <c r="BB18" i="12"/>
  <c r="BB114" i="12"/>
  <c r="BB64" i="12"/>
  <c r="BB101" i="12"/>
  <c r="BB61" i="12"/>
  <c r="BB108" i="12"/>
  <c r="BB53" i="12"/>
  <c r="BB115" i="12"/>
  <c r="BB39" i="12"/>
  <c r="BB60" i="12"/>
  <c r="BB40" i="12"/>
  <c r="BB50" i="12"/>
  <c r="BB44" i="12"/>
  <c r="AU69" i="12"/>
  <c r="AU115" i="12"/>
  <c r="AU94" i="12"/>
  <c r="AU113" i="12"/>
  <c r="AU27" i="12"/>
  <c r="AU95" i="12"/>
  <c r="AU109" i="12"/>
  <c r="G6" i="15"/>
  <c r="G6" i="17"/>
  <c r="BB23" i="12"/>
  <c r="BB97" i="12"/>
  <c r="BB90" i="12"/>
  <c r="BB28" i="12"/>
  <c r="BB27" i="12"/>
  <c r="BB80" i="12"/>
  <c r="BB93" i="12"/>
  <c r="BB51" i="12"/>
  <c r="BB22" i="12"/>
  <c r="BB102" i="12"/>
  <c r="BB96" i="12"/>
  <c r="BB57" i="12"/>
  <c r="BB45" i="12"/>
  <c r="BB74" i="12"/>
  <c r="BB105" i="12"/>
  <c r="BB19" i="12"/>
  <c r="BB100" i="12"/>
  <c r="BB117" i="12"/>
  <c r="BB46" i="12"/>
  <c r="BB54" i="12"/>
  <c r="BB86" i="12"/>
  <c r="BB47" i="12"/>
  <c r="BB62" i="12"/>
  <c r="BB49" i="12"/>
  <c r="BB103" i="12"/>
  <c r="BB52" i="12"/>
  <c r="BB88" i="12"/>
  <c r="BB26" i="12"/>
  <c r="BB109" i="12"/>
  <c r="BB25" i="12"/>
  <c r="BB37" i="12"/>
  <c r="AU25" i="12"/>
  <c r="AU46" i="12"/>
  <c r="BB79" i="12"/>
  <c r="AU80" i="12"/>
  <c r="AU84" i="12"/>
  <c r="BB59" i="12"/>
  <c r="BB65" i="12"/>
  <c r="BB77" i="12"/>
  <c r="BB48" i="12"/>
  <c r="BB113" i="12"/>
  <c r="BB31" i="12"/>
  <c r="BB110" i="12"/>
  <c r="F9" i="7"/>
  <c r="BB36" i="12"/>
  <c r="BB91" i="12"/>
  <c r="BB104" i="12"/>
  <c r="BB29" i="12"/>
  <c r="BB68" i="12"/>
  <c r="BB66" i="12"/>
  <c r="BB63" i="12"/>
  <c r="BB21" i="12"/>
  <c r="BB92" i="12"/>
  <c r="BB98" i="12"/>
  <c r="AU74" i="12"/>
  <c r="AU102" i="12"/>
  <c r="BB56" i="12"/>
  <c r="BB41" i="12"/>
  <c r="BB82" i="12"/>
  <c r="BB75" i="12"/>
  <c r="AU104" i="12"/>
  <c r="AU67" i="12"/>
  <c r="AU43" i="12"/>
  <c r="BB38" i="12"/>
  <c r="BB94" i="12"/>
  <c r="BB78" i="12"/>
  <c r="AU75" i="12"/>
  <c r="AU70" i="12"/>
  <c r="AU31" i="12"/>
  <c r="AU26" i="12"/>
  <c r="BB73" i="12"/>
  <c r="BB111" i="12"/>
  <c r="AU100" i="12"/>
  <c r="AU73" i="12"/>
  <c r="BB30" i="12"/>
  <c r="AU21" i="12"/>
  <c r="BB112" i="12"/>
  <c r="BB72" i="12"/>
  <c r="AU71" i="12"/>
  <c r="AU76" i="12"/>
  <c r="BB58" i="12"/>
  <c r="AU29" i="12"/>
  <c r="BB71" i="12"/>
  <c r="BB81" i="12"/>
  <c r="AU86" i="12"/>
  <c r="AU112" i="12"/>
  <c r="BB43" i="12"/>
  <c r="AU50" i="12"/>
  <c r="BB95" i="12"/>
  <c r="BB69" i="12"/>
  <c r="AU101" i="12"/>
  <c r="AU114" i="12"/>
  <c r="AU24" i="12"/>
  <c r="AU37" i="12"/>
  <c r="BB83" i="12"/>
  <c r="BB84" i="12"/>
  <c r="AU103" i="12"/>
  <c r="BB34" i="12"/>
  <c r="BB85" i="12"/>
  <c r="E11" i="2" a="1"/>
  <c r="E25" i="2" a="1"/>
  <c r="E22" i="2" a="1"/>
  <c r="E21" i="2" a="1"/>
  <c r="KS16" i="9"/>
  <c r="B16" i="9"/>
  <c r="C10" i="9"/>
  <c r="G52" i="8"/>
  <c r="G53" i="8"/>
  <c r="G23" i="8"/>
  <c r="G24" i="8"/>
  <c r="G25" i="8"/>
  <c r="G26" i="8"/>
  <c r="G38" i="8"/>
  <c r="F17" i="8"/>
  <c r="G37" i="8"/>
  <c r="G65" i="8"/>
  <c r="G64" i="8"/>
  <c r="G39" i="8"/>
  <c r="F74" i="8"/>
  <c r="G63" i="8"/>
  <c r="G62" i="8"/>
  <c r="F9" i="8"/>
  <c r="G68" i="8"/>
  <c r="G22" i="8"/>
  <c r="G66" i="8"/>
  <c r="G69" i="8"/>
  <c r="G60" i="8"/>
  <c r="G27" i="8"/>
  <c r="G45" i="8"/>
  <c r="G31" i="8"/>
  <c r="G59" i="8"/>
  <c r="G44" i="8"/>
  <c r="G55" i="8"/>
  <c r="G28" i="8"/>
  <c r="G56" i="8"/>
  <c r="G46" i="8"/>
  <c r="G32" i="8"/>
  <c r="G54" i="8"/>
  <c r="G57" i="8"/>
  <c r="G47" i="8"/>
  <c r="G33" i="8"/>
  <c r="G58" i="8"/>
  <c r="G29" i="8"/>
  <c r="G42" i="8"/>
  <c r="G30" i="8"/>
  <c r="G48" i="8"/>
  <c r="G34" i="8"/>
  <c r="G41" i="8"/>
  <c r="G49" i="8"/>
  <c r="G35" i="8"/>
  <c r="BV20" i="12"/>
  <c r="KS22" i="9"/>
  <c r="E3" i="9"/>
  <c r="D14" i="9"/>
  <c r="KS14" i="9"/>
  <c r="D18" i="9"/>
  <c r="D10" i="9"/>
  <c r="B10" i="9"/>
  <c r="KS21" i="9"/>
  <c r="G4" i="9"/>
  <c r="F3" i="9"/>
  <c r="E10" i="9"/>
  <c r="E12" i="9"/>
  <c r="E13" i="9"/>
  <c r="KS12" i="9"/>
  <c r="KS15" i="9"/>
  <c r="DJ46" i="9"/>
  <c r="DK47" i="9"/>
  <c r="DI58" i="9"/>
  <c r="DI59" i="9"/>
  <c r="DI56" i="9"/>
  <c r="DI66" i="9"/>
  <c r="DI61" i="9"/>
  <c r="DI60" i="9"/>
  <c r="DI55" i="9"/>
  <c r="DI57" i="9"/>
  <c r="DI63" i="9"/>
  <c r="DI62" i="9"/>
  <c r="H77" i="14"/>
  <c r="H76" i="14"/>
  <c r="F76" i="14"/>
  <c r="AR10" i="12"/>
  <c r="AR9" i="12"/>
  <c r="AR12" i="12"/>
  <c r="G46" i="14"/>
  <c r="G44" i="14"/>
  <c r="G54" i="14"/>
  <c r="G53" i="14"/>
  <c r="G47" i="14"/>
  <c r="G52" i="14"/>
  <c r="G51" i="14"/>
  <c r="G50" i="14"/>
  <c r="G49" i="14"/>
  <c r="G48" i="14"/>
  <c r="G45" i="14"/>
  <c r="I11" i="15"/>
  <c r="J6" i="51"/>
  <c r="F77" i="14"/>
  <c r="D45" i="14"/>
  <c r="BU20" i="12"/>
  <c r="F68" i="11"/>
  <c r="F76" i="11"/>
  <c r="AL11" i="12"/>
  <c r="AP11" i="12"/>
  <c r="B50" i="11"/>
  <c r="F60" i="11"/>
  <c r="F47" i="11"/>
  <c r="B60" i="11"/>
  <c r="F51" i="11"/>
  <c r="F49" i="11"/>
  <c r="F59" i="11"/>
  <c r="F4" i="12"/>
  <c r="F58" i="11"/>
  <c r="I2" i="12"/>
  <c r="F27" i="11"/>
  <c r="F28" i="11"/>
  <c r="B48" i="11"/>
  <c r="L4" i="12"/>
  <c r="D41" i="20"/>
  <c r="D51" i="7"/>
  <c r="D40" i="20"/>
  <c r="D49" i="20"/>
  <c r="D52" i="20"/>
  <c r="G13" i="7"/>
  <c r="G45" i="7"/>
  <c r="F26" i="11"/>
  <c r="J4" i="12"/>
  <c r="H4" i="12"/>
  <c r="F30" i="11"/>
  <c r="B47" i="11"/>
  <c r="F50" i="11"/>
  <c r="B49" i="11"/>
  <c r="F67" i="11"/>
  <c r="F75" i="11"/>
  <c r="AL10" i="12"/>
  <c r="F48" i="11"/>
  <c r="F57" i="11"/>
  <c r="B51" i="11"/>
  <c r="F56" i="11"/>
  <c r="AP13" i="12"/>
  <c r="D8" i="32"/>
  <c r="H8" i="32"/>
  <c r="B10" i="32"/>
  <c r="F8" i="32"/>
  <c r="B5" i="32"/>
  <c r="B1" i="32"/>
  <c r="G8" i="32"/>
  <c r="E21" i="2"/>
  <c r="F21" i="2"/>
  <c r="G21" i="2"/>
  <c r="E22" i="2"/>
  <c r="F22" i="2"/>
  <c r="G22" i="2"/>
  <c r="E25" i="2"/>
  <c r="F25" i="2"/>
  <c r="G25" i="2"/>
  <c r="E11" i="2"/>
  <c r="F11" i="2"/>
  <c r="G11" i="2"/>
  <c r="G8" i="22"/>
  <c r="E8" i="22"/>
  <c r="B11" i="22"/>
  <c r="C8" i="22"/>
  <c r="B5" i="22"/>
  <c r="B1" i="22"/>
  <c r="F8" i="22"/>
  <c r="H8" i="22"/>
  <c r="B10" i="22"/>
  <c r="D8" i="22"/>
  <c r="C8" i="32"/>
  <c r="E8" i="32"/>
  <c r="B11" i="32"/>
  <c r="AS74" i="12"/>
  <c r="AS58" i="12"/>
  <c r="AS25" i="12"/>
  <c r="AS56" i="12"/>
  <c r="AS49" i="12"/>
  <c r="AS80" i="12"/>
  <c r="AS111" i="12"/>
  <c r="AS63" i="12"/>
  <c r="AS100" i="12"/>
  <c r="AS36" i="12"/>
  <c r="AS70" i="12"/>
  <c r="AS54" i="12"/>
  <c r="AS29" i="12"/>
  <c r="AS60" i="12"/>
  <c r="AS85" i="12"/>
  <c r="AS53" i="12"/>
  <c r="AS108" i="12"/>
  <c r="AS52" i="12"/>
  <c r="AS83" i="12"/>
  <c r="AS75" i="12"/>
  <c r="AS59" i="12"/>
  <c r="AS35" i="12"/>
  <c r="AS19" i="12"/>
  <c r="E19" i="9"/>
  <c r="E16" i="9"/>
  <c r="F19" i="9"/>
  <c r="F16" i="9"/>
  <c r="E15" i="9"/>
  <c r="E18" i="9"/>
  <c r="E14" i="9"/>
  <c r="E21" i="9"/>
  <c r="E25" i="9"/>
  <c r="E17" i="9"/>
  <c r="E22" i="9"/>
  <c r="E20" i="9"/>
  <c r="DK46" i="9"/>
  <c r="DL47" i="9"/>
  <c r="DJ56" i="9"/>
  <c r="DJ58" i="9"/>
  <c r="DJ59" i="9"/>
  <c r="DJ61" i="9"/>
  <c r="DJ60" i="9"/>
  <c r="DJ55" i="9"/>
  <c r="DJ57" i="9"/>
  <c r="DJ63" i="9"/>
  <c r="DJ62" i="9"/>
  <c r="DJ66" i="9"/>
  <c r="F22" i="9"/>
  <c r="F25" i="9"/>
  <c r="F10" i="9"/>
  <c r="F21" i="9"/>
  <c r="F20" i="9"/>
  <c r="F17" i="9"/>
  <c r="F12" i="9"/>
  <c r="F13" i="9"/>
  <c r="F18" i="9"/>
  <c r="F15" i="9"/>
  <c r="F14" i="9"/>
  <c r="H4" i="9"/>
  <c r="G3" i="9"/>
  <c r="KS18" i="9"/>
  <c r="KS10" i="9"/>
  <c r="G76" i="14"/>
  <c r="D44" i="14"/>
  <c r="F45" i="14"/>
  <c r="E45" i="14"/>
  <c r="L6" i="12"/>
  <c r="H6" i="12"/>
  <c r="AS114" i="12"/>
  <c r="F6" i="12"/>
  <c r="H78" i="14"/>
  <c r="F78" i="14"/>
  <c r="D46" i="14"/>
  <c r="N6" i="12"/>
  <c r="J6" i="12"/>
  <c r="G77" i="14"/>
  <c r="AS20" i="12"/>
  <c r="AN12" i="12"/>
  <c r="AL89" i="12"/>
  <c r="AL79" i="12"/>
  <c r="AL72" i="12"/>
  <c r="AL83" i="12"/>
  <c r="AL77" i="12"/>
  <c r="AL37" i="12"/>
  <c r="AL104" i="12"/>
  <c r="AL39" i="12"/>
  <c r="AL33" i="12"/>
  <c r="AL38" i="12"/>
  <c r="AL87" i="12"/>
  <c r="AL24" i="12"/>
  <c r="AL90" i="12"/>
  <c r="AL109" i="12"/>
  <c r="AL70" i="12"/>
  <c r="AL42" i="12"/>
  <c r="AL31" i="12"/>
  <c r="AL21" i="12"/>
  <c r="AL76" i="12"/>
  <c r="AL78" i="12"/>
  <c r="AL85" i="12"/>
  <c r="AL95" i="12"/>
  <c r="AL52" i="12"/>
  <c r="AL28" i="12"/>
  <c r="AL115" i="12"/>
  <c r="AL32" i="12"/>
  <c r="AL97" i="12"/>
  <c r="AL102" i="12"/>
  <c r="AL23" i="12"/>
  <c r="AL110" i="12"/>
  <c r="AL19" i="12"/>
  <c r="AL105" i="12"/>
  <c r="AL98" i="12"/>
  <c r="AL29" i="12"/>
  <c r="AL25" i="12"/>
  <c r="AL116" i="12"/>
  <c r="AL22" i="12"/>
  <c r="AL58" i="12"/>
  <c r="AL47" i="12"/>
  <c r="AL62" i="12"/>
  <c r="AL55" i="12"/>
  <c r="AL44" i="12"/>
  <c r="AL51" i="12"/>
  <c r="AL94" i="12"/>
  <c r="AL68" i="12"/>
  <c r="AL63" i="12"/>
  <c r="AL56" i="12"/>
  <c r="AL20" i="12"/>
  <c r="AL40" i="12"/>
  <c r="AL92" i="12"/>
  <c r="AL67" i="12"/>
  <c r="AL54" i="12"/>
  <c r="AL59" i="12"/>
  <c r="AL48" i="12"/>
  <c r="AL107" i="12"/>
  <c r="AL88" i="12"/>
  <c r="AL46" i="12"/>
  <c r="AL93" i="12"/>
  <c r="AL30" i="12"/>
  <c r="AL50" i="12"/>
  <c r="AL103" i="12"/>
  <c r="AL64" i="12"/>
  <c r="AL71" i="12"/>
  <c r="AL49" i="12"/>
  <c r="AL34" i="12"/>
  <c r="AL114" i="12"/>
  <c r="AL73" i="12"/>
  <c r="AL108" i="12"/>
  <c r="AL66" i="12"/>
  <c r="AL45" i="12"/>
  <c r="AL82" i="12"/>
  <c r="AL43" i="12"/>
  <c r="AL81" i="12"/>
  <c r="AL113" i="12"/>
  <c r="AL57" i="12"/>
  <c r="AL65" i="12"/>
  <c r="AL18" i="12"/>
  <c r="AL91" i="12"/>
  <c r="AL26" i="12"/>
  <c r="AL112" i="12"/>
  <c r="AL101" i="12"/>
  <c r="AL96" i="12"/>
  <c r="AL35" i="12"/>
  <c r="AL75" i="12"/>
  <c r="AL117" i="12"/>
  <c r="AL86" i="12"/>
  <c r="AL80" i="12"/>
  <c r="AL36" i="12"/>
  <c r="AL69" i="12"/>
  <c r="AL53" i="12"/>
  <c r="AL111" i="12"/>
  <c r="AL100" i="12"/>
  <c r="AL106" i="12"/>
  <c r="AL61" i="12"/>
  <c r="AL27" i="12"/>
  <c r="AL99" i="12"/>
  <c r="AL84" i="12"/>
  <c r="AL74" i="12"/>
  <c r="AL60" i="12"/>
  <c r="I4" i="15"/>
  <c r="J4" i="17"/>
  <c r="AL41" i="12"/>
  <c r="AS72" i="12"/>
  <c r="AS110" i="12"/>
  <c r="AS65" i="12"/>
  <c r="AS46" i="12"/>
  <c r="AS98" i="12"/>
  <c r="AS84" i="12"/>
  <c r="AS66" i="12"/>
  <c r="AS97" i="12"/>
  <c r="AS30" i="12"/>
  <c r="AS45" i="12"/>
  <c r="AS47" i="12"/>
  <c r="AS38" i="12"/>
  <c r="AS109" i="12"/>
  <c r="AS26" i="12"/>
  <c r="AS106" i="12"/>
  <c r="AS69" i="12"/>
  <c r="AS89" i="12"/>
  <c r="AS41" i="12"/>
  <c r="AS64" i="12"/>
  <c r="AS61" i="12"/>
  <c r="AS44" i="12"/>
  <c r="AS37" i="12"/>
  <c r="AS103" i="12"/>
  <c r="AS91" i="12"/>
  <c r="AS78" i="12"/>
  <c r="AS95" i="12"/>
  <c r="AS116" i="12"/>
  <c r="AS77" i="12"/>
  <c r="AS86" i="12"/>
  <c r="AS40" i="12"/>
  <c r="AS42" i="12"/>
  <c r="AS71" i="12"/>
  <c r="AS76" i="12"/>
  <c r="AS104" i="12"/>
  <c r="AS43" i="12"/>
  <c r="AS57" i="12"/>
  <c r="AS88" i="12"/>
  <c r="AS115" i="12"/>
  <c r="AS67" i="12"/>
  <c r="AS39" i="12"/>
  <c r="AS27" i="12"/>
  <c r="AS105" i="12"/>
  <c r="AS79" i="12"/>
  <c r="AS82" i="12"/>
  <c r="AS34" i="12"/>
  <c r="AS90" i="12"/>
  <c r="AS113" i="12"/>
  <c r="AS99" i="12"/>
  <c r="AS51" i="12"/>
  <c r="AS24" i="12"/>
  <c r="AS94" i="12"/>
  <c r="AS117" i="12"/>
  <c r="AS31" i="12"/>
  <c r="AS50" i="12"/>
  <c r="AS21" i="12"/>
  <c r="AS68" i="12"/>
  <c r="AS107" i="12"/>
  <c r="AS112" i="12"/>
  <c r="AS55" i="12"/>
  <c r="AS28" i="12"/>
  <c r="AS62" i="12"/>
  <c r="AS22" i="12"/>
  <c r="AS92" i="12"/>
  <c r="AS101" i="12"/>
  <c r="AS73" i="12"/>
  <c r="AS32" i="12"/>
  <c r="AP10" i="12"/>
  <c r="I7" i="2" a="1"/>
  <c r="I7" i="2"/>
  <c r="H7" i="2"/>
  <c r="BX18" i="12"/>
  <c r="X1" i="12"/>
  <c r="U1" i="12"/>
  <c r="I17" i="2" a="1"/>
  <c r="I17" i="2"/>
  <c r="H17" i="2"/>
  <c r="I30" i="2" a="1"/>
  <c r="I30" i="2"/>
  <c r="H30" i="2"/>
  <c r="I6" i="2" a="1"/>
  <c r="I6" i="2"/>
  <c r="H6" i="2"/>
  <c r="I5" i="2" a="1"/>
  <c r="I5" i="2"/>
  <c r="H5" i="2"/>
  <c r="R1" i="12"/>
  <c r="S1" i="12"/>
  <c r="V1" i="12"/>
  <c r="BW18" i="12"/>
  <c r="I11" i="2" a="1"/>
  <c r="I11" i="2"/>
  <c r="H11" i="2"/>
  <c r="I18" i="2" a="1"/>
  <c r="I18" i="2"/>
  <c r="H18" i="2"/>
  <c r="I25" i="2" a="1"/>
  <c r="I25" i="2"/>
  <c r="H25" i="2"/>
  <c r="I31" i="2" a="1"/>
  <c r="I31" i="2"/>
  <c r="H31" i="2"/>
  <c r="I19" i="2" a="1"/>
  <c r="I19" i="2"/>
  <c r="H19" i="2"/>
  <c r="T1" i="12"/>
  <c r="W1" i="12"/>
  <c r="I10" i="2" a="1"/>
  <c r="I10" i="2"/>
  <c r="H10" i="2"/>
  <c r="I22" i="2" a="1"/>
  <c r="I22" i="2"/>
  <c r="H22" i="2"/>
  <c r="P1" i="12"/>
  <c r="I21" i="2" a="1"/>
  <c r="I21" i="2"/>
  <c r="H21" i="2"/>
  <c r="I23" i="2" a="1"/>
  <c r="I23" i="2"/>
  <c r="H23" i="2"/>
  <c r="I4" i="2" a="1"/>
  <c r="I4" i="2"/>
  <c r="H4" i="2"/>
  <c r="I16" i="2" a="1"/>
  <c r="I16" i="2"/>
  <c r="H16" i="2"/>
  <c r="I8" i="2" a="1"/>
  <c r="I8" i="2"/>
  <c r="H8" i="2"/>
  <c r="I24" i="2" a="1"/>
  <c r="I24" i="2"/>
  <c r="H24" i="2"/>
  <c r="Q1" i="12"/>
  <c r="I9" i="2" a="1"/>
  <c r="I9" i="2"/>
  <c r="H9" i="2"/>
  <c r="G19" i="9"/>
  <c r="G16" i="9"/>
  <c r="I4" i="9"/>
  <c r="H3" i="9"/>
  <c r="DL46" i="9"/>
  <c r="DM47" i="9"/>
  <c r="G10" i="9"/>
  <c r="G21" i="9"/>
  <c r="G17" i="9"/>
  <c r="G13" i="9"/>
  <c r="G12" i="9"/>
  <c r="G18" i="9"/>
  <c r="G15" i="9"/>
  <c r="G14" i="9"/>
  <c r="G20" i="9"/>
  <c r="G25" i="9"/>
  <c r="G22" i="9"/>
  <c r="DK58" i="9"/>
  <c r="DK56" i="9"/>
  <c r="DK57" i="9"/>
  <c r="DK59" i="9"/>
  <c r="DK61" i="9"/>
  <c r="DK60" i="9"/>
  <c r="DK55" i="9"/>
  <c r="DK63" i="9"/>
  <c r="DK66" i="9"/>
  <c r="DK62" i="9"/>
  <c r="AS93" i="12"/>
  <c r="AS33" i="12"/>
  <c r="AS23" i="12"/>
  <c r="AS102" i="12"/>
  <c r="E44" i="14"/>
  <c r="F44" i="14"/>
  <c r="AS81" i="12"/>
  <c r="G78" i="14"/>
  <c r="H79" i="14"/>
  <c r="F79" i="14"/>
  <c r="E46" i="14"/>
  <c r="F46" i="14"/>
  <c r="AS48" i="12"/>
  <c r="AS96" i="12"/>
  <c r="AS87" i="12"/>
  <c r="BV18" i="12"/>
  <c r="L5" i="12"/>
  <c r="G24" i="14"/>
  <c r="G32" i="14"/>
  <c r="G25" i="14"/>
  <c r="G26" i="14"/>
  <c r="G27" i="14"/>
  <c r="G33" i="14"/>
  <c r="G23" i="14"/>
  <c r="G31" i="14"/>
  <c r="G28" i="14"/>
  <c r="G29" i="14"/>
  <c r="G30" i="14"/>
  <c r="J5" i="12"/>
  <c r="N5" i="12"/>
  <c r="F5" i="12"/>
  <c r="H5" i="12"/>
  <c r="AS18" i="12"/>
  <c r="H19" i="9"/>
  <c r="H16" i="9"/>
  <c r="DM46" i="9"/>
  <c r="DN47" i="9"/>
  <c r="DL58" i="9"/>
  <c r="DL56" i="9"/>
  <c r="DL57" i="9"/>
  <c r="DL61" i="9"/>
  <c r="DL60" i="9"/>
  <c r="DL55" i="9"/>
  <c r="DL66" i="9"/>
  <c r="DL63" i="9"/>
  <c r="DL59" i="9"/>
  <c r="DL62" i="9"/>
  <c r="H21" i="9"/>
  <c r="H17" i="9"/>
  <c r="H13" i="9"/>
  <c r="H12" i="9"/>
  <c r="H15" i="9"/>
  <c r="H14" i="9"/>
  <c r="H18" i="9"/>
  <c r="H25" i="9"/>
  <c r="H20" i="9"/>
  <c r="H22" i="9"/>
  <c r="H10" i="9"/>
  <c r="I3" i="9"/>
  <c r="J4" i="9"/>
  <c r="D47" i="14"/>
  <c r="G79" i="14"/>
  <c r="H80" i="14"/>
  <c r="F80" i="14"/>
  <c r="BU18" i="12"/>
  <c r="H61" i="14"/>
  <c r="F61" i="14"/>
  <c r="D23" i="14"/>
  <c r="AR40" i="12"/>
  <c r="AR96" i="12"/>
  <c r="AR50" i="12"/>
  <c r="AR43" i="12"/>
  <c r="AR34" i="12"/>
  <c r="AR39" i="12"/>
  <c r="AR112" i="12"/>
  <c r="AR30" i="12"/>
  <c r="AR41" i="12"/>
  <c r="AR21" i="12"/>
  <c r="AR75" i="12"/>
  <c r="AR37" i="12"/>
  <c r="AR36" i="12"/>
  <c r="AR35" i="12"/>
  <c r="AR68" i="12"/>
  <c r="AR80" i="12"/>
  <c r="AR116" i="12"/>
  <c r="AR84" i="12"/>
  <c r="AR83" i="12"/>
  <c r="AR60" i="12"/>
  <c r="AR93" i="12"/>
  <c r="AR110" i="12"/>
  <c r="AR100" i="12"/>
  <c r="AR90" i="12"/>
  <c r="AR101" i="12"/>
  <c r="AR59" i="12"/>
  <c r="AR117" i="12"/>
  <c r="AR33" i="12"/>
  <c r="AR23" i="12"/>
  <c r="AR95" i="12"/>
  <c r="AR111" i="12"/>
  <c r="AR102" i="12"/>
  <c r="AR103" i="12"/>
  <c r="AR42" i="12"/>
  <c r="AR51" i="12"/>
  <c r="AR105" i="12"/>
  <c r="AR106" i="12"/>
  <c r="AR108" i="12"/>
  <c r="AR54" i="12"/>
  <c r="AR91" i="12"/>
  <c r="AR92" i="12"/>
  <c r="AR114" i="12"/>
  <c r="AR25" i="12"/>
  <c r="AR20" i="12"/>
  <c r="AR82" i="12"/>
  <c r="AR56" i="12"/>
  <c r="AR22" i="12"/>
  <c r="AR45" i="12"/>
  <c r="AR113" i="12"/>
  <c r="AR28" i="12"/>
  <c r="AR98" i="12"/>
  <c r="AR79" i="12"/>
  <c r="AR61" i="12"/>
  <c r="AR31" i="12"/>
  <c r="AR88" i="12"/>
  <c r="AR66" i="12"/>
  <c r="AR46" i="12"/>
  <c r="AR109" i="12"/>
  <c r="AR87" i="12"/>
  <c r="AR65" i="12"/>
  <c r="AR58" i="12"/>
  <c r="AR47" i="12"/>
  <c r="AR86" i="12"/>
  <c r="AR32" i="12"/>
  <c r="AR53" i="12"/>
  <c r="AR74" i="12"/>
  <c r="AR55" i="12"/>
  <c r="AR70" i="12"/>
  <c r="AR107" i="12"/>
  <c r="AR78" i="12"/>
  <c r="AR77" i="12"/>
  <c r="AR57" i="12"/>
  <c r="AR63" i="12"/>
  <c r="AR99" i="12"/>
  <c r="AR24" i="12"/>
  <c r="AR85" i="12"/>
  <c r="AR27" i="12"/>
  <c r="AR38" i="12"/>
  <c r="AR73" i="12"/>
  <c r="AR62" i="12"/>
  <c r="AR76" i="12"/>
  <c r="AR67" i="12"/>
  <c r="AR64" i="12"/>
  <c r="AR71" i="12"/>
  <c r="AR115" i="12"/>
  <c r="AR97" i="12"/>
  <c r="AR49" i="12"/>
  <c r="AR52" i="12"/>
  <c r="AR29" i="12"/>
  <c r="AR44" i="12"/>
  <c r="AR26" i="12"/>
  <c r="AR72" i="12"/>
  <c r="AR69" i="12"/>
  <c r="AR89" i="12"/>
  <c r="AR81" i="12"/>
  <c r="AR94" i="12"/>
  <c r="AR48" i="12"/>
  <c r="AR104" i="12"/>
  <c r="AR19" i="12"/>
  <c r="AR18" i="12"/>
  <c r="I19" i="9"/>
  <c r="I16" i="9"/>
  <c r="K4" i="9"/>
  <c r="J3" i="9"/>
  <c r="I10" i="9"/>
  <c r="I21" i="9"/>
  <c r="I13" i="9"/>
  <c r="I12" i="9"/>
  <c r="I15" i="9"/>
  <c r="I14" i="9"/>
  <c r="I17" i="9"/>
  <c r="I18" i="9"/>
  <c r="I25" i="9"/>
  <c r="I22" i="9"/>
  <c r="I20" i="9"/>
  <c r="DN46" i="9"/>
  <c r="DO47" i="9"/>
  <c r="DM60" i="9"/>
  <c r="DM58" i="9"/>
  <c r="DM56" i="9"/>
  <c r="DM55" i="9"/>
  <c r="DM57" i="9"/>
  <c r="DM61" i="9"/>
  <c r="DM62" i="9"/>
  <c r="DM66" i="9"/>
  <c r="DM59" i="9"/>
  <c r="DM63" i="9"/>
  <c r="D48" i="14"/>
  <c r="G80" i="14"/>
  <c r="F48" i="14"/>
  <c r="E48" i="14"/>
  <c r="F47" i="14"/>
  <c r="E47" i="14"/>
  <c r="G61" i="14"/>
  <c r="F23" i="14"/>
  <c r="E23" i="14"/>
  <c r="H62" i="14"/>
  <c r="F62" i="14"/>
  <c r="J19" i="9"/>
  <c r="J16" i="9"/>
  <c r="DO46" i="9"/>
  <c r="DP47" i="9"/>
  <c r="DN56" i="9"/>
  <c r="DN55" i="9"/>
  <c r="DN62" i="9"/>
  <c r="DN58" i="9"/>
  <c r="DN57" i="9"/>
  <c r="DN61" i="9"/>
  <c r="DN60" i="9"/>
  <c r="DN66" i="9"/>
  <c r="DN63" i="9"/>
  <c r="DN59" i="9"/>
  <c r="J20" i="9"/>
  <c r="J22" i="9"/>
  <c r="J25" i="9"/>
  <c r="J10" i="9"/>
  <c r="J15" i="9"/>
  <c r="J12" i="9"/>
  <c r="J13" i="9"/>
  <c r="J14" i="9"/>
  <c r="J17" i="9"/>
  <c r="J18" i="9"/>
  <c r="J21" i="9"/>
  <c r="K3" i="9"/>
  <c r="L4" i="9"/>
  <c r="D49" i="14"/>
  <c r="G81" i="14"/>
  <c r="H82" i="14"/>
  <c r="F82" i="14"/>
  <c r="D24" i="14"/>
  <c r="G62" i="14"/>
  <c r="H63" i="14"/>
  <c r="F63" i="14"/>
  <c r="D25" i="14"/>
  <c r="K19" i="9"/>
  <c r="K16" i="9"/>
  <c r="K10" i="9"/>
  <c r="K21" i="9"/>
  <c r="K20" i="9"/>
  <c r="K25" i="9"/>
  <c r="K22" i="9"/>
  <c r="K12" i="9"/>
  <c r="K13" i="9"/>
  <c r="K17" i="9"/>
  <c r="K15" i="9"/>
  <c r="K18" i="9"/>
  <c r="K14" i="9"/>
  <c r="DQ47" i="9"/>
  <c r="DP46" i="9"/>
  <c r="M4" i="9"/>
  <c r="L3" i="9"/>
  <c r="DO58" i="9"/>
  <c r="DO56" i="9"/>
  <c r="DO55" i="9"/>
  <c r="DO62" i="9"/>
  <c r="DO66" i="9"/>
  <c r="DO57" i="9"/>
  <c r="DO61" i="9"/>
  <c r="DO60" i="9"/>
  <c r="DO63" i="9"/>
  <c r="DO59" i="9"/>
  <c r="D50" i="14"/>
  <c r="G82" i="14"/>
  <c r="E49" i="14"/>
  <c r="F49" i="14"/>
  <c r="H83" i="14"/>
  <c r="F83" i="14"/>
  <c r="G63" i="14"/>
  <c r="E25" i="14"/>
  <c r="F25" i="14"/>
  <c r="H64" i="14"/>
  <c r="F64" i="14"/>
  <c r="F24" i="14"/>
  <c r="E24" i="14"/>
  <c r="L19" i="9"/>
  <c r="L16" i="9"/>
  <c r="L12" i="9"/>
  <c r="L13" i="9"/>
  <c r="L15" i="9"/>
  <c r="L25" i="9"/>
  <c r="L20" i="9"/>
  <c r="L14" i="9"/>
  <c r="L10" i="9"/>
  <c r="L21" i="9"/>
  <c r="L22" i="9"/>
  <c r="L17" i="9"/>
  <c r="L18" i="9"/>
  <c r="DP58" i="9"/>
  <c r="DP56" i="9"/>
  <c r="DP55" i="9"/>
  <c r="DP62" i="9"/>
  <c r="DP57" i="9"/>
  <c r="DP61" i="9"/>
  <c r="DP60" i="9"/>
  <c r="DP66" i="9"/>
  <c r="DP63" i="9"/>
  <c r="DP59" i="9"/>
  <c r="DR47" i="9"/>
  <c r="DQ46" i="9"/>
  <c r="M3" i="9"/>
  <c r="N4" i="9"/>
  <c r="D51" i="14"/>
  <c r="G83" i="14"/>
  <c r="D85" i="14"/>
  <c r="E50" i="14"/>
  <c r="F50" i="14"/>
  <c r="D26" i="14"/>
  <c r="G64" i="14"/>
  <c r="H65" i="14"/>
  <c r="F65" i="14"/>
  <c r="M19" i="9"/>
  <c r="M16" i="9"/>
  <c r="DQ58" i="9"/>
  <c r="DQ56" i="9"/>
  <c r="DQ55" i="9"/>
  <c r="DQ62" i="9"/>
  <c r="DQ57" i="9"/>
  <c r="DQ61" i="9"/>
  <c r="DQ60" i="9"/>
  <c r="DQ66" i="9"/>
  <c r="DQ63" i="9"/>
  <c r="DQ59" i="9"/>
  <c r="DS47" i="9"/>
  <c r="DR46" i="9"/>
  <c r="N3" i="9"/>
  <c r="O4" i="9"/>
  <c r="M10" i="9"/>
  <c r="M13" i="9"/>
  <c r="M12" i="9"/>
  <c r="M18" i="9"/>
  <c r="M15" i="9"/>
  <c r="M14" i="9"/>
  <c r="M17" i="9"/>
  <c r="M22" i="9"/>
  <c r="M25" i="9"/>
  <c r="M21" i="9"/>
  <c r="M20" i="9"/>
  <c r="BQ77" i="12"/>
  <c r="BQ66" i="12"/>
  <c r="BQ44" i="12"/>
  <c r="BQ95" i="12"/>
  <c r="BQ22" i="12"/>
  <c r="BQ60" i="12"/>
  <c r="BQ63" i="12"/>
  <c r="BQ42" i="12"/>
  <c r="BQ84" i="12"/>
  <c r="BQ58" i="12"/>
  <c r="BQ78" i="12"/>
  <c r="BQ81" i="12"/>
  <c r="BQ38" i="12"/>
  <c r="BQ85" i="12"/>
  <c r="BQ61" i="12"/>
  <c r="BQ28" i="12"/>
  <c r="BQ73" i="12"/>
  <c r="BQ64" i="12"/>
  <c r="BQ46" i="12"/>
  <c r="BQ71" i="12"/>
  <c r="BQ97" i="12"/>
  <c r="BQ116" i="12"/>
  <c r="BQ55" i="12"/>
  <c r="BQ47" i="12"/>
  <c r="BQ106" i="12"/>
  <c r="BQ115" i="12"/>
  <c r="BQ102" i="12"/>
  <c r="BQ114" i="12"/>
  <c r="BQ19" i="12"/>
  <c r="BQ117" i="12"/>
  <c r="BQ35" i="12"/>
  <c r="BQ68" i="12"/>
  <c r="BQ37" i="12"/>
  <c r="BQ94" i="12"/>
  <c r="BQ91" i="12"/>
  <c r="BQ113" i="12"/>
  <c r="BQ70" i="12"/>
  <c r="BQ92" i="12"/>
  <c r="BQ52" i="12"/>
  <c r="BQ54" i="12"/>
  <c r="BQ87" i="12"/>
  <c r="BQ82" i="12"/>
  <c r="BQ93" i="12"/>
  <c r="BQ51" i="12"/>
  <c r="BQ79" i="12"/>
  <c r="BQ105" i="12"/>
  <c r="BQ86" i="12"/>
  <c r="BQ34" i="12"/>
  <c r="BQ25" i="12"/>
  <c r="BQ75" i="12"/>
  <c r="BQ83" i="12"/>
  <c r="BQ50" i="12"/>
  <c r="BQ96" i="12"/>
  <c r="BQ24" i="12"/>
  <c r="BQ36" i="12"/>
  <c r="BQ27" i="12"/>
  <c r="BQ23" i="12"/>
  <c r="BQ101" i="12"/>
  <c r="BQ88" i="12"/>
  <c r="BQ89" i="12"/>
  <c r="BQ90" i="12"/>
  <c r="BQ40" i="12"/>
  <c r="BQ57" i="12"/>
  <c r="BQ104" i="12"/>
  <c r="BQ45" i="12"/>
  <c r="BQ56" i="12"/>
  <c r="BQ103" i="12"/>
  <c r="BQ29" i="12"/>
  <c r="BQ107" i="12"/>
  <c r="BQ67" i="12"/>
  <c r="BQ26" i="12"/>
  <c r="BQ109" i="12"/>
  <c r="BQ39" i="12"/>
  <c r="BQ108" i="12"/>
  <c r="BQ110" i="12"/>
  <c r="BQ112" i="12"/>
  <c r="BQ43" i="12"/>
  <c r="BQ65" i="12"/>
  <c r="BQ32" i="12"/>
  <c r="BQ59" i="12"/>
  <c r="BQ80" i="12"/>
  <c r="BQ41" i="12"/>
  <c r="BQ76" i="12"/>
  <c r="BQ53" i="12"/>
  <c r="BQ33" i="12"/>
  <c r="BQ69" i="12"/>
  <c r="BQ31" i="12"/>
  <c r="BQ48" i="12"/>
  <c r="BQ111" i="12"/>
  <c r="BQ100" i="12"/>
  <c r="BQ72" i="12"/>
  <c r="BQ99" i="12"/>
  <c r="BQ98" i="12"/>
  <c r="BQ49" i="12"/>
  <c r="BQ74" i="12"/>
  <c r="BQ62" i="12"/>
  <c r="BQ21" i="12"/>
  <c r="BQ30" i="12"/>
  <c r="G84" i="14"/>
  <c r="D86" i="14"/>
  <c r="H85" i="14"/>
  <c r="F85" i="14"/>
  <c r="E51" i="14"/>
  <c r="F51" i="14"/>
  <c r="D27" i="14"/>
  <c r="G65" i="14"/>
  <c r="F26" i="14"/>
  <c r="E26" i="14"/>
  <c r="N19" i="9"/>
  <c r="N16" i="9"/>
  <c r="N17" i="9"/>
  <c r="N12" i="9"/>
  <c r="N13" i="9"/>
  <c r="N18" i="9"/>
  <c r="N15" i="9"/>
  <c r="N14" i="9"/>
  <c r="N25" i="9"/>
  <c r="N22" i="9"/>
  <c r="N10" i="9"/>
  <c r="N21" i="9"/>
  <c r="N20" i="9"/>
  <c r="DT47" i="9"/>
  <c r="DS46" i="9"/>
  <c r="P4" i="9"/>
  <c r="O3" i="9"/>
  <c r="DR60" i="9"/>
  <c r="DR58" i="9"/>
  <c r="DR56" i="9"/>
  <c r="DR55" i="9"/>
  <c r="DR62" i="9"/>
  <c r="DR66" i="9"/>
  <c r="DR57" i="9"/>
  <c r="DR59" i="9"/>
  <c r="DR61" i="9"/>
  <c r="DR63" i="9"/>
  <c r="BR60" i="12"/>
  <c r="BR110" i="12"/>
  <c r="BR47" i="12"/>
  <c r="BR52" i="12"/>
  <c r="D53" i="14"/>
  <c r="BR22" i="12"/>
  <c r="BR62" i="12"/>
  <c r="BR85" i="12"/>
  <c r="BR46" i="12"/>
  <c r="BR43" i="12"/>
  <c r="BR115" i="12"/>
  <c r="BR45" i="12"/>
  <c r="BR71" i="12"/>
  <c r="BR30" i="12"/>
  <c r="BR97" i="12"/>
  <c r="BR29" i="12"/>
  <c r="BR48" i="12"/>
  <c r="BR83" i="12"/>
  <c r="BR92" i="12"/>
  <c r="BR90" i="12"/>
  <c r="BR63" i="12"/>
  <c r="BR95" i="12"/>
  <c r="BR106" i="12"/>
  <c r="BR72" i="12"/>
  <c r="BR53" i="12"/>
  <c r="BR99" i="12"/>
  <c r="BR77" i="12"/>
  <c r="BR100" i="12"/>
  <c r="BR64" i="12"/>
  <c r="BR81" i="12"/>
  <c r="BR31" i="12"/>
  <c r="BR19" i="12"/>
  <c r="BR32" i="12"/>
  <c r="BR54" i="12"/>
  <c r="BR61" i="12"/>
  <c r="BR58" i="12"/>
  <c r="BR98" i="12"/>
  <c r="BR91" i="12"/>
  <c r="BR18" i="12"/>
  <c r="BR94" i="12"/>
  <c r="BR96" i="12"/>
  <c r="BR36" i="12"/>
  <c r="BR41" i="12"/>
  <c r="BR89" i="12"/>
  <c r="BR25" i="12"/>
  <c r="BR76" i="12"/>
  <c r="BR20" i="12"/>
  <c r="BR87" i="12"/>
  <c r="BR27" i="12"/>
  <c r="BR82" i="12"/>
  <c r="BR67" i="12"/>
  <c r="BR39" i="12"/>
  <c r="BR57" i="12"/>
  <c r="BR50" i="12"/>
  <c r="BR56" i="12"/>
  <c r="BR74" i="12"/>
  <c r="BR34" i="12"/>
  <c r="BR68" i="12"/>
  <c r="BR70" i="12"/>
  <c r="BR104" i="12"/>
  <c r="BR73" i="12"/>
  <c r="BR26" i="12"/>
  <c r="BR49" i="12"/>
  <c r="BR102" i="12"/>
  <c r="BR51" i="12"/>
  <c r="BR24" i="12"/>
  <c r="BR78" i="12"/>
  <c r="BR33" i="12"/>
  <c r="BR114" i="12"/>
  <c r="BR35" i="12"/>
  <c r="BR55" i="12"/>
  <c r="BR42" i="12"/>
  <c r="BR37" i="12"/>
  <c r="BR84" i="12"/>
  <c r="BR69" i="12"/>
  <c r="BR117" i="12"/>
  <c r="BR80" i="12"/>
  <c r="BR79" i="12"/>
  <c r="BR88" i="12"/>
  <c r="BR40" i="12"/>
  <c r="BR108" i="12"/>
  <c r="BR38" i="12"/>
  <c r="BR93" i="12"/>
  <c r="BR86" i="12"/>
  <c r="BR116" i="12"/>
  <c r="BR28" i="12"/>
  <c r="BR66" i="12"/>
  <c r="BR113" i="12"/>
  <c r="BR75" i="12"/>
  <c r="BR65" i="12"/>
  <c r="BR103" i="12"/>
  <c r="BR109" i="12"/>
  <c r="BR101" i="12"/>
  <c r="BR107" i="12"/>
  <c r="BR105" i="12"/>
  <c r="BR111" i="12"/>
  <c r="BR23" i="12"/>
  <c r="BR44" i="12"/>
  <c r="BR21" i="12"/>
  <c r="BR59" i="12"/>
  <c r="BR112" i="12"/>
  <c r="G85" i="14"/>
  <c r="H86" i="14"/>
  <c r="F86" i="14"/>
  <c r="F52" i="14"/>
  <c r="E52" i="14"/>
  <c r="D28" i="14"/>
  <c r="G66" i="14"/>
  <c r="H67" i="14"/>
  <c r="F67" i="14"/>
  <c r="D29" i="14"/>
  <c r="E27" i="14"/>
  <c r="F27" i="14"/>
  <c r="O19" i="9"/>
  <c r="O16" i="9"/>
  <c r="O22" i="9"/>
  <c r="O25" i="9"/>
  <c r="O10" i="9"/>
  <c r="O21" i="9"/>
  <c r="O17" i="9"/>
  <c r="O13" i="9"/>
  <c r="O12" i="9"/>
  <c r="O15" i="9"/>
  <c r="O20" i="9"/>
  <c r="O18" i="9"/>
  <c r="O14" i="9"/>
  <c r="DS58" i="9"/>
  <c r="DS56" i="9"/>
  <c r="DS55" i="9"/>
  <c r="DS62" i="9"/>
  <c r="DS57" i="9"/>
  <c r="DS60" i="9"/>
  <c r="DS61" i="9"/>
  <c r="DS66" i="9"/>
  <c r="DS59" i="9"/>
  <c r="DS63" i="9"/>
  <c r="P3" i="9"/>
  <c r="E8" i="9"/>
  <c r="Q4" i="9"/>
  <c r="DI51" i="9"/>
  <c r="DU47" i="9"/>
  <c r="DT46" i="9"/>
  <c r="D54" i="14"/>
  <c r="G86" i="14"/>
  <c r="I13" i="14"/>
  <c r="J12" i="14"/>
  <c r="G6" i="7"/>
  <c r="E7" i="20"/>
  <c r="I12" i="15"/>
  <c r="X40" i="15"/>
  <c r="V40" i="15"/>
  <c r="W40" i="15"/>
  <c r="T40" i="15"/>
  <c r="U40" i="15"/>
  <c r="S40" i="15"/>
  <c r="T42" i="15"/>
  <c r="F53" i="14"/>
  <c r="E53" i="14"/>
  <c r="G67" i="14"/>
  <c r="F29" i="14"/>
  <c r="E29" i="14"/>
  <c r="H68" i="14"/>
  <c r="F68" i="14"/>
  <c r="E28" i="14"/>
  <c r="F28" i="14"/>
  <c r="P19" i="9"/>
  <c r="P16" i="9"/>
  <c r="P14" i="9"/>
  <c r="P18" i="9"/>
  <c r="P20" i="9"/>
  <c r="P25" i="9"/>
  <c r="P22" i="9"/>
  <c r="P10" i="9"/>
  <c r="P21" i="9"/>
  <c r="P17" i="9"/>
  <c r="P13" i="9"/>
  <c r="P12" i="9"/>
  <c r="P15" i="9"/>
  <c r="DV47" i="9"/>
  <c r="DU46" i="9"/>
  <c r="R4" i="9"/>
  <c r="Q3" i="9"/>
  <c r="DT58" i="9"/>
  <c r="DT55" i="9"/>
  <c r="DT57" i="9"/>
  <c r="DT56" i="9"/>
  <c r="DT61" i="9"/>
  <c r="DT60" i="9"/>
  <c r="DT66" i="9"/>
  <c r="DT62" i="9"/>
  <c r="DT63" i="9"/>
  <c r="DT59" i="9"/>
  <c r="V43" i="15"/>
  <c r="V45" i="15"/>
  <c r="T46" i="15"/>
  <c r="X42" i="15"/>
  <c r="W48" i="15"/>
  <c r="U43" i="15"/>
  <c r="S43" i="15"/>
  <c r="V41" i="15"/>
  <c r="X48" i="15"/>
  <c r="V46" i="15"/>
  <c r="U46" i="15"/>
  <c r="W43" i="15"/>
  <c r="W45" i="15"/>
  <c r="U42" i="15"/>
  <c r="R42" i="15"/>
  <c r="M44" i="15"/>
  <c r="B42" i="51"/>
  <c r="W42" i="15"/>
  <c r="X43" i="15"/>
  <c r="U41" i="15"/>
  <c r="V44" i="15"/>
  <c r="T48" i="15"/>
  <c r="U48" i="15"/>
  <c r="R48" i="15"/>
  <c r="M50" i="15"/>
  <c r="B48" i="51"/>
  <c r="X45" i="15"/>
  <c r="Z43" i="15"/>
  <c r="J7" i="51"/>
  <c r="R40" i="15"/>
  <c r="M42" i="15"/>
  <c r="B40" i="51"/>
  <c r="V39" i="15"/>
  <c r="W41" i="15"/>
  <c r="V42" i="15"/>
  <c r="T43" i="15"/>
  <c r="W47" i="15"/>
  <c r="W46" i="15"/>
  <c r="U45" i="15"/>
  <c r="E8" i="20"/>
  <c r="G7" i="7"/>
  <c r="J12" i="15"/>
  <c r="K4" i="51"/>
  <c r="W44" i="15"/>
  <c r="U39" i="15"/>
  <c r="E9" i="20"/>
  <c r="G9" i="7"/>
  <c r="I14" i="15"/>
  <c r="J9" i="51"/>
  <c r="D25" i="9"/>
  <c r="W39" i="15"/>
  <c r="T39" i="15"/>
  <c r="T45" i="15"/>
  <c r="X44" i="15"/>
  <c r="G8" i="7"/>
  <c r="I13" i="15"/>
  <c r="J8" i="51"/>
  <c r="T44" i="15"/>
  <c r="T47" i="15"/>
  <c r="U47" i="15"/>
  <c r="V48" i="15"/>
  <c r="S48" i="15"/>
  <c r="X46" i="15"/>
  <c r="V47" i="15"/>
  <c r="X47" i="15"/>
  <c r="U44" i="15"/>
  <c r="S44" i="15"/>
  <c r="X41" i="15"/>
  <c r="T41" i="15"/>
  <c r="R41" i="15"/>
  <c r="M43" i="15"/>
  <c r="B41" i="51"/>
  <c r="X39" i="15"/>
  <c r="E54" i="14"/>
  <c r="F54" i="14"/>
  <c r="D30" i="14"/>
  <c r="G68" i="14"/>
  <c r="D70" i="14"/>
  <c r="Q19" i="9"/>
  <c r="Q16" i="9"/>
  <c r="S45" i="15"/>
  <c r="R43" i="15"/>
  <c r="M45" i="15"/>
  <c r="B43" i="51"/>
  <c r="H43" i="51"/>
  <c r="V49" i="15"/>
  <c r="R47" i="15"/>
  <c r="M49" i="15"/>
  <c r="B47" i="51"/>
  <c r="R46" i="15"/>
  <c r="M48" i="15"/>
  <c r="B46" i="51"/>
  <c r="D46" i="51"/>
  <c r="R39" i="15"/>
  <c r="M41" i="15"/>
  <c r="B39" i="51"/>
  <c r="F39" i="51"/>
  <c r="Q13" i="9"/>
  <c r="Q12" i="9"/>
  <c r="Q15" i="9"/>
  <c r="Q14" i="9"/>
  <c r="Q17" i="9"/>
  <c r="Q18" i="9"/>
  <c r="Q25" i="9"/>
  <c r="Q20" i="9"/>
  <c r="Q21" i="9"/>
  <c r="Q22" i="9"/>
  <c r="DU60" i="9"/>
  <c r="DU58" i="9"/>
  <c r="DU55" i="9"/>
  <c r="DU57" i="9"/>
  <c r="DU61" i="9"/>
  <c r="DU56" i="9"/>
  <c r="DU62" i="9"/>
  <c r="DU66" i="9"/>
  <c r="DU59" i="9"/>
  <c r="DU63" i="9"/>
  <c r="DW47" i="9"/>
  <c r="DV46" i="9"/>
  <c r="S4" i="9"/>
  <c r="R3" i="9"/>
  <c r="S46" i="15"/>
  <c r="F46" i="51"/>
  <c r="H46" i="51"/>
  <c r="D42" i="51"/>
  <c r="F42" i="51"/>
  <c r="I42" i="51"/>
  <c r="H42" i="51"/>
  <c r="E42" i="51"/>
  <c r="G42" i="51"/>
  <c r="C42" i="51"/>
  <c r="E48" i="51"/>
  <c r="F48" i="51"/>
  <c r="H48" i="51"/>
  <c r="G48" i="51"/>
  <c r="D48" i="51"/>
  <c r="C48" i="51"/>
  <c r="I48" i="51"/>
  <c r="S47" i="15"/>
  <c r="X49" i="15"/>
  <c r="C41" i="51"/>
  <c r="F41" i="51"/>
  <c r="H41" i="51"/>
  <c r="G41" i="51"/>
  <c r="I41" i="51"/>
  <c r="E41" i="51"/>
  <c r="D41" i="51"/>
  <c r="D43" i="51"/>
  <c r="C43" i="51"/>
  <c r="E43" i="51"/>
  <c r="G43" i="51"/>
  <c r="F43" i="51"/>
  <c r="I43" i="51"/>
  <c r="I47" i="51"/>
  <c r="C47" i="51"/>
  <c r="F47" i="51"/>
  <c r="D47" i="51"/>
  <c r="E47" i="51"/>
  <c r="H47" i="51"/>
  <c r="G47" i="51"/>
  <c r="S41" i="15"/>
  <c r="R45" i="15"/>
  <c r="M47" i="15"/>
  <c r="B45" i="51"/>
  <c r="I40" i="51"/>
  <c r="E40" i="51"/>
  <c r="H40" i="51"/>
  <c r="G40" i="51"/>
  <c r="D40" i="51"/>
  <c r="C40" i="51"/>
  <c r="F40" i="51"/>
  <c r="R44" i="15"/>
  <c r="M46" i="15"/>
  <c r="B44" i="51"/>
  <c r="Z42" i="15"/>
  <c r="Z44" i="15"/>
  <c r="W49" i="15"/>
  <c r="KS25" i="9"/>
  <c r="B25" i="9"/>
  <c r="S42" i="15"/>
  <c r="H39" i="51"/>
  <c r="C39" i="51"/>
  <c r="I39" i="51"/>
  <c r="G39" i="51"/>
  <c r="E39" i="51"/>
  <c r="D39" i="51"/>
  <c r="S39" i="15"/>
  <c r="BL58" i="12"/>
  <c r="BL116" i="12"/>
  <c r="BL24" i="12"/>
  <c r="BL109" i="12"/>
  <c r="BL64" i="12"/>
  <c r="BL39" i="12"/>
  <c r="BL53" i="12"/>
  <c r="BL86" i="12"/>
  <c r="BL66" i="12"/>
  <c r="BL22" i="12"/>
  <c r="BL48" i="12"/>
  <c r="BL61" i="12"/>
  <c r="BL69" i="12"/>
  <c r="BL91" i="12"/>
  <c r="BL98" i="12"/>
  <c r="D31" i="14"/>
  <c r="BL67" i="12"/>
  <c r="BL96" i="12"/>
  <c r="BL108" i="12"/>
  <c r="BL29" i="12"/>
  <c r="BL115" i="12"/>
  <c r="BL63" i="12"/>
  <c r="BL104" i="12"/>
  <c r="BL62" i="12"/>
  <c r="BL88" i="12"/>
  <c r="BL40" i="12"/>
  <c r="BL71" i="12"/>
  <c r="BL73" i="12"/>
  <c r="BL113" i="12"/>
  <c r="BL41" i="12"/>
  <c r="BL45" i="12"/>
  <c r="BL111" i="12"/>
  <c r="BL55" i="12"/>
  <c r="BL92" i="12"/>
  <c r="BL52" i="12"/>
  <c r="BL49" i="12"/>
  <c r="BL60" i="12"/>
  <c r="BL106" i="12"/>
  <c r="BL36" i="12"/>
  <c r="BL117" i="12"/>
  <c r="BL34" i="12"/>
  <c r="BL110" i="12"/>
  <c r="BL75" i="12"/>
  <c r="BL35" i="12"/>
  <c r="BL37" i="12"/>
  <c r="BL42" i="12"/>
  <c r="BL101" i="12"/>
  <c r="BL85" i="12"/>
  <c r="BL95" i="12"/>
  <c r="BL65" i="12"/>
  <c r="BL114" i="12"/>
  <c r="BL51" i="12"/>
  <c r="BL57" i="12"/>
  <c r="BL105" i="12"/>
  <c r="BL50" i="12"/>
  <c r="BL77" i="12"/>
  <c r="BL102" i="12"/>
  <c r="BL23" i="12"/>
  <c r="BL76" i="12"/>
  <c r="BL82" i="12"/>
  <c r="BL25" i="12"/>
  <c r="BL59" i="12"/>
  <c r="BL79" i="12"/>
  <c r="BL28" i="12"/>
  <c r="BL89" i="12"/>
  <c r="BL26" i="12"/>
  <c r="BL90" i="12"/>
  <c r="BL70" i="12"/>
  <c r="BL78" i="12"/>
  <c r="BL68" i="12"/>
  <c r="BL74" i="12"/>
  <c r="BL100" i="12"/>
  <c r="BL43" i="12"/>
  <c r="BL107" i="12"/>
  <c r="BL32" i="12"/>
  <c r="BL81" i="12"/>
  <c r="BL54" i="12"/>
  <c r="BL44" i="12"/>
  <c r="BL83" i="12"/>
  <c r="BL80" i="12"/>
  <c r="BL47" i="12"/>
  <c r="BL97" i="12"/>
  <c r="BL56" i="12"/>
  <c r="BL21" i="12"/>
  <c r="BL84" i="12"/>
  <c r="BL112" i="12"/>
  <c r="BL46" i="12"/>
  <c r="BL33" i="12"/>
  <c r="BL30" i="12"/>
  <c r="BL38" i="12"/>
  <c r="BL87" i="12"/>
  <c r="BL99" i="12"/>
  <c r="BL103" i="12"/>
  <c r="BL27" i="12"/>
  <c r="BL72" i="12"/>
  <c r="BL31" i="12"/>
  <c r="BL93" i="12"/>
  <c r="BL94" i="12"/>
  <c r="G69" i="14"/>
  <c r="D71" i="14"/>
  <c r="H70" i="14"/>
  <c r="F70" i="14"/>
  <c r="E30" i="14"/>
  <c r="F30" i="14"/>
  <c r="A26" i="18"/>
  <c r="A20" i="18"/>
  <c r="R19" i="9"/>
  <c r="R16" i="9"/>
  <c r="I46" i="51"/>
  <c r="A19" i="18"/>
  <c r="G46" i="51"/>
  <c r="A17" i="18"/>
  <c r="C46" i="51"/>
  <c r="A24" i="18"/>
  <c r="E46" i="51"/>
  <c r="DV60" i="9"/>
  <c r="DV58" i="9"/>
  <c r="DV55" i="9"/>
  <c r="DV56" i="9"/>
  <c r="DV62" i="9"/>
  <c r="DV66" i="9"/>
  <c r="DV63" i="9"/>
  <c r="DV57" i="9"/>
  <c r="DV59" i="9"/>
  <c r="DV61" i="9"/>
  <c r="DX47" i="9"/>
  <c r="DW46" i="9"/>
  <c r="T4" i="9"/>
  <c r="S3" i="9"/>
  <c r="R20" i="9"/>
  <c r="R22" i="9"/>
  <c r="R12" i="9"/>
  <c r="R13" i="9"/>
  <c r="R15" i="9"/>
  <c r="R14" i="9"/>
  <c r="R25" i="9"/>
  <c r="R17" i="9"/>
  <c r="R18" i="9"/>
  <c r="R21" i="9"/>
  <c r="A18" i="18"/>
  <c r="A21" i="18"/>
  <c r="A25" i="18"/>
  <c r="H45" i="51"/>
  <c r="F45" i="51"/>
  <c r="I45" i="51"/>
  <c r="C45" i="51"/>
  <c r="E45" i="51"/>
  <c r="G45" i="51"/>
  <c r="D45" i="51"/>
  <c r="D44" i="51"/>
  <c r="H44" i="51"/>
  <c r="I44" i="51"/>
  <c r="E44" i="51"/>
  <c r="C44" i="51"/>
  <c r="F44" i="51"/>
  <c r="G44" i="51"/>
  <c r="BM87" i="12"/>
  <c r="BM39" i="12"/>
  <c r="BM53" i="12"/>
  <c r="BM102" i="12"/>
  <c r="BM52" i="12"/>
  <c r="BM38" i="12"/>
  <c r="BM70" i="12"/>
  <c r="BM103" i="12"/>
  <c r="BM113" i="12"/>
  <c r="BM25" i="12"/>
  <c r="BM73" i="12"/>
  <c r="BM69" i="12"/>
  <c r="BM57" i="12"/>
  <c r="BM88" i="12"/>
  <c r="BM55" i="12"/>
  <c r="BM85" i="12"/>
  <c r="BM112" i="12"/>
  <c r="BM45" i="12"/>
  <c r="BM36" i="12"/>
  <c r="BM20" i="12"/>
  <c r="BM75" i="12"/>
  <c r="BM54" i="12"/>
  <c r="BM58" i="12"/>
  <c r="BM107" i="12"/>
  <c r="BM92" i="12"/>
  <c r="BM56" i="12"/>
  <c r="BM46" i="12"/>
  <c r="BM50" i="12"/>
  <c r="BM66" i="12"/>
  <c r="BM114" i="12"/>
  <c r="BM86" i="12"/>
  <c r="BM117" i="12"/>
  <c r="BM72" i="12"/>
  <c r="BM105" i="12"/>
  <c r="BM42" i="12"/>
  <c r="BM99" i="12"/>
  <c r="BM22" i="12"/>
  <c r="BM110" i="12"/>
  <c r="BM35" i="12"/>
  <c r="BM109" i="12"/>
  <c r="BM104" i="12"/>
  <c r="BM32" i="12"/>
  <c r="BM82" i="12"/>
  <c r="D32" i="14"/>
  <c r="BM59" i="12"/>
  <c r="BM90" i="12"/>
  <c r="BM116" i="12"/>
  <c r="BM98" i="12"/>
  <c r="BM80" i="12"/>
  <c r="BM40" i="12"/>
  <c r="BM67" i="12"/>
  <c r="BM62" i="12"/>
  <c r="BM93" i="12"/>
  <c r="BM77" i="12"/>
  <c r="BM27" i="12"/>
  <c r="BM51" i="12"/>
  <c r="BM21" i="12"/>
  <c r="BM108" i="12"/>
  <c r="BM24" i="12"/>
  <c r="BM37" i="12"/>
  <c r="BM94" i="12"/>
  <c r="BM96" i="12"/>
  <c r="BM91" i="12"/>
  <c r="BM41" i="12"/>
  <c r="BM89" i="12"/>
  <c r="BM47" i="12"/>
  <c r="BM29" i="12"/>
  <c r="BM68" i="12"/>
  <c r="BM33" i="12"/>
  <c r="BM78" i="12"/>
  <c r="BM31" i="12"/>
  <c r="BM48" i="12"/>
  <c r="BM76" i="12"/>
  <c r="BM100" i="12"/>
  <c r="BM19" i="12"/>
  <c r="BM28" i="12"/>
  <c r="BM18" i="12"/>
  <c r="BM49" i="12"/>
  <c r="BM61" i="12"/>
  <c r="BM71" i="12"/>
  <c r="BM30" i="12"/>
  <c r="BM115" i="12"/>
  <c r="BM65" i="12"/>
  <c r="BM111" i="12"/>
  <c r="BM43" i="12"/>
  <c r="BM81" i="12"/>
  <c r="BM63" i="12"/>
  <c r="BM83" i="12"/>
  <c r="BM106" i="12"/>
  <c r="BM64" i="12"/>
  <c r="BM44" i="12"/>
  <c r="BM60" i="12"/>
  <c r="BM95" i="12"/>
  <c r="BM84" i="12"/>
  <c r="BM97" i="12"/>
  <c r="BM23" i="12"/>
  <c r="BM26" i="12"/>
  <c r="BM101" i="12"/>
  <c r="BM79" i="12"/>
  <c r="BM34" i="12"/>
  <c r="BM74" i="12"/>
  <c r="G70" i="14"/>
  <c r="E31" i="14"/>
  <c r="F31" i="14"/>
  <c r="I5" i="14"/>
  <c r="H71" i="14"/>
  <c r="F71" i="14"/>
  <c r="A22" i="18"/>
  <c r="S19" i="9"/>
  <c r="S16" i="9"/>
  <c r="S20" i="9"/>
  <c r="S22" i="9"/>
  <c r="S12" i="9"/>
  <c r="S13" i="9"/>
  <c r="S17" i="9"/>
  <c r="S18" i="9"/>
  <c r="S15" i="9"/>
  <c r="S25" i="9"/>
  <c r="S21" i="9"/>
  <c r="S14" i="9"/>
  <c r="DY47" i="9"/>
  <c r="DX46" i="9"/>
  <c r="DW60" i="9"/>
  <c r="DW58" i="9"/>
  <c r="DW55" i="9"/>
  <c r="DW57" i="9"/>
  <c r="DW56" i="9"/>
  <c r="DW62" i="9"/>
  <c r="DW63" i="9"/>
  <c r="DW59" i="9"/>
  <c r="DW61" i="9"/>
  <c r="DW66" i="9"/>
  <c r="T3" i="9"/>
  <c r="U4" i="9"/>
  <c r="E20" i="7"/>
  <c r="F20" i="7"/>
  <c r="G20" i="7"/>
  <c r="E21" i="7"/>
  <c r="F21" i="7"/>
  <c r="G21" i="7"/>
  <c r="E23" i="7"/>
  <c r="F23" i="7"/>
  <c r="G23" i="7"/>
  <c r="E22" i="7"/>
  <c r="F22" i="7"/>
  <c r="G22" i="7"/>
  <c r="A23" i="18"/>
  <c r="D33" i="14"/>
  <c r="G71" i="14"/>
  <c r="I5" i="15"/>
  <c r="J5" i="14"/>
  <c r="J5" i="15"/>
  <c r="K4" i="17"/>
  <c r="D44" i="20"/>
  <c r="E49" i="20"/>
  <c r="I6" i="14"/>
  <c r="I6" i="15"/>
  <c r="J6" i="17"/>
  <c r="E32" i="14"/>
  <c r="F32" i="14"/>
  <c r="E18" i="7"/>
  <c r="E19" i="7"/>
  <c r="F19" i="7"/>
  <c r="G19" i="7"/>
  <c r="E40" i="7"/>
  <c r="F40" i="7"/>
  <c r="G40" i="7"/>
  <c r="E41" i="7"/>
  <c r="F41" i="7"/>
  <c r="G41" i="7"/>
  <c r="T19" i="9"/>
  <c r="T16" i="9"/>
  <c r="V4" i="9"/>
  <c r="U3" i="9"/>
  <c r="DX55" i="9"/>
  <c r="DX61" i="9"/>
  <c r="DX60" i="9"/>
  <c r="DX58" i="9"/>
  <c r="DX57" i="9"/>
  <c r="DX59" i="9"/>
  <c r="DX56" i="9"/>
  <c r="DX62" i="9"/>
  <c r="DX63" i="9"/>
  <c r="DX66" i="9"/>
  <c r="T12" i="9"/>
  <c r="T17" i="9"/>
  <c r="T20" i="9"/>
  <c r="T22" i="9"/>
  <c r="T13" i="9"/>
  <c r="T18" i="9"/>
  <c r="T15" i="9"/>
  <c r="T14" i="9"/>
  <c r="T25" i="9"/>
  <c r="T21" i="9"/>
  <c r="DZ47" i="9"/>
  <c r="DY46" i="9"/>
  <c r="F18" i="7"/>
  <c r="G18" i="7"/>
  <c r="E46" i="7"/>
  <c r="B49" i="20"/>
  <c r="E52" i="20"/>
  <c r="B52" i="20"/>
  <c r="U25" i="15"/>
  <c r="U18" i="15"/>
  <c r="U22" i="15"/>
  <c r="U21" i="15"/>
  <c r="T26" i="15"/>
  <c r="T22" i="15"/>
  <c r="V19" i="15"/>
  <c r="V18" i="15"/>
  <c r="W22" i="15"/>
  <c r="T25" i="15"/>
  <c r="V23" i="15"/>
  <c r="V25" i="15"/>
  <c r="W18" i="15"/>
  <c r="U19" i="15"/>
  <c r="W25" i="15"/>
  <c r="T24" i="15"/>
  <c r="T18" i="15"/>
  <c r="X19" i="15"/>
  <c r="U20" i="15"/>
  <c r="V20" i="15"/>
  <c r="S20" i="15"/>
  <c r="V22" i="15"/>
  <c r="V21" i="15"/>
  <c r="V17" i="15"/>
  <c r="X18" i="15"/>
  <c r="U23" i="15"/>
  <c r="X20" i="15"/>
  <c r="X17" i="15"/>
  <c r="X21" i="15"/>
  <c r="W23" i="15"/>
  <c r="W19" i="15"/>
  <c r="X23" i="15"/>
  <c r="V24" i="15"/>
  <c r="W21" i="15"/>
  <c r="W26" i="15"/>
  <c r="X24" i="15"/>
  <c r="W24" i="15"/>
  <c r="U26" i="15"/>
  <c r="W17" i="15"/>
  <c r="V26" i="15"/>
  <c r="T20" i="15"/>
  <c r="X26" i="15"/>
  <c r="X22" i="15"/>
  <c r="T21" i="15"/>
  <c r="W20" i="15"/>
  <c r="X25" i="15"/>
  <c r="U24" i="15"/>
  <c r="T19" i="15"/>
  <c r="T23" i="15"/>
  <c r="U17" i="15"/>
  <c r="T17" i="15"/>
  <c r="J5" i="17"/>
  <c r="Z21" i="15"/>
  <c r="E33" i="14"/>
  <c r="F33" i="14"/>
  <c r="U19" i="9"/>
  <c r="U16" i="9"/>
  <c r="S24" i="15"/>
  <c r="R18" i="15"/>
  <c r="M20" i="15"/>
  <c r="B40" i="17"/>
  <c r="S22" i="15"/>
  <c r="R21" i="15"/>
  <c r="M23" i="15"/>
  <c r="B43" i="17"/>
  <c r="F43" i="17"/>
  <c r="DY55" i="9"/>
  <c r="DY61" i="9"/>
  <c r="DY60" i="9"/>
  <c r="DY58" i="9"/>
  <c r="DY59" i="9"/>
  <c r="DY56" i="9"/>
  <c r="DY63" i="9"/>
  <c r="DY66" i="9"/>
  <c r="DY62" i="9"/>
  <c r="DY57" i="9"/>
  <c r="EA47" i="9"/>
  <c r="DZ46" i="9"/>
  <c r="U17" i="9"/>
  <c r="U15" i="9"/>
  <c r="U14" i="9"/>
  <c r="U21" i="9"/>
  <c r="U20" i="9"/>
  <c r="U22" i="9"/>
  <c r="U25" i="9"/>
  <c r="U13" i="9"/>
  <c r="U12" i="9"/>
  <c r="U18" i="9"/>
  <c r="W4" i="9"/>
  <c r="V3" i="9"/>
  <c r="S21" i="15"/>
  <c r="R25" i="15"/>
  <c r="M27" i="15"/>
  <c r="B47" i="17"/>
  <c r="H47" i="17"/>
  <c r="R22" i="15"/>
  <c r="M24" i="15"/>
  <c r="B44" i="17"/>
  <c r="C44" i="17"/>
  <c r="S25" i="15"/>
  <c r="S19" i="15"/>
  <c r="R24" i="15"/>
  <c r="M26" i="15"/>
  <c r="B46" i="17"/>
  <c r="R23" i="15"/>
  <c r="M25" i="15"/>
  <c r="B45" i="17"/>
  <c r="F45" i="17"/>
  <c r="R17" i="15"/>
  <c r="M19" i="15"/>
  <c r="B39" i="17"/>
  <c r="G39" i="17"/>
  <c r="I40" i="17"/>
  <c r="F40" i="17"/>
  <c r="E40" i="17"/>
  <c r="G40" i="17"/>
  <c r="C40" i="17"/>
  <c r="D40" i="17"/>
  <c r="H40" i="17"/>
  <c r="G46" i="17"/>
  <c r="D46" i="17"/>
  <c r="C46" i="17"/>
  <c r="E46" i="17"/>
  <c r="H46" i="17"/>
  <c r="I46" i="17"/>
  <c r="F46" i="17"/>
  <c r="G45" i="17"/>
  <c r="E45" i="17"/>
  <c r="H45" i="17"/>
  <c r="S17" i="15"/>
  <c r="R26" i="15"/>
  <c r="M28" i="15"/>
  <c r="B48" i="17"/>
  <c r="S23" i="15"/>
  <c r="R19" i="15"/>
  <c r="M21" i="15"/>
  <c r="B41" i="17"/>
  <c r="R20" i="15"/>
  <c r="M22" i="15"/>
  <c r="B42" i="17"/>
  <c r="S18" i="15"/>
  <c r="S26" i="15"/>
  <c r="X27" i="15"/>
  <c r="E43" i="17"/>
  <c r="C43" i="17"/>
  <c r="D43" i="17"/>
  <c r="G43" i="17"/>
  <c r="I43" i="17"/>
  <c r="Z20" i="15"/>
  <c r="Z22" i="15"/>
  <c r="W27" i="15"/>
  <c r="F46" i="7"/>
  <c r="E47" i="7"/>
  <c r="V27" i="15"/>
  <c r="V19" i="9"/>
  <c r="V16" i="9"/>
  <c r="C47" i="17"/>
  <c r="G47" i="17"/>
  <c r="I47" i="17"/>
  <c r="D47" i="17"/>
  <c r="F47" i="17"/>
  <c r="H43" i="17"/>
  <c r="E47" i="17"/>
  <c r="X4" i="9"/>
  <c r="W3" i="9"/>
  <c r="V25" i="9"/>
  <c r="V22" i="9"/>
  <c r="V21" i="9"/>
  <c r="V20" i="9"/>
  <c r="V17" i="9"/>
  <c r="V12" i="9"/>
  <c r="V13" i="9"/>
  <c r="V18" i="9"/>
  <c r="V14" i="9"/>
  <c r="V15" i="9"/>
  <c r="DZ57" i="9"/>
  <c r="DZ55" i="9"/>
  <c r="DZ61" i="9"/>
  <c r="DZ60" i="9"/>
  <c r="DZ62" i="9"/>
  <c r="DZ58" i="9"/>
  <c r="DZ59" i="9"/>
  <c r="DZ56" i="9"/>
  <c r="DZ66" i="9"/>
  <c r="DZ63" i="9"/>
  <c r="EB47" i="9"/>
  <c r="EA46" i="9"/>
  <c r="A12" i="18"/>
  <c r="D44" i="17"/>
  <c r="A10" i="18"/>
  <c r="F44" i="17"/>
  <c r="E44" i="17"/>
  <c r="I44" i="17"/>
  <c r="H44" i="17"/>
  <c r="G44" i="17"/>
  <c r="D45" i="17"/>
  <c r="I45" i="17"/>
  <c r="C45" i="17"/>
  <c r="F39" i="17"/>
  <c r="D39" i="17"/>
  <c r="E39" i="17"/>
  <c r="C39" i="17"/>
  <c r="I39" i="17"/>
  <c r="H39" i="17"/>
  <c r="A6" i="18"/>
  <c r="F47" i="7"/>
  <c r="G47" i="7"/>
  <c r="E48" i="7"/>
  <c r="F48" i="7"/>
  <c r="G48" i="7"/>
  <c r="G46" i="7"/>
  <c r="A13" i="18"/>
  <c r="A9" i="18"/>
  <c r="D42" i="17"/>
  <c r="G42" i="17"/>
  <c r="I42" i="17"/>
  <c r="E42" i="17"/>
  <c r="F42" i="17"/>
  <c r="H42" i="17"/>
  <c r="C42" i="17"/>
  <c r="C48" i="17"/>
  <c r="G48" i="17"/>
  <c r="I48" i="17"/>
  <c r="E48" i="17"/>
  <c r="D48" i="17"/>
  <c r="H48" i="17"/>
  <c r="F48" i="17"/>
  <c r="F41" i="17"/>
  <c r="E41" i="17"/>
  <c r="H41" i="17"/>
  <c r="I41" i="17"/>
  <c r="G41" i="17"/>
  <c r="C41" i="17"/>
  <c r="D41" i="17"/>
  <c r="A11" i="18"/>
  <c r="W19" i="9"/>
  <c r="W16" i="9"/>
  <c r="EA57" i="9"/>
  <c r="EA55" i="9"/>
  <c r="EA61" i="9"/>
  <c r="EA60" i="9"/>
  <c r="EA62" i="9"/>
  <c r="EA58" i="9"/>
  <c r="EA59" i="9"/>
  <c r="EA56" i="9"/>
  <c r="EA66" i="9"/>
  <c r="EA63" i="9"/>
  <c r="EC47" i="9"/>
  <c r="EB46" i="9"/>
  <c r="W21" i="9"/>
  <c r="W25" i="9"/>
  <c r="W20" i="9"/>
  <c r="W22" i="9"/>
  <c r="W17" i="9"/>
  <c r="W12" i="9"/>
  <c r="W13" i="9"/>
  <c r="W18" i="9"/>
  <c r="W15" i="9"/>
  <c r="W14" i="9"/>
  <c r="Y4" i="9"/>
  <c r="X3" i="9"/>
  <c r="A5" i="18"/>
  <c r="A8" i="18"/>
  <c r="F50" i="7"/>
  <c r="G50" i="7"/>
  <c r="G51" i="7"/>
  <c r="A14" i="18"/>
  <c r="A7" i="18"/>
  <c r="F51" i="7"/>
  <c r="E51" i="7"/>
  <c r="E50" i="7"/>
  <c r="X19" i="9"/>
  <c r="X16" i="9"/>
  <c r="X20" i="9"/>
  <c r="X22" i="9"/>
  <c r="X21" i="9"/>
  <c r="X17" i="9"/>
  <c r="X13" i="9"/>
  <c r="X12" i="9"/>
  <c r="X15" i="9"/>
  <c r="X14" i="9"/>
  <c r="X25" i="9"/>
  <c r="X18" i="9"/>
  <c r="Y3" i="9"/>
  <c r="Z4" i="9"/>
  <c r="EC46" i="9"/>
  <c r="ED47" i="9"/>
  <c r="EB57" i="9"/>
  <c r="EB55" i="9"/>
  <c r="EB61" i="9"/>
  <c r="EB63" i="9"/>
  <c r="EB62" i="9"/>
  <c r="EB58" i="9"/>
  <c r="EB59" i="9"/>
  <c r="EB60" i="9"/>
  <c r="EB56" i="9"/>
  <c r="EB66" i="9"/>
  <c r="Y19" i="9"/>
  <c r="Y16" i="9"/>
  <c r="ED46" i="9"/>
  <c r="EE47" i="9"/>
  <c r="Y13" i="9"/>
  <c r="Y12" i="9"/>
  <c r="Y15" i="9"/>
  <c r="Y14" i="9"/>
  <c r="Y17" i="9"/>
  <c r="Y18" i="9"/>
  <c r="Y22" i="9"/>
  <c r="Y20" i="9"/>
  <c r="Y25" i="9"/>
  <c r="Y21" i="9"/>
  <c r="EC59" i="9"/>
  <c r="EC57" i="9"/>
  <c r="EC55" i="9"/>
  <c r="EC61" i="9"/>
  <c r="EC58" i="9"/>
  <c r="EC63" i="9"/>
  <c r="EC62" i="9"/>
  <c r="EC56" i="9"/>
  <c r="EC66" i="9"/>
  <c r="EC60" i="9"/>
  <c r="AA4" i="9"/>
  <c r="Z3" i="9"/>
  <c r="Z19" i="9"/>
  <c r="Z16" i="9"/>
  <c r="AB4" i="9"/>
  <c r="AA3" i="9"/>
  <c r="EE46" i="9"/>
  <c r="EF47" i="9"/>
  <c r="Z12" i="9"/>
  <c r="Z14" i="9"/>
  <c r="Z25" i="9"/>
  <c r="Z17" i="9"/>
  <c r="Z18" i="9"/>
  <c r="Z21" i="9"/>
  <c r="Z20" i="9"/>
  <c r="Z22" i="9"/>
  <c r="Z13" i="9"/>
  <c r="Z15" i="9"/>
  <c r="ED59" i="9"/>
  <c r="ED57" i="9"/>
  <c r="ED55" i="9"/>
  <c r="ED61" i="9"/>
  <c r="ED58" i="9"/>
  <c r="ED63" i="9"/>
  <c r="ED62" i="9"/>
  <c r="ED56" i="9"/>
  <c r="ED66" i="9"/>
  <c r="ED60" i="9"/>
  <c r="AA19" i="9"/>
  <c r="AA16" i="9"/>
  <c r="DU51" i="9"/>
  <c r="EF46" i="9"/>
  <c r="EG47" i="9"/>
  <c r="EE59" i="9"/>
  <c r="EE57" i="9"/>
  <c r="EE55" i="9"/>
  <c r="EE63" i="9"/>
  <c r="EE58" i="9"/>
  <c r="EE62" i="9"/>
  <c r="EE66" i="9"/>
  <c r="EE60" i="9"/>
  <c r="EE61" i="9"/>
  <c r="EE56" i="9"/>
  <c r="AA22" i="9"/>
  <c r="AA12" i="9"/>
  <c r="AA13" i="9"/>
  <c r="AA17" i="9"/>
  <c r="AA18" i="9"/>
  <c r="AA15" i="9"/>
  <c r="AA25" i="9"/>
  <c r="AA14" i="9"/>
  <c r="AA21" i="9"/>
  <c r="AA20" i="9"/>
  <c r="AB3" i="9"/>
  <c r="AC4" i="9"/>
  <c r="Q8" i="9"/>
  <c r="AB19" i="9"/>
  <c r="AB16" i="9"/>
  <c r="AB18" i="9"/>
  <c r="AB15" i="9"/>
  <c r="AB14" i="9"/>
  <c r="AB25" i="9"/>
  <c r="AB21" i="9"/>
  <c r="AB20" i="9"/>
  <c r="AB22" i="9"/>
  <c r="AB17" i="9"/>
  <c r="AB12" i="9"/>
  <c r="AB13" i="9"/>
  <c r="EG46" i="9"/>
  <c r="EH47" i="9"/>
  <c r="AD4" i="9"/>
  <c r="AC3" i="9"/>
  <c r="EF57" i="9"/>
  <c r="EF55" i="9"/>
  <c r="EF63" i="9"/>
  <c r="EF58" i="9"/>
  <c r="EF59" i="9"/>
  <c r="EF62" i="9"/>
  <c r="EF66" i="9"/>
  <c r="EF60" i="9"/>
  <c r="EF61" i="9"/>
  <c r="EF56" i="9"/>
  <c r="AC19" i="9"/>
  <c r="AC16" i="9"/>
  <c r="AC14" i="9"/>
  <c r="AC17" i="9"/>
  <c r="AC12" i="9"/>
  <c r="AC22" i="9"/>
  <c r="AC25" i="9"/>
  <c r="AC21" i="9"/>
  <c r="AC20" i="9"/>
  <c r="AC13" i="9"/>
  <c r="AC18" i="9"/>
  <c r="AC15" i="9"/>
  <c r="EH46" i="9"/>
  <c r="EI47" i="9"/>
  <c r="AE4" i="9"/>
  <c r="AD3" i="9"/>
  <c r="EG59" i="9"/>
  <c r="EG57" i="9"/>
  <c r="EG55" i="9"/>
  <c r="EG63" i="9"/>
  <c r="EG58" i="9"/>
  <c r="EG62" i="9"/>
  <c r="EG66" i="9"/>
  <c r="EG61" i="9"/>
  <c r="EG60" i="9"/>
  <c r="EG56" i="9"/>
  <c r="AD19" i="9"/>
  <c r="AD16" i="9"/>
  <c r="AD18" i="9"/>
  <c r="AD15" i="9"/>
  <c r="AD14" i="9"/>
  <c r="AD25" i="9"/>
  <c r="AD22" i="9"/>
  <c r="AD17" i="9"/>
  <c r="AD20" i="9"/>
  <c r="AD12" i="9"/>
  <c r="AD13" i="9"/>
  <c r="AD21" i="9"/>
  <c r="AF4" i="9"/>
  <c r="AE3" i="9"/>
  <c r="EI46" i="9"/>
  <c r="EJ47" i="9"/>
  <c r="EH59" i="9"/>
  <c r="EH57" i="9"/>
  <c r="EH63" i="9"/>
  <c r="EH55" i="9"/>
  <c r="EH66" i="9"/>
  <c r="EH58" i="9"/>
  <c r="EH62" i="9"/>
  <c r="EH61" i="9"/>
  <c r="EH60" i="9"/>
  <c r="EH56" i="9"/>
  <c r="AE19" i="9"/>
  <c r="AE16" i="9"/>
  <c r="AG4" i="9"/>
  <c r="AF3" i="9"/>
  <c r="EJ46" i="9"/>
  <c r="EK47" i="9"/>
  <c r="AE12" i="9"/>
  <c r="AE18" i="9"/>
  <c r="AE15" i="9"/>
  <c r="AE14" i="9"/>
  <c r="AE20" i="9"/>
  <c r="AE25" i="9"/>
  <c r="AE17" i="9"/>
  <c r="AE22" i="9"/>
  <c r="AE21" i="9"/>
  <c r="AE13" i="9"/>
  <c r="EI61" i="9"/>
  <c r="EI57" i="9"/>
  <c r="EI56" i="9"/>
  <c r="EI63" i="9"/>
  <c r="EI55" i="9"/>
  <c r="EI66" i="9"/>
  <c r="EI62" i="9"/>
  <c r="EI59" i="9"/>
  <c r="EI58" i="9"/>
  <c r="EI60" i="9"/>
  <c r="AF19" i="9"/>
  <c r="AF16" i="9"/>
  <c r="EK46" i="9"/>
  <c r="EL47" i="9"/>
  <c r="AF13" i="9"/>
  <c r="AF12" i="9"/>
  <c r="AF15" i="9"/>
  <c r="AF14" i="9"/>
  <c r="AF25" i="9"/>
  <c r="AF18" i="9"/>
  <c r="AF20" i="9"/>
  <c r="AF22" i="9"/>
  <c r="AF21" i="9"/>
  <c r="AF17" i="9"/>
  <c r="EJ56" i="9"/>
  <c r="EJ55" i="9"/>
  <c r="EJ66" i="9"/>
  <c r="EJ63" i="9"/>
  <c r="EJ59" i="9"/>
  <c r="EJ62" i="9"/>
  <c r="EJ58" i="9"/>
  <c r="EJ57" i="9"/>
  <c r="EJ60" i="9"/>
  <c r="EJ61" i="9"/>
  <c r="AH4" i="9"/>
  <c r="AG3" i="9"/>
  <c r="AG19" i="9"/>
  <c r="AG16" i="9"/>
  <c r="AI4" i="9"/>
  <c r="AH3" i="9"/>
  <c r="AG13" i="9"/>
  <c r="AG12" i="9"/>
  <c r="AG15" i="9"/>
  <c r="AG14" i="9"/>
  <c r="AG17" i="9"/>
  <c r="AG18" i="9"/>
  <c r="AG22" i="9"/>
  <c r="AG20" i="9"/>
  <c r="AG21" i="9"/>
  <c r="AG25" i="9"/>
  <c r="EL46" i="9"/>
  <c r="EM47" i="9"/>
  <c r="EK56" i="9"/>
  <c r="EK55" i="9"/>
  <c r="EK57" i="9"/>
  <c r="EK66" i="9"/>
  <c r="EK63" i="9"/>
  <c r="EK59" i="9"/>
  <c r="EK58" i="9"/>
  <c r="EK62" i="9"/>
  <c r="EK60" i="9"/>
  <c r="EK61" i="9"/>
  <c r="AH19" i="9"/>
  <c r="AH16" i="9"/>
  <c r="EM46" i="9"/>
  <c r="EN47" i="9"/>
  <c r="EL56" i="9"/>
  <c r="EL55" i="9"/>
  <c r="EL66" i="9"/>
  <c r="EL63" i="9"/>
  <c r="EL59" i="9"/>
  <c r="EL58" i="9"/>
  <c r="EL62" i="9"/>
  <c r="EL61" i="9"/>
  <c r="EL57" i="9"/>
  <c r="EL60" i="9"/>
  <c r="AH17" i="9"/>
  <c r="AH18" i="9"/>
  <c r="AH21" i="9"/>
  <c r="AH20" i="9"/>
  <c r="AH22" i="9"/>
  <c r="AH13" i="9"/>
  <c r="AH15" i="9"/>
  <c r="AH14" i="9"/>
  <c r="AH25" i="9"/>
  <c r="AH12" i="9"/>
  <c r="AI3" i="9"/>
  <c r="AJ4" i="9"/>
  <c r="AI19" i="9"/>
  <c r="AI16" i="9"/>
  <c r="AI15" i="9"/>
  <c r="AI12" i="9"/>
  <c r="AI13" i="9"/>
  <c r="AI18" i="9"/>
  <c r="AI17" i="9"/>
  <c r="AI14" i="9"/>
  <c r="AI25" i="9"/>
  <c r="AI21" i="9"/>
  <c r="AI20" i="9"/>
  <c r="AI22" i="9"/>
  <c r="AJ3" i="9"/>
  <c r="AK4" i="9"/>
  <c r="EN46" i="9"/>
  <c r="EO47" i="9"/>
  <c r="EM56" i="9"/>
  <c r="EM55" i="9"/>
  <c r="EM66" i="9"/>
  <c r="EM63" i="9"/>
  <c r="EM59" i="9"/>
  <c r="EM58" i="9"/>
  <c r="EM61" i="9"/>
  <c r="EM62" i="9"/>
  <c r="EM57" i="9"/>
  <c r="EM60" i="9"/>
  <c r="AJ19" i="9"/>
  <c r="AJ16" i="9"/>
  <c r="AJ12" i="9"/>
  <c r="AJ13" i="9"/>
  <c r="AJ17" i="9"/>
  <c r="AJ18" i="9"/>
  <c r="AJ15" i="9"/>
  <c r="AJ14" i="9"/>
  <c r="AJ25" i="9"/>
  <c r="AJ21" i="9"/>
  <c r="AJ20" i="9"/>
  <c r="AJ22" i="9"/>
  <c r="EO46" i="9"/>
  <c r="EP47" i="9"/>
  <c r="AK3" i="9"/>
  <c r="AL4" i="9"/>
  <c r="EN56" i="9"/>
  <c r="EN55" i="9"/>
  <c r="EN66" i="9"/>
  <c r="EN63" i="9"/>
  <c r="EN59" i="9"/>
  <c r="EN58" i="9"/>
  <c r="EN62" i="9"/>
  <c r="EN61" i="9"/>
  <c r="EN57" i="9"/>
  <c r="EN60" i="9"/>
  <c r="AK19" i="9"/>
  <c r="AK16" i="9"/>
  <c r="AK25" i="9"/>
  <c r="AK13" i="9"/>
  <c r="AK17" i="9"/>
  <c r="AK12" i="9"/>
  <c r="AK18" i="9"/>
  <c r="AK15" i="9"/>
  <c r="AK14" i="9"/>
  <c r="AK22" i="9"/>
  <c r="AK20" i="9"/>
  <c r="AK21" i="9"/>
  <c r="EO56" i="9"/>
  <c r="EO66" i="9"/>
  <c r="EO63" i="9"/>
  <c r="EO59" i="9"/>
  <c r="EO58" i="9"/>
  <c r="EO55" i="9"/>
  <c r="EO61" i="9"/>
  <c r="EO62" i="9"/>
  <c r="EO57" i="9"/>
  <c r="EO60" i="9"/>
  <c r="AM4" i="9"/>
  <c r="AL3" i="9"/>
  <c r="EP46" i="9"/>
  <c r="EQ47" i="9"/>
  <c r="AL19" i="9"/>
  <c r="AL16" i="9"/>
  <c r="AL18" i="9"/>
  <c r="AL15" i="9"/>
  <c r="AL14" i="9"/>
  <c r="AL25" i="9"/>
  <c r="AL22" i="9"/>
  <c r="AL21" i="9"/>
  <c r="AL20" i="9"/>
  <c r="AL17" i="9"/>
  <c r="AL12" i="9"/>
  <c r="AL13" i="9"/>
  <c r="EP56" i="9"/>
  <c r="EP59" i="9"/>
  <c r="EP57" i="9"/>
  <c r="EP66" i="9"/>
  <c r="EP58" i="9"/>
  <c r="EP63" i="9"/>
  <c r="EP61" i="9"/>
  <c r="EP62" i="9"/>
  <c r="EP55" i="9"/>
  <c r="EP60" i="9"/>
  <c r="EQ46" i="9"/>
  <c r="ER47" i="9"/>
  <c r="AN4" i="9"/>
  <c r="AM3" i="9"/>
  <c r="AM19" i="9"/>
  <c r="AM16" i="9"/>
  <c r="AO4" i="9"/>
  <c r="AN3" i="9"/>
  <c r="AC8" i="9"/>
  <c r="EG51" i="9"/>
  <c r="ER46" i="9"/>
  <c r="ES47" i="9"/>
  <c r="AM17" i="9"/>
  <c r="AM13" i="9"/>
  <c r="AM12" i="9"/>
  <c r="AM18" i="9"/>
  <c r="AM15" i="9"/>
  <c r="AM14" i="9"/>
  <c r="AM20" i="9"/>
  <c r="AM22" i="9"/>
  <c r="AM21" i="9"/>
  <c r="AM25" i="9"/>
  <c r="EQ58" i="9"/>
  <c r="EQ56" i="9"/>
  <c r="EQ59" i="9"/>
  <c r="EQ60" i="9"/>
  <c r="EQ57" i="9"/>
  <c r="EQ66" i="9"/>
  <c r="EQ63" i="9"/>
  <c r="EQ61" i="9"/>
  <c r="EQ62" i="9"/>
  <c r="EQ55" i="9"/>
  <c r="AN19" i="9"/>
  <c r="AN16" i="9"/>
  <c r="ES46" i="9"/>
  <c r="ET47" i="9"/>
  <c r="ER58" i="9"/>
  <c r="ER56" i="9"/>
  <c r="ER59" i="9"/>
  <c r="ER60" i="9"/>
  <c r="ER57" i="9"/>
  <c r="ER66" i="9"/>
  <c r="ER63" i="9"/>
  <c r="ER61" i="9"/>
  <c r="ER62" i="9"/>
  <c r="ER55" i="9"/>
  <c r="AN13" i="9"/>
  <c r="AN12" i="9"/>
  <c r="AN15" i="9"/>
  <c r="AN14" i="9"/>
  <c r="AN25" i="9"/>
  <c r="AN18" i="9"/>
  <c r="AN20" i="9"/>
  <c r="AN22" i="9"/>
  <c r="AN17" i="9"/>
  <c r="AN21" i="9"/>
  <c r="AO3" i="9"/>
  <c r="AP4" i="9"/>
  <c r="AO19" i="9"/>
  <c r="AO16" i="9"/>
  <c r="AP3" i="9"/>
  <c r="AQ4" i="9"/>
  <c r="AO21" i="9"/>
  <c r="AO13" i="9"/>
  <c r="AO12" i="9"/>
  <c r="AO15" i="9"/>
  <c r="AO14" i="9"/>
  <c r="AO17" i="9"/>
  <c r="AO18" i="9"/>
  <c r="AO20" i="9"/>
  <c r="AO22" i="9"/>
  <c r="AO25" i="9"/>
  <c r="ET46" i="9"/>
  <c r="EU47" i="9"/>
  <c r="ES60" i="9"/>
  <c r="ES58" i="9"/>
  <c r="ES56" i="9"/>
  <c r="ES59" i="9"/>
  <c r="ES57" i="9"/>
  <c r="ES66" i="9"/>
  <c r="ES63" i="9"/>
  <c r="ES61" i="9"/>
  <c r="ES62" i="9"/>
  <c r="ES55" i="9"/>
  <c r="AP19" i="9"/>
  <c r="AP16" i="9"/>
  <c r="EU46" i="9"/>
  <c r="EV47" i="9"/>
  <c r="ET56" i="9"/>
  <c r="ET62" i="9"/>
  <c r="ET59" i="9"/>
  <c r="ET55" i="9"/>
  <c r="ET61" i="9"/>
  <c r="ET60" i="9"/>
  <c r="ET57" i="9"/>
  <c r="ET58" i="9"/>
  <c r="ET63" i="9"/>
  <c r="ET66" i="9"/>
  <c r="AQ3" i="9"/>
  <c r="AR4" i="9"/>
  <c r="AP22" i="9"/>
  <c r="AP12" i="9"/>
  <c r="AP13" i="9"/>
  <c r="AP17" i="9"/>
  <c r="AP15" i="9"/>
  <c r="AP14" i="9"/>
  <c r="AP25" i="9"/>
  <c r="AP18" i="9"/>
  <c r="AP21" i="9"/>
  <c r="AP20" i="9"/>
  <c r="AQ19" i="9"/>
  <c r="AQ16" i="9"/>
  <c r="AR3" i="9"/>
  <c r="AS4" i="9"/>
  <c r="AQ15" i="9"/>
  <c r="AQ14" i="9"/>
  <c r="AQ21" i="9"/>
  <c r="AQ25" i="9"/>
  <c r="AQ22" i="9"/>
  <c r="AQ17" i="9"/>
  <c r="AQ20" i="9"/>
  <c r="AQ12" i="9"/>
  <c r="AQ13" i="9"/>
  <c r="AQ18" i="9"/>
  <c r="EW47" i="9"/>
  <c r="EV46" i="9"/>
  <c r="EU58" i="9"/>
  <c r="EU56" i="9"/>
  <c r="EU62" i="9"/>
  <c r="EU59" i="9"/>
  <c r="EU55" i="9"/>
  <c r="EU61" i="9"/>
  <c r="EU60" i="9"/>
  <c r="EU57" i="9"/>
  <c r="EU63" i="9"/>
  <c r="EU66" i="9"/>
  <c r="AR19" i="9"/>
  <c r="AR16" i="9"/>
  <c r="EV58" i="9"/>
  <c r="EV56" i="9"/>
  <c r="EV62" i="9"/>
  <c r="EV59" i="9"/>
  <c r="EV55" i="9"/>
  <c r="EV61" i="9"/>
  <c r="EV60" i="9"/>
  <c r="EV57" i="9"/>
  <c r="EV66" i="9"/>
  <c r="EV63" i="9"/>
  <c r="EX47" i="9"/>
  <c r="EW46" i="9"/>
  <c r="AS3" i="9"/>
  <c r="AT4" i="9"/>
  <c r="AR14" i="9"/>
  <c r="AR25" i="9"/>
  <c r="AR21" i="9"/>
  <c r="AR20" i="9"/>
  <c r="AR22" i="9"/>
  <c r="AR18" i="9"/>
  <c r="AR15" i="9"/>
  <c r="AR12" i="9"/>
  <c r="AR13" i="9"/>
  <c r="AR17" i="9"/>
  <c r="AS19" i="9"/>
  <c r="AS16" i="9"/>
  <c r="AU4" i="9"/>
  <c r="AT3" i="9"/>
  <c r="AS21" i="9"/>
  <c r="AS20" i="9"/>
  <c r="AS13" i="9"/>
  <c r="AS17" i="9"/>
  <c r="AS12" i="9"/>
  <c r="AS15" i="9"/>
  <c r="AS18" i="9"/>
  <c r="AS14" i="9"/>
  <c r="AS22" i="9"/>
  <c r="AS25" i="9"/>
  <c r="EW58" i="9"/>
  <c r="EW56" i="9"/>
  <c r="EW62" i="9"/>
  <c r="EW55" i="9"/>
  <c r="EW61" i="9"/>
  <c r="EW60" i="9"/>
  <c r="EW57" i="9"/>
  <c r="EW59" i="9"/>
  <c r="EW66" i="9"/>
  <c r="EW63" i="9"/>
  <c r="EY47" i="9"/>
  <c r="EX46" i="9"/>
  <c r="AT19" i="9"/>
  <c r="AT16" i="9"/>
  <c r="EZ47" i="9"/>
  <c r="EY46" i="9"/>
  <c r="EX60" i="9"/>
  <c r="EX58" i="9"/>
  <c r="EX56" i="9"/>
  <c r="EX62" i="9"/>
  <c r="EX66" i="9"/>
  <c r="EX55" i="9"/>
  <c r="EX61" i="9"/>
  <c r="EX57" i="9"/>
  <c r="EX59" i="9"/>
  <c r="EX63" i="9"/>
  <c r="AT13" i="9"/>
  <c r="AT18" i="9"/>
  <c r="AT15" i="9"/>
  <c r="AT14" i="9"/>
  <c r="AT22" i="9"/>
  <c r="AT25" i="9"/>
  <c r="AT21" i="9"/>
  <c r="AT20" i="9"/>
  <c r="AT17" i="9"/>
  <c r="AT12" i="9"/>
  <c r="AV4" i="9"/>
  <c r="AU3" i="9"/>
  <c r="AU19" i="9"/>
  <c r="AU16" i="9"/>
  <c r="AW4" i="9"/>
  <c r="AV3" i="9"/>
  <c r="AU18" i="9"/>
  <c r="AU15" i="9"/>
  <c r="AU14" i="9"/>
  <c r="AU20" i="9"/>
  <c r="AU17" i="9"/>
  <c r="AU22" i="9"/>
  <c r="AU25" i="9"/>
  <c r="AU21" i="9"/>
  <c r="AU13" i="9"/>
  <c r="AU12" i="9"/>
  <c r="EY58" i="9"/>
  <c r="EY56" i="9"/>
  <c r="EY62" i="9"/>
  <c r="EY55" i="9"/>
  <c r="EY61" i="9"/>
  <c r="EY60" i="9"/>
  <c r="EY57" i="9"/>
  <c r="EY59" i="9"/>
  <c r="EY63" i="9"/>
  <c r="EY66" i="9"/>
  <c r="FA47" i="9"/>
  <c r="EZ46" i="9"/>
  <c r="AV19" i="9"/>
  <c r="AV16" i="9"/>
  <c r="EZ56" i="9"/>
  <c r="EZ55" i="9"/>
  <c r="EZ61" i="9"/>
  <c r="EZ60" i="9"/>
  <c r="EZ57" i="9"/>
  <c r="EZ59" i="9"/>
  <c r="EZ58" i="9"/>
  <c r="EZ66" i="9"/>
  <c r="EZ63" i="9"/>
  <c r="EZ62" i="9"/>
  <c r="FB47" i="9"/>
  <c r="FA46" i="9"/>
  <c r="AV21" i="9"/>
  <c r="AV17" i="9"/>
  <c r="AV13" i="9"/>
  <c r="AV12" i="9"/>
  <c r="AV15" i="9"/>
  <c r="AV14" i="9"/>
  <c r="AV25" i="9"/>
  <c r="AV18" i="9"/>
  <c r="AV20" i="9"/>
  <c r="AV22" i="9"/>
  <c r="AW3" i="9"/>
  <c r="AX4" i="9"/>
  <c r="AW19" i="9"/>
  <c r="AW16" i="9"/>
  <c r="AX3" i="9"/>
  <c r="AY4" i="9"/>
  <c r="FA57" i="9"/>
  <c r="FA56" i="9"/>
  <c r="FA55" i="9"/>
  <c r="FA61" i="9"/>
  <c r="FA60" i="9"/>
  <c r="FA59" i="9"/>
  <c r="FA58" i="9"/>
  <c r="FA66" i="9"/>
  <c r="FA63" i="9"/>
  <c r="FA62" i="9"/>
  <c r="AW13" i="9"/>
  <c r="AW12" i="9"/>
  <c r="AW15" i="9"/>
  <c r="AW17" i="9"/>
  <c r="AW14" i="9"/>
  <c r="AW18" i="9"/>
  <c r="AW25" i="9"/>
  <c r="AW20" i="9"/>
  <c r="AW22" i="9"/>
  <c r="AW21" i="9"/>
  <c r="FC47" i="9"/>
  <c r="FB46" i="9"/>
  <c r="AX19" i="9"/>
  <c r="AX16" i="9"/>
  <c r="FD47" i="9"/>
  <c r="FC46" i="9"/>
  <c r="FB57" i="9"/>
  <c r="FB56" i="9"/>
  <c r="FB55" i="9"/>
  <c r="FB61" i="9"/>
  <c r="FB60" i="9"/>
  <c r="FB58" i="9"/>
  <c r="FB66" i="9"/>
  <c r="FB63" i="9"/>
  <c r="FB62" i="9"/>
  <c r="FB59" i="9"/>
  <c r="AY3" i="9"/>
  <c r="AZ4" i="9"/>
  <c r="AX12" i="9"/>
  <c r="AX13" i="9"/>
  <c r="AX17" i="9"/>
  <c r="AX15" i="9"/>
  <c r="AX14" i="9"/>
  <c r="AX25" i="9"/>
  <c r="AX18" i="9"/>
  <c r="AX21" i="9"/>
  <c r="AX20" i="9"/>
  <c r="AX22" i="9"/>
  <c r="AY19" i="9"/>
  <c r="AY16" i="9"/>
  <c r="AY22" i="9"/>
  <c r="AY12" i="9"/>
  <c r="AY13" i="9"/>
  <c r="AY17" i="9"/>
  <c r="AY15" i="9"/>
  <c r="AY14" i="9"/>
  <c r="AY25" i="9"/>
  <c r="AY21" i="9"/>
  <c r="AY20" i="9"/>
  <c r="AY18" i="9"/>
  <c r="AZ3" i="9"/>
  <c r="BA4" i="9"/>
  <c r="AO8" i="9"/>
  <c r="FC55" i="9"/>
  <c r="FC60" i="9"/>
  <c r="FC57" i="9"/>
  <c r="FC56" i="9"/>
  <c r="FC59" i="9"/>
  <c r="FC61" i="9"/>
  <c r="FC58" i="9"/>
  <c r="FC63" i="9"/>
  <c r="FC62" i="9"/>
  <c r="FC66" i="9"/>
  <c r="ES51" i="9"/>
  <c r="FE47" i="9"/>
  <c r="FD46" i="9"/>
  <c r="AZ19" i="9"/>
  <c r="AZ16" i="9"/>
  <c r="AZ12" i="9"/>
  <c r="AZ13" i="9"/>
  <c r="AZ17" i="9"/>
  <c r="AZ18" i="9"/>
  <c r="AZ15" i="9"/>
  <c r="AZ14" i="9"/>
  <c r="AZ25" i="9"/>
  <c r="AZ21" i="9"/>
  <c r="AZ20" i="9"/>
  <c r="AZ22" i="9"/>
  <c r="FD55" i="9"/>
  <c r="FD60" i="9"/>
  <c r="FD57" i="9"/>
  <c r="FD56" i="9"/>
  <c r="FD61" i="9"/>
  <c r="FD58" i="9"/>
  <c r="FD62" i="9"/>
  <c r="FD63" i="9"/>
  <c r="FD66" i="9"/>
  <c r="FD59" i="9"/>
  <c r="FF47" i="9"/>
  <c r="FE46" i="9"/>
  <c r="BA3" i="9"/>
  <c r="BB4" i="9"/>
  <c r="BA19" i="9"/>
  <c r="BA16" i="9"/>
  <c r="FE55" i="9"/>
  <c r="FE58" i="9"/>
  <c r="FE61" i="9"/>
  <c r="FE60" i="9"/>
  <c r="FE57" i="9"/>
  <c r="FE56" i="9"/>
  <c r="FE63" i="9"/>
  <c r="FE66" i="9"/>
  <c r="FE62" i="9"/>
  <c r="FE59" i="9"/>
  <c r="BA15" i="9"/>
  <c r="BA14" i="9"/>
  <c r="BA22" i="9"/>
  <c r="BA21" i="9"/>
  <c r="BA20" i="9"/>
  <c r="BA25" i="9"/>
  <c r="BA17" i="9"/>
  <c r="BA13" i="9"/>
  <c r="BA12" i="9"/>
  <c r="BA18" i="9"/>
  <c r="FG47" i="9"/>
  <c r="FF46" i="9"/>
  <c r="BC4" i="9"/>
  <c r="BB3" i="9"/>
  <c r="BB19" i="9"/>
  <c r="BB16" i="9"/>
  <c r="FH47" i="9"/>
  <c r="FG46" i="9"/>
  <c r="BD4" i="9"/>
  <c r="BC3" i="9"/>
  <c r="FF57" i="9"/>
  <c r="FF55" i="9"/>
  <c r="FF58" i="9"/>
  <c r="FF61" i="9"/>
  <c r="FF60" i="9"/>
  <c r="FF56" i="9"/>
  <c r="FF63" i="9"/>
  <c r="FF66" i="9"/>
  <c r="FF62" i="9"/>
  <c r="FF59" i="9"/>
  <c r="BB12" i="9"/>
  <c r="BB22" i="9"/>
  <c r="BB21" i="9"/>
  <c r="BB20" i="9"/>
  <c r="BB17" i="9"/>
  <c r="BB13" i="9"/>
  <c r="BB18" i="9"/>
  <c r="BB15" i="9"/>
  <c r="BB14" i="9"/>
  <c r="BB25" i="9"/>
  <c r="BC19" i="9"/>
  <c r="BC16" i="9"/>
  <c r="BD3" i="9"/>
  <c r="BE4" i="9"/>
  <c r="BC17" i="9"/>
  <c r="BC13" i="9"/>
  <c r="BC12" i="9"/>
  <c r="BC18" i="9"/>
  <c r="BC15" i="9"/>
  <c r="BC14" i="9"/>
  <c r="BC20" i="9"/>
  <c r="BC21" i="9"/>
  <c r="BC25" i="9"/>
  <c r="BC22" i="9"/>
  <c r="FG57" i="9"/>
  <c r="FG55" i="9"/>
  <c r="FG58" i="9"/>
  <c r="FG61" i="9"/>
  <c r="FG60" i="9"/>
  <c r="FG56" i="9"/>
  <c r="FG63" i="9"/>
  <c r="FG62" i="9"/>
  <c r="FG66" i="9"/>
  <c r="FG59" i="9"/>
  <c r="FI47" i="9"/>
  <c r="FH46" i="9"/>
  <c r="BD19" i="9"/>
  <c r="BD16" i="9"/>
  <c r="FI46" i="9"/>
  <c r="FJ47" i="9"/>
  <c r="FH57" i="9"/>
  <c r="FH55" i="9"/>
  <c r="FH58" i="9"/>
  <c r="FH61" i="9"/>
  <c r="FH60" i="9"/>
  <c r="FH56" i="9"/>
  <c r="FH66" i="9"/>
  <c r="FH62" i="9"/>
  <c r="FH63" i="9"/>
  <c r="FH59" i="9"/>
  <c r="BE3" i="9"/>
  <c r="BF4" i="9"/>
  <c r="BD13" i="9"/>
  <c r="BD12" i="9"/>
  <c r="BD15" i="9"/>
  <c r="BD14" i="9"/>
  <c r="BD25" i="9"/>
  <c r="BD18" i="9"/>
  <c r="BD20" i="9"/>
  <c r="BD22" i="9"/>
  <c r="BD21" i="9"/>
  <c r="BD17" i="9"/>
  <c r="BE19" i="9"/>
  <c r="BE16" i="9"/>
  <c r="BG4" i="9"/>
  <c r="BF3" i="9"/>
  <c r="BE12" i="9"/>
  <c r="BE15" i="9"/>
  <c r="BE14" i="9"/>
  <c r="BE18" i="9"/>
  <c r="BE17" i="9"/>
  <c r="BE20" i="9"/>
  <c r="BE22" i="9"/>
  <c r="BE25" i="9"/>
  <c r="BE21" i="9"/>
  <c r="BE13" i="9"/>
  <c r="FJ46" i="9"/>
  <c r="FK47" i="9"/>
  <c r="FI59" i="9"/>
  <c r="FI57" i="9"/>
  <c r="FI55" i="9"/>
  <c r="FI58" i="9"/>
  <c r="FI61" i="9"/>
  <c r="FI60" i="9"/>
  <c r="FI56" i="9"/>
  <c r="FI63" i="9"/>
  <c r="FI62" i="9"/>
  <c r="FI66" i="9"/>
  <c r="BF19" i="9"/>
  <c r="BF16" i="9"/>
  <c r="FK46" i="9"/>
  <c r="FL47" i="9"/>
  <c r="FJ59" i="9"/>
  <c r="FJ57" i="9"/>
  <c r="FJ55" i="9"/>
  <c r="FJ58" i="9"/>
  <c r="FJ61" i="9"/>
  <c r="FJ56" i="9"/>
  <c r="FJ60" i="9"/>
  <c r="FJ62" i="9"/>
  <c r="FJ63" i="9"/>
  <c r="FJ66" i="9"/>
  <c r="BF15" i="9"/>
  <c r="BF14" i="9"/>
  <c r="BF25" i="9"/>
  <c r="BF18" i="9"/>
  <c r="BF21" i="9"/>
  <c r="BF20" i="9"/>
  <c r="BF12" i="9"/>
  <c r="BF22" i="9"/>
  <c r="BF13" i="9"/>
  <c r="BF17" i="9"/>
  <c r="BG3" i="9"/>
  <c r="BH4" i="9"/>
  <c r="BG19" i="9"/>
  <c r="BG16" i="9"/>
  <c r="BH3" i="9"/>
  <c r="BI4" i="9"/>
  <c r="BG20" i="9"/>
  <c r="BG22" i="9"/>
  <c r="BG12" i="9"/>
  <c r="BG13" i="9"/>
  <c r="BG18" i="9"/>
  <c r="BG17" i="9"/>
  <c r="BG15" i="9"/>
  <c r="BG14" i="9"/>
  <c r="BG21" i="9"/>
  <c r="BG25" i="9"/>
  <c r="FL46" i="9"/>
  <c r="FM47" i="9"/>
  <c r="FK59" i="9"/>
  <c r="FK57" i="9"/>
  <c r="FK55" i="9"/>
  <c r="FK63" i="9"/>
  <c r="FK58" i="9"/>
  <c r="FK61" i="9"/>
  <c r="FK60" i="9"/>
  <c r="FK56" i="9"/>
  <c r="FK66" i="9"/>
  <c r="FK62" i="9"/>
  <c r="BH19" i="9"/>
  <c r="BH16" i="9"/>
  <c r="FL57" i="9"/>
  <c r="FL55" i="9"/>
  <c r="FL63" i="9"/>
  <c r="FL58" i="9"/>
  <c r="FL56" i="9"/>
  <c r="FL62" i="9"/>
  <c r="FL61" i="9"/>
  <c r="FL60" i="9"/>
  <c r="FL66" i="9"/>
  <c r="FL59" i="9"/>
  <c r="BI3" i="9"/>
  <c r="BJ4" i="9"/>
  <c r="FM46" i="9"/>
  <c r="FN47" i="9"/>
  <c r="BH13" i="9"/>
  <c r="BH17" i="9"/>
  <c r="BH18" i="9"/>
  <c r="BH15" i="9"/>
  <c r="BH14" i="9"/>
  <c r="BH25" i="9"/>
  <c r="BH21" i="9"/>
  <c r="BH20" i="9"/>
  <c r="BH22" i="9"/>
  <c r="BH12" i="9"/>
  <c r="BI19" i="9"/>
  <c r="BI16" i="9"/>
  <c r="FN46" i="9"/>
  <c r="FO47" i="9"/>
  <c r="BJ3" i="9"/>
  <c r="BK4" i="9"/>
  <c r="BI25" i="9"/>
  <c r="BI21" i="9"/>
  <c r="BI20" i="9"/>
  <c r="BI13" i="9"/>
  <c r="BI17" i="9"/>
  <c r="BI22" i="9"/>
  <c r="BI12" i="9"/>
  <c r="BI18" i="9"/>
  <c r="BI15" i="9"/>
  <c r="BI14" i="9"/>
  <c r="FM59" i="9"/>
  <c r="FM57" i="9"/>
  <c r="FM55" i="9"/>
  <c r="FM58" i="9"/>
  <c r="FM56" i="9"/>
  <c r="FM62" i="9"/>
  <c r="FM61" i="9"/>
  <c r="FM60" i="9"/>
  <c r="FM63" i="9"/>
  <c r="FM66" i="9"/>
  <c r="BJ19" i="9"/>
  <c r="BJ16" i="9"/>
  <c r="BL4" i="9"/>
  <c r="BK3" i="9"/>
  <c r="BJ12" i="9"/>
  <c r="BJ18" i="9"/>
  <c r="BJ13" i="9"/>
  <c r="BJ15" i="9"/>
  <c r="BJ14" i="9"/>
  <c r="BJ25" i="9"/>
  <c r="BJ22" i="9"/>
  <c r="BJ21" i="9"/>
  <c r="BJ20" i="9"/>
  <c r="BJ17" i="9"/>
  <c r="FO46" i="9"/>
  <c r="FP47" i="9"/>
  <c r="FN59" i="9"/>
  <c r="FN57" i="9"/>
  <c r="FN55" i="9"/>
  <c r="FN63" i="9"/>
  <c r="FN56" i="9"/>
  <c r="FN62" i="9"/>
  <c r="FN60" i="9"/>
  <c r="FN58" i="9"/>
  <c r="FN61" i="9"/>
  <c r="FN66" i="9"/>
  <c r="BK19" i="9"/>
  <c r="BK16" i="9"/>
  <c r="FO61" i="9"/>
  <c r="FO55" i="9"/>
  <c r="FO57" i="9"/>
  <c r="FO63" i="9"/>
  <c r="FO66" i="9"/>
  <c r="FO56" i="9"/>
  <c r="FO62" i="9"/>
  <c r="FO60" i="9"/>
  <c r="FO59" i="9"/>
  <c r="FO58" i="9"/>
  <c r="FE51" i="9"/>
  <c r="FP46" i="9"/>
  <c r="FQ47" i="9"/>
  <c r="BK21" i="9"/>
  <c r="BK17" i="9"/>
  <c r="BK13" i="9"/>
  <c r="BK12" i="9"/>
  <c r="BK18" i="9"/>
  <c r="BK15" i="9"/>
  <c r="BK14" i="9"/>
  <c r="BK20" i="9"/>
  <c r="BK25" i="9"/>
  <c r="BK22" i="9"/>
  <c r="BA8" i="9"/>
  <c r="BM4" i="9"/>
  <c r="BL3" i="9"/>
  <c r="BL19" i="9"/>
  <c r="BL16" i="9"/>
  <c r="FQ46" i="9"/>
  <c r="FR47" i="9"/>
  <c r="BL22" i="9"/>
  <c r="BL21" i="9"/>
  <c r="BL13" i="9"/>
  <c r="BL20" i="9"/>
  <c r="BL15" i="9"/>
  <c r="BL17" i="9"/>
  <c r="BL12" i="9"/>
  <c r="BL14" i="9"/>
  <c r="BL25" i="9"/>
  <c r="BL18" i="9"/>
  <c r="BM3" i="9"/>
  <c r="BN4" i="9"/>
  <c r="FP55" i="9"/>
  <c r="FP57" i="9"/>
  <c r="FP63" i="9"/>
  <c r="FP66" i="9"/>
  <c r="FP56" i="9"/>
  <c r="FP62" i="9"/>
  <c r="FP61" i="9"/>
  <c r="FP60" i="9"/>
  <c r="FP59" i="9"/>
  <c r="FP58" i="9"/>
  <c r="BM19" i="9"/>
  <c r="BM16" i="9"/>
  <c r="BM13" i="9"/>
  <c r="BM12" i="9"/>
  <c r="BM15" i="9"/>
  <c r="BM14" i="9"/>
  <c r="BM22" i="9"/>
  <c r="BM21" i="9"/>
  <c r="BM17" i="9"/>
  <c r="BM18" i="9"/>
  <c r="BM25" i="9"/>
  <c r="BM20" i="9"/>
  <c r="FR46" i="9"/>
  <c r="FS47" i="9"/>
  <c r="BO4" i="9"/>
  <c r="BN3" i="9"/>
  <c r="FQ55" i="9"/>
  <c r="FQ57" i="9"/>
  <c r="FQ58" i="9"/>
  <c r="FQ66" i="9"/>
  <c r="FQ63" i="9"/>
  <c r="FQ56" i="9"/>
  <c r="FQ62" i="9"/>
  <c r="FQ61" i="9"/>
  <c r="FQ60" i="9"/>
  <c r="FQ59" i="9"/>
  <c r="BN19" i="9"/>
  <c r="BN16" i="9"/>
  <c r="FR55" i="9"/>
  <c r="FR57" i="9"/>
  <c r="FR58" i="9"/>
  <c r="FR66" i="9"/>
  <c r="FR63" i="9"/>
  <c r="FR56" i="9"/>
  <c r="FR62" i="9"/>
  <c r="FR59" i="9"/>
  <c r="FR61" i="9"/>
  <c r="FR60" i="9"/>
  <c r="BN21" i="9"/>
  <c r="BN20" i="9"/>
  <c r="BN12" i="9"/>
  <c r="BN22" i="9"/>
  <c r="BN13" i="9"/>
  <c r="BN17" i="9"/>
  <c r="BN15" i="9"/>
  <c r="BN14" i="9"/>
  <c r="BN25" i="9"/>
  <c r="BN18" i="9"/>
  <c r="BO3" i="9"/>
  <c r="BP4" i="9"/>
  <c r="FS46" i="9"/>
  <c r="FT47" i="9"/>
  <c r="BO19" i="9"/>
  <c r="BO16" i="9"/>
  <c r="FT46" i="9"/>
  <c r="FU47" i="9"/>
  <c r="BP3" i="9"/>
  <c r="BQ4" i="9"/>
  <c r="FS55" i="9"/>
  <c r="FS57" i="9"/>
  <c r="FS63" i="9"/>
  <c r="FS66" i="9"/>
  <c r="FS56" i="9"/>
  <c r="FS62" i="9"/>
  <c r="FS59" i="9"/>
  <c r="FS61" i="9"/>
  <c r="FS60" i="9"/>
  <c r="FS58" i="9"/>
  <c r="BO15" i="9"/>
  <c r="BO14" i="9"/>
  <c r="BO25" i="9"/>
  <c r="BO21" i="9"/>
  <c r="BO20" i="9"/>
  <c r="BO22" i="9"/>
  <c r="BO12" i="9"/>
  <c r="BO13" i="9"/>
  <c r="BO17" i="9"/>
  <c r="BO18" i="9"/>
  <c r="BP19" i="9"/>
  <c r="BP16" i="9"/>
  <c r="BP13" i="9"/>
  <c r="BP17" i="9"/>
  <c r="BP18" i="9"/>
  <c r="BP15" i="9"/>
  <c r="BP25" i="9"/>
  <c r="BP22" i="9"/>
  <c r="BP14" i="9"/>
  <c r="BP21" i="9"/>
  <c r="BP20" i="9"/>
  <c r="BP12" i="9"/>
  <c r="FU46" i="9"/>
  <c r="FV47" i="9"/>
  <c r="BQ3" i="9"/>
  <c r="BR4" i="9"/>
  <c r="FT55" i="9"/>
  <c r="FT57" i="9"/>
  <c r="FT66" i="9"/>
  <c r="FT63" i="9"/>
  <c r="FT56" i="9"/>
  <c r="FT62" i="9"/>
  <c r="FT59" i="9"/>
  <c r="FT61" i="9"/>
  <c r="FT60" i="9"/>
  <c r="FT58" i="9"/>
  <c r="BQ19" i="9"/>
  <c r="BQ16" i="9"/>
  <c r="BQ17" i="9"/>
  <c r="BQ12" i="9"/>
  <c r="BQ18" i="9"/>
  <c r="BQ15" i="9"/>
  <c r="BQ14" i="9"/>
  <c r="BQ22" i="9"/>
  <c r="BQ21" i="9"/>
  <c r="BQ20" i="9"/>
  <c r="BQ25" i="9"/>
  <c r="BQ13" i="9"/>
  <c r="BS4" i="9"/>
  <c r="BR3" i="9"/>
  <c r="FV46" i="9"/>
  <c r="FW47" i="9"/>
  <c r="FU55" i="9"/>
  <c r="FU66" i="9"/>
  <c r="FU63" i="9"/>
  <c r="FU62" i="9"/>
  <c r="FU56" i="9"/>
  <c r="FU57" i="9"/>
  <c r="FU59" i="9"/>
  <c r="FU61" i="9"/>
  <c r="FU60" i="9"/>
  <c r="FU58" i="9"/>
  <c r="BR19" i="9"/>
  <c r="BR16" i="9"/>
  <c r="FV56" i="9"/>
  <c r="FV55" i="9"/>
  <c r="FV57" i="9"/>
  <c r="FV59" i="9"/>
  <c r="FV62" i="9"/>
  <c r="FV63" i="9"/>
  <c r="FV66" i="9"/>
  <c r="FV58" i="9"/>
  <c r="FV61" i="9"/>
  <c r="FV60" i="9"/>
  <c r="FW46" i="9"/>
  <c r="FX47" i="9"/>
  <c r="BT4" i="9"/>
  <c r="BS3" i="9"/>
  <c r="BR17" i="9"/>
  <c r="BR12" i="9"/>
  <c r="BR13" i="9"/>
  <c r="BR18" i="9"/>
  <c r="BR15" i="9"/>
  <c r="BR14" i="9"/>
  <c r="BR25" i="9"/>
  <c r="BR22" i="9"/>
  <c r="BR20" i="9"/>
  <c r="BR21" i="9"/>
  <c r="BS19" i="9"/>
  <c r="BS16" i="9"/>
  <c r="BS25" i="9"/>
  <c r="BS21" i="9"/>
  <c r="BS12" i="9"/>
  <c r="BS18" i="9"/>
  <c r="BS15" i="9"/>
  <c r="BS14" i="9"/>
  <c r="BS20" i="9"/>
  <c r="BS22" i="9"/>
  <c r="BS17" i="9"/>
  <c r="BS13" i="9"/>
  <c r="FX46" i="9"/>
  <c r="FY47" i="9"/>
  <c r="FW58" i="9"/>
  <c r="FW56" i="9"/>
  <c r="FW55" i="9"/>
  <c r="FW57" i="9"/>
  <c r="FW59" i="9"/>
  <c r="FW66" i="9"/>
  <c r="FW63" i="9"/>
  <c r="FW62" i="9"/>
  <c r="FW60" i="9"/>
  <c r="FW61" i="9"/>
  <c r="BU4" i="9"/>
  <c r="BT3" i="9"/>
  <c r="BT19" i="9"/>
  <c r="BT16" i="9"/>
  <c r="FY46" i="9"/>
  <c r="FZ47" i="9"/>
  <c r="BT21" i="9"/>
  <c r="BT17" i="9"/>
  <c r="BT13" i="9"/>
  <c r="BT12" i="9"/>
  <c r="BT15" i="9"/>
  <c r="BT14" i="9"/>
  <c r="BT25" i="9"/>
  <c r="BT18" i="9"/>
  <c r="BT20" i="9"/>
  <c r="BT22" i="9"/>
  <c r="BV4" i="9"/>
  <c r="BU3" i="9"/>
  <c r="FX58" i="9"/>
  <c r="FX56" i="9"/>
  <c r="FX55" i="9"/>
  <c r="FX59" i="9"/>
  <c r="FX63" i="9"/>
  <c r="FX66" i="9"/>
  <c r="FX57" i="9"/>
  <c r="FX62" i="9"/>
  <c r="FX60" i="9"/>
  <c r="FX61" i="9"/>
  <c r="BU19" i="9"/>
  <c r="BU16" i="9"/>
  <c r="BW4" i="9"/>
  <c r="BV3" i="9"/>
  <c r="BU17" i="9"/>
  <c r="BU18" i="9"/>
  <c r="BU20" i="9"/>
  <c r="BU22" i="9"/>
  <c r="BU25" i="9"/>
  <c r="BU21" i="9"/>
  <c r="BU13" i="9"/>
  <c r="BU12" i="9"/>
  <c r="BU15" i="9"/>
  <c r="BU14" i="9"/>
  <c r="FZ46" i="9"/>
  <c r="GA47" i="9"/>
  <c r="FY60" i="9"/>
  <c r="FY58" i="9"/>
  <c r="FY56" i="9"/>
  <c r="FY55" i="9"/>
  <c r="FY59" i="9"/>
  <c r="FY63" i="9"/>
  <c r="FY57" i="9"/>
  <c r="FY62" i="9"/>
  <c r="FY66" i="9"/>
  <c r="FY61" i="9"/>
  <c r="BV19" i="9"/>
  <c r="BV16" i="9"/>
  <c r="FZ56" i="9"/>
  <c r="FZ62" i="9"/>
  <c r="FZ55" i="9"/>
  <c r="FZ57" i="9"/>
  <c r="FZ59" i="9"/>
  <c r="FZ58" i="9"/>
  <c r="FZ60" i="9"/>
  <c r="FZ63" i="9"/>
  <c r="FZ61" i="9"/>
  <c r="FZ66" i="9"/>
  <c r="BV12" i="9"/>
  <c r="BV13" i="9"/>
  <c r="BV17" i="9"/>
  <c r="BV15" i="9"/>
  <c r="BV14" i="9"/>
  <c r="BV25" i="9"/>
  <c r="BV18" i="9"/>
  <c r="BV21" i="9"/>
  <c r="BV20" i="9"/>
  <c r="BV22" i="9"/>
  <c r="GA46" i="9"/>
  <c r="GB47" i="9"/>
  <c r="BW3" i="9"/>
  <c r="BX4" i="9"/>
  <c r="BW19" i="9"/>
  <c r="BW16" i="9"/>
  <c r="BY4" i="9"/>
  <c r="BX3" i="9"/>
  <c r="BM8" i="9"/>
  <c r="BW25" i="9"/>
  <c r="BW22" i="9"/>
  <c r="BW13" i="9"/>
  <c r="BW17" i="9"/>
  <c r="BW18" i="9"/>
  <c r="BW15" i="9"/>
  <c r="BW14" i="9"/>
  <c r="BW21" i="9"/>
  <c r="BW20" i="9"/>
  <c r="BW12" i="9"/>
  <c r="GC47" i="9"/>
  <c r="FQ51" i="9"/>
  <c r="GB46" i="9"/>
  <c r="GA58" i="9"/>
  <c r="GA56" i="9"/>
  <c r="GA59" i="9"/>
  <c r="GA62" i="9"/>
  <c r="GA55" i="9"/>
  <c r="GA57" i="9"/>
  <c r="GA66" i="9"/>
  <c r="GA63" i="9"/>
  <c r="GA60" i="9"/>
  <c r="GA61" i="9"/>
  <c r="BX19" i="9"/>
  <c r="BX16" i="9"/>
  <c r="GB58" i="9"/>
  <c r="GB56" i="9"/>
  <c r="GB59" i="9"/>
  <c r="GB62" i="9"/>
  <c r="GB55" i="9"/>
  <c r="GB57" i="9"/>
  <c r="GB66" i="9"/>
  <c r="GB63" i="9"/>
  <c r="GB60" i="9"/>
  <c r="GB61" i="9"/>
  <c r="GD47" i="9"/>
  <c r="GC46" i="9"/>
  <c r="BX15" i="9"/>
  <c r="BX14" i="9"/>
  <c r="BX25" i="9"/>
  <c r="BX21" i="9"/>
  <c r="BX20" i="9"/>
  <c r="BX22" i="9"/>
  <c r="BX12" i="9"/>
  <c r="BX13" i="9"/>
  <c r="BX17" i="9"/>
  <c r="BX18" i="9"/>
  <c r="BZ4" i="9"/>
  <c r="BY3" i="9"/>
  <c r="BY19" i="9"/>
  <c r="BY16" i="9"/>
  <c r="GE47" i="9"/>
  <c r="GD46" i="9"/>
  <c r="CA4" i="9"/>
  <c r="BZ3" i="9"/>
  <c r="GC58" i="9"/>
  <c r="GC56" i="9"/>
  <c r="GC59" i="9"/>
  <c r="GC62" i="9"/>
  <c r="GC55" i="9"/>
  <c r="GC57" i="9"/>
  <c r="GC66" i="9"/>
  <c r="GC60" i="9"/>
  <c r="GC63" i="9"/>
  <c r="GC61" i="9"/>
  <c r="BY18" i="9"/>
  <c r="BY17" i="9"/>
  <c r="BY15" i="9"/>
  <c r="BY14" i="9"/>
  <c r="BY20" i="9"/>
  <c r="BY21" i="9"/>
  <c r="BY12" i="9"/>
  <c r="BY22" i="9"/>
  <c r="BY13" i="9"/>
  <c r="BY25" i="9"/>
  <c r="BZ19" i="9"/>
  <c r="BZ16" i="9"/>
  <c r="GD60" i="9"/>
  <c r="GD58" i="9"/>
  <c r="GD56" i="9"/>
  <c r="GD59" i="9"/>
  <c r="GD62" i="9"/>
  <c r="GD55" i="9"/>
  <c r="GD57" i="9"/>
  <c r="GD66" i="9"/>
  <c r="GD63" i="9"/>
  <c r="GD61" i="9"/>
  <c r="BZ25" i="9"/>
  <c r="BZ13" i="9"/>
  <c r="BZ22" i="9"/>
  <c r="BZ12" i="9"/>
  <c r="BZ21" i="9"/>
  <c r="BZ20" i="9"/>
  <c r="BZ18" i="9"/>
  <c r="BZ17" i="9"/>
  <c r="BZ15" i="9"/>
  <c r="BZ14" i="9"/>
  <c r="CB4" i="9"/>
  <c r="CA3" i="9"/>
  <c r="GF47" i="9"/>
  <c r="GE46" i="9"/>
  <c r="CA19" i="9"/>
  <c r="CA16" i="9"/>
  <c r="CB3" i="9"/>
  <c r="CC4" i="9"/>
  <c r="GG47" i="9"/>
  <c r="GF46" i="9"/>
  <c r="GE58" i="9"/>
  <c r="GE56" i="9"/>
  <c r="GE59" i="9"/>
  <c r="GE62" i="9"/>
  <c r="GE55" i="9"/>
  <c r="GE57" i="9"/>
  <c r="GE63" i="9"/>
  <c r="GE66" i="9"/>
  <c r="GE60" i="9"/>
  <c r="GE61" i="9"/>
  <c r="CA25" i="9"/>
  <c r="CA13" i="9"/>
  <c r="CA22" i="9"/>
  <c r="CA12" i="9"/>
  <c r="CA21" i="9"/>
  <c r="CA20" i="9"/>
  <c r="CA18" i="9"/>
  <c r="CA17" i="9"/>
  <c r="CA15" i="9"/>
  <c r="CA14" i="9"/>
  <c r="CB19" i="9"/>
  <c r="CB16" i="9"/>
  <c r="GH47" i="9"/>
  <c r="GG46" i="9"/>
  <c r="GF59" i="9"/>
  <c r="GF55" i="9"/>
  <c r="GF56" i="9"/>
  <c r="GF62" i="9"/>
  <c r="GF57" i="9"/>
  <c r="GF58" i="9"/>
  <c r="GF66" i="9"/>
  <c r="GF60" i="9"/>
  <c r="GF63" i="9"/>
  <c r="GF61" i="9"/>
  <c r="CC3" i="9"/>
  <c r="CD4" i="9"/>
  <c r="CB12" i="9"/>
  <c r="CB18" i="9"/>
  <c r="CB13" i="9"/>
  <c r="CB22" i="9"/>
  <c r="CB21" i="9"/>
  <c r="CB14" i="9"/>
  <c r="CB15" i="9"/>
  <c r="CB17" i="9"/>
  <c r="CB20" i="9"/>
  <c r="CB25" i="9"/>
  <c r="CC19" i="9"/>
  <c r="CC16" i="9"/>
  <c r="CE4" i="9"/>
  <c r="CD3" i="9"/>
  <c r="GG59" i="9"/>
  <c r="GG55" i="9"/>
  <c r="GG56" i="9"/>
  <c r="GG57" i="9"/>
  <c r="GG63" i="9"/>
  <c r="GG66" i="9"/>
  <c r="GG58" i="9"/>
  <c r="GG60" i="9"/>
  <c r="GG62" i="9"/>
  <c r="GG61" i="9"/>
  <c r="CC14" i="9"/>
  <c r="CC21" i="9"/>
  <c r="CC25" i="9"/>
  <c r="CC17" i="9"/>
  <c r="CC15" i="9"/>
  <c r="CC12" i="9"/>
  <c r="CC20" i="9"/>
  <c r="CC13" i="9"/>
  <c r="CC18" i="9"/>
  <c r="CC22" i="9"/>
  <c r="GI47" i="9"/>
  <c r="GH46" i="9"/>
  <c r="CD19" i="9"/>
  <c r="CD16" i="9"/>
  <c r="GH58" i="9"/>
  <c r="GH60" i="9"/>
  <c r="GH61" i="9"/>
  <c r="GH59" i="9"/>
  <c r="GH55" i="9"/>
  <c r="GH56" i="9"/>
  <c r="GH57" i="9"/>
  <c r="GH63" i="9"/>
  <c r="GH66" i="9"/>
  <c r="GH62" i="9"/>
  <c r="GJ47" i="9"/>
  <c r="GI46" i="9"/>
  <c r="CD15" i="9"/>
  <c r="CD25" i="9"/>
  <c r="CD22" i="9"/>
  <c r="CD13" i="9"/>
  <c r="CD14" i="9"/>
  <c r="CD21" i="9"/>
  <c r="CD12" i="9"/>
  <c r="CD18" i="9"/>
  <c r="CD17" i="9"/>
  <c r="CD20" i="9"/>
  <c r="CF4" i="9"/>
  <c r="CE3" i="9"/>
  <c r="CE19" i="9"/>
  <c r="CE16" i="9"/>
  <c r="CG4" i="9"/>
  <c r="CF3" i="9"/>
  <c r="GI56" i="9"/>
  <c r="GI58" i="9"/>
  <c r="GI60" i="9"/>
  <c r="GI61" i="9"/>
  <c r="GI59" i="9"/>
  <c r="GI55" i="9"/>
  <c r="GI57" i="9"/>
  <c r="GI62" i="9"/>
  <c r="GI63" i="9"/>
  <c r="GI66" i="9"/>
  <c r="GK47" i="9"/>
  <c r="GJ46" i="9"/>
  <c r="CE20" i="9"/>
  <c r="CE17" i="9"/>
  <c r="CE14" i="9"/>
  <c r="CE12" i="9"/>
  <c r="CE22" i="9"/>
  <c r="CE18" i="9"/>
  <c r="CE25" i="9"/>
  <c r="CE21" i="9"/>
  <c r="CE15" i="9"/>
  <c r="CE13" i="9"/>
  <c r="CF19" i="9"/>
  <c r="CF16" i="9"/>
  <c r="GL47" i="9"/>
  <c r="GK46" i="9"/>
  <c r="CF25" i="9"/>
  <c r="CF13" i="9"/>
  <c r="CF15" i="9"/>
  <c r="CF22" i="9"/>
  <c r="CF21" i="9"/>
  <c r="CF18" i="9"/>
  <c r="CF14" i="9"/>
  <c r="CF17" i="9"/>
  <c r="CF12" i="9"/>
  <c r="CF20" i="9"/>
  <c r="GJ55" i="9"/>
  <c r="GJ56" i="9"/>
  <c r="GJ58" i="9"/>
  <c r="GJ60" i="9"/>
  <c r="GJ61" i="9"/>
  <c r="GJ59" i="9"/>
  <c r="GJ57" i="9"/>
  <c r="GJ63" i="9"/>
  <c r="GJ66" i="9"/>
  <c r="GJ62" i="9"/>
  <c r="CH4" i="9"/>
  <c r="CG3" i="9"/>
  <c r="CG19" i="9"/>
  <c r="CG16" i="9"/>
  <c r="CG12" i="9"/>
  <c r="CG22" i="9"/>
  <c r="CG20" i="9"/>
  <c r="CG18" i="9"/>
  <c r="CG17" i="9"/>
  <c r="CG14" i="9"/>
  <c r="CG13" i="9"/>
  <c r="CG21" i="9"/>
  <c r="CG15" i="9"/>
  <c r="CG25" i="9"/>
  <c r="CH3" i="9"/>
  <c r="CI4" i="9"/>
  <c r="GK55" i="9"/>
  <c r="GK60" i="9"/>
  <c r="GK56" i="9"/>
  <c r="GK58" i="9"/>
  <c r="GK61" i="9"/>
  <c r="GK59" i="9"/>
  <c r="GK57" i="9"/>
  <c r="GK62" i="9"/>
  <c r="GK63" i="9"/>
  <c r="GK66" i="9"/>
  <c r="GM47" i="9"/>
  <c r="GL46" i="9"/>
  <c r="CH19" i="9"/>
  <c r="CH16" i="9"/>
  <c r="GL57" i="9"/>
  <c r="GL55" i="9"/>
  <c r="GL61" i="9"/>
  <c r="GL60" i="9"/>
  <c r="GL56" i="9"/>
  <c r="GL58" i="9"/>
  <c r="GL59" i="9"/>
  <c r="GL66" i="9"/>
  <c r="GL62" i="9"/>
  <c r="GL63" i="9"/>
  <c r="GN47" i="9"/>
  <c r="GM46" i="9"/>
  <c r="CI3" i="9"/>
  <c r="CJ4" i="9"/>
  <c r="CH15" i="9"/>
  <c r="CH14" i="9"/>
  <c r="CH17" i="9"/>
  <c r="CH22" i="9"/>
  <c r="CH18" i="9"/>
  <c r="CH25" i="9"/>
  <c r="CH13" i="9"/>
  <c r="CH21" i="9"/>
  <c r="CH20" i="9"/>
  <c r="CH12" i="9"/>
  <c r="CI19" i="9"/>
  <c r="CI16" i="9"/>
  <c r="CI13" i="9"/>
  <c r="CI20" i="9"/>
  <c r="CI18" i="9"/>
  <c r="CI21" i="9"/>
  <c r="CI12" i="9"/>
  <c r="CI14" i="9"/>
  <c r="CI15" i="9"/>
  <c r="CI17" i="9"/>
  <c r="CI25" i="9"/>
  <c r="CI22" i="9"/>
  <c r="CK4" i="9"/>
  <c r="CJ3" i="9"/>
  <c r="BY8" i="9"/>
  <c r="GM57" i="9"/>
  <c r="GM55" i="9"/>
  <c r="GM61" i="9"/>
  <c r="GM60" i="9"/>
  <c r="GM56" i="9"/>
  <c r="GM58" i="9"/>
  <c r="GM59" i="9"/>
  <c r="GM66" i="9"/>
  <c r="GM63" i="9"/>
  <c r="GM62" i="9"/>
  <c r="GC51" i="9"/>
  <c r="GO47" i="9"/>
  <c r="GN46" i="9"/>
  <c r="CJ19" i="9"/>
  <c r="CJ16" i="9"/>
  <c r="GN57" i="9"/>
  <c r="GN55" i="9"/>
  <c r="GN61" i="9"/>
  <c r="GN60" i="9"/>
  <c r="GN56" i="9"/>
  <c r="GN59" i="9"/>
  <c r="GN58" i="9"/>
  <c r="GN66" i="9"/>
  <c r="GN63" i="9"/>
  <c r="GN62" i="9"/>
  <c r="GO46" i="9"/>
  <c r="GP47" i="9"/>
  <c r="CJ20" i="9"/>
  <c r="CJ25" i="9"/>
  <c r="CJ21" i="9"/>
  <c r="CJ13" i="9"/>
  <c r="CJ17" i="9"/>
  <c r="CJ15" i="9"/>
  <c r="CJ14" i="9"/>
  <c r="CJ22" i="9"/>
  <c r="CJ18" i="9"/>
  <c r="CJ12" i="9"/>
  <c r="CL4" i="9"/>
  <c r="CK3" i="9"/>
  <c r="CK19" i="9"/>
  <c r="CK16" i="9"/>
  <c r="CL3" i="9"/>
  <c r="CM4" i="9"/>
  <c r="GO59" i="9"/>
  <c r="GO57" i="9"/>
  <c r="GO55" i="9"/>
  <c r="GO61" i="9"/>
  <c r="GO60" i="9"/>
  <c r="GO56" i="9"/>
  <c r="GO58" i="9"/>
  <c r="GO62" i="9"/>
  <c r="GO63" i="9"/>
  <c r="GO66" i="9"/>
  <c r="CK13" i="9"/>
  <c r="CK17" i="9"/>
  <c r="CK18" i="9"/>
  <c r="CK25" i="9"/>
  <c r="CK20" i="9"/>
  <c r="CK15" i="9"/>
  <c r="CK21" i="9"/>
  <c r="CK14" i="9"/>
  <c r="CK12" i="9"/>
  <c r="CK22" i="9"/>
  <c r="GP46" i="9"/>
  <c r="GQ47" i="9"/>
  <c r="CL19" i="9"/>
  <c r="CL16" i="9"/>
  <c r="GQ46" i="9"/>
  <c r="GR47" i="9"/>
  <c r="GP57" i="9"/>
  <c r="GP55" i="9"/>
  <c r="GP61" i="9"/>
  <c r="GP60" i="9"/>
  <c r="GP56" i="9"/>
  <c r="GP58" i="9"/>
  <c r="GP59" i="9"/>
  <c r="GP62" i="9"/>
  <c r="GP63" i="9"/>
  <c r="GP66" i="9"/>
  <c r="CN4" i="9"/>
  <c r="CM3" i="9"/>
  <c r="CL15" i="9"/>
  <c r="CL21" i="9"/>
  <c r="CL13" i="9"/>
  <c r="CL18" i="9"/>
  <c r="CL20" i="9"/>
  <c r="CL17" i="9"/>
  <c r="CL14" i="9"/>
  <c r="CL22" i="9"/>
  <c r="CL12" i="9"/>
  <c r="CL25" i="9"/>
  <c r="CM19" i="9"/>
  <c r="CM16" i="9"/>
  <c r="CN3" i="9"/>
  <c r="CO4" i="9"/>
  <c r="CM18" i="9"/>
  <c r="CM22" i="9"/>
  <c r="CM25" i="9"/>
  <c r="CM21" i="9"/>
  <c r="CM14" i="9"/>
  <c r="CM12" i="9"/>
  <c r="CM17" i="9"/>
  <c r="CM15" i="9"/>
  <c r="CM13" i="9"/>
  <c r="CM20" i="9"/>
  <c r="GR46" i="9"/>
  <c r="GS47" i="9"/>
  <c r="GQ59" i="9"/>
  <c r="GQ57" i="9"/>
  <c r="GQ55" i="9"/>
  <c r="GQ61" i="9"/>
  <c r="GQ60" i="9"/>
  <c r="GQ56" i="9"/>
  <c r="GQ58" i="9"/>
  <c r="GQ63" i="9"/>
  <c r="GQ62" i="9"/>
  <c r="GQ66" i="9"/>
  <c r="CN19" i="9"/>
  <c r="CN16" i="9"/>
  <c r="GS46" i="9"/>
  <c r="GT47" i="9"/>
  <c r="GR57" i="9"/>
  <c r="GR55" i="9"/>
  <c r="GR63" i="9"/>
  <c r="GR61" i="9"/>
  <c r="GR56" i="9"/>
  <c r="GR60" i="9"/>
  <c r="GR58" i="9"/>
  <c r="GR59" i="9"/>
  <c r="GR62" i="9"/>
  <c r="GR66" i="9"/>
  <c r="CO3" i="9"/>
  <c r="CP4" i="9"/>
  <c r="CN18" i="9"/>
  <c r="CN14" i="9"/>
  <c r="CN21" i="9"/>
  <c r="CN15" i="9"/>
  <c r="CN20" i="9"/>
  <c r="CN22" i="9"/>
  <c r="CN12" i="9"/>
  <c r="CN25" i="9"/>
  <c r="CN17" i="9"/>
  <c r="CN13" i="9"/>
  <c r="CO19" i="9"/>
  <c r="CO16" i="9"/>
  <c r="CP3" i="9"/>
  <c r="CQ4" i="9"/>
  <c r="CO20" i="9"/>
  <c r="CO12" i="9"/>
  <c r="CO13" i="9"/>
  <c r="CO18" i="9"/>
  <c r="CO25" i="9"/>
  <c r="CO15" i="9"/>
  <c r="CO21" i="9"/>
  <c r="CO17" i="9"/>
  <c r="CO22" i="9"/>
  <c r="CO14" i="9"/>
  <c r="GT46" i="9"/>
  <c r="GU47" i="9"/>
  <c r="GS59" i="9"/>
  <c r="GS57" i="9"/>
  <c r="GS55" i="9"/>
  <c r="GS58" i="9"/>
  <c r="GS56" i="9"/>
  <c r="GS60" i="9"/>
  <c r="GS61" i="9"/>
  <c r="GS62" i="9"/>
  <c r="GS63" i="9"/>
  <c r="GS66" i="9"/>
  <c r="CP19" i="9"/>
  <c r="CP16" i="9"/>
  <c r="GT59" i="9"/>
  <c r="GT57" i="9"/>
  <c r="GT58" i="9"/>
  <c r="GT56" i="9"/>
  <c r="GT60" i="9"/>
  <c r="GT61" i="9"/>
  <c r="GT55" i="9"/>
  <c r="GT62" i="9"/>
  <c r="GT63" i="9"/>
  <c r="GT66" i="9"/>
  <c r="CQ3" i="9"/>
  <c r="CR4" i="9"/>
  <c r="GU46" i="9"/>
  <c r="GV47" i="9"/>
  <c r="CP18" i="9"/>
  <c r="CP21" i="9"/>
  <c r="CP14" i="9"/>
  <c r="CP15" i="9"/>
  <c r="CP17" i="9"/>
  <c r="CP20" i="9"/>
  <c r="CP12" i="9"/>
  <c r="CP13" i="9"/>
  <c r="CP22" i="9"/>
  <c r="CP25" i="9"/>
  <c r="CQ19" i="9"/>
  <c r="CQ16" i="9"/>
  <c r="GV46" i="9"/>
  <c r="GW47" i="9"/>
  <c r="GU61" i="9"/>
  <c r="GU58" i="9"/>
  <c r="GU63" i="9"/>
  <c r="GU56" i="9"/>
  <c r="GU66" i="9"/>
  <c r="GU60" i="9"/>
  <c r="GU59" i="9"/>
  <c r="GU55" i="9"/>
  <c r="GU62" i="9"/>
  <c r="GU57" i="9"/>
  <c r="CQ21" i="9"/>
  <c r="CQ25" i="9"/>
  <c r="CQ13" i="9"/>
  <c r="CQ18" i="9"/>
  <c r="CQ17" i="9"/>
  <c r="CQ15" i="9"/>
  <c r="CQ12" i="9"/>
  <c r="CQ20" i="9"/>
  <c r="CQ22" i="9"/>
  <c r="CQ14" i="9"/>
  <c r="CS4" i="9"/>
  <c r="CR3" i="9"/>
  <c r="CR19" i="9"/>
  <c r="CR16" i="9"/>
  <c r="CS3" i="9"/>
  <c r="CT4" i="9"/>
  <c r="CR17" i="9"/>
  <c r="CR18" i="9"/>
  <c r="CR14" i="9"/>
  <c r="CR13" i="9"/>
  <c r="CR15" i="9"/>
  <c r="CR12" i="9"/>
  <c r="CR20" i="9"/>
  <c r="CR25" i="9"/>
  <c r="CR22" i="9"/>
  <c r="CR21" i="9"/>
  <c r="GW46" i="9"/>
  <c r="GX47" i="9"/>
  <c r="GV58" i="9"/>
  <c r="GV56" i="9"/>
  <c r="GV66" i="9"/>
  <c r="GV61" i="9"/>
  <c r="GV60" i="9"/>
  <c r="GV59" i="9"/>
  <c r="GV55" i="9"/>
  <c r="GV63" i="9"/>
  <c r="GV62" i="9"/>
  <c r="GV57" i="9"/>
  <c r="CS19" i="9"/>
  <c r="CS16" i="9"/>
  <c r="GW58" i="9"/>
  <c r="GW56" i="9"/>
  <c r="GW63" i="9"/>
  <c r="GW66" i="9"/>
  <c r="GW61" i="9"/>
  <c r="GW60" i="9"/>
  <c r="GW59" i="9"/>
  <c r="GW55" i="9"/>
  <c r="GW62" i="9"/>
  <c r="GW57" i="9"/>
  <c r="GX46" i="9"/>
  <c r="GY47" i="9"/>
  <c r="CT3" i="9"/>
  <c r="CU4" i="9"/>
  <c r="CS21" i="9"/>
  <c r="CS20" i="9"/>
  <c r="CS13" i="9"/>
  <c r="CS18" i="9"/>
  <c r="CS17" i="9"/>
  <c r="CS14" i="9"/>
  <c r="CS12" i="9"/>
  <c r="CS22" i="9"/>
  <c r="CS15" i="9"/>
  <c r="CS25" i="9"/>
  <c r="CT19" i="9"/>
  <c r="CT16" i="9"/>
  <c r="CT22" i="9"/>
  <c r="CT15" i="9"/>
  <c r="CT17" i="9"/>
  <c r="CT21" i="9"/>
  <c r="CT14" i="9"/>
  <c r="CT13" i="9"/>
  <c r="CT12" i="9"/>
  <c r="CT20" i="9"/>
  <c r="CT25" i="9"/>
  <c r="CT18" i="9"/>
  <c r="GY46" i="9"/>
  <c r="GZ47" i="9"/>
  <c r="CV4" i="9"/>
  <c r="CU3" i="9"/>
  <c r="GX58" i="9"/>
  <c r="GX56" i="9"/>
  <c r="GX62" i="9"/>
  <c r="GX63" i="9"/>
  <c r="GX66" i="9"/>
  <c r="GX61" i="9"/>
  <c r="GX60" i="9"/>
  <c r="GX59" i="9"/>
  <c r="GX55" i="9"/>
  <c r="GX57" i="9"/>
  <c r="CU19" i="9"/>
  <c r="CU16" i="9"/>
  <c r="CK8" i="9"/>
  <c r="CV3" i="9"/>
  <c r="CW4" i="9"/>
  <c r="GO51" i="9"/>
  <c r="GZ46" i="9"/>
  <c r="HA47" i="9"/>
  <c r="CU14" i="9"/>
  <c r="CU12" i="9"/>
  <c r="CU25" i="9"/>
  <c r="CU20" i="9"/>
  <c r="CU22" i="9"/>
  <c r="CU18" i="9"/>
  <c r="CU13" i="9"/>
  <c r="CU21" i="9"/>
  <c r="CU17" i="9"/>
  <c r="CU15" i="9"/>
  <c r="GY57" i="9"/>
  <c r="GY58" i="9"/>
  <c r="GY56" i="9"/>
  <c r="GY62" i="9"/>
  <c r="GY66" i="9"/>
  <c r="GY63" i="9"/>
  <c r="GY61" i="9"/>
  <c r="GY60" i="9"/>
  <c r="GY59" i="9"/>
  <c r="GY55" i="9"/>
  <c r="CV19" i="9"/>
  <c r="CV16" i="9"/>
  <c r="HA46" i="9"/>
  <c r="HB47" i="9"/>
  <c r="GZ57" i="9"/>
  <c r="GZ58" i="9"/>
  <c r="GZ56" i="9"/>
  <c r="GZ62" i="9"/>
  <c r="GZ63" i="9"/>
  <c r="GZ66" i="9"/>
  <c r="GZ61" i="9"/>
  <c r="GZ60" i="9"/>
  <c r="GZ55" i="9"/>
  <c r="GZ59" i="9"/>
  <c r="CW3" i="9"/>
  <c r="CX4" i="9"/>
  <c r="CV25" i="9"/>
  <c r="CV15" i="9"/>
  <c r="CV21" i="9"/>
  <c r="CV17" i="9"/>
  <c r="CV13" i="9"/>
  <c r="CV20" i="9"/>
  <c r="CV18" i="9"/>
  <c r="CV14" i="9"/>
  <c r="CV22" i="9"/>
  <c r="CV12" i="9"/>
  <c r="CW19" i="9"/>
  <c r="CW16" i="9"/>
  <c r="CX3" i="9"/>
  <c r="CY4" i="9"/>
  <c r="CW18" i="9"/>
  <c r="CW14" i="9"/>
  <c r="CW25" i="9"/>
  <c r="CW22" i="9"/>
  <c r="CW15" i="9"/>
  <c r="CW13" i="9"/>
  <c r="CW12" i="9"/>
  <c r="CW21" i="9"/>
  <c r="CW17" i="9"/>
  <c r="CW20" i="9"/>
  <c r="HB46" i="9"/>
  <c r="HC47" i="9"/>
  <c r="HA57" i="9"/>
  <c r="HA58" i="9"/>
  <c r="HA62" i="9"/>
  <c r="HA63" i="9"/>
  <c r="HA66" i="9"/>
  <c r="HA61" i="9"/>
  <c r="HA60" i="9"/>
  <c r="HA56" i="9"/>
  <c r="HA55" i="9"/>
  <c r="HA59" i="9"/>
  <c r="CX19" i="9"/>
  <c r="CX16" i="9"/>
  <c r="HC46" i="9"/>
  <c r="HD47" i="9"/>
  <c r="CY3" i="9"/>
  <c r="CZ4" i="9"/>
  <c r="HB56" i="9"/>
  <c r="HB57" i="9"/>
  <c r="HB63" i="9"/>
  <c r="HB62" i="9"/>
  <c r="HB66" i="9"/>
  <c r="HB58" i="9"/>
  <c r="HB61" i="9"/>
  <c r="HB60" i="9"/>
  <c r="HB55" i="9"/>
  <c r="HB59" i="9"/>
  <c r="CX13" i="9"/>
  <c r="CX22" i="9"/>
  <c r="CX14" i="9"/>
  <c r="CX17" i="9"/>
  <c r="CX12" i="9"/>
  <c r="CX25" i="9"/>
  <c r="CX21" i="9"/>
  <c r="CX18" i="9"/>
  <c r="CX15" i="9"/>
  <c r="CX20" i="9"/>
  <c r="CY19" i="9"/>
  <c r="CY16" i="9"/>
  <c r="DA4" i="9"/>
  <c r="CZ3" i="9"/>
  <c r="CY20" i="9"/>
  <c r="CY17" i="9"/>
  <c r="CY13" i="9"/>
  <c r="CY22" i="9"/>
  <c r="CY15" i="9"/>
  <c r="CY12" i="9"/>
  <c r="CY25" i="9"/>
  <c r="CY21" i="9"/>
  <c r="CY18" i="9"/>
  <c r="CY14" i="9"/>
  <c r="HD46" i="9"/>
  <c r="HE47" i="9"/>
  <c r="HC58" i="9"/>
  <c r="HC56" i="9"/>
  <c r="HC55" i="9"/>
  <c r="HC57" i="9"/>
  <c r="HC66" i="9"/>
  <c r="HC62" i="9"/>
  <c r="HC63" i="9"/>
  <c r="HC60" i="9"/>
  <c r="HC59" i="9"/>
  <c r="HC61" i="9"/>
  <c r="CZ19" i="9"/>
  <c r="CZ16" i="9"/>
  <c r="HE46" i="9"/>
  <c r="HF47" i="9"/>
  <c r="CZ15" i="9"/>
  <c r="CZ25" i="9"/>
  <c r="CZ13" i="9"/>
  <c r="CZ20" i="9"/>
  <c r="CZ18" i="9"/>
  <c r="CZ12" i="9"/>
  <c r="CZ14" i="9"/>
  <c r="CZ17" i="9"/>
  <c r="CZ22" i="9"/>
  <c r="CZ21" i="9"/>
  <c r="HD58" i="9"/>
  <c r="HD56" i="9"/>
  <c r="HD55" i="9"/>
  <c r="HD57" i="9"/>
  <c r="HD62" i="9"/>
  <c r="HD63" i="9"/>
  <c r="HD66" i="9"/>
  <c r="HD61" i="9"/>
  <c r="HD60" i="9"/>
  <c r="HD59" i="9"/>
  <c r="DA3" i="9"/>
  <c r="DB4" i="9"/>
  <c r="DA19" i="9"/>
  <c r="DA16" i="9"/>
  <c r="DC4" i="9"/>
  <c r="DB3" i="9"/>
  <c r="HF46" i="9"/>
  <c r="HG47" i="9"/>
  <c r="DA13" i="9"/>
  <c r="DA14" i="9"/>
  <c r="DA12" i="9"/>
  <c r="DA25" i="9"/>
  <c r="DA17" i="9"/>
  <c r="DA20" i="9"/>
  <c r="DA22" i="9"/>
  <c r="DA21" i="9"/>
  <c r="DA18" i="9"/>
  <c r="DA15" i="9"/>
  <c r="HE60" i="9"/>
  <c r="HE58" i="9"/>
  <c r="HE56" i="9"/>
  <c r="HE55" i="9"/>
  <c r="HE57" i="9"/>
  <c r="HE62" i="9"/>
  <c r="HE63" i="9"/>
  <c r="HE66" i="9"/>
  <c r="HE59" i="9"/>
  <c r="HE61" i="9"/>
  <c r="DB19" i="9"/>
  <c r="DB16" i="9"/>
  <c r="DB17" i="9"/>
  <c r="DB12" i="9"/>
  <c r="DB14" i="9"/>
  <c r="DB25" i="9"/>
  <c r="DB13" i="9"/>
  <c r="DB21" i="9"/>
  <c r="DB20" i="9"/>
  <c r="DB18" i="9"/>
  <c r="DB15" i="9"/>
  <c r="DB22" i="9"/>
  <c r="HG46" i="9"/>
  <c r="HH47" i="9"/>
  <c r="HF56" i="9"/>
  <c r="HF62" i="9"/>
  <c r="HF55" i="9"/>
  <c r="HF57" i="9"/>
  <c r="HF63" i="9"/>
  <c r="HF58" i="9"/>
  <c r="HF60" i="9"/>
  <c r="HF59" i="9"/>
  <c r="HF66" i="9"/>
  <c r="HF61" i="9"/>
  <c r="DC3" i="9"/>
  <c r="DD4" i="9"/>
  <c r="DC19" i="9"/>
  <c r="DC16" i="9"/>
  <c r="DC25" i="9"/>
  <c r="DC22" i="9"/>
  <c r="DC17" i="9"/>
  <c r="DC14" i="9"/>
  <c r="DC18" i="9"/>
  <c r="DC13" i="9"/>
  <c r="DC21" i="9"/>
  <c r="DC15" i="9"/>
  <c r="DC20" i="9"/>
  <c r="DC12" i="9"/>
  <c r="HI47" i="9"/>
  <c r="HH46" i="9"/>
  <c r="DD3" i="9"/>
  <c r="DE4" i="9"/>
  <c r="HG58" i="9"/>
  <c r="HG56" i="9"/>
  <c r="HG62" i="9"/>
  <c r="HG55" i="9"/>
  <c r="HG57" i="9"/>
  <c r="HG63" i="9"/>
  <c r="HG66" i="9"/>
  <c r="HG61" i="9"/>
  <c r="HG60" i="9"/>
  <c r="HG59" i="9"/>
  <c r="DD19" i="9"/>
  <c r="DD16" i="9"/>
  <c r="HH58" i="9"/>
  <c r="HH56" i="9"/>
  <c r="HH62" i="9"/>
  <c r="HH55" i="9"/>
  <c r="HH57" i="9"/>
  <c r="HH60" i="9"/>
  <c r="HH63" i="9"/>
  <c r="HH59" i="9"/>
  <c r="HH61" i="9"/>
  <c r="HH66" i="9"/>
  <c r="HJ47" i="9"/>
  <c r="HI46" i="9"/>
  <c r="DD20" i="9"/>
  <c r="DD17" i="9"/>
  <c r="DD14" i="9"/>
  <c r="DD13" i="9"/>
  <c r="DD22" i="9"/>
  <c r="DD18" i="9"/>
  <c r="DD15" i="9"/>
  <c r="DD25" i="9"/>
  <c r="DD12" i="9"/>
  <c r="DD21" i="9"/>
  <c r="DF4" i="9"/>
  <c r="DE3" i="9"/>
  <c r="DE19" i="9"/>
  <c r="DE16" i="9"/>
  <c r="DF3" i="9"/>
  <c r="DG4" i="9"/>
  <c r="HK47" i="9"/>
  <c r="HJ46" i="9"/>
  <c r="HI58" i="9"/>
  <c r="HI56" i="9"/>
  <c r="HI62" i="9"/>
  <c r="HI55" i="9"/>
  <c r="HI63" i="9"/>
  <c r="HI60" i="9"/>
  <c r="HI59" i="9"/>
  <c r="HI66" i="9"/>
  <c r="HI61" i="9"/>
  <c r="HI57" i="9"/>
  <c r="DE18" i="9"/>
  <c r="DE14" i="9"/>
  <c r="DE25" i="9"/>
  <c r="DE22" i="9"/>
  <c r="DE15" i="9"/>
  <c r="DE13" i="9"/>
  <c r="DE12" i="9"/>
  <c r="DE17" i="9"/>
  <c r="DE21" i="9"/>
  <c r="DE20" i="9"/>
  <c r="DF19" i="9"/>
  <c r="DF16" i="9"/>
  <c r="HJ60" i="9"/>
  <c r="HJ58" i="9"/>
  <c r="HJ56" i="9"/>
  <c r="HJ62" i="9"/>
  <c r="HJ55" i="9"/>
  <c r="HJ66" i="9"/>
  <c r="HJ63" i="9"/>
  <c r="HJ59" i="9"/>
  <c r="HJ57" i="9"/>
  <c r="HJ61" i="9"/>
  <c r="HL47" i="9"/>
  <c r="HK46" i="9"/>
  <c r="DG3" i="9"/>
  <c r="DH4" i="9"/>
  <c r="DF21" i="9"/>
  <c r="DF17" i="9"/>
  <c r="DF15" i="9"/>
  <c r="DF14" i="9"/>
  <c r="DF12" i="9"/>
  <c r="DF25" i="9"/>
  <c r="DF20" i="9"/>
  <c r="DF18" i="9"/>
  <c r="DF22" i="9"/>
  <c r="DF13" i="9"/>
  <c r="DG19" i="9"/>
  <c r="DG16" i="9"/>
  <c r="DI4" i="9"/>
  <c r="CW8" i="9"/>
  <c r="DH3" i="9"/>
  <c r="HK58" i="9"/>
  <c r="HK56" i="9"/>
  <c r="HK59" i="9"/>
  <c r="HK62" i="9"/>
  <c r="HK55" i="9"/>
  <c r="HK57" i="9"/>
  <c r="HK61" i="9"/>
  <c r="HK63" i="9"/>
  <c r="HK60" i="9"/>
  <c r="HK66" i="9"/>
  <c r="DG17" i="9"/>
  <c r="DG15" i="9"/>
  <c r="DG14" i="9"/>
  <c r="DG25" i="9"/>
  <c r="DG13" i="9"/>
  <c r="DG22" i="9"/>
  <c r="DG12" i="9"/>
  <c r="DG21" i="9"/>
  <c r="DG20" i="9"/>
  <c r="DG18" i="9"/>
  <c r="HM47" i="9"/>
  <c r="HA51" i="9"/>
  <c r="HL46" i="9"/>
  <c r="DH19" i="9"/>
  <c r="DH16" i="9"/>
  <c r="HN47" i="9"/>
  <c r="HM46" i="9"/>
  <c r="HL59" i="9"/>
  <c r="HL55" i="9"/>
  <c r="HL57" i="9"/>
  <c r="HL62" i="9"/>
  <c r="HL58" i="9"/>
  <c r="HL56" i="9"/>
  <c r="HL61" i="9"/>
  <c r="HL63" i="9"/>
  <c r="HL60" i="9"/>
  <c r="HL66" i="9"/>
  <c r="DH15" i="9"/>
  <c r="DH13" i="9"/>
  <c r="DH22" i="9"/>
  <c r="DH14" i="9"/>
  <c r="DH20" i="9"/>
  <c r="DH17" i="9"/>
  <c r="DH21" i="9"/>
  <c r="DH18" i="9"/>
  <c r="DH25" i="9"/>
  <c r="DH12" i="9"/>
  <c r="DJ4" i="9"/>
  <c r="DI3" i="9"/>
  <c r="DI19" i="9"/>
  <c r="DI16" i="9"/>
  <c r="DK4" i="9"/>
  <c r="DJ3" i="9"/>
  <c r="DI25" i="9"/>
  <c r="DI15" i="9"/>
  <c r="DI18" i="9"/>
  <c r="DI14" i="9"/>
  <c r="DI17" i="9"/>
  <c r="DI20" i="9"/>
  <c r="DI21" i="9"/>
  <c r="DI12" i="9"/>
  <c r="DI22" i="9"/>
  <c r="DI13" i="9"/>
  <c r="HM59" i="9"/>
  <c r="HM55" i="9"/>
  <c r="HM58" i="9"/>
  <c r="HM62" i="9"/>
  <c r="HM56" i="9"/>
  <c r="HM61" i="9"/>
  <c r="HM66" i="9"/>
  <c r="HM60" i="9"/>
  <c r="HM63" i="9"/>
  <c r="HM57" i="9"/>
  <c r="HO47" i="9"/>
  <c r="HN46" i="9"/>
  <c r="DJ19" i="9"/>
  <c r="DJ16" i="9"/>
  <c r="HN59" i="9"/>
  <c r="HN55" i="9"/>
  <c r="HN58" i="9"/>
  <c r="HN57" i="9"/>
  <c r="HN62" i="9"/>
  <c r="HN56" i="9"/>
  <c r="HN63" i="9"/>
  <c r="HN61" i="9"/>
  <c r="HN60" i="9"/>
  <c r="HN66" i="9"/>
  <c r="DJ15" i="9"/>
  <c r="DJ18" i="9"/>
  <c r="DJ20" i="9"/>
  <c r="DJ21" i="9"/>
  <c r="DJ12" i="9"/>
  <c r="DJ22" i="9"/>
  <c r="DJ13" i="9"/>
  <c r="DJ25" i="9"/>
  <c r="DJ17" i="9"/>
  <c r="DJ14" i="9"/>
  <c r="HP47" i="9"/>
  <c r="HO46" i="9"/>
  <c r="DL4" i="9"/>
  <c r="DK3" i="9"/>
  <c r="DK19" i="9"/>
  <c r="DK16" i="9"/>
  <c r="DK25" i="9"/>
  <c r="DK13" i="9"/>
  <c r="DK22" i="9"/>
  <c r="DK12" i="9"/>
  <c r="DK21" i="9"/>
  <c r="DK20" i="9"/>
  <c r="DK18" i="9"/>
  <c r="DK17" i="9"/>
  <c r="DK15" i="9"/>
  <c r="DK14" i="9"/>
  <c r="DM4" i="9"/>
  <c r="DL3" i="9"/>
  <c r="HQ47" i="9"/>
  <c r="HP46" i="9"/>
  <c r="HO59" i="9"/>
  <c r="HO55" i="9"/>
  <c r="HO57" i="9"/>
  <c r="HO58" i="9"/>
  <c r="HO56" i="9"/>
  <c r="HO63" i="9"/>
  <c r="HO61" i="9"/>
  <c r="HO66" i="9"/>
  <c r="HO62" i="9"/>
  <c r="HO60" i="9"/>
  <c r="DL19" i="9"/>
  <c r="DL16" i="9"/>
  <c r="HR47" i="9"/>
  <c r="HQ46" i="9"/>
  <c r="HP55" i="9"/>
  <c r="HP59" i="9"/>
  <c r="HP57" i="9"/>
  <c r="HP62" i="9"/>
  <c r="HP58" i="9"/>
  <c r="HP56" i="9"/>
  <c r="HP61" i="9"/>
  <c r="HP63" i="9"/>
  <c r="HP60" i="9"/>
  <c r="HP66" i="9"/>
  <c r="DL12" i="9"/>
  <c r="DL21" i="9"/>
  <c r="DL20" i="9"/>
  <c r="DL18" i="9"/>
  <c r="DL17" i="9"/>
  <c r="DL15" i="9"/>
  <c r="DL22" i="9"/>
  <c r="DL14" i="9"/>
  <c r="DL25" i="9"/>
  <c r="DL13" i="9"/>
  <c r="DM3" i="9"/>
  <c r="DN4" i="9"/>
  <c r="DM19" i="9"/>
  <c r="DM16" i="9"/>
  <c r="DM25" i="9"/>
  <c r="DM22" i="9"/>
  <c r="DM13" i="9"/>
  <c r="DM12" i="9"/>
  <c r="DM20" i="9"/>
  <c r="DM18" i="9"/>
  <c r="DM17" i="9"/>
  <c r="DM15" i="9"/>
  <c r="DM21" i="9"/>
  <c r="DM14" i="9"/>
  <c r="DO4" i="9"/>
  <c r="DN3" i="9"/>
  <c r="HQ55" i="9"/>
  <c r="HQ59" i="9"/>
  <c r="HQ57" i="9"/>
  <c r="HQ58" i="9"/>
  <c r="HQ56" i="9"/>
  <c r="HQ66" i="9"/>
  <c r="HQ61" i="9"/>
  <c r="HQ62" i="9"/>
  <c r="HQ63" i="9"/>
  <c r="HQ60" i="9"/>
  <c r="HS47" i="9"/>
  <c r="HR46" i="9"/>
  <c r="DN19" i="9"/>
  <c r="DN16" i="9"/>
  <c r="HR57" i="9"/>
  <c r="HR55" i="9"/>
  <c r="HR62" i="9"/>
  <c r="HR58" i="9"/>
  <c r="HR56" i="9"/>
  <c r="HR66" i="9"/>
  <c r="HR61" i="9"/>
  <c r="HR63" i="9"/>
  <c r="HR59" i="9"/>
  <c r="HR60" i="9"/>
  <c r="HT47" i="9"/>
  <c r="HS46" i="9"/>
  <c r="DN12" i="9"/>
  <c r="DN21" i="9"/>
  <c r="DN25" i="9"/>
  <c r="DN20" i="9"/>
  <c r="DN22" i="9"/>
  <c r="DN13" i="9"/>
  <c r="DN18" i="9"/>
  <c r="DN17" i="9"/>
  <c r="DN14" i="9"/>
  <c r="DN15" i="9"/>
  <c r="DP4" i="9"/>
  <c r="DO3" i="9"/>
  <c r="DO19" i="9"/>
  <c r="DO16" i="9"/>
  <c r="DP3" i="9"/>
  <c r="DQ4" i="9"/>
  <c r="DO17" i="9"/>
  <c r="DO18" i="9"/>
  <c r="DO14" i="9"/>
  <c r="DO21" i="9"/>
  <c r="DO25" i="9"/>
  <c r="DO13" i="9"/>
  <c r="DO15" i="9"/>
  <c r="DO22" i="9"/>
  <c r="DO20" i="9"/>
  <c r="DO12" i="9"/>
  <c r="HS57" i="9"/>
  <c r="HS55" i="9"/>
  <c r="HS60" i="9"/>
  <c r="HS58" i="9"/>
  <c r="HS56" i="9"/>
  <c r="HS66" i="9"/>
  <c r="HS61" i="9"/>
  <c r="HS63" i="9"/>
  <c r="HS62" i="9"/>
  <c r="HS59" i="9"/>
  <c r="HU47" i="9"/>
  <c r="HT46" i="9"/>
  <c r="DP19" i="9"/>
  <c r="DP16" i="9"/>
  <c r="HT57" i="9"/>
  <c r="HT55" i="9"/>
  <c r="HT60" i="9"/>
  <c r="HT61" i="9"/>
  <c r="HT56" i="9"/>
  <c r="HT62" i="9"/>
  <c r="HT66" i="9"/>
  <c r="HT58" i="9"/>
  <c r="HT63" i="9"/>
  <c r="HT59" i="9"/>
  <c r="HU46" i="9"/>
  <c r="HV47" i="9"/>
  <c r="DR4" i="9"/>
  <c r="DQ3" i="9"/>
  <c r="DP20" i="9"/>
  <c r="DP18" i="9"/>
  <c r="DP12" i="9"/>
  <c r="DP17" i="9"/>
  <c r="DP15" i="9"/>
  <c r="DP14" i="9"/>
  <c r="DP25" i="9"/>
  <c r="DP13" i="9"/>
  <c r="DP21" i="9"/>
  <c r="DP22" i="9"/>
  <c r="DQ19" i="9"/>
  <c r="DQ16" i="9"/>
  <c r="DQ15" i="9"/>
  <c r="DQ13" i="9"/>
  <c r="DQ14" i="9"/>
  <c r="DQ22" i="9"/>
  <c r="DQ25" i="9"/>
  <c r="DQ12" i="9"/>
  <c r="DQ20" i="9"/>
  <c r="DQ18" i="9"/>
  <c r="DQ21" i="9"/>
  <c r="DQ17" i="9"/>
  <c r="HV46" i="9"/>
  <c r="HW47" i="9"/>
  <c r="HU59" i="9"/>
  <c r="HU57" i="9"/>
  <c r="HU55" i="9"/>
  <c r="HU60" i="9"/>
  <c r="HU61" i="9"/>
  <c r="HU58" i="9"/>
  <c r="HU56" i="9"/>
  <c r="HU66" i="9"/>
  <c r="HU62" i="9"/>
  <c r="HU63" i="9"/>
  <c r="DR3" i="9"/>
  <c r="DS4" i="9"/>
  <c r="DR19" i="9"/>
  <c r="DR16" i="9"/>
  <c r="DS3" i="9"/>
  <c r="DT4" i="9"/>
  <c r="HW46" i="9"/>
  <c r="HX47" i="9"/>
  <c r="DR22" i="9"/>
  <c r="DR21" i="9"/>
  <c r="DR25" i="9"/>
  <c r="DR13" i="9"/>
  <c r="DR18" i="9"/>
  <c r="DR20" i="9"/>
  <c r="DR17" i="9"/>
  <c r="DR15" i="9"/>
  <c r="DR14" i="9"/>
  <c r="DR12" i="9"/>
  <c r="HV57" i="9"/>
  <c r="HV55" i="9"/>
  <c r="HV60" i="9"/>
  <c r="HV61" i="9"/>
  <c r="HV59" i="9"/>
  <c r="HV58" i="9"/>
  <c r="HV56" i="9"/>
  <c r="HV66" i="9"/>
  <c r="HV62" i="9"/>
  <c r="HV63" i="9"/>
  <c r="DS19" i="9"/>
  <c r="DS16" i="9"/>
  <c r="HW57" i="9"/>
  <c r="HW55" i="9"/>
  <c r="HW60" i="9"/>
  <c r="HW61" i="9"/>
  <c r="HW59" i="9"/>
  <c r="HW63" i="9"/>
  <c r="HW56" i="9"/>
  <c r="HW66" i="9"/>
  <c r="HW58" i="9"/>
  <c r="HW62" i="9"/>
  <c r="DU4" i="9"/>
  <c r="DI8" i="9"/>
  <c r="DT3" i="9"/>
  <c r="HX46" i="9"/>
  <c r="HM51" i="9"/>
  <c r="HY47" i="9"/>
  <c r="DS17" i="9"/>
  <c r="DS14" i="9"/>
  <c r="DS25" i="9"/>
  <c r="DS13" i="9"/>
  <c r="DS15" i="9"/>
  <c r="DS22" i="9"/>
  <c r="DS21" i="9"/>
  <c r="DS12" i="9"/>
  <c r="DS20" i="9"/>
  <c r="DS18" i="9"/>
  <c r="DT19" i="9"/>
  <c r="DT16" i="9"/>
  <c r="HY46" i="9"/>
  <c r="HZ47" i="9"/>
  <c r="HX57" i="9"/>
  <c r="HX55" i="9"/>
  <c r="HX63" i="9"/>
  <c r="HX60" i="9"/>
  <c r="HX61" i="9"/>
  <c r="HX59" i="9"/>
  <c r="HX66" i="9"/>
  <c r="HX56" i="9"/>
  <c r="HX58" i="9"/>
  <c r="HX62" i="9"/>
  <c r="DU3" i="9"/>
  <c r="DV4" i="9"/>
  <c r="DT22" i="9"/>
  <c r="DT12" i="9"/>
  <c r="DT21" i="9"/>
  <c r="DT20" i="9"/>
  <c r="DT18" i="9"/>
  <c r="DT17" i="9"/>
  <c r="DT15" i="9"/>
  <c r="DT14" i="9"/>
  <c r="DT25" i="9"/>
  <c r="DT13" i="9"/>
  <c r="DU19" i="9"/>
  <c r="DU16" i="9"/>
  <c r="DU17" i="9"/>
  <c r="DU21" i="9"/>
  <c r="DU20" i="9"/>
  <c r="DU15" i="9"/>
  <c r="DU18" i="9"/>
  <c r="DU14" i="9"/>
  <c r="DU25" i="9"/>
  <c r="DU13" i="9"/>
  <c r="DU22" i="9"/>
  <c r="DU12" i="9"/>
  <c r="DV3" i="9"/>
  <c r="DW4" i="9"/>
  <c r="HZ46" i="9"/>
  <c r="IA47" i="9"/>
  <c r="HY59" i="9"/>
  <c r="HY57" i="9"/>
  <c r="HY55" i="9"/>
  <c r="HY56" i="9"/>
  <c r="HY60" i="9"/>
  <c r="HY61" i="9"/>
  <c r="HY63" i="9"/>
  <c r="HY58" i="9"/>
  <c r="HY66" i="9"/>
  <c r="HY62" i="9"/>
  <c r="DV19" i="9"/>
  <c r="DV16" i="9"/>
  <c r="HZ59" i="9"/>
  <c r="HZ57" i="9"/>
  <c r="HZ56" i="9"/>
  <c r="HZ55" i="9"/>
  <c r="HZ63" i="9"/>
  <c r="HZ66" i="9"/>
  <c r="HZ58" i="9"/>
  <c r="HZ61" i="9"/>
  <c r="HZ62" i="9"/>
  <c r="HZ60" i="9"/>
  <c r="DW3" i="9"/>
  <c r="DX4" i="9"/>
  <c r="IA46" i="9"/>
  <c r="IB47" i="9"/>
  <c r="DV14" i="9"/>
  <c r="DV25" i="9"/>
  <c r="DV17" i="9"/>
  <c r="DV12" i="9"/>
  <c r="DV20" i="9"/>
  <c r="DV15" i="9"/>
  <c r="DV13" i="9"/>
  <c r="DV21" i="9"/>
  <c r="DV22" i="9"/>
  <c r="DV18" i="9"/>
  <c r="DW19" i="9"/>
  <c r="DW16" i="9"/>
  <c r="DW20" i="9"/>
  <c r="DW15" i="9"/>
  <c r="DW14" i="9"/>
  <c r="DW13" i="9"/>
  <c r="DW22" i="9"/>
  <c r="DW12" i="9"/>
  <c r="DW18" i="9"/>
  <c r="DW21" i="9"/>
  <c r="DW17" i="9"/>
  <c r="DW25" i="9"/>
  <c r="IB46" i="9"/>
  <c r="IC47" i="9"/>
  <c r="IA61" i="9"/>
  <c r="IA56" i="9"/>
  <c r="IA63" i="9"/>
  <c r="IA59" i="9"/>
  <c r="IA55" i="9"/>
  <c r="IA66" i="9"/>
  <c r="IA57" i="9"/>
  <c r="IA62" i="9"/>
  <c r="IA58" i="9"/>
  <c r="IA60" i="9"/>
  <c r="DY4" i="9"/>
  <c r="DX3" i="9"/>
  <c r="DX19" i="9"/>
  <c r="DX16" i="9"/>
  <c r="DX21" i="9"/>
  <c r="DX17" i="9"/>
  <c r="DX25" i="9"/>
  <c r="DX13" i="9"/>
  <c r="DX22" i="9"/>
  <c r="DX12" i="9"/>
  <c r="DX20" i="9"/>
  <c r="DX18" i="9"/>
  <c r="DX15" i="9"/>
  <c r="DX14" i="9"/>
  <c r="IB56" i="9"/>
  <c r="IB55" i="9"/>
  <c r="IB66" i="9"/>
  <c r="IB59" i="9"/>
  <c r="IB57" i="9"/>
  <c r="IB63" i="9"/>
  <c r="IB62" i="9"/>
  <c r="IB58" i="9"/>
  <c r="IB61" i="9"/>
  <c r="IB60" i="9"/>
  <c r="IC46" i="9"/>
  <c r="ID47" i="9"/>
  <c r="DZ4" i="9"/>
  <c r="DY3" i="9"/>
  <c r="DY19" i="9"/>
  <c r="DY16" i="9"/>
  <c r="DZ3" i="9"/>
  <c r="EA4" i="9"/>
  <c r="DY15" i="9"/>
  <c r="DY18" i="9"/>
  <c r="DY17" i="9"/>
  <c r="DY14" i="9"/>
  <c r="DY25" i="9"/>
  <c r="DY13" i="9"/>
  <c r="DY22" i="9"/>
  <c r="DY12" i="9"/>
  <c r="DY21" i="9"/>
  <c r="DY20" i="9"/>
  <c r="ID46" i="9"/>
  <c r="IE47" i="9"/>
  <c r="IC56" i="9"/>
  <c r="IC55" i="9"/>
  <c r="IC61" i="9"/>
  <c r="IC66" i="9"/>
  <c r="IC59" i="9"/>
  <c r="IC57" i="9"/>
  <c r="IC63" i="9"/>
  <c r="IC58" i="9"/>
  <c r="IC62" i="9"/>
  <c r="IC60" i="9"/>
  <c r="DZ19" i="9"/>
  <c r="DZ16" i="9"/>
  <c r="IE46" i="9"/>
  <c r="IF47" i="9"/>
  <c r="EA3" i="9"/>
  <c r="EB4" i="9"/>
  <c r="ID56" i="9"/>
  <c r="ID55" i="9"/>
  <c r="ID60" i="9"/>
  <c r="ID61" i="9"/>
  <c r="ID66" i="9"/>
  <c r="ID59" i="9"/>
  <c r="ID57" i="9"/>
  <c r="ID63" i="9"/>
  <c r="ID58" i="9"/>
  <c r="ID62" i="9"/>
  <c r="DZ12" i="9"/>
  <c r="DZ18" i="9"/>
  <c r="DZ17" i="9"/>
  <c r="DZ15" i="9"/>
  <c r="DZ14" i="9"/>
  <c r="DZ25" i="9"/>
  <c r="DZ13" i="9"/>
  <c r="DZ22" i="9"/>
  <c r="DZ21" i="9"/>
  <c r="DZ20" i="9"/>
  <c r="EA19" i="9"/>
  <c r="EA16" i="9"/>
  <c r="EA20" i="9"/>
  <c r="EA21" i="9"/>
  <c r="EA14" i="9"/>
  <c r="EA13" i="9"/>
  <c r="EA22" i="9"/>
  <c r="EA12" i="9"/>
  <c r="EA17" i="9"/>
  <c r="EA18" i="9"/>
  <c r="EA15" i="9"/>
  <c r="EA25" i="9"/>
  <c r="IF46" i="9"/>
  <c r="IG47" i="9"/>
  <c r="EC4" i="9"/>
  <c r="EB3" i="9"/>
  <c r="IE56" i="9"/>
  <c r="IE63" i="9"/>
  <c r="IE66" i="9"/>
  <c r="IE60" i="9"/>
  <c r="IE61" i="9"/>
  <c r="IE59" i="9"/>
  <c r="IE57" i="9"/>
  <c r="IE55" i="9"/>
  <c r="IE62" i="9"/>
  <c r="IE58" i="9"/>
  <c r="EB19" i="9"/>
  <c r="EB16" i="9"/>
  <c r="EB17" i="9"/>
  <c r="EB12" i="9"/>
  <c r="EB15" i="9"/>
  <c r="EB18" i="9"/>
  <c r="EB14" i="9"/>
  <c r="EB22" i="9"/>
  <c r="EB20" i="9"/>
  <c r="EB13" i="9"/>
  <c r="EB25" i="9"/>
  <c r="EB21" i="9"/>
  <c r="IF56" i="9"/>
  <c r="IF66" i="9"/>
  <c r="IF63" i="9"/>
  <c r="IF60" i="9"/>
  <c r="IF61" i="9"/>
  <c r="IF59" i="9"/>
  <c r="IF57" i="9"/>
  <c r="IF55" i="9"/>
  <c r="IF58" i="9"/>
  <c r="IF62" i="9"/>
  <c r="IG46" i="9"/>
  <c r="IH47" i="9"/>
  <c r="ED4" i="9"/>
  <c r="EC3" i="9"/>
  <c r="EC19" i="9"/>
  <c r="EC16" i="9"/>
  <c r="IH46" i="9"/>
  <c r="II47" i="9"/>
  <c r="EC25" i="9"/>
  <c r="EC21" i="9"/>
  <c r="EC14" i="9"/>
  <c r="EC22" i="9"/>
  <c r="EC12" i="9"/>
  <c r="EC20" i="9"/>
  <c r="EC18" i="9"/>
  <c r="EC15" i="9"/>
  <c r="EC17" i="9"/>
  <c r="EC13" i="9"/>
  <c r="EE4" i="9"/>
  <c r="ED3" i="9"/>
  <c r="IG58" i="9"/>
  <c r="IG56" i="9"/>
  <c r="IG63" i="9"/>
  <c r="IG60" i="9"/>
  <c r="IG61" i="9"/>
  <c r="IG66" i="9"/>
  <c r="IG59" i="9"/>
  <c r="IG57" i="9"/>
  <c r="IG55" i="9"/>
  <c r="IG62" i="9"/>
  <c r="ED19" i="9"/>
  <c r="ED16" i="9"/>
  <c r="ED13" i="9"/>
  <c r="ED22" i="9"/>
  <c r="ED12" i="9"/>
  <c r="ED21" i="9"/>
  <c r="ED14" i="9"/>
  <c r="ED20" i="9"/>
  <c r="ED18" i="9"/>
  <c r="ED17" i="9"/>
  <c r="ED25" i="9"/>
  <c r="ED15" i="9"/>
  <c r="II46" i="9"/>
  <c r="IJ47" i="9"/>
  <c r="EF4" i="9"/>
  <c r="EE3" i="9"/>
  <c r="IH56" i="9"/>
  <c r="IH58" i="9"/>
  <c r="IH63" i="9"/>
  <c r="IH66" i="9"/>
  <c r="IH60" i="9"/>
  <c r="IH61" i="9"/>
  <c r="IH59" i="9"/>
  <c r="IH57" i="9"/>
  <c r="IH55" i="9"/>
  <c r="IH62" i="9"/>
  <c r="EE19" i="9"/>
  <c r="EE16" i="9"/>
  <c r="EG4" i="9"/>
  <c r="DU8" i="9"/>
  <c r="EF3" i="9"/>
  <c r="HY51" i="9"/>
  <c r="IJ46" i="9"/>
  <c r="IK47" i="9"/>
  <c r="EE18" i="9"/>
  <c r="EE13" i="9"/>
  <c r="EE22" i="9"/>
  <c r="EE21" i="9"/>
  <c r="EE17" i="9"/>
  <c r="EE15" i="9"/>
  <c r="EE14" i="9"/>
  <c r="EE25" i="9"/>
  <c r="EE12" i="9"/>
  <c r="EE20" i="9"/>
  <c r="II58" i="9"/>
  <c r="II56" i="9"/>
  <c r="II63" i="9"/>
  <c r="II60" i="9"/>
  <c r="II66" i="9"/>
  <c r="II61" i="9"/>
  <c r="II59" i="9"/>
  <c r="II57" i="9"/>
  <c r="II62" i="9"/>
  <c r="II55" i="9"/>
  <c r="EF19" i="9"/>
  <c r="EF16" i="9"/>
  <c r="IK46" i="9"/>
  <c r="IL47" i="9"/>
  <c r="IJ58" i="9"/>
  <c r="IJ56" i="9"/>
  <c r="IJ62" i="9"/>
  <c r="IJ63" i="9"/>
  <c r="IJ66" i="9"/>
  <c r="IJ60" i="9"/>
  <c r="IJ61" i="9"/>
  <c r="IJ59" i="9"/>
  <c r="IJ57" i="9"/>
  <c r="IJ55" i="9"/>
  <c r="EF14" i="9"/>
  <c r="EF21" i="9"/>
  <c r="EF20" i="9"/>
  <c r="EF18" i="9"/>
  <c r="EF17" i="9"/>
  <c r="EF13" i="9"/>
  <c r="EF22" i="9"/>
  <c r="EF12" i="9"/>
  <c r="EF25" i="9"/>
  <c r="EF15" i="9"/>
  <c r="EG3" i="9"/>
  <c r="EH4" i="9"/>
  <c r="EG19" i="9"/>
  <c r="EG16" i="9"/>
  <c r="EH3" i="9"/>
  <c r="EI4" i="9"/>
  <c r="IL46" i="9"/>
  <c r="IM47" i="9"/>
  <c r="EG25" i="9"/>
  <c r="EG12" i="9"/>
  <c r="EG15" i="9"/>
  <c r="EG14" i="9"/>
  <c r="EG21" i="9"/>
  <c r="EG20" i="9"/>
  <c r="EG18" i="9"/>
  <c r="EG13" i="9"/>
  <c r="EG22" i="9"/>
  <c r="EG17" i="9"/>
  <c r="IK60" i="9"/>
  <c r="IK58" i="9"/>
  <c r="IK56" i="9"/>
  <c r="IK62" i="9"/>
  <c r="IK63" i="9"/>
  <c r="IK61" i="9"/>
  <c r="IK59" i="9"/>
  <c r="IK57" i="9"/>
  <c r="IK66" i="9"/>
  <c r="IK55" i="9"/>
  <c r="EH19" i="9"/>
  <c r="EH16" i="9"/>
  <c r="EJ4" i="9"/>
  <c r="EI3" i="9"/>
  <c r="IM46" i="9"/>
  <c r="IN47" i="9"/>
  <c r="IL56" i="9"/>
  <c r="IL62" i="9"/>
  <c r="IL58" i="9"/>
  <c r="IL60" i="9"/>
  <c r="IL63" i="9"/>
  <c r="IL61" i="9"/>
  <c r="IL59" i="9"/>
  <c r="IL57" i="9"/>
  <c r="IL66" i="9"/>
  <c r="IL55" i="9"/>
  <c r="EH13" i="9"/>
  <c r="EH14" i="9"/>
  <c r="EH22" i="9"/>
  <c r="EH12" i="9"/>
  <c r="EH21" i="9"/>
  <c r="EH18" i="9"/>
  <c r="EH17" i="9"/>
  <c r="EH20" i="9"/>
  <c r="EH25" i="9"/>
  <c r="EH15" i="9"/>
  <c r="EI19" i="9"/>
  <c r="EI16" i="9"/>
  <c r="IO47" i="9"/>
  <c r="IN46" i="9"/>
  <c r="IM58" i="9"/>
  <c r="IM56" i="9"/>
  <c r="IM62" i="9"/>
  <c r="IM60" i="9"/>
  <c r="IM63" i="9"/>
  <c r="IM61" i="9"/>
  <c r="IM59" i="9"/>
  <c r="IM57" i="9"/>
  <c r="IM66" i="9"/>
  <c r="IM55" i="9"/>
  <c r="EI22" i="9"/>
  <c r="EI12" i="9"/>
  <c r="EI21" i="9"/>
  <c r="EI20" i="9"/>
  <c r="EI18" i="9"/>
  <c r="EI14" i="9"/>
  <c r="EI15" i="9"/>
  <c r="EI13" i="9"/>
  <c r="EI17" i="9"/>
  <c r="EI25" i="9"/>
  <c r="EJ3" i="9"/>
  <c r="EK4" i="9"/>
  <c r="EJ19" i="9"/>
  <c r="EJ16" i="9"/>
  <c r="EJ25" i="9"/>
  <c r="EJ15" i="9"/>
  <c r="EJ13" i="9"/>
  <c r="EJ22" i="9"/>
  <c r="EJ21" i="9"/>
  <c r="EJ20" i="9"/>
  <c r="EJ17" i="9"/>
  <c r="EJ12" i="9"/>
  <c r="EJ18" i="9"/>
  <c r="EJ14" i="9"/>
  <c r="EL4" i="9"/>
  <c r="EK3" i="9"/>
  <c r="IN58" i="9"/>
  <c r="IN56" i="9"/>
  <c r="IN57" i="9"/>
  <c r="IN62" i="9"/>
  <c r="IN55" i="9"/>
  <c r="IN63" i="9"/>
  <c r="IN60" i="9"/>
  <c r="IN61" i="9"/>
  <c r="IN59" i="9"/>
  <c r="IN66" i="9"/>
  <c r="IP47" i="9"/>
  <c r="IO46" i="9"/>
  <c r="EK19" i="9"/>
  <c r="EK16" i="9"/>
  <c r="IQ47" i="9"/>
  <c r="IP46" i="9"/>
  <c r="IO58" i="9"/>
  <c r="IO56" i="9"/>
  <c r="IO57" i="9"/>
  <c r="IO62" i="9"/>
  <c r="IO55" i="9"/>
  <c r="IO60" i="9"/>
  <c r="IO61" i="9"/>
  <c r="IO59" i="9"/>
  <c r="IO63" i="9"/>
  <c r="IO66" i="9"/>
  <c r="EK17" i="9"/>
  <c r="EK14" i="9"/>
  <c r="EK22" i="9"/>
  <c r="EK13" i="9"/>
  <c r="EK12" i="9"/>
  <c r="EK20" i="9"/>
  <c r="EK18" i="9"/>
  <c r="EK21" i="9"/>
  <c r="EK15" i="9"/>
  <c r="EK25" i="9"/>
  <c r="EM4" i="9"/>
  <c r="EL3" i="9"/>
  <c r="EL19" i="9"/>
  <c r="EL16" i="9"/>
  <c r="EN4" i="9"/>
  <c r="EM3" i="9"/>
  <c r="EL14" i="9"/>
  <c r="EL13" i="9"/>
  <c r="EL22" i="9"/>
  <c r="EL20" i="9"/>
  <c r="EL12" i="9"/>
  <c r="EL25" i="9"/>
  <c r="EL21" i="9"/>
  <c r="EL18" i="9"/>
  <c r="EL17" i="9"/>
  <c r="EL15" i="9"/>
  <c r="IP60" i="9"/>
  <c r="IP58" i="9"/>
  <c r="IP56" i="9"/>
  <c r="IP57" i="9"/>
  <c r="IP62" i="9"/>
  <c r="IP55" i="9"/>
  <c r="IP59" i="9"/>
  <c r="IP63" i="9"/>
  <c r="IP61" i="9"/>
  <c r="IP66" i="9"/>
  <c r="IR47" i="9"/>
  <c r="IQ46" i="9"/>
  <c r="EM19" i="9"/>
  <c r="EM16" i="9"/>
  <c r="IS47" i="9"/>
  <c r="IR46" i="9"/>
  <c r="IQ58" i="9"/>
  <c r="IQ56" i="9"/>
  <c r="IQ57" i="9"/>
  <c r="IQ62" i="9"/>
  <c r="IQ55" i="9"/>
  <c r="IQ60" i="9"/>
  <c r="IQ61" i="9"/>
  <c r="IQ63" i="9"/>
  <c r="IQ66" i="9"/>
  <c r="IQ59" i="9"/>
  <c r="EM14" i="9"/>
  <c r="EM12" i="9"/>
  <c r="EM21" i="9"/>
  <c r="EM20" i="9"/>
  <c r="EM18" i="9"/>
  <c r="EM17" i="9"/>
  <c r="EM13" i="9"/>
  <c r="EM25" i="9"/>
  <c r="EM15" i="9"/>
  <c r="EM22" i="9"/>
  <c r="EO4" i="9"/>
  <c r="EN3" i="9"/>
  <c r="EN19" i="9"/>
  <c r="EN16" i="9"/>
  <c r="EP4" i="9"/>
  <c r="EO3" i="9"/>
  <c r="IR58" i="9"/>
  <c r="IR57" i="9"/>
  <c r="IR56" i="9"/>
  <c r="IR62" i="9"/>
  <c r="IR55" i="9"/>
  <c r="IR60" i="9"/>
  <c r="IR63" i="9"/>
  <c r="IR66" i="9"/>
  <c r="IR61" i="9"/>
  <c r="IR59" i="9"/>
  <c r="EN12" i="9"/>
  <c r="EN25" i="9"/>
  <c r="EN21" i="9"/>
  <c r="EN18" i="9"/>
  <c r="EN17" i="9"/>
  <c r="EN14" i="9"/>
  <c r="EN13" i="9"/>
  <c r="EN22" i="9"/>
  <c r="EN20" i="9"/>
  <c r="EN15" i="9"/>
  <c r="IT47" i="9"/>
  <c r="IS46" i="9"/>
  <c r="EO19" i="9"/>
  <c r="EO16" i="9"/>
  <c r="IS55" i="9"/>
  <c r="IS58" i="9"/>
  <c r="IS57" i="9"/>
  <c r="IS56" i="9"/>
  <c r="IS62" i="9"/>
  <c r="IS60" i="9"/>
  <c r="IS63" i="9"/>
  <c r="IS61" i="9"/>
  <c r="IS66" i="9"/>
  <c r="IS59" i="9"/>
  <c r="EO21" i="9"/>
  <c r="EO20" i="9"/>
  <c r="EO18" i="9"/>
  <c r="EO22" i="9"/>
  <c r="EO17" i="9"/>
  <c r="EO15" i="9"/>
  <c r="EO14" i="9"/>
  <c r="EO25" i="9"/>
  <c r="EO12" i="9"/>
  <c r="EO13" i="9"/>
  <c r="IU47" i="9"/>
  <c r="IT46" i="9"/>
  <c r="EQ4" i="9"/>
  <c r="EP3" i="9"/>
  <c r="EP19" i="9"/>
  <c r="EP16" i="9"/>
  <c r="EQ3" i="9"/>
  <c r="ER4" i="9"/>
  <c r="EP12" i="9"/>
  <c r="EP21" i="9"/>
  <c r="EP20" i="9"/>
  <c r="EP18" i="9"/>
  <c r="EP17" i="9"/>
  <c r="EP15" i="9"/>
  <c r="EP14" i="9"/>
  <c r="EP25" i="9"/>
  <c r="EP22" i="9"/>
  <c r="EP13" i="9"/>
  <c r="IV47" i="9"/>
  <c r="IU46" i="9"/>
  <c r="IT59" i="9"/>
  <c r="IT55" i="9"/>
  <c r="IT58" i="9"/>
  <c r="IT57" i="9"/>
  <c r="IT56" i="9"/>
  <c r="IT62" i="9"/>
  <c r="IT60" i="9"/>
  <c r="IT63" i="9"/>
  <c r="IT61" i="9"/>
  <c r="IT66" i="9"/>
  <c r="EQ19" i="9"/>
  <c r="EQ16" i="9"/>
  <c r="IU59" i="9"/>
  <c r="IU55" i="9"/>
  <c r="IU58" i="9"/>
  <c r="IU57" i="9"/>
  <c r="IU56" i="9"/>
  <c r="IU62" i="9"/>
  <c r="IU60" i="9"/>
  <c r="IU63" i="9"/>
  <c r="IU66" i="9"/>
  <c r="IU61" i="9"/>
  <c r="IW47" i="9"/>
  <c r="IV46" i="9"/>
  <c r="IK51" i="9"/>
  <c r="ES4" i="9"/>
  <c r="EG8" i="9"/>
  <c r="ER3" i="9"/>
  <c r="EQ15" i="9"/>
  <c r="EQ14" i="9"/>
  <c r="EQ13" i="9"/>
  <c r="EQ12" i="9"/>
  <c r="EQ25" i="9"/>
  <c r="EQ22" i="9"/>
  <c r="EQ21" i="9"/>
  <c r="EQ20" i="9"/>
  <c r="EQ18" i="9"/>
  <c r="EQ17" i="9"/>
  <c r="ER19" i="9"/>
  <c r="ER16" i="9"/>
  <c r="ES3" i="9"/>
  <c r="ET4" i="9"/>
  <c r="IX47" i="9"/>
  <c r="IW46" i="9"/>
  <c r="ER12" i="9"/>
  <c r="ER13" i="9"/>
  <c r="ER18" i="9"/>
  <c r="ER17" i="9"/>
  <c r="ER14" i="9"/>
  <c r="ER15" i="9"/>
  <c r="ER22" i="9"/>
  <c r="ER25" i="9"/>
  <c r="ER20" i="9"/>
  <c r="ER21" i="9"/>
  <c r="IV55" i="9"/>
  <c r="IV59" i="9"/>
  <c r="IV58" i="9"/>
  <c r="IV57" i="9"/>
  <c r="IV56" i="9"/>
  <c r="IV62" i="9"/>
  <c r="IV60" i="9"/>
  <c r="IV63" i="9"/>
  <c r="IV66" i="9"/>
  <c r="IV61" i="9"/>
  <c r="ES19" i="9"/>
  <c r="ES16" i="9"/>
  <c r="IY47" i="9"/>
  <c r="IX46" i="9"/>
  <c r="EU4" i="9"/>
  <c r="ET3" i="9"/>
  <c r="IW55" i="9"/>
  <c r="IW59" i="9"/>
  <c r="IW58" i="9"/>
  <c r="IW57" i="9"/>
  <c r="IW56" i="9"/>
  <c r="IW62" i="9"/>
  <c r="IW66" i="9"/>
  <c r="IW63" i="9"/>
  <c r="IW61" i="9"/>
  <c r="IW60" i="9"/>
  <c r="ES17" i="9"/>
  <c r="ES21" i="9"/>
  <c r="ES12" i="9"/>
  <c r="ES22" i="9"/>
  <c r="ES13" i="9"/>
  <c r="ES25" i="9"/>
  <c r="ES15" i="9"/>
  <c r="ES14" i="9"/>
  <c r="ES18" i="9"/>
  <c r="ES20" i="9"/>
  <c r="ET19" i="9"/>
  <c r="ET16" i="9"/>
  <c r="EU3" i="9"/>
  <c r="EV4" i="9"/>
  <c r="IX57" i="9"/>
  <c r="IX55" i="9"/>
  <c r="IX59" i="9"/>
  <c r="IX56" i="9"/>
  <c r="IX58" i="9"/>
  <c r="IX62" i="9"/>
  <c r="IX63" i="9"/>
  <c r="IX61" i="9"/>
  <c r="IX66" i="9"/>
  <c r="IX60" i="9"/>
  <c r="ET25" i="9"/>
  <c r="ET13" i="9"/>
  <c r="ET12" i="9"/>
  <c r="ET22" i="9"/>
  <c r="ET21" i="9"/>
  <c r="ET20" i="9"/>
  <c r="ET18" i="9"/>
  <c r="ET17" i="9"/>
  <c r="ET15" i="9"/>
  <c r="ET14" i="9"/>
  <c r="IZ47" i="9"/>
  <c r="IY46" i="9"/>
  <c r="EU19" i="9"/>
  <c r="EU16" i="9"/>
  <c r="IZ46" i="9"/>
  <c r="JA47" i="9"/>
  <c r="IY57" i="9"/>
  <c r="IY55" i="9"/>
  <c r="IY59" i="9"/>
  <c r="IY56" i="9"/>
  <c r="IY62" i="9"/>
  <c r="IY58" i="9"/>
  <c r="IY63" i="9"/>
  <c r="IY66" i="9"/>
  <c r="IY61" i="9"/>
  <c r="IY60" i="9"/>
  <c r="EV3" i="9"/>
  <c r="EW4" i="9"/>
  <c r="EU21" i="9"/>
  <c r="EU20" i="9"/>
  <c r="EU18" i="9"/>
  <c r="EU17" i="9"/>
  <c r="EU15" i="9"/>
  <c r="EU14" i="9"/>
  <c r="EU25" i="9"/>
  <c r="EU13" i="9"/>
  <c r="EU22" i="9"/>
  <c r="EU12" i="9"/>
  <c r="EV19" i="9"/>
  <c r="EV16" i="9"/>
  <c r="EW3" i="9"/>
  <c r="EX4" i="9"/>
  <c r="EV18" i="9"/>
  <c r="EV15" i="9"/>
  <c r="EV14" i="9"/>
  <c r="EV13" i="9"/>
  <c r="EV20" i="9"/>
  <c r="EV22" i="9"/>
  <c r="EV25" i="9"/>
  <c r="EV17" i="9"/>
  <c r="EV12" i="9"/>
  <c r="EV21" i="9"/>
  <c r="JA46" i="9"/>
  <c r="JB47" i="9"/>
  <c r="IZ57" i="9"/>
  <c r="IZ55" i="9"/>
  <c r="IZ59" i="9"/>
  <c r="IZ56" i="9"/>
  <c r="IZ58" i="9"/>
  <c r="IZ62" i="9"/>
  <c r="IZ63" i="9"/>
  <c r="IZ61" i="9"/>
  <c r="IZ66" i="9"/>
  <c r="IZ60" i="9"/>
  <c r="EW19" i="9"/>
  <c r="EW16" i="9"/>
  <c r="JA59" i="9"/>
  <c r="JA55" i="9"/>
  <c r="JA60" i="9"/>
  <c r="JA61" i="9"/>
  <c r="JA58" i="9"/>
  <c r="JA57" i="9"/>
  <c r="JA56" i="9"/>
  <c r="JA62" i="9"/>
  <c r="JA63" i="9"/>
  <c r="JA66" i="9"/>
  <c r="JB46" i="9"/>
  <c r="JC47" i="9"/>
  <c r="EY4" i="9"/>
  <c r="EX3" i="9"/>
  <c r="EW20" i="9"/>
  <c r="EW18" i="9"/>
  <c r="EW21" i="9"/>
  <c r="EW17" i="9"/>
  <c r="EW25" i="9"/>
  <c r="EW15" i="9"/>
  <c r="EW14" i="9"/>
  <c r="EW12" i="9"/>
  <c r="EW13" i="9"/>
  <c r="EW22" i="9"/>
  <c r="EX19" i="9"/>
  <c r="EX16" i="9"/>
  <c r="EZ4" i="9"/>
  <c r="EY3" i="9"/>
  <c r="EX20" i="9"/>
  <c r="EX12" i="9"/>
  <c r="EX17" i="9"/>
  <c r="EX15" i="9"/>
  <c r="EX13" i="9"/>
  <c r="EX14" i="9"/>
  <c r="EX22" i="9"/>
  <c r="EX21" i="9"/>
  <c r="EX18" i="9"/>
  <c r="EX25" i="9"/>
  <c r="JC46" i="9"/>
  <c r="JD47" i="9"/>
  <c r="JB57" i="9"/>
  <c r="JB55" i="9"/>
  <c r="JB60" i="9"/>
  <c r="JB61" i="9"/>
  <c r="JB58" i="9"/>
  <c r="JB62" i="9"/>
  <c r="JB56" i="9"/>
  <c r="JB63" i="9"/>
  <c r="JB59" i="9"/>
  <c r="JB66" i="9"/>
  <c r="EY19" i="9"/>
  <c r="EY16" i="9"/>
  <c r="JD46" i="9"/>
  <c r="JE47" i="9"/>
  <c r="JC57" i="9"/>
  <c r="JC55" i="9"/>
  <c r="JC60" i="9"/>
  <c r="JC61" i="9"/>
  <c r="JC58" i="9"/>
  <c r="JC56" i="9"/>
  <c r="JC62" i="9"/>
  <c r="JC63" i="9"/>
  <c r="JC66" i="9"/>
  <c r="JC59" i="9"/>
  <c r="EY15" i="9"/>
  <c r="EY22" i="9"/>
  <c r="EY14" i="9"/>
  <c r="EY18" i="9"/>
  <c r="EY21" i="9"/>
  <c r="EY25" i="9"/>
  <c r="EY17" i="9"/>
  <c r="EY20" i="9"/>
  <c r="EY13" i="9"/>
  <c r="EY12" i="9"/>
  <c r="EZ3" i="9"/>
  <c r="FA4" i="9"/>
  <c r="EZ19" i="9"/>
  <c r="EZ16" i="9"/>
  <c r="EZ21" i="9"/>
  <c r="EZ25" i="9"/>
  <c r="EZ22" i="9"/>
  <c r="EZ14" i="9"/>
  <c r="EZ18" i="9"/>
  <c r="EZ17" i="9"/>
  <c r="EZ12" i="9"/>
  <c r="EZ20" i="9"/>
  <c r="EZ15" i="9"/>
  <c r="EZ13" i="9"/>
  <c r="FB4" i="9"/>
  <c r="FA3" i="9"/>
  <c r="JE46" i="9"/>
  <c r="JF47" i="9"/>
  <c r="JD57" i="9"/>
  <c r="JD55" i="9"/>
  <c r="JD63" i="9"/>
  <c r="JD60" i="9"/>
  <c r="JD61" i="9"/>
  <c r="JD58" i="9"/>
  <c r="JD56" i="9"/>
  <c r="JD66" i="9"/>
  <c r="JD62" i="9"/>
  <c r="JD59" i="9"/>
  <c r="FA19" i="9"/>
  <c r="FA16" i="9"/>
  <c r="JF46" i="9"/>
  <c r="JG47" i="9"/>
  <c r="JE59" i="9"/>
  <c r="JE57" i="9"/>
  <c r="JE55" i="9"/>
  <c r="JE60" i="9"/>
  <c r="JE61" i="9"/>
  <c r="JE58" i="9"/>
  <c r="JE66" i="9"/>
  <c r="JE63" i="9"/>
  <c r="JE56" i="9"/>
  <c r="JE62" i="9"/>
  <c r="FA18" i="9"/>
  <c r="FA20" i="9"/>
  <c r="FA14" i="9"/>
  <c r="FA21" i="9"/>
  <c r="FA13" i="9"/>
  <c r="FA25" i="9"/>
  <c r="FA15" i="9"/>
  <c r="FA22" i="9"/>
  <c r="FA17" i="9"/>
  <c r="FA12" i="9"/>
  <c r="FC4" i="9"/>
  <c r="FB3" i="9"/>
  <c r="FB19" i="9"/>
  <c r="FB16" i="9"/>
  <c r="FB21" i="9"/>
  <c r="FB18" i="9"/>
  <c r="FB15" i="9"/>
  <c r="FB20" i="9"/>
  <c r="FB14" i="9"/>
  <c r="FB13" i="9"/>
  <c r="FB12" i="9"/>
  <c r="FB17" i="9"/>
  <c r="FB25" i="9"/>
  <c r="FB22" i="9"/>
  <c r="FC3" i="9"/>
  <c r="FD4" i="9"/>
  <c r="JG46" i="9"/>
  <c r="JH47" i="9"/>
  <c r="JF59" i="9"/>
  <c r="JF57" i="9"/>
  <c r="JF55" i="9"/>
  <c r="JF60" i="9"/>
  <c r="JF61" i="9"/>
  <c r="JF56" i="9"/>
  <c r="JF58" i="9"/>
  <c r="JF62" i="9"/>
  <c r="JF63" i="9"/>
  <c r="JF66" i="9"/>
  <c r="FC19" i="9"/>
  <c r="FC16" i="9"/>
  <c r="FD3" i="9"/>
  <c r="ES8" i="9"/>
  <c r="FE4" i="9"/>
  <c r="JH46" i="9"/>
  <c r="JI47" i="9"/>
  <c r="IW51" i="9"/>
  <c r="FC18" i="9"/>
  <c r="FC22" i="9"/>
  <c r="FC20" i="9"/>
  <c r="FC17" i="9"/>
  <c r="FC14" i="9"/>
  <c r="FC25" i="9"/>
  <c r="FC13" i="9"/>
  <c r="FC12" i="9"/>
  <c r="FC21" i="9"/>
  <c r="FC15" i="9"/>
  <c r="JG55" i="9"/>
  <c r="JG63" i="9"/>
  <c r="JG60" i="9"/>
  <c r="JG66" i="9"/>
  <c r="JG56" i="9"/>
  <c r="JG58" i="9"/>
  <c r="JG57" i="9"/>
  <c r="JG62" i="9"/>
  <c r="JG61" i="9"/>
  <c r="JG59" i="9"/>
  <c r="FD19" i="9"/>
  <c r="FD16" i="9"/>
  <c r="JI46" i="9"/>
  <c r="JJ47" i="9"/>
  <c r="FF4" i="9"/>
  <c r="FE3" i="9"/>
  <c r="JH55" i="9"/>
  <c r="JH57" i="9"/>
  <c r="JH66" i="9"/>
  <c r="JH56" i="9"/>
  <c r="JH58" i="9"/>
  <c r="JH62" i="9"/>
  <c r="JH63" i="9"/>
  <c r="JH60" i="9"/>
  <c r="JH61" i="9"/>
  <c r="JH59" i="9"/>
  <c r="FD22" i="9"/>
  <c r="FD25" i="9"/>
  <c r="FD18" i="9"/>
  <c r="FD20" i="9"/>
  <c r="FD21" i="9"/>
  <c r="FD17" i="9"/>
  <c r="FD15" i="9"/>
  <c r="FD13" i="9"/>
  <c r="FD14" i="9"/>
  <c r="FD12" i="9"/>
  <c r="FE19" i="9"/>
  <c r="FE16" i="9"/>
  <c r="FE15" i="9"/>
  <c r="FE22" i="9"/>
  <c r="FE18" i="9"/>
  <c r="FE20" i="9"/>
  <c r="FE14" i="9"/>
  <c r="FE13" i="9"/>
  <c r="FE25" i="9"/>
  <c r="FE21" i="9"/>
  <c r="FE17" i="9"/>
  <c r="FE12" i="9"/>
  <c r="FF3" i="9"/>
  <c r="FG4" i="9"/>
  <c r="JJ46" i="9"/>
  <c r="JK47" i="9"/>
  <c r="JI55" i="9"/>
  <c r="JI57" i="9"/>
  <c r="JI66" i="9"/>
  <c r="JI56" i="9"/>
  <c r="JI58" i="9"/>
  <c r="JI63" i="9"/>
  <c r="JI62" i="9"/>
  <c r="JI61" i="9"/>
  <c r="JI59" i="9"/>
  <c r="JI60" i="9"/>
  <c r="FF19" i="9"/>
  <c r="FF16" i="9"/>
  <c r="JJ55" i="9"/>
  <c r="JJ59" i="9"/>
  <c r="JJ66" i="9"/>
  <c r="JJ56" i="9"/>
  <c r="JJ58" i="9"/>
  <c r="JJ57" i="9"/>
  <c r="JJ63" i="9"/>
  <c r="JJ62" i="9"/>
  <c r="JJ61" i="9"/>
  <c r="JJ60" i="9"/>
  <c r="FH4" i="9"/>
  <c r="FG3" i="9"/>
  <c r="JK46" i="9"/>
  <c r="JL47" i="9"/>
  <c r="FF17" i="9"/>
  <c r="FF25" i="9"/>
  <c r="FF18" i="9"/>
  <c r="FF14" i="9"/>
  <c r="FF22" i="9"/>
  <c r="FF12" i="9"/>
  <c r="FF13" i="9"/>
  <c r="FF20" i="9"/>
  <c r="FF21" i="9"/>
  <c r="FF15" i="9"/>
  <c r="FG19" i="9"/>
  <c r="FG16" i="9"/>
  <c r="JL46" i="9"/>
  <c r="JM47" i="9"/>
  <c r="FI4" i="9"/>
  <c r="FH3" i="9"/>
  <c r="FG22" i="9"/>
  <c r="FG21" i="9"/>
  <c r="FG12" i="9"/>
  <c r="FG25" i="9"/>
  <c r="FG17" i="9"/>
  <c r="FG14" i="9"/>
  <c r="FG15" i="9"/>
  <c r="FG13" i="9"/>
  <c r="FG20" i="9"/>
  <c r="FG18" i="9"/>
  <c r="JK55" i="9"/>
  <c r="JK66" i="9"/>
  <c r="JK56" i="9"/>
  <c r="JK58" i="9"/>
  <c r="JK57" i="9"/>
  <c r="JK62" i="9"/>
  <c r="JK59" i="9"/>
  <c r="JK63" i="9"/>
  <c r="JK61" i="9"/>
  <c r="JK60" i="9"/>
  <c r="FH19" i="9"/>
  <c r="FH16" i="9"/>
  <c r="JM46" i="9"/>
  <c r="JN47" i="9"/>
  <c r="FH17" i="9"/>
  <c r="FH22" i="9"/>
  <c r="FH15" i="9"/>
  <c r="FH13" i="9"/>
  <c r="FH18" i="9"/>
  <c r="FH12" i="9"/>
  <c r="FH20" i="9"/>
  <c r="FH21" i="9"/>
  <c r="FH25" i="9"/>
  <c r="FH14" i="9"/>
  <c r="FI3" i="9"/>
  <c r="FJ4" i="9"/>
  <c r="JL55" i="9"/>
  <c r="JL66" i="9"/>
  <c r="JL56" i="9"/>
  <c r="JL58" i="9"/>
  <c r="JL57" i="9"/>
  <c r="JL60" i="9"/>
  <c r="JL62" i="9"/>
  <c r="JL63" i="9"/>
  <c r="JL61" i="9"/>
  <c r="JL59" i="9"/>
  <c r="FI19" i="9"/>
  <c r="FI16" i="9"/>
  <c r="FI25" i="9"/>
  <c r="FI20" i="9"/>
  <c r="FI13" i="9"/>
  <c r="FI14" i="9"/>
  <c r="FI22" i="9"/>
  <c r="FI15" i="9"/>
  <c r="FI17" i="9"/>
  <c r="FI18" i="9"/>
  <c r="FI21" i="9"/>
  <c r="FI12" i="9"/>
  <c r="FJ3" i="9"/>
  <c r="FK4" i="9"/>
  <c r="JN46" i="9"/>
  <c r="JO47" i="9"/>
  <c r="JM55" i="9"/>
  <c r="JM63" i="9"/>
  <c r="JM66" i="9"/>
  <c r="JM56" i="9"/>
  <c r="JM58" i="9"/>
  <c r="JM57" i="9"/>
  <c r="JM59" i="9"/>
  <c r="JM60" i="9"/>
  <c r="JM62" i="9"/>
  <c r="JM61" i="9"/>
  <c r="FJ19" i="9"/>
  <c r="FJ16" i="9"/>
  <c r="FL4" i="9"/>
  <c r="FK3" i="9"/>
  <c r="JN56" i="9"/>
  <c r="JN55" i="9"/>
  <c r="JN63" i="9"/>
  <c r="JN66" i="9"/>
  <c r="JN58" i="9"/>
  <c r="JN57" i="9"/>
  <c r="JN59" i="9"/>
  <c r="JN62" i="9"/>
  <c r="JN60" i="9"/>
  <c r="JN61" i="9"/>
  <c r="JO46" i="9"/>
  <c r="JP47" i="9"/>
  <c r="FJ21" i="9"/>
  <c r="FJ12" i="9"/>
  <c r="FJ18" i="9"/>
  <c r="FJ13" i="9"/>
  <c r="FJ14" i="9"/>
  <c r="FJ25" i="9"/>
  <c r="FJ20" i="9"/>
  <c r="FJ15" i="9"/>
  <c r="FJ17" i="9"/>
  <c r="FJ22" i="9"/>
  <c r="FK19" i="9"/>
  <c r="FK16" i="9"/>
  <c r="JO58" i="9"/>
  <c r="JO56" i="9"/>
  <c r="JO55" i="9"/>
  <c r="JO61" i="9"/>
  <c r="JO63" i="9"/>
  <c r="JO66" i="9"/>
  <c r="JO57" i="9"/>
  <c r="JO59" i="9"/>
  <c r="JO60" i="9"/>
  <c r="JO62" i="9"/>
  <c r="JP46" i="9"/>
  <c r="JQ47" i="9"/>
  <c r="FK13" i="9"/>
  <c r="FK18" i="9"/>
  <c r="FK17" i="9"/>
  <c r="FK15" i="9"/>
  <c r="FK25" i="9"/>
  <c r="FK20" i="9"/>
  <c r="FK22" i="9"/>
  <c r="FK21" i="9"/>
  <c r="FK14" i="9"/>
  <c r="FK12" i="9"/>
  <c r="FM4" i="9"/>
  <c r="FL3" i="9"/>
  <c r="FL19" i="9"/>
  <c r="FL16" i="9"/>
  <c r="FL18" i="9"/>
  <c r="FL13" i="9"/>
  <c r="FL20" i="9"/>
  <c r="FL25" i="9"/>
  <c r="FL12" i="9"/>
  <c r="FL14" i="9"/>
  <c r="FL21" i="9"/>
  <c r="FL15" i="9"/>
  <c r="FL17" i="9"/>
  <c r="FL22" i="9"/>
  <c r="FM3" i="9"/>
  <c r="FN4" i="9"/>
  <c r="JQ46" i="9"/>
  <c r="JR47" i="9"/>
  <c r="JP58" i="9"/>
  <c r="JP56" i="9"/>
  <c r="JP55" i="9"/>
  <c r="JP59" i="9"/>
  <c r="JP61" i="9"/>
  <c r="JP63" i="9"/>
  <c r="JP66" i="9"/>
  <c r="JP57" i="9"/>
  <c r="JP62" i="9"/>
  <c r="JP60" i="9"/>
  <c r="FM19" i="9"/>
  <c r="FM16" i="9"/>
  <c r="JQ60" i="9"/>
  <c r="JQ58" i="9"/>
  <c r="JQ56" i="9"/>
  <c r="JQ55" i="9"/>
  <c r="JQ59" i="9"/>
  <c r="JQ61" i="9"/>
  <c r="JQ63" i="9"/>
  <c r="JQ66" i="9"/>
  <c r="JQ57" i="9"/>
  <c r="JQ62" i="9"/>
  <c r="JR46" i="9"/>
  <c r="JS47" i="9"/>
  <c r="FO4" i="9"/>
  <c r="FN3" i="9"/>
  <c r="FM21" i="9"/>
  <c r="FM12" i="9"/>
  <c r="FM22" i="9"/>
  <c r="FM20" i="9"/>
  <c r="FM18" i="9"/>
  <c r="FM25" i="9"/>
  <c r="FM13" i="9"/>
  <c r="FM17" i="9"/>
  <c r="FM14" i="9"/>
  <c r="FM15" i="9"/>
  <c r="FN19" i="9"/>
  <c r="FN16" i="9"/>
  <c r="FO3" i="9"/>
  <c r="FP4" i="9"/>
  <c r="FN13" i="9"/>
  <c r="FN20" i="9"/>
  <c r="FN14" i="9"/>
  <c r="FN15" i="9"/>
  <c r="FN17" i="9"/>
  <c r="FN18" i="9"/>
  <c r="FN21" i="9"/>
  <c r="FN12" i="9"/>
  <c r="FN22" i="9"/>
  <c r="FN25" i="9"/>
  <c r="JS46" i="9"/>
  <c r="JT47" i="9"/>
  <c r="JR56" i="9"/>
  <c r="JR62" i="9"/>
  <c r="JR55" i="9"/>
  <c r="JR59" i="9"/>
  <c r="JR61" i="9"/>
  <c r="JR63" i="9"/>
  <c r="JR58" i="9"/>
  <c r="JR66" i="9"/>
  <c r="JR57" i="9"/>
  <c r="JR60" i="9"/>
  <c r="FO19" i="9"/>
  <c r="FO16" i="9"/>
  <c r="JS58" i="9"/>
  <c r="JS56" i="9"/>
  <c r="JS62" i="9"/>
  <c r="JS55" i="9"/>
  <c r="JS59" i="9"/>
  <c r="JS61" i="9"/>
  <c r="JS63" i="9"/>
  <c r="JS66" i="9"/>
  <c r="JS57" i="9"/>
  <c r="JS60" i="9"/>
  <c r="JU47" i="9"/>
  <c r="JT46" i="9"/>
  <c r="JI51" i="9"/>
  <c r="FE8" i="9"/>
  <c r="FQ4" i="9"/>
  <c r="FP3" i="9"/>
  <c r="FO13" i="9"/>
  <c r="FO20" i="9"/>
  <c r="FO12" i="9"/>
  <c r="FO25" i="9"/>
  <c r="FO17" i="9"/>
  <c r="FO14" i="9"/>
  <c r="FO21" i="9"/>
  <c r="FO15" i="9"/>
  <c r="FO18" i="9"/>
  <c r="FO22" i="9"/>
  <c r="FP19" i="9"/>
  <c r="FP16" i="9"/>
  <c r="FP15" i="9"/>
  <c r="FP12" i="9"/>
  <c r="FP22" i="9"/>
  <c r="FP18" i="9"/>
  <c r="FP25" i="9"/>
  <c r="FP17" i="9"/>
  <c r="FP20" i="9"/>
  <c r="FP21" i="9"/>
  <c r="FP13" i="9"/>
  <c r="FP14" i="9"/>
  <c r="FQ3" i="9"/>
  <c r="FR4" i="9"/>
  <c r="JV47" i="9"/>
  <c r="JU46" i="9"/>
  <c r="JT58" i="9"/>
  <c r="JT56" i="9"/>
  <c r="JT55" i="9"/>
  <c r="JT60" i="9"/>
  <c r="JT59" i="9"/>
  <c r="JT61" i="9"/>
  <c r="JT63" i="9"/>
  <c r="JT66" i="9"/>
  <c r="JT57" i="9"/>
  <c r="JT62" i="9"/>
  <c r="FQ19" i="9"/>
  <c r="FQ16" i="9"/>
  <c r="FR3" i="9"/>
  <c r="FS4" i="9"/>
  <c r="JW47" i="9"/>
  <c r="JV46" i="9"/>
  <c r="JU58" i="9"/>
  <c r="JU56" i="9"/>
  <c r="JU62" i="9"/>
  <c r="JU60" i="9"/>
  <c r="JU55" i="9"/>
  <c r="JU59" i="9"/>
  <c r="JU61" i="9"/>
  <c r="JU63" i="9"/>
  <c r="JU66" i="9"/>
  <c r="JU57" i="9"/>
  <c r="FQ12" i="9"/>
  <c r="FQ13" i="9"/>
  <c r="FQ17" i="9"/>
  <c r="FQ14" i="9"/>
  <c r="FQ15" i="9"/>
  <c r="FQ21" i="9"/>
  <c r="FQ22" i="9"/>
  <c r="FQ18" i="9"/>
  <c r="FQ20" i="9"/>
  <c r="FQ25" i="9"/>
  <c r="FR19" i="9"/>
  <c r="FR16" i="9"/>
  <c r="FT4" i="9"/>
  <c r="FS3" i="9"/>
  <c r="JV60" i="9"/>
  <c r="JV58" i="9"/>
  <c r="JV56" i="9"/>
  <c r="JV62" i="9"/>
  <c r="JV63" i="9"/>
  <c r="JV55" i="9"/>
  <c r="JV59" i="9"/>
  <c r="JV61" i="9"/>
  <c r="JV66" i="9"/>
  <c r="JV57" i="9"/>
  <c r="JX47" i="9"/>
  <c r="JW46" i="9"/>
  <c r="FR20" i="9"/>
  <c r="FR25" i="9"/>
  <c r="FR17" i="9"/>
  <c r="FR14" i="9"/>
  <c r="FR22" i="9"/>
  <c r="FR21" i="9"/>
  <c r="FR15" i="9"/>
  <c r="FR12" i="9"/>
  <c r="FR13" i="9"/>
  <c r="FR18" i="9"/>
  <c r="FS19" i="9"/>
  <c r="FS16" i="9"/>
  <c r="JW58" i="9"/>
  <c r="JW56" i="9"/>
  <c r="JW62" i="9"/>
  <c r="JW60" i="9"/>
  <c r="JW55" i="9"/>
  <c r="JW59" i="9"/>
  <c r="JW63" i="9"/>
  <c r="JW61" i="9"/>
  <c r="JW66" i="9"/>
  <c r="JW57" i="9"/>
  <c r="JY47" i="9"/>
  <c r="JX46" i="9"/>
  <c r="FS14" i="9"/>
  <c r="FS25" i="9"/>
  <c r="FS22" i="9"/>
  <c r="FS15" i="9"/>
  <c r="FS13" i="9"/>
  <c r="FS20" i="9"/>
  <c r="FS17" i="9"/>
  <c r="FS21" i="9"/>
  <c r="FS18" i="9"/>
  <c r="FS12" i="9"/>
  <c r="FT3" i="9"/>
  <c r="FU4" i="9"/>
  <c r="FT19" i="9"/>
  <c r="FT16" i="9"/>
  <c r="JX57" i="9"/>
  <c r="JX60" i="9"/>
  <c r="JX61" i="9"/>
  <c r="JX55" i="9"/>
  <c r="JX56" i="9"/>
  <c r="JX59" i="9"/>
  <c r="JX58" i="9"/>
  <c r="JX66" i="9"/>
  <c r="JX62" i="9"/>
  <c r="JX63" i="9"/>
  <c r="FU3" i="9"/>
  <c r="FV4" i="9"/>
  <c r="FT12" i="9"/>
  <c r="FT25" i="9"/>
  <c r="FT22" i="9"/>
  <c r="FT21" i="9"/>
  <c r="FT18" i="9"/>
  <c r="FT15" i="9"/>
  <c r="FT14" i="9"/>
  <c r="FT13" i="9"/>
  <c r="FT17" i="9"/>
  <c r="FT20" i="9"/>
  <c r="JZ47" i="9"/>
  <c r="JY46" i="9"/>
  <c r="FU19" i="9"/>
  <c r="FU16" i="9"/>
  <c r="JY56" i="9"/>
  <c r="JY57" i="9"/>
  <c r="JY60" i="9"/>
  <c r="JY55" i="9"/>
  <c r="JY59" i="9"/>
  <c r="JY61" i="9"/>
  <c r="JY58" i="9"/>
  <c r="JY66" i="9"/>
  <c r="JY62" i="9"/>
  <c r="JY63" i="9"/>
  <c r="KA47" i="9"/>
  <c r="JZ46" i="9"/>
  <c r="FW4" i="9"/>
  <c r="FV3" i="9"/>
  <c r="FU15" i="9"/>
  <c r="FU13" i="9"/>
  <c r="FU14" i="9"/>
  <c r="FU22" i="9"/>
  <c r="FU20" i="9"/>
  <c r="FU25" i="9"/>
  <c r="FU17" i="9"/>
  <c r="FU21" i="9"/>
  <c r="FU12" i="9"/>
  <c r="FU18" i="9"/>
  <c r="FV19" i="9"/>
  <c r="FV16" i="9"/>
  <c r="FV17" i="9"/>
  <c r="FV20" i="9"/>
  <c r="FV13" i="9"/>
  <c r="FV14" i="9"/>
  <c r="FV21" i="9"/>
  <c r="FV18" i="9"/>
  <c r="FV12" i="9"/>
  <c r="FV25" i="9"/>
  <c r="FV15" i="9"/>
  <c r="FV22" i="9"/>
  <c r="KB47" i="9"/>
  <c r="KA46" i="9"/>
  <c r="FW3" i="9"/>
  <c r="FX4" i="9"/>
  <c r="JZ56" i="9"/>
  <c r="JZ57" i="9"/>
  <c r="JZ60" i="9"/>
  <c r="JZ55" i="9"/>
  <c r="JZ59" i="9"/>
  <c r="JZ61" i="9"/>
  <c r="JZ66" i="9"/>
  <c r="JZ63" i="9"/>
  <c r="JZ58" i="9"/>
  <c r="JZ62" i="9"/>
  <c r="FW19" i="9"/>
  <c r="FW16" i="9"/>
  <c r="FW14" i="9"/>
  <c r="FW13" i="9"/>
  <c r="FW12" i="9"/>
  <c r="FW18" i="9"/>
  <c r="FW25" i="9"/>
  <c r="FW15" i="9"/>
  <c r="FW17" i="9"/>
  <c r="FW22" i="9"/>
  <c r="FW20" i="9"/>
  <c r="FW21" i="9"/>
  <c r="KA56" i="9"/>
  <c r="KA62" i="9"/>
  <c r="KA57" i="9"/>
  <c r="KA60" i="9"/>
  <c r="KA55" i="9"/>
  <c r="KA59" i="9"/>
  <c r="KA61" i="9"/>
  <c r="KA66" i="9"/>
  <c r="KA58" i="9"/>
  <c r="KA63" i="9"/>
  <c r="FY4" i="9"/>
  <c r="FX3" i="9"/>
  <c r="KC47" i="9"/>
  <c r="KB46" i="9"/>
  <c r="FX19" i="9"/>
  <c r="FX16" i="9"/>
  <c r="FX25" i="9"/>
  <c r="FX15" i="9"/>
  <c r="FX12" i="9"/>
  <c r="FX21" i="9"/>
  <c r="FX17" i="9"/>
  <c r="FX13" i="9"/>
  <c r="FX22" i="9"/>
  <c r="FX20" i="9"/>
  <c r="FX14" i="9"/>
  <c r="FX18" i="9"/>
  <c r="KD47" i="9"/>
  <c r="KC46" i="9"/>
  <c r="KB55" i="9"/>
  <c r="KB57" i="9"/>
  <c r="KB56" i="9"/>
  <c r="KB62" i="9"/>
  <c r="KB60" i="9"/>
  <c r="KB59" i="9"/>
  <c r="KB66" i="9"/>
  <c r="KB61" i="9"/>
  <c r="KB58" i="9"/>
  <c r="KB63" i="9"/>
  <c r="FY3" i="9"/>
  <c r="FZ4" i="9"/>
  <c r="FY19" i="9"/>
  <c r="FY16" i="9"/>
  <c r="FY22" i="9"/>
  <c r="FY21" i="9"/>
  <c r="FY14" i="9"/>
  <c r="FY25" i="9"/>
  <c r="FY12" i="9"/>
  <c r="FY17" i="9"/>
  <c r="FY13" i="9"/>
  <c r="FY15" i="9"/>
  <c r="FY18" i="9"/>
  <c r="FY20" i="9"/>
  <c r="KC55" i="9"/>
  <c r="KC58" i="9"/>
  <c r="KC59" i="9"/>
  <c r="KC57" i="9"/>
  <c r="KC56" i="9"/>
  <c r="KC62" i="9"/>
  <c r="KC60" i="9"/>
  <c r="KC61" i="9"/>
  <c r="KC66" i="9"/>
  <c r="KC63" i="9"/>
  <c r="FZ3" i="9"/>
  <c r="GA4" i="9"/>
  <c r="KE47" i="9"/>
  <c r="KD46" i="9"/>
  <c r="FZ19" i="9"/>
  <c r="FZ16" i="9"/>
  <c r="FZ22" i="9"/>
  <c r="FZ20" i="9"/>
  <c r="FZ17" i="9"/>
  <c r="FZ18" i="9"/>
  <c r="FZ14" i="9"/>
  <c r="FZ21" i="9"/>
  <c r="FZ25" i="9"/>
  <c r="FZ13" i="9"/>
  <c r="FZ15" i="9"/>
  <c r="FZ12" i="9"/>
  <c r="GB4" i="9"/>
  <c r="GA3" i="9"/>
  <c r="KD57" i="9"/>
  <c r="KD55" i="9"/>
  <c r="KD58" i="9"/>
  <c r="KD59" i="9"/>
  <c r="KD56" i="9"/>
  <c r="KD62" i="9"/>
  <c r="KD60" i="9"/>
  <c r="KD63" i="9"/>
  <c r="KD66" i="9"/>
  <c r="KD61" i="9"/>
  <c r="KF47" i="9"/>
  <c r="KE46" i="9"/>
  <c r="GA19" i="9"/>
  <c r="GA16" i="9"/>
  <c r="KG47" i="9"/>
  <c r="KF46" i="9"/>
  <c r="JU51" i="9"/>
  <c r="KE57" i="9"/>
  <c r="KE55" i="9"/>
  <c r="KE58" i="9"/>
  <c r="KE59" i="9"/>
  <c r="KE56" i="9"/>
  <c r="KE62" i="9"/>
  <c r="KE60" i="9"/>
  <c r="KE63" i="9"/>
  <c r="KE66" i="9"/>
  <c r="KE61" i="9"/>
  <c r="GA13" i="9"/>
  <c r="GA14" i="9"/>
  <c r="GA18" i="9"/>
  <c r="GA17" i="9"/>
  <c r="GA21" i="9"/>
  <c r="GA25" i="9"/>
  <c r="GA12" i="9"/>
  <c r="GA22" i="9"/>
  <c r="GA20" i="9"/>
  <c r="GA15" i="9"/>
  <c r="FQ8" i="9"/>
  <c r="GC4" i="9"/>
  <c r="GB3" i="9"/>
  <c r="GB19" i="9"/>
  <c r="GB16" i="9"/>
  <c r="GB22" i="9"/>
  <c r="GB21" i="9"/>
  <c r="GB18" i="9"/>
  <c r="GB17" i="9"/>
  <c r="GB20" i="9"/>
  <c r="GB15" i="9"/>
  <c r="GB12" i="9"/>
  <c r="GB14" i="9"/>
  <c r="GB13" i="9"/>
  <c r="GB25" i="9"/>
  <c r="GD4" i="9"/>
  <c r="GC3" i="9"/>
  <c r="KF57" i="9"/>
  <c r="KF55" i="9"/>
  <c r="KF58" i="9"/>
  <c r="KF59" i="9"/>
  <c r="KF56" i="9"/>
  <c r="KF62" i="9"/>
  <c r="KF60" i="9"/>
  <c r="KF61" i="9"/>
  <c r="KF63" i="9"/>
  <c r="KF66" i="9"/>
  <c r="KG46" i="9"/>
  <c r="KH47" i="9"/>
  <c r="GC19" i="9"/>
  <c r="GC16" i="9"/>
  <c r="KH46" i="9"/>
  <c r="KI47" i="9"/>
  <c r="KG59" i="9"/>
  <c r="KG55" i="9"/>
  <c r="KG61" i="9"/>
  <c r="KG57" i="9"/>
  <c r="KG58" i="9"/>
  <c r="KG56" i="9"/>
  <c r="KG62" i="9"/>
  <c r="KG60" i="9"/>
  <c r="KG63" i="9"/>
  <c r="KG66" i="9"/>
  <c r="GC12" i="9"/>
  <c r="GC13" i="9"/>
  <c r="GC17" i="9"/>
  <c r="GC18" i="9"/>
  <c r="GC20" i="9"/>
  <c r="GC21" i="9"/>
  <c r="GC22" i="9"/>
  <c r="GC25" i="9"/>
  <c r="GC15" i="9"/>
  <c r="GC14" i="9"/>
  <c r="GD3" i="9"/>
  <c r="GE4" i="9"/>
  <c r="GD19" i="9"/>
  <c r="GD16" i="9"/>
  <c r="GF4" i="9"/>
  <c r="GE3" i="9"/>
  <c r="KI46" i="9"/>
  <c r="KJ47" i="9"/>
  <c r="GD12" i="9"/>
  <c r="GD22" i="9"/>
  <c r="GD14" i="9"/>
  <c r="GD17" i="9"/>
  <c r="GD20" i="9"/>
  <c r="GD25" i="9"/>
  <c r="GD18" i="9"/>
  <c r="GD15" i="9"/>
  <c r="GD21" i="9"/>
  <c r="GD13" i="9"/>
  <c r="KH57" i="9"/>
  <c r="KH55" i="9"/>
  <c r="KH61" i="9"/>
  <c r="KH59" i="9"/>
  <c r="KH58" i="9"/>
  <c r="KH56" i="9"/>
  <c r="KH62" i="9"/>
  <c r="KH60" i="9"/>
  <c r="KH66" i="9"/>
  <c r="KH63" i="9"/>
  <c r="GE19" i="9"/>
  <c r="GE16" i="9"/>
  <c r="KI57" i="9"/>
  <c r="KI55" i="9"/>
  <c r="KI60" i="9"/>
  <c r="KI61" i="9"/>
  <c r="KI59" i="9"/>
  <c r="KI58" i="9"/>
  <c r="KI56" i="9"/>
  <c r="KI62" i="9"/>
  <c r="KI63" i="9"/>
  <c r="KI66" i="9"/>
  <c r="KJ46" i="9"/>
  <c r="KK47" i="9"/>
  <c r="GE22" i="9"/>
  <c r="GE12" i="9"/>
  <c r="GE18" i="9"/>
  <c r="GE14" i="9"/>
  <c r="GE21" i="9"/>
  <c r="GE20" i="9"/>
  <c r="GE17" i="9"/>
  <c r="GE15" i="9"/>
  <c r="GE13" i="9"/>
  <c r="GE25" i="9"/>
  <c r="GG4" i="9"/>
  <c r="GF3" i="9"/>
  <c r="GF19" i="9"/>
  <c r="GF16" i="9"/>
  <c r="GF20" i="9"/>
  <c r="GF17" i="9"/>
  <c r="GF14" i="9"/>
  <c r="GF25" i="9"/>
  <c r="GF13" i="9"/>
  <c r="GF22" i="9"/>
  <c r="GF18" i="9"/>
  <c r="GF12" i="9"/>
  <c r="GF15" i="9"/>
  <c r="GF21" i="9"/>
  <c r="KK46" i="9"/>
  <c r="KL47" i="9"/>
  <c r="GH4" i="9"/>
  <c r="GG3" i="9"/>
  <c r="KJ57" i="9"/>
  <c r="KJ55" i="9"/>
  <c r="KJ60" i="9"/>
  <c r="KJ63" i="9"/>
  <c r="KJ61" i="9"/>
  <c r="KJ59" i="9"/>
  <c r="KJ58" i="9"/>
  <c r="KJ62" i="9"/>
  <c r="KJ56" i="9"/>
  <c r="KJ66" i="9"/>
  <c r="GG19" i="9"/>
  <c r="GG16" i="9"/>
  <c r="KK59" i="9"/>
  <c r="KK57" i="9"/>
  <c r="KK55" i="9"/>
  <c r="KK60" i="9"/>
  <c r="KK61" i="9"/>
  <c r="KK58" i="9"/>
  <c r="KK56" i="9"/>
  <c r="KK62" i="9"/>
  <c r="KK63" i="9"/>
  <c r="KK66" i="9"/>
  <c r="GG14" i="9"/>
  <c r="GG22" i="9"/>
  <c r="GG12" i="9"/>
  <c r="GG20" i="9"/>
  <c r="GG21" i="9"/>
  <c r="GG15" i="9"/>
  <c r="GG18" i="9"/>
  <c r="GG17" i="9"/>
  <c r="GG25" i="9"/>
  <c r="GG13" i="9"/>
  <c r="GH3" i="9"/>
  <c r="GI4" i="9"/>
  <c r="KL46" i="9"/>
  <c r="KM47" i="9"/>
  <c r="GH19" i="9"/>
  <c r="GH16" i="9"/>
  <c r="GI3" i="9"/>
  <c r="GJ4" i="9"/>
  <c r="GH20" i="9"/>
  <c r="GH25" i="9"/>
  <c r="GH18" i="9"/>
  <c r="GH15" i="9"/>
  <c r="GH17" i="9"/>
  <c r="GH13" i="9"/>
  <c r="GH22" i="9"/>
  <c r="GH12" i="9"/>
  <c r="GH21" i="9"/>
  <c r="GH14" i="9"/>
  <c r="KM46" i="9"/>
  <c r="KN47" i="9"/>
  <c r="KL59" i="9"/>
  <c r="KL57" i="9"/>
  <c r="KL60" i="9"/>
  <c r="KL61" i="9"/>
  <c r="KL56" i="9"/>
  <c r="KL55" i="9"/>
  <c r="KL66" i="9"/>
  <c r="KL63" i="9"/>
  <c r="KL62" i="9"/>
  <c r="KL58" i="9"/>
  <c r="GI19" i="9"/>
  <c r="GI16" i="9"/>
  <c r="KM57" i="9"/>
  <c r="KM60" i="9"/>
  <c r="KM63" i="9"/>
  <c r="KM56" i="9"/>
  <c r="KM66" i="9"/>
  <c r="KM62" i="9"/>
  <c r="KM55" i="9"/>
  <c r="KM59" i="9"/>
  <c r="KM61" i="9"/>
  <c r="KM58" i="9"/>
  <c r="KN46" i="9"/>
  <c r="KO47" i="9"/>
  <c r="GJ3" i="9"/>
  <c r="GK4" i="9"/>
  <c r="GI13" i="9"/>
  <c r="GI14" i="9"/>
  <c r="GI22" i="9"/>
  <c r="GI21" i="9"/>
  <c r="GI18" i="9"/>
  <c r="GI15" i="9"/>
  <c r="GI12" i="9"/>
  <c r="GI25" i="9"/>
  <c r="GI17" i="9"/>
  <c r="GI20" i="9"/>
  <c r="GJ19" i="9"/>
  <c r="GJ16" i="9"/>
  <c r="GJ18" i="9"/>
  <c r="GJ25" i="9"/>
  <c r="GJ14" i="9"/>
  <c r="GJ13" i="9"/>
  <c r="GJ12" i="9"/>
  <c r="GJ17" i="9"/>
  <c r="GJ20" i="9"/>
  <c r="GJ22" i="9"/>
  <c r="GJ15" i="9"/>
  <c r="GJ21" i="9"/>
  <c r="KN57" i="9"/>
  <c r="KN60" i="9"/>
  <c r="KN56" i="9"/>
  <c r="KN66" i="9"/>
  <c r="KN55" i="9"/>
  <c r="KN59" i="9"/>
  <c r="KN61" i="9"/>
  <c r="KN63" i="9"/>
  <c r="KN62" i="9"/>
  <c r="KN58" i="9"/>
  <c r="GL4" i="9"/>
  <c r="GK3" i="9"/>
  <c r="KO46" i="9"/>
  <c r="KP47" i="9"/>
  <c r="GK19" i="9"/>
  <c r="GK16" i="9"/>
  <c r="KP46" i="9"/>
  <c r="KQ47" i="9"/>
  <c r="KO57" i="9"/>
  <c r="KO60" i="9"/>
  <c r="KO58" i="9"/>
  <c r="KO56" i="9"/>
  <c r="KO66" i="9"/>
  <c r="KO55" i="9"/>
  <c r="KO59" i="9"/>
  <c r="KO61" i="9"/>
  <c r="KO63" i="9"/>
  <c r="KO62" i="9"/>
  <c r="GL3" i="9"/>
  <c r="GM4" i="9"/>
  <c r="GK20" i="9"/>
  <c r="GK25" i="9"/>
  <c r="GK22" i="9"/>
  <c r="GK18" i="9"/>
  <c r="GK15" i="9"/>
  <c r="GK13" i="9"/>
  <c r="GK17" i="9"/>
  <c r="GK21" i="9"/>
  <c r="GK14" i="9"/>
  <c r="GK12" i="9"/>
  <c r="GL19" i="9"/>
  <c r="GL16" i="9"/>
  <c r="GM3" i="9"/>
  <c r="GN4" i="9"/>
  <c r="KQ46" i="9"/>
  <c r="KR47" i="9"/>
  <c r="GL13" i="9"/>
  <c r="GL15" i="9"/>
  <c r="GL17" i="9"/>
  <c r="GL22" i="9"/>
  <c r="GL18" i="9"/>
  <c r="GL14" i="9"/>
  <c r="GL25" i="9"/>
  <c r="GL12" i="9"/>
  <c r="GL20" i="9"/>
  <c r="GL21" i="9"/>
  <c r="KP57" i="9"/>
  <c r="KP58" i="9"/>
  <c r="KP66" i="9"/>
  <c r="KP56" i="9"/>
  <c r="KP60" i="9"/>
  <c r="KP55" i="9"/>
  <c r="KP59" i="9"/>
  <c r="KP63" i="9"/>
  <c r="KP61" i="9"/>
  <c r="KP62" i="9"/>
  <c r="GM19" i="9"/>
  <c r="GM16" i="9"/>
  <c r="KR46" i="9"/>
  <c r="KG51" i="9"/>
  <c r="KQ57" i="9"/>
  <c r="KQ66" i="9"/>
  <c r="KQ56" i="9"/>
  <c r="KQ60" i="9"/>
  <c r="KQ55" i="9"/>
  <c r="KQ59" i="9"/>
  <c r="KQ61" i="9"/>
  <c r="KQ63" i="9"/>
  <c r="KQ62" i="9"/>
  <c r="KQ58" i="9"/>
  <c r="GC8" i="9"/>
  <c r="GO4" i="9"/>
  <c r="GN3" i="9"/>
  <c r="GM17" i="9"/>
  <c r="GM22" i="9"/>
  <c r="GM14" i="9"/>
  <c r="GM21" i="9"/>
  <c r="GM18" i="9"/>
  <c r="GM13" i="9"/>
  <c r="GM20" i="9"/>
  <c r="GM25" i="9"/>
  <c r="GM15" i="9"/>
  <c r="GM12" i="9"/>
  <c r="GN19" i="9"/>
  <c r="GN16" i="9"/>
  <c r="GO3" i="9"/>
  <c r="GP4" i="9"/>
  <c r="GN14" i="9"/>
  <c r="GN15" i="9"/>
  <c r="GN21" i="9"/>
  <c r="GN17" i="9"/>
  <c r="GN25" i="9"/>
  <c r="GN13" i="9"/>
  <c r="GN12" i="9"/>
  <c r="GN22" i="9"/>
  <c r="GN20" i="9"/>
  <c r="GN18" i="9"/>
  <c r="KR57" i="9"/>
  <c r="KR66" i="9"/>
  <c r="KR56" i="9"/>
  <c r="KR60" i="9"/>
  <c r="KR55" i="9"/>
  <c r="KR59" i="9"/>
  <c r="KR61" i="9"/>
  <c r="KR63" i="9"/>
  <c r="KR62" i="9"/>
  <c r="KR58" i="9"/>
  <c r="GO19" i="9"/>
  <c r="GO16" i="9"/>
  <c r="GP3" i="9"/>
  <c r="GQ4" i="9"/>
  <c r="GO22" i="9"/>
  <c r="GO21" i="9"/>
  <c r="GO15" i="9"/>
  <c r="GO14" i="9"/>
  <c r="GO20" i="9"/>
  <c r="GO13" i="9"/>
  <c r="GO18" i="9"/>
  <c r="GO17" i="9"/>
  <c r="GO12" i="9"/>
  <c r="GO25" i="9"/>
  <c r="GP19" i="9"/>
  <c r="GP16" i="9"/>
  <c r="GQ3" i="9"/>
  <c r="GR4" i="9"/>
  <c r="GP13" i="9"/>
  <c r="GP25" i="9"/>
  <c r="GP20" i="9"/>
  <c r="GP22" i="9"/>
  <c r="GP17" i="9"/>
  <c r="GP15" i="9"/>
  <c r="GP21" i="9"/>
  <c r="GP14" i="9"/>
  <c r="GP12" i="9"/>
  <c r="GP18" i="9"/>
  <c r="GQ19" i="9"/>
  <c r="GQ16" i="9"/>
  <c r="GS4" i="9"/>
  <c r="GR3" i="9"/>
  <c r="GQ15" i="9"/>
  <c r="GQ22" i="9"/>
  <c r="GQ21" i="9"/>
  <c r="GQ13" i="9"/>
  <c r="GQ12" i="9"/>
  <c r="GQ20" i="9"/>
  <c r="GQ25" i="9"/>
  <c r="GQ18" i="9"/>
  <c r="GQ14" i="9"/>
  <c r="GQ17" i="9"/>
  <c r="GR19" i="9"/>
  <c r="GR16" i="9"/>
  <c r="GR21" i="9"/>
  <c r="GR18" i="9"/>
  <c r="GR17" i="9"/>
  <c r="GR12" i="9"/>
  <c r="GR14" i="9"/>
  <c r="GR13" i="9"/>
  <c r="GR20" i="9"/>
  <c r="GR25" i="9"/>
  <c r="GR22" i="9"/>
  <c r="GR15" i="9"/>
  <c r="GS3" i="9"/>
  <c r="GT4" i="9"/>
  <c r="GS19" i="9"/>
  <c r="GS16" i="9"/>
  <c r="GT3" i="9"/>
  <c r="GU4" i="9"/>
  <c r="GS14" i="9"/>
  <c r="GS12" i="9"/>
  <c r="GS25" i="9"/>
  <c r="GS13" i="9"/>
  <c r="GS22" i="9"/>
  <c r="GS17" i="9"/>
  <c r="GS21" i="9"/>
  <c r="GS18" i="9"/>
  <c r="GS20" i="9"/>
  <c r="GS15" i="9"/>
  <c r="GT19" i="9"/>
  <c r="GT16" i="9"/>
  <c r="GV4" i="9"/>
  <c r="GU3" i="9"/>
  <c r="GT15" i="9"/>
  <c r="GT13" i="9"/>
  <c r="GT20" i="9"/>
  <c r="GT14" i="9"/>
  <c r="GT25" i="9"/>
  <c r="GT18" i="9"/>
  <c r="GT17" i="9"/>
  <c r="GT21" i="9"/>
  <c r="GT22" i="9"/>
  <c r="GT12" i="9"/>
  <c r="GU19" i="9"/>
  <c r="GU16" i="9"/>
  <c r="GU22" i="9"/>
  <c r="GU25" i="9"/>
  <c r="GU12" i="9"/>
  <c r="GU21" i="9"/>
  <c r="GU18" i="9"/>
  <c r="GU15" i="9"/>
  <c r="GU17" i="9"/>
  <c r="GU13" i="9"/>
  <c r="GU20" i="9"/>
  <c r="GU14" i="9"/>
  <c r="GV3" i="9"/>
  <c r="GW4" i="9"/>
  <c r="GV19" i="9"/>
  <c r="GV16" i="9"/>
  <c r="GW3" i="9"/>
  <c r="GX4" i="9"/>
  <c r="GV22" i="9"/>
  <c r="GV18" i="9"/>
  <c r="GV25" i="9"/>
  <c r="GV15" i="9"/>
  <c r="GV21" i="9"/>
  <c r="GV13" i="9"/>
  <c r="GV14" i="9"/>
  <c r="GV17" i="9"/>
  <c r="GV20" i="9"/>
  <c r="GV12" i="9"/>
  <c r="GW19" i="9"/>
  <c r="GW16" i="9"/>
  <c r="GX3" i="9"/>
  <c r="GY4" i="9"/>
  <c r="GW13" i="9"/>
  <c r="GW12" i="9"/>
  <c r="GW17" i="9"/>
  <c r="GW20" i="9"/>
  <c r="GW14" i="9"/>
  <c r="GW15" i="9"/>
  <c r="GW22" i="9"/>
  <c r="GW21" i="9"/>
  <c r="GW18" i="9"/>
  <c r="GW25" i="9"/>
  <c r="GX19" i="9"/>
  <c r="GX16" i="9"/>
  <c r="GZ4" i="9"/>
  <c r="GY3" i="9"/>
  <c r="GX25" i="9"/>
  <c r="GX22" i="9"/>
  <c r="GX21" i="9"/>
  <c r="GX15" i="9"/>
  <c r="GX12" i="9"/>
  <c r="GX20" i="9"/>
  <c r="GX17" i="9"/>
  <c r="GX13" i="9"/>
  <c r="GX18" i="9"/>
  <c r="GX14" i="9"/>
  <c r="GY19" i="9"/>
  <c r="GY16" i="9"/>
  <c r="GY15" i="9"/>
  <c r="GY17" i="9"/>
  <c r="GY14" i="9"/>
  <c r="GY20" i="9"/>
  <c r="GY18" i="9"/>
  <c r="GY22" i="9"/>
  <c r="GY21" i="9"/>
  <c r="GY25" i="9"/>
  <c r="GY13" i="9"/>
  <c r="GY12" i="9"/>
  <c r="HA4" i="9"/>
  <c r="GO8" i="9"/>
  <c r="GZ3" i="9"/>
  <c r="GZ19" i="9"/>
  <c r="GZ16" i="9"/>
  <c r="GZ12" i="9"/>
  <c r="GZ17" i="9"/>
  <c r="GZ25" i="9"/>
  <c r="GZ13" i="9"/>
  <c r="GZ20" i="9"/>
  <c r="GZ22" i="9"/>
  <c r="GZ15" i="9"/>
  <c r="GZ18" i="9"/>
  <c r="GZ14" i="9"/>
  <c r="GZ21" i="9"/>
  <c r="HA3" i="9"/>
  <c r="HB4" i="9"/>
  <c r="HA19" i="9"/>
  <c r="HA16" i="9"/>
  <c r="HA14" i="9"/>
  <c r="HA13" i="9"/>
  <c r="HA12" i="9"/>
  <c r="HA17" i="9"/>
  <c r="HA15" i="9"/>
  <c r="HA22" i="9"/>
  <c r="HA25" i="9"/>
  <c r="HA21" i="9"/>
  <c r="HA20" i="9"/>
  <c r="HA18" i="9"/>
  <c r="HC4" i="9"/>
  <c r="HB3" i="9"/>
  <c r="HB19" i="9"/>
  <c r="HB16" i="9"/>
  <c r="HB21" i="9"/>
  <c r="HB25" i="9"/>
  <c r="HB20" i="9"/>
  <c r="HB12" i="9"/>
  <c r="HB18" i="9"/>
  <c r="HB15" i="9"/>
  <c r="HB13" i="9"/>
  <c r="HB14" i="9"/>
  <c r="HB22" i="9"/>
  <c r="HB17" i="9"/>
  <c r="HD4" i="9"/>
  <c r="HC3" i="9"/>
  <c r="HC19" i="9"/>
  <c r="HC16" i="9"/>
  <c r="HC12" i="9"/>
  <c r="HC22" i="9"/>
  <c r="HC21" i="9"/>
  <c r="HC17" i="9"/>
  <c r="HC15" i="9"/>
  <c r="HC25" i="9"/>
  <c r="HC13" i="9"/>
  <c r="HC14" i="9"/>
  <c r="HC20" i="9"/>
  <c r="HC18" i="9"/>
  <c r="HE4" i="9"/>
  <c r="HD3" i="9"/>
  <c r="HD19" i="9"/>
  <c r="HD16" i="9"/>
  <c r="HD22" i="9"/>
  <c r="HD15" i="9"/>
  <c r="HD14" i="9"/>
  <c r="HD13" i="9"/>
  <c r="HD12" i="9"/>
  <c r="HD17" i="9"/>
  <c r="HD25" i="9"/>
  <c r="HD18" i="9"/>
  <c r="HD20" i="9"/>
  <c r="HD21" i="9"/>
  <c r="HF4" i="9"/>
  <c r="HE3" i="9"/>
  <c r="HE19" i="9"/>
  <c r="HE16" i="9"/>
  <c r="HG4" i="9"/>
  <c r="HF3" i="9"/>
  <c r="HE12" i="9"/>
  <c r="HE13" i="9"/>
  <c r="HE21" i="9"/>
  <c r="HE25" i="9"/>
  <c r="HE18" i="9"/>
  <c r="HE17" i="9"/>
  <c r="HE14" i="9"/>
  <c r="HE20" i="9"/>
  <c r="HE15" i="9"/>
  <c r="HE22" i="9"/>
  <c r="HF19" i="9"/>
  <c r="HF16" i="9"/>
  <c r="HF14" i="9"/>
  <c r="HF25" i="9"/>
  <c r="HF17" i="9"/>
  <c r="HF13" i="9"/>
  <c r="HF22" i="9"/>
  <c r="HF21" i="9"/>
  <c r="HF15" i="9"/>
  <c r="HF20" i="9"/>
  <c r="HF18" i="9"/>
  <c r="HF12" i="9"/>
  <c r="HH4" i="9"/>
  <c r="HG3" i="9"/>
  <c r="HG19" i="9"/>
  <c r="HG16" i="9"/>
  <c r="HG18" i="9"/>
  <c r="HG12" i="9"/>
  <c r="HG14" i="9"/>
  <c r="HG15" i="9"/>
  <c r="HG22" i="9"/>
  <c r="HG25" i="9"/>
  <c r="HG13" i="9"/>
  <c r="HG21" i="9"/>
  <c r="HG20" i="9"/>
  <c r="HG17" i="9"/>
  <c r="HI4" i="9"/>
  <c r="HH3" i="9"/>
  <c r="HH19" i="9"/>
  <c r="HH16" i="9"/>
  <c r="HJ4" i="9"/>
  <c r="HI3" i="9"/>
  <c r="HH25" i="9"/>
  <c r="HH14" i="9"/>
  <c r="HH13" i="9"/>
  <c r="HH22" i="9"/>
  <c r="HH12" i="9"/>
  <c r="HH18" i="9"/>
  <c r="HH21" i="9"/>
  <c r="HH15" i="9"/>
  <c r="HH20" i="9"/>
  <c r="HH17" i="9"/>
  <c r="HI19" i="9"/>
  <c r="HI16" i="9"/>
  <c r="HI15" i="9"/>
  <c r="HI18" i="9"/>
  <c r="HI21" i="9"/>
  <c r="HI17" i="9"/>
  <c r="HI20" i="9"/>
  <c r="HI22" i="9"/>
  <c r="HI25" i="9"/>
  <c r="HI13" i="9"/>
  <c r="HI12" i="9"/>
  <c r="HI14" i="9"/>
  <c r="HJ3" i="9"/>
  <c r="HK4" i="9"/>
  <c r="HJ19" i="9"/>
  <c r="HJ16" i="9"/>
  <c r="HJ21" i="9"/>
  <c r="HJ25" i="9"/>
  <c r="HJ14" i="9"/>
  <c r="HJ13" i="9"/>
  <c r="HJ15" i="9"/>
  <c r="HJ22" i="9"/>
  <c r="HJ12" i="9"/>
  <c r="HJ20" i="9"/>
  <c r="HJ18" i="9"/>
  <c r="HJ17" i="9"/>
  <c r="HL4" i="9"/>
  <c r="HK3" i="9"/>
  <c r="HK19" i="9"/>
  <c r="HK16" i="9"/>
  <c r="HA8" i="9"/>
  <c r="HL3" i="9"/>
  <c r="HM4" i="9"/>
  <c r="HK18" i="9"/>
  <c r="HK13" i="9"/>
  <c r="HK25" i="9"/>
  <c r="HK21" i="9"/>
  <c r="HK22" i="9"/>
  <c r="HK12" i="9"/>
  <c r="HK14" i="9"/>
  <c r="HK20" i="9"/>
  <c r="HK15" i="9"/>
  <c r="HK17" i="9"/>
  <c r="HL19" i="9"/>
  <c r="HL16" i="9"/>
  <c r="HN4" i="9"/>
  <c r="HM3" i="9"/>
  <c r="HL15" i="9"/>
  <c r="HL14" i="9"/>
  <c r="HL13" i="9"/>
  <c r="HL22" i="9"/>
  <c r="HL17" i="9"/>
  <c r="HL18" i="9"/>
  <c r="HL21" i="9"/>
  <c r="HL20" i="9"/>
  <c r="HL25" i="9"/>
  <c r="HL12" i="9"/>
  <c r="HM19" i="9"/>
  <c r="HM16" i="9"/>
  <c r="HM12" i="9"/>
  <c r="HM13" i="9"/>
  <c r="HM22" i="9"/>
  <c r="HM21" i="9"/>
  <c r="HM20" i="9"/>
  <c r="HM18" i="9"/>
  <c r="HM17" i="9"/>
  <c r="HM15" i="9"/>
  <c r="HM14" i="9"/>
  <c r="HM25" i="9"/>
  <c r="HO4" i="9"/>
  <c r="HN3" i="9"/>
  <c r="HN19" i="9"/>
  <c r="HN16" i="9"/>
  <c r="HP4" i="9"/>
  <c r="HO3" i="9"/>
  <c r="HN25" i="9"/>
  <c r="HN14" i="9"/>
  <c r="HN13" i="9"/>
  <c r="HN22" i="9"/>
  <c r="HN12" i="9"/>
  <c r="HN21" i="9"/>
  <c r="HN18" i="9"/>
  <c r="HN17" i="9"/>
  <c r="HN15" i="9"/>
  <c r="HN20" i="9"/>
  <c r="HO19" i="9"/>
  <c r="HO16" i="9"/>
  <c r="HO22" i="9"/>
  <c r="HO21" i="9"/>
  <c r="HO20" i="9"/>
  <c r="HO13" i="9"/>
  <c r="HO15" i="9"/>
  <c r="HO14" i="9"/>
  <c r="HO25" i="9"/>
  <c r="HO12" i="9"/>
  <c r="HO18" i="9"/>
  <c r="HO17" i="9"/>
  <c r="HP3" i="9"/>
  <c r="HQ4" i="9"/>
  <c r="HP19" i="9"/>
  <c r="HP16" i="9"/>
  <c r="HR4" i="9"/>
  <c r="HQ3" i="9"/>
  <c r="HP20" i="9"/>
  <c r="HP17" i="9"/>
  <c r="HP25" i="9"/>
  <c r="HP12" i="9"/>
  <c r="HP21" i="9"/>
  <c r="HP15" i="9"/>
  <c r="HP14" i="9"/>
  <c r="HP22" i="9"/>
  <c r="HP18" i="9"/>
  <c r="HP13" i="9"/>
  <c r="HQ19" i="9"/>
  <c r="HQ16" i="9"/>
  <c r="HQ21" i="9"/>
  <c r="HQ12" i="9"/>
  <c r="HQ22" i="9"/>
  <c r="HQ18" i="9"/>
  <c r="HQ15" i="9"/>
  <c r="HQ14" i="9"/>
  <c r="HQ25" i="9"/>
  <c r="HQ13" i="9"/>
  <c r="HQ20" i="9"/>
  <c r="HQ17" i="9"/>
  <c r="HR3" i="9"/>
  <c r="HS4" i="9"/>
  <c r="HR19" i="9"/>
  <c r="HR16" i="9"/>
  <c r="HS3" i="9"/>
  <c r="HT4" i="9"/>
  <c r="HR12" i="9"/>
  <c r="HR20" i="9"/>
  <c r="HR21" i="9"/>
  <c r="HR18" i="9"/>
  <c r="HR13" i="9"/>
  <c r="HR14" i="9"/>
  <c r="HR25" i="9"/>
  <c r="HR15" i="9"/>
  <c r="HR22" i="9"/>
  <c r="HR17" i="9"/>
  <c r="HS19" i="9"/>
  <c r="HS16" i="9"/>
  <c r="HU4" i="9"/>
  <c r="HT3" i="9"/>
  <c r="HS22" i="9"/>
  <c r="HS17" i="9"/>
  <c r="HS12" i="9"/>
  <c r="HS14" i="9"/>
  <c r="HS25" i="9"/>
  <c r="HS13" i="9"/>
  <c r="HS15" i="9"/>
  <c r="HS18" i="9"/>
  <c r="HS20" i="9"/>
  <c r="HS21" i="9"/>
  <c r="HT19" i="9"/>
  <c r="HT16" i="9"/>
  <c r="HT21" i="9"/>
  <c r="HT14" i="9"/>
  <c r="HT18" i="9"/>
  <c r="HT22" i="9"/>
  <c r="HT17" i="9"/>
  <c r="HT12" i="9"/>
  <c r="HT25" i="9"/>
  <c r="HT13" i="9"/>
  <c r="HT20" i="9"/>
  <c r="HT15" i="9"/>
  <c r="HU3" i="9"/>
  <c r="HV4" i="9"/>
  <c r="HU19" i="9"/>
  <c r="HU16" i="9"/>
  <c r="HW4" i="9"/>
  <c r="HV3" i="9"/>
  <c r="HU25" i="9"/>
  <c r="HU15" i="9"/>
  <c r="HU18" i="9"/>
  <c r="HU13" i="9"/>
  <c r="HU17" i="9"/>
  <c r="HU21" i="9"/>
  <c r="HU20" i="9"/>
  <c r="HU22" i="9"/>
  <c r="HU14" i="9"/>
  <c r="HU12" i="9"/>
  <c r="HV19" i="9"/>
  <c r="HV16" i="9"/>
  <c r="HV20" i="9"/>
  <c r="HV25" i="9"/>
  <c r="HV17" i="9"/>
  <c r="HV14" i="9"/>
  <c r="HV22" i="9"/>
  <c r="HV12" i="9"/>
  <c r="HV15" i="9"/>
  <c r="HV13" i="9"/>
  <c r="HV18" i="9"/>
  <c r="HV21" i="9"/>
  <c r="HW3" i="9"/>
  <c r="HX4" i="9"/>
  <c r="HW19" i="9"/>
  <c r="HW16" i="9"/>
  <c r="HX3" i="9"/>
  <c r="HY4" i="9"/>
  <c r="HM8" i="9"/>
  <c r="HW22" i="9"/>
  <c r="HW18" i="9"/>
  <c r="HW20" i="9"/>
  <c r="HW15" i="9"/>
  <c r="HW12" i="9"/>
  <c r="HW13" i="9"/>
  <c r="HW25" i="9"/>
  <c r="HW14" i="9"/>
  <c r="HW21" i="9"/>
  <c r="HW17" i="9"/>
  <c r="HX19" i="9"/>
  <c r="HX16" i="9"/>
  <c r="HZ4" i="9"/>
  <c r="HY3" i="9"/>
  <c r="HX18" i="9"/>
  <c r="HX25" i="9"/>
  <c r="HX22" i="9"/>
  <c r="HX17" i="9"/>
  <c r="HX15" i="9"/>
  <c r="HX12" i="9"/>
  <c r="HX20" i="9"/>
  <c r="HX13" i="9"/>
  <c r="HX14" i="9"/>
  <c r="HX21" i="9"/>
  <c r="HY19" i="9"/>
  <c r="HY16" i="9"/>
  <c r="HY15" i="9"/>
  <c r="HY17" i="9"/>
  <c r="HY25" i="9"/>
  <c r="HY22" i="9"/>
  <c r="HY12" i="9"/>
  <c r="HY21" i="9"/>
  <c r="HY14" i="9"/>
  <c r="HY20" i="9"/>
  <c r="HY13" i="9"/>
  <c r="HY18" i="9"/>
  <c r="HZ3" i="9"/>
  <c r="IA4" i="9"/>
  <c r="HZ19" i="9"/>
  <c r="HZ16" i="9"/>
  <c r="HZ12" i="9"/>
  <c r="HZ14" i="9"/>
  <c r="HZ22" i="9"/>
  <c r="HZ21" i="9"/>
  <c r="HZ25" i="9"/>
  <c r="HZ17" i="9"/>
  <c r="HZ15" i="9"/>
  <c r="HZ20" i="9"/>
  <c r="HZ18" i="9"/>
  <c r="HZ13" i="9"/>
  <c r="IA3" i="9"/>
  <c r="IB4" i="9"/>
  <c r="IA19" i="9"/>
  <c r="IA16" i="9"/>
  <c r="IA21" i="9"/>
  <c r="IA17" i="9"/>
  <c r="IA13" i="9"/>
  <c r="IA18" i="9"/>
  <c r="IA20" i="9"/>
  <c r="IA25" i="9"/>
  <c r="IA14" i="9"/>
  <c r="IA15" i="9"/>
  <c r="IA22" i="9"/>
  <c r="IA12" i="9"/>
  <c r="IB3" i="9"/>
  <c r="IC4" i="9"/>
  <c r="IB19" i="9"/>
  <c r="IB16" i="9"/>
  <c r="IC3" i="9"/>
  <c r="ID4" i="9"/>
  <c r="IB21" i="9"/>
  <c r="IB15" i="9"/>
  <c r="IB17" i="9"/>
  <c r="IB14" i="9"/>
  <c r="IB25" i="9"/>
  <c r="IB13" i="9"/>
  <c r="IB22" i="9"/>
  <c r="IB20" i="9"/>
  <c r="IB12" i="9"/>
  <c r="IB18" i="9"/>
  <c r="IC19" i="9"/>
  <c r="IC16" i="9"/>
  <c r="ID3" i="9"/>
  <c r="IE4" i="9"/>
  <c r="IC21" i="9"/>
  <c r="IC25" i="9"/>
  <c r="IC15" i="9"/>
  <c r="IC14" i="9"/>
  <c r="IC12" i="9"/>
  <c r="IC13" i="9"/>
  <c r="IC22" i="9"/>
  <c r="IC18" i="9"/>
  <c r="IC20" i="9"/>
  <c r="IC17" i="9"/>
  <c r="ID19" i="9"/>
  <c r="ID16" i="9"/>
  <c r="IE3" i="9"/>
  <c r="IF4" i="9"/>
  <c r="ID18" i="9"/>
  <c r="ID21" i="9"/>
  <c r="ID20" i="9"/>
  <c r="ID12" i="9"/>
  <c r="ID22" i="9"/>
  <c r="ID15" i="9"/>
  <c r="ID13" i="9"/>
  <c r="ID25" i="9"/>
  <c r="ID17" i="9"/>
  <c r="ID14" i="9"/>
  <c r="IE19" i="9"/>
  <c r="IE16" i="9"/>
  <c r="IF3" i="9"/>
  <c r="IG4" i="9"/>
  <c r="IE12" i="9"/>
  <c r="IE18" i="9"/>
  <c r="IE25" i="9"/>
  <c r="IE22" i="9"/>
  <c r="IE20" i="9"/>
  <c r="IE21" i="9"/>
  <c r="IE15" i="9"/>
  <c r="IE17" i="9"/>
  <c r="IE13" i="9"/>
  <c r="IE14" i="9"/>
  <c r="IF19" i="9"/>
  <c r="IF16" i="9"/>
  <c r="IH4" i="9"/>
  <c r="IG3" i="9"/>
  <c r="IF25" i="9"/>
  <c r="IF17" i="9"/>
  <c r="IF13" i="9"/>
  <c r="IF21" i="9"/>
  <c r="IF20" i="9"/>
  <c r="IF14" i="9"/>
  <c r="IF15" i="9"/>
  <c r="IF22" i="9"/>
  <c r="IF18" i="9"/>
  <c r="IF12" i="9"/>
  <c r="IG19" i="9"/>
  <c r="IG16" i="9"/>
  <c r="IG13" i="9"/>
  <c r="IG25" i="9"/>
  <c r="IG12" i="9"/>
  <c r="IG20" i="9"/>
  <c r="IG17" i="9"/>
  <c r="IG21" i="9"/>
  <c r="IG18" i="9"/>
  <c r="IG22" i="9"/>
  <c r="IG15" i="9"/>
  <c r="IG14" i="9"/>
  <c r="IH3" i="9"/>
  <c r="II4" i="9"/>
  <c r="IH19" i="9"/>
  <c r="IH16" i="9"/>
  <c r="II3" i="9"/>
  <c r="IJ4" i="9"/>
  <c r="IH20" i="9"/>
  <c r="IH15" i="9"/>
  <c r="IH25" i="9"/>
  <c r="IH18" i="9"/>
  <c r="IH22" i="9"/>
  <c r="IH17" i="9"/>
  <c r="IH13" i="9"/>
  <c r="IH21" i="9"/>
  <c r="IH14" i="9"/>
  <c r="IH12" i="9"/>
  <c r="II19" i="9"/>
  <c r="II16" i="9"/>
  <c r="IJ3" i="9"/>
  <c r="HY8" i="9"/>
  <c r="IK4" i="9"/>
  <c r="II25" i="9"/>
  <c r="II22" i="9"/>
  <c r="II13" i="9"/>
  <c r="II21" i="9"/>
  <c r="II20" i="9"/>
  <c r="II12" i="9"/>
  <c r="II17" i="9"/>
  <c r="II18" i="9"/>
  <c r="II15" i="9"/>
  <c r="II14" i="9"/>
  <c r="IJ19" i="9"/>
  <c r="IJ16" i="9"/>
  <c r="IL4" i="9"/>
  <c r="IK3" i="9"/>
  <c r="IJ12" i="9"/>
  <c r="IJ14" i="9"/>
  <c r="IJ22" i="9"/>
  <c r="IJ21" i="9"/>
  <c r="IJ20" i="9"/>
  <c r="IJ18" i="9"/>
  <c r="IJ17" i="9"/>
  <c r="IJ13" i="9"/>
  <c r="IJ15" i="9"/>
  <c r="IJ25" i="9"/>
  <c r="IK19" i="9"/>
  <c r="IK16" i="9"/>
  <c r="IK18" i="9"/>
  <c r="IK21" i="9"/>
  <c r="IK17" i="9"/>
  <c r="IK12" i="9"/>
  <c r="IK20" i="9"/>
  <c r="IK15" i="9"/>
  <c r="IK22" i="9"/>
  <c r="IK25" i="9"/>
  <c r="IK13" i="9"/>
  <c r="IK14" i="9"/>
  <c r="IL3" i="9"/>
  <c r="IM4" i="9"/>
  <c r="IL19" i="9"/>
  <c r="IL16" i="9"/>
  <c r="IN4" i="9"/>
  <c r="IM3" i="9"/>
  <c r="IL18" i="9"/>
  <c r="IL22" i="9"/>
  <c r="IL20" i="9"/>
  <c r="IL12" i="9"/>
  <c r="IL25" i="9"/>
  <c r="IL21" i="9"/>
  <c r="IL13" i="9"/>
  <c r="IL17" i="9"/>
  <c r="IL15" i="9"/>
  <c r="IL14" i="9"/>
  <c r="IM19" i="9"/>
  <c r="IM16" i="9"/>
  <c r="IM14" i="9"/>
  <c r="IM17" i="9"/>
  <c r="IM22" i="9"/>
  <c r="IM13" i="9"/>
  <c r="IM12" i="9"/>
  <c r="IM25" i="9"/>
  <c r="IM21" i="9"/>
  <c r="IM18" i="9"/>
  <c r="IM15" i="9"/>
  <c r="IM20" i="9"/>
  <c r="IN3" i="9"/>
  <c r="IO4" i="9"/>
  <c r="IN19" i="9"/>
  <c r="IN16" i="9"/>
  <c r="IP4" i="9"/>
  <c r="IO3" i="9"/>
  <c r="IN18" i="9"/>
  <c r="IN17" i="9"/>
  <c r="IN21" i="9"/>
  <c r="IN14" i="9"/>
  <c r="IN25" i="9"/>
  <c r="IN22" i="9"/>
  <c r="IN15" i="9"/>
  <c r="IN12" i="9"/>
  <c r="IN13" i="9"/>
  <c r="IN20" i="9"/>
  <c r="IO19" i="9"/>
  <c r="IO16" i="9"/>
  <c r="IO14" i="9"/>
  <c r="IO12" i="9"/>
  <c r="IO18" i="9"/>
  <c r="IO22" i="9"/>
  <c r="IO17" i="9"/>
  <c r="IO20" i="9"/>
  <c r="IO13" i="9"/>
  <c r="IO15" i="9"/>
  <c r="IO25" i="9"/>
  <c r="IO21" i="9"/>
  <c r="IP3" i="9"/>
  <c r="IQ4" i="9"/>
  <c r="IP19" i="9"/>
  <c r="IP16" i="9"/>
  <c r="IQ3" i="9"/>
  <c r="IR4" i="9"/>
  <c r="IP14" i="9"/>
  <c r="IP12" i="9"/>
  <c r="IP20" i="9"/>
  <c r="IP21" i="9"/>
  <c r="IP13" i="9"/>
  <c r="IP18" i="9"/>
  <c r="IP15" i="9"/>
  <c r="IP22" i="9"/>
  <c r="IP17" i="9"/>
  <c r="IP25" i="9"/>
  <c r="IQ19" i="9"/>
  <c r="IQ16" i="9"/>
  <c r="IR3" i="9"/>
  <c r="IS4" i="9"/>
  <c r="IQ17" i="9"/>
  <c r="IQ15" i="9"/>
  <c r="IQ18" i="9"/>
  <c r="IQ20" i="9"/>
  <c r="IQ22" i="9"/>
  <c r="IQ14" i="9"/>
  <c r="IQ12" i="9"/>
  <c r="IQ13" i="9"/>
  <c r="IQ21" i="9"/>
  <c r="IQ25" i="9"/>
  <c r="IR19" i="9"/>
  <c r="IR16" i="9"/>
  <c r="IT4" i="9"/>
  <c r="IS3" i="9"/>
  <c r="IR13" i="9"/>
  <c r="IR25" i="9"/>
  <c r="IR21" i="9"/>
  <c r="IR15" i="9"/>
  <c r="IR14" i="9"/>
  <c r="IR17" i="9"/>
  <c r="IR18" i="9"/>
  <c r="IR22" i="9"/>
  <c r="IR12" i="9"/>
  <c r="IR20" i="9"/>
  <c r="IS19" i="9"/>
  <c r="IS16" i="9"/>
  <c r="IS25" i="9"/>
  <c r="IS17" i="9"/>
  <c r="IS22" i="9"/>
  <c r="IS14" i="9"/>
  <c r="IS21" i="9"/>
  <c r="IS12" i="9"/>
  <c r="IS18" i="9"/>
  <c r="IS20" i="9"/>
  <c r="IS13" i="9"/>
  <c r="IS15" i="9"/>
  <c r="IT3" i="9"/>
  <c r="IU4" i="9"/>
  <c r="IT19" i="9"/>
  <c r="IT16" i="9"/>
  <c r="IV4" i="9"/>
  <c r="IU3" i="9"/>
  <c r="IT13" i="9"/>
  <c r="IT21" i="9"/>
  <c r="IT17" i="9"/>
  <c r="IT15" i="9"/>
  <c r="IT12" i="9"/>
  <c r="IT14" i="9"/>
  <c r="IT18" i="9"/>
  <c r="IT20" i="9"/>
  <c r="IT22" i="9"/>
  <c r="IT25" i="9"/>
  <c r="IU19" i="9"/>
  <c r="IU16" i="9"/>
  <c r="IU22" i="9"/>
  <c r="IU21" i="9"/>
  <c r="IU25" i="9"/>
  <c r="IU14" i="9"/>
  <c r="IU13" i="9"/>
  <c r="IU15" i="9"/>
  <c r="IU20" i="9"/>
  <c r="IU17" i="9"/>
  <c r="IU12" i="9"/>
  <c r="IU18" i="9"/>
  <c r="IK8" i="9"/>
  <c r="IW4" i="9"/>
  <c r="IV3" i="9"/>
  <c r="IV19" i="9"/>
  <c r="IV16" i="9"/>
  <c r="IV15" i="9"/>
  <c r="IV20" i="9"/>
  <c r="IV12" i="9"/>
  <c r="IV14" i="9"/>
  <c r="IV17" i="9"/>
  <c r="IV25" i="9"/>
  <c r="IV21" i="9"/>
  <c r="IV22" i="9"/>
  <c r="IV13" i="9"/>
  <c r="IV18" i="9"/>
  <c r="IX4" i="9"/>
  <c r="IW3" i="9"/>
  <c r="IW19" i="9"/>
  <c r="IW16" i="9"/>
  <c r="IW14" i="9"/>
  <c r="IW15" i="9"/>
  <c r="IW21" i="9"/>
  <c r="IW20" i="9"/>
  <c r="IW25" i="9"/>
  <c r="IW12" i="9"/>
  <c r="IW18" i="9"/>
  <c r="IW13" i="9"/>
  <c r="IW22" i="9"/>
  <c r="IW17" i="9"/>
  <c r="IY4" i="9"/>
  <c r="IX3" i="9"/>
  <c r="IX19" i="9"/>
  <c r="IX16" i="9"/>
  <c r="IX25" i="9"/>
  <c r="IX20" i="9"/>
  <c r="IX14" i="9"/>
  <c r="IX13" i="9"/>
  <c r="IX17" i="9"/>
  <c r="IX22" i="9"/>
  <c r="IX12" i="9"/>
  <c r="IX21" i="9"/>
  <c r="IX18" i="9"/>
  <c r="IX15" i="9"/>
  <c r="IZ4" i="9"/>
  <c r="IY3" i="9"/>
  <c r="IY19" i="9"/>
  <c r="IY16" i="9"/>
  <c r="IY17" i="9"/>
  <c r="IY15" i="9"/>
  <c r="IY14" i="9"/>
  <c r="IY12" i="9"/>
  <c r="IY18" i="9"/>
  <c r="IY13" i="9"/>
  <c r="IY22" i="9"/>
  <c r="IY25" i="9"/>
  <c r="IY21" i="9"/>
  <c r="IY20" i="9"/>
  <c r="JA4" i="9"/>
  <c r="IZ3" i="9"/>
  <c r="IZ19" i="9"/>
  <c r="IZ16" i="9"/>
  <c r="IZ22" i="9"/>
  <c r="IZ20" i="9"/>
  <c r="IZ17" i="9"/>
  <c r="IZ15" i="9"/>
  <c r="IZ13" i="9"/>
  <c r="IZ25" i="9"/>
  <c r="IZ14" i="9"/>
  <c r="IZ12" i="9"/>
  <c r="IZ18" i="9"/>
  <c r="IZ21" i="9"/>
  <c r="JB4" i="9"/>
  <c r="JA3" i="9"/>
  <c r="JA19" i="9"/>
  <c r="JA16" i="9"/>
  <c r="JA22" i="9"/>
  <c r="JA21" i="9"/>
  <c r="JA17" i="9"/>
  <c r="JA14" i="9"/>
  <c r="JA18" i="9"/>
  <c r="JA15" i="9"/>
  <c r="JA13" i="9"/>
  <c r="JA12" i="9"/>
  <c r="JA20" i="9"/>
  <c r="JA25" i="9"/>
  <c r="JB3" i="9"/>
  <c r="JC4" i="9"/>
  <c r="JB19" i="9"/>
  <c r="JB16" i="9"/>
  <c r="JB25" i="9"/>
  <c r="JB17" i="9"/>
  <c r="JB13" i="9"/>
  <c r="JB20" i="9"/>
  <c r="JB22" i="9"/>
  <c r="JB18" i="9"/>
  <c r="JB15" i="9"/>
  <c r="JB21" i="9"/>
  <c r="JB12" i="9"/>
  <c r="JB14" i="9"/>
  <c r="JC3" i="9"/>
  <c r="JD4" i="9"/>
  <c r="JC19" i="9"/>
  <c r="JC16" i="9"/>
  <c r="JD3" i="9"/>
  <c r="JE4" i="9"/>
  <c r="JC20" i="9"/>
  <c r="JC25" i="9"/>
  <c r="JC12" i="9"/>
  <c r="JC22" i="9"/>
  <c r="JC15" i="9"/>
  <c r="JC21" i="9"/>
  <c r="JC18" i="9"/>
  <c r="JC13" i="9"/>
  <c r="JC17" i="9"/>
  <c r="JC14" i="9"/>
  <c r="JD19" i="9"/>
  <c r="JD16" i="9"/>
  <c r="JF4" i="9"/>
  <c r="JE3" i="9"/>
  <c r="JD22" i="9"/>
  <c r="JD13" i="9"/>
  <c r="JD18" i="9"/>
  <c r="JD25" i="9"/>
  <c r="JD15" i="9"/>
  <c r="JD14" i="9"/>
  <c r="JD17" i="9"/>
  <c r="JD20" i="9"/>
  <c r="JD21" i="9"/>
  <c r="JD12" i="9"/>
  <c r="JE19" i="9"/>
  <c r="JE16" i="9"/>
  <c r="JE21" i="9"/>
  <c r="JE13" i="9"/>
  <c r="JE15" i="9"/>
  <c r="JE20" i="9"/>
  <c r="JE14" i="9"/>
  <c r="JE22" i="9"/>
  <c r="JE18" i="9"/>
  <c r="JE12" i="9"/>
  <c r="JE25" i="9"/>
  <c r="JE17" i="9"/>
  <c r="JF3" i="9"/>
  <c r="JG4" i="9"/>
  <c r="JF19" i="9"/>
  <c r="JF16" i="9"/>
  <c r="JF22" i="9"/>
  <c r="JF25" i="9"/>
  <c r="JF15" i="9"/>
  <c r="JF12" i="9"/>
  <c r="JF20" i="9"/>
  <c r="JF18" i="9"/>
  <c r="JF17" i="9"/>
  <c r="JF14" i="9"/>
  <c r="JF13" i="9"/>
  <c r="JF21" i="9"/>
  <c r="JH4" i="9"/>
  <c r="JG3" i="9"/>
  <c r="JG19" i="9"/>
  <c r="JG16" i="9"/>
  <c r="JH3" i="9"/>
  <c r="JI4" i="9"/>
  <c r="IW8" i="9"/>
  <c r="JG14" i="9"/>
  <c r="JG17" i="9"/>
  <c r="JG12" i="9"/>
  <c r="JG21" i="9"/>
  <c r="JG15" i="9"/>
  <c r="JG22" i="9"/>
  <c r="JG18" i="9"/>
  <c r="JG13" i="9"/>
  <c r="JG25" i="9"/>
  <c r="JG20" i="9"/>
  <c r="JH19" i="9"/>
  <c r="JH16" i="9"/>
  <c r="JJ4" i="9"/>
  <c r="JI3" i="9"/>
  <c r="JH14" i="9"/>
  <c r="JH20" i="9"/>
  <c r="JH13" i="9"/>
  <c r="JH21" i="9"/>
  <c r="JH25" i="9"/>
  <c r="JH18" i="9"/>
  <c r="JH17" i="9"/>
  <c r="JH22" i="9"/>
  <c r="JH15" i="9"/>
  <c r="JH12" i="9"/>
  <c r="JI19" i="9"/>
  <c r="JI16" i="9"/>
  <c r="JI25" i="9"/>
  <c r="JI14" i="9"/>
  <c r="JI20" i="9"/>
  <c r="JI15" i="9"/>
  <c r="JI12" i="9"/>
  <c r="JI17" i="9"/>
  <c r="JI13" i="9"/>
  <c r="JI21" i="9"/>
  <c r="JI18" i="9"/>
  <c r="JI22" i="9"/>
  <c r="JJ3" i="9"/>
  <c r="JK4" i="9"/>
  <c r="JJ19" i="9"/>
  <c r="JJ16" i="9"/>
  <c r="JJ22" i="9"/>
  <c r="JJ15" i="9"/>
  <c r="JJ20" i="9"/>
  <c r="JJ12" i="9"/>
  <c r="JJ25" i="9"/>
  <c r="JJ18" i="9"/>
  <c r="JJ17" i="9"/>
  <c r="JJ13" i="9"/>
  <c r="JJ14" i="9"/>
  <c r="JJ21" i="9"/>
  <c r="JK3" i="9"/>
  <c r="JL4" i="9"/>
  <c r="JK19" i="9"/>
  <c r="JK16" i="9"/>
  <c r="JK18" i="9"/>
  <c r="JK17" i="9"/>
  <c r="JK13" i="9"/>
  <c r="JK15" i="9"/>
  <c r="JK22" i="9"/>
  <c r="JK20" i="9"/>
  <c r="JK25" i="9"/>
  <c r="JK21" i="9"/>
  <c r="JK12" i="9"/>
  <c r="JK14" i="9"/>
  <c r="JL3" i="9"/>
  <c r="JM4" i="9"/>
  <c r="JL19" i="9"/>
  <c r="JL16" i="9"/>
  <c r="JL18" i="9"/>
  <c r="JL13" i="9"/>
  <c r="JL21" i="9"/>
  <c r="JL22" i="9"/>
  <c r="JL25" i="9"/>
  <c r="JL15" i="9"/>
  <c r="JL17" i="9"/>
  <c r="JL20" i="9"/>
  <c r="JL14" i="9"/>
  <c r="JL12" i="9"/>
  <c r="JN4" i="9"/>
  <c r="JM3" i="9"/>
  <c r="JM19" i="9"/>
  <c r="JM16" i="9"/>
  <c r="JO4" i="9"/>
  <c r="JN3" i="9"/>
  <c r="JM12" i="9"/>
  <c r="JM18" i="9"/>
  <c r="JM13" i="9"/>
  <c r="JM17" i="9"/>
  <c r="JM21" i="9"/>
  <c r="JM20" i="9"/>
  <c r="JM22" i="9"/>
  <c r="JM15" i="9"/>
  <c r="JM25" i="9"/>
  <c r="JM14" i="9"/>
  <c r="JN19" i="9"/>
  <c r="JN16" i="9"/>
  <c r="JN25" i="9"/>
  <c r="JN22" i="9"/>
  <c r="JN18" i="9"/>
  <c r="JN17" i="9"/>
  <c r="JN21" i="9"/>
  <c r="JN20" i="9"/>
  <c r="JN13" i="9"/>
  <c r="JN12" i="9"/>
  <c r="JN15" i="9"/>
  <c r="JN14" i="9"/>
  <c r="JO3" i="9"/>
  <c r="JP4" i="9"/>
  <c r="JO19" i="9"/>
  <c r="JO16" i="9"/>
  <c r="JO22" i="9"/>
  <c r="JO13" i="9"/>
  <c r="JO25" i="9"/>
  <c r="JO20" i="9"/>
  <c r="JO17" i="9"/>
  <c r="JO18" i="9"/>
  <c r="JO15" i="9"/>
  <c r="JO12" i="9"/>
  <c r="JO14" i="9"/>
  <c r="JO21" i="9"/>
  <c r="JP3" i="9"/>
  <c r="JQ4" i="9"/>
  <c r="JP19" i="9"/>
  <c r="JP16" i="9"/>
  <c r="JP15" i="9"/>
  <c r="JP17" i="9"/>
  <c r="JP14" i="9"/>
  <c r="JP12" i="9"/>
  <c r="JP22" i="9"/>
  <c r="JP21" i="9"/>
  <c r="JP20" i="9"/>
  <c r="JP25" i="9"/>
  <c r="JP18" i="9"/>
  <c r="JP13" i="9"/>
  <c r="JQ3" i="9"/>
  <c r="JR4" i="9"/>
  <c r="JQ19" i="9"/>
  <c r="JQ16" i="9"/>
  <c r="JS4" i="9"/>
  <c r="JR3" i="9"/>
  <c r="JQ14" i="9"/>
  <c r="JQ25" i="9"/>
  <c r="JQ20" i="9"/>
  <c r="JQ15" i="9"/>
  <c r="JQ22" i="9"/>
  <c r="JQ12" i="9"/>
  <c r="JQ17" i="9"/>
  <c r="JQ21" i="9"/>
  <c r="JQ13" i="9"/>
  <c r="JQ18" i="9"/>
  <c r="JR19" i="9"/>
  <c r="JR16" i="9"/>
  <c r="JR12" i="9"/>
  <c r="JR18" i="9"/>
  <c r="JR17" i="9"/>
  <c r="JR13" i="9"/>
  <c r="JR14" i="9"/>
  <c r="JR20" i="9"/>
  <c r="JR21" i="9"/>
  <c r="JR22" i="9"/>
  <c r="JR25" i="9"/>
  <c r="JR15" i="9"/>
  <c r="JS3" i="9"/>
  <c r="JT4" i="9"/>
  <c r="JS19" i="9"/>
  <c r="JS16" i="9"/>
  <c r="JT3" i="9"/>
  <c r="JU4" i="9"/>
  <c r="JI8" i="9"/>
  <c r="JS17" i="9"/>
  <c r="JS20" i="9"/>
  <c r="JS14" i="9"/>
  <c r="JS22" i="9"/>
  <c r="JS13" i="9"/>
  <c r="JS15" i="9"/>
  <c r="JS25" i="9"/>
  <c r="JS18" i="9"/>
  <c r="JS12" i="9"/>
  <c r="JS21" i="9"/>
  <c r="JT19" i="9"/>
  <c r="JT16" i="9"/>
  <c r="JV4" i="9"/>
  <c r="JU3" i="9"/>
  <c r="JT12" i="9"/>
  <c r="JT20" i="9"/>
  <c r="JT17" i="9"/>
  <c r="JT18" i="9"/>
  <c r="JT13" i="9"/>
  <c r="JT25" i="9"/>
  <c r="JT14" i="9"/>
  <c r="JT15" i="9"/>
  <c r="JT21" i="9"/>
  <c r="JT22" i="9"/>
  <c r="JU19" i="9"/>
  <c r="JU16" i="9"/>
  <c r="JU14" i="9"/>
  <c r="JU12" i="9"/>
  <c r="JU17" i="9"/>
  <c r="JU20" i="9"/>
  <c r="JU25" i="9"/>
  <c r="JU21" i="9"/>
  <c r="JU15" i="9"/>
  <c r="JU13" i="9"/>
  <c r="JU18" i="9"/>
  <c r="JU22" i="9"/>
  <c r="JV3" i="9"/>
  <c r="JW4" i="9"/>
  <c r="JV19" i="9"/>
  <c r="JV16" i="9"/>
  <c r="JV17" i="9"/>
  <c r="JV15" i="9"/>
  <c r="JV20" i="9"/>
  <c r="JV12" i="9"/>
  <c r="JV21" i="9"/>
  <c r="JV14" i="9"/>
  <c r="JV18" i="9"/>
  <c r="JV13" i="9"/>
  <c r="JV22" i="9"/>
  <c r="JV25" i="9"/>
  <c r="JW3" i="9"/>
  <c r="JX4" i="9"/>
  <c r="JW19" i="9"/>
  <c r="JW16" i="9"/>
  <c r="JX3" i="9"/>
  <c r="JY4" i="9"/>
  <c r="JW17" i="9"/>
  <c r="JW25" i="9"/>
  <c r="JW18" i="9"/>
  <c r="JW20" i="9"/>
  <c r="JW14" i="9"/>
  <c r="JW15" i="9"/>
  <c r="JW22" i="9"/>
  <c r="JW13" i="9"/>
  <c r="JW21" i="9"/>
  <c r="JW12" i="9"/>
  <c r="JX19" i="9"/>
  <c r="JX16" i="9"/>
  <c r="JY3" i="9"/>
  <c r="JZ4" i="9"/>
  <c r="JX22" i="9"/>
  <c r="JX12" i="9"/>
  <c r="JX20" i="9"/>
  <c r="JX18" i="9"/>
  <c r="JX15" i="9"/>
  <c r="JX13" i="9"/>
  <c r="JX25" i="9"/>
  <c r="JX21" i="9"/>
  <c r="JX17" i="9"/>
  <c r="JX14" i="9"/>
  <c r="JY19" i="9"/>
  <c r="JY16" i="9"/>
  <c r="KA4" i="9"/>
  <c r="JZ3" i="9"/>
  <c r="JY21" i="9"/>
  <c r="JY13" i="9"/>
  <c r="JY18" i="9"/>
  <c r="JY14" i="9"/>
  <c r="JY25" i="9"/>
  <c r="JY20" i="9"/>
  <c r="JY17" i="9"/>
  <c r="JY12" i="9"/>
  <c r="JY22" i="9"/>
  <c r="JY15" i="9"/>
  <c r="JZ19" i="9"/>
  <c r="JZ16" i="9"/>
  <c r="JZ12" i="9"/>
  <c r="JZ18" i="9"/>
  <c r="JZ14" i="9"/>
  <c r="JZ22" i="9"/>
  <c r="JZ20" i="9"/>
  <c r="JZ25" i="9"/>
  <c r="JZ13" i="9"/>
  <c r="JZ15" i="9"/>
  <c r="JZ21" i="9"/>
  <c r="JZ17" i="9"/>
  <c r="KA3" i="9"/>
  <c r="KB4" i="9"/>
  <c r="KA19" i="9"/>
  <c r="KA16" i="9"/>
  <c r="KA21" i="9"/>
  <c r="KA18" i="9"/>
  <c r="KA17" i="9"/>
  <c r="KA25" i="9"/>
  <c r="KA14" i="9"/>
  <c r="KA15" i="9"/>
  <c r="KA22" i="9"/>
  <c r="KA13" i="9"/>
  <c r="KA12" i="9"/>
  <c r="KA20" i="9"/>
  <c r="KC4" i="9"/>
  <c r="KB3" i="9"/>
  <c r="KB19" i="9"/>
  <c r="KB16" i="9"/>
  <c r="KB20" i="9"/>
  <c r="KB18" i="9"/>
  <c r="KB13" i="9"/>
  <c r="KB12" i="9"/>
  <c r="KB14" i="9"/>
  <c r="KB25" i="9"/>
  <c r="KB22" i="9"/>
  <c r="KB17" i="9"/>
  <c r="KB21" i="9"/>
  <c r="KB15" i="9"/>
  <c r="KD4" i="9"/>
  <c r="KC3" i="9"/>
  <c r="KC19" i="9"/>
  <c r="KC16" i="9"/>
  <c r="KC14" i="9"/>
  <c r="KC15" i="9"/>
  <c r="KC20" i="9"/>
  <c r="KC18" i="9"/>
  <c r="KC22" i="9"/>
  <c r="KC17" i="9"/>
  <c r="KC21" i="9"/>
  <c r="KC25" i="9"/>
  <c r="KC13" i="9"/>
  <c r="KC12" i="9"/>
  <c r="KE4" i="9"/>
  <c r="KD3" i="9"/>
  <c r="KD19" i="9"/>
  <c r="KD16" i="9"/>
  <c r="KD20" i="9"/>
  <c r="KD21" i="9"/>
  <c r="KD17" i="9"/>
  <c r="KD22" i="9"/>
  <c r="KD25" i="9"/>
  <c r="KD13" i="9"/>
  <c r="KD18" i="9"/>
  <c r="KD12" i="9"/>
  <c r="KD15" i="9"/>
  <c r="KD14" i="9"/>
  <c r="KE3" i="9"/>
  <c r="KF4" i="9"/>
  <c r="KE19" i="9"/>
  <c r="KE16" i="9"/>
  <c r="JU8" i="9"/>
  <c r="KG4" i="9"/>
  <c r="KF3" i="9"/>
  <c r="KE22" i="9"/>
  <c r="KE12" i="9"/>
  <c r="KE18" i="9"/>
  <c r="KE25" i="9"/>
  <c r="KE13" i="9"/>
  <c r="KE14" i="9"/>
  <c r="KE20" i="9"/>
  <c r="KE17" i="9"/>
  <c r="KE21" i="9"/>
  <c r="KE15" i="9"/>
  <c r="KF19" i="9"/>
  <c r="KF16" i="9"/>
  <c r="KF22" i="9"/>
  <c r="KF21" i="9"/>
  <c r="KF14" i="9"/>
  <c r="KF12" i="9"/>
  <c r="KF18" i="9"/>
  <c r="KF17" i="9"/>
  <c r="KF20" i="9"/>
  <c r="KF15" i="9"/>
  <c r="KF25" i="9"/>
  <c r="KF13" i="9"/>
  <c r="KH4" i="9"/>
  <c r="KG3" i="9"/>
  <c r="KG19" i="9"/>
  <c r="KG16" i="9"/>
  <c r="KG17" i="9"/>
  <c r="KG15" i="9"/>
  <c r="KG25" i="9"/>
  <c r="KG14" i="9"/>
  <c r="KG21" i="9"/>
  <c r="KG20" i="9"/>
  <c r="KG18" i="9"/>
  <c r="KG12" i="9"/>
  <c r="KG22" i="9"/>
  <c r="KG13" i="9"/>
  <c r="KI4" i="9"/>
  <c r="KH3" i="9"/>
  <c r="KH19" i="9"/>
  <c r="KH16" i="9"/>
  <c r="KH13" i="9"/>
  <c r="KH22" i="9"/>
  <c r="KH15" i="9"/>
  <c r="KH12" i="9"/>
  <c r="KH21" i="9"/>
  <c r="KH18" i="9"/>
  <c r="KH17" i="9"/>
  <c r="KH25" i="9"/>
  <c r="KH20" i="9"/>
  <c r="KH14" i="9"/>
  <c r="KJ4" i="9"/>
  <c r="KI3" i="9"/>
  <c r="KI19" i="9"/>
  <c r="KI16" i="9"/>
  <c r="KI13" i="9"/>
  <c r="KI15" i="9"/>
  <c r="KI25" i="9"/>
  <c r="KI22" i="9"/>
  <c r="KI20" i="9"/>
  <c r="KI17" i="9"/>
  <c r="KI12" i="9"/>
  <c r="KI21" i="9"/>
  <c r="KI18" i="9"/>
  <c r="KI14" i="9"/>
  <c r="KK4" i="9"/>
  <c r="KJ3" i="9"/>
  <c r="KJ19" i="9"/>
  <c r="KJ16" i="9"/>
  <c r="KK3" i="9"/>
  <c r="KL4" i="9"/>
  <c r="KJ22" i="9"/>
  <c r="KJ12" i="9"/>
  <c r="KJ21" i="9"/>
  <c r="KJ13" i="9"/>
  <c r="KJ14" i="9"/>
  <c r="KJ20" i="9"/>
  <c r="KJ18" i="9"/>
  <c r="KJ17" i="9"/>
  <c r="KJ15" i="9"/>
  <c r="KJ25" i="9"/>
  <c r="KK19" i="9"/>
  <c r="KK16" i="9"/>
  <c r="KM4" i="9"/>
  <c r="KL3" i="9"/>
  <c r="KK15" i="9"/>
  <c r="KK14" i="9"/>
  <c r="KK25" i="9"/>
  <c r="KK13" i="9"/>
  <c r="KK20" i="9"/>
  <c r="KK22" i="9"/>
  <c r="KK12" i="9"/>
  <c r="KK21" i="9"/>
  <c r="KK18" i="9"/>
  <c r="KK17" i="9"/>
  <c r="KL19" i="9"/>
  <c r="KL16" i="9"/>
  <c r="KL20" i="9"/>
  <c r="KL22" i="9"/>
  <c r="KL21" i="9"/>
  <c r="KL15" i="9"/>
  <c r="KL12" i="9"/>
  <c r="KL13" i="9"/>
  <c r="KL14" i="9"/>
  <c r="KL25" i="9"/>
  <c r="KL17" i="9"/>
  <c r="KL18" i="9"/>
  <c r="KN4" i="9"/>
  <c r="KM3" i="9"/>
  <c r="KM19" i="9"/>
  <c r="KM16" i="9"/>
  <c r="KM22" i="9"/>
  <c r="KM25" i="9"/>
  <c r="KM12" i="9"/>
  <c r="KM18" i="9"/>
  <c r="KM17" i="9"/>
  <c r="KM15" i="9"/>
  <c r="KM13" i="9"/>
  <c r="KM14" i="9"/>
  <c r="KM21" i="9"/>
  <c r="KM20" i="9"/>
  <c r="KN3" i="9"/>
  <c r="KO4" i="9"/>
  <c r="KN19" i="9"/>
  <c r="KN16" i="9"/>
  <c r="KP4" i="9"/>
  <c r="KO3" i="9"/>
  <c r="KN14" i="9"/>
  <c r="KN18" i="9"/>
  <c r="KN21" i="9"/>
  <c r="KN20" i="9"/>
  <c r="KN17" i="9"/>
  <c r="KN25" i="9"/>
  <c r="KN15" i="9"/>
  <c r="KN13" i="9"/>
  <c r="KN22" i="9"/>
  <c r="KN12" i="9"/>
  <c r="KO19" i="9"/>
  <c r="KO16" i="9"/>
  <c r="KO13" i="9"/>
  <c r="KO21" i="9"/>
  <c r="KO12" i="9"/>
  <c r="KO20" i="9"/>
  <c r="KO22" i="9"/>
  <c r="KO17" i="9"/>
  <c r="KO15" i="9"/>
  <c r="KO18" i="9"/>
  <c r="KO14" i="9"/>
  <c r="KO25" i="9"/>
  <c r="KQ4" i="9"/>
  <c r="KP3" i="9"/>
  <c r="KP19" i="9"/>
  <c r="KP16" i="9"/>
  <c r="KQ3" i="9"/>
  <c r="KR4" i="9"/>
  <c r="KP20" i="9"/>
  <c r="KP22" i="9"/>
  <c r="KP17" i="9"/>
  <c r="KP25" i="9"/>
  <c r="KP18" i="9"/>
  <c r="KP12" i="9"/>
  <c r="KP14" i="9"/>
  <c r="KP21" i="9"/>
  <c r="KP13" i="9"/>
  <c r="KP15" i="9"/>
  <c r="KQ19" i="9"/>
  <c r="KQ16" i="9"/>
  <c r="KR3" i="9"/>
  <c r="KG8" i="9"/>
  <c r="KQ20" i="9"/>
  <c r="KQ13" i="9"/>
  <c r="KQ22" i="9"/>
  <c r="KQ21" i="9"/>
  <c r="KQ15" i="9"/>
  <c r="KQ18" i="9"/>
  <c r="KQ17" i="9"/>
  <c r="KQ25" i="9"/>
  <c r="KQ14" i="9"/>
  <c r="KQ12" i="9"/>
  <c r="KR19" i="9"/>
  <c r="KR16" i="9"/>
  <c r="KR25" i="9"/>
  <c r="KR18" i="9"/>
  <c r="KR14" i="9"/>
  <c r="KR20" i="9"/>
  <c r="KR21" i="9"/>
  <c r="KR13" i="9"/>
  <c r="KR15" i="9"/>
  <c r="KR22" i="9"/>
  <c r="KR17" i="9"/>
  <c r="KR1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tc={3B947149-B857-4707-B827-9EDD159F302E}</author>
    <author>tc={734AB3CA-ECDD-4F07-861F-5D57D7AECF9A}</author>
  </authors>
  <commentList>
    <comment ref="Y17" authorId="0" shapeId="0" xr:uid="{00000000-0006-0000-0B00-000001000000}">
      <text>
        <t>[Threaded comment]
Your version of Excel allows you to read this threaded comment; however, any edits to it will get removed if the file is opened in a newer version of Excel. Learn more: https://go.microsoft.com/fwlink/?linkid=870924
Comment:
    Default is 100%, if significant event and a two step is utilized then suggest use of "Yes/No" assumption curve or a binomial curve.</t>
      </text>
    </comment>
    <comment ref="Z17" authorId="1" shapeId="0" xr:uid="{00000000-0006-0000-0B00-000002000000}">
      <text>
        <t>[Threaded comment]
Your version of Excel allows you to read this threaded comment; however, any edits to it will get removed if the file is opened in a newer version of Excel. Learn more: https://go.microsoft.com/fwlink/?linkid=870924
Comment:
    Default is 1, if significant event and a two step is utilized then suggest use of "Yes/No" assumption curve or a binomial curve.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tc={2D4313C2-E7C3-4F54-9474-509813339751}</author>
    <author>tc={6FFE8484-7FD8-4213-B804-735AA096A88B}</author>
  </authors>
  <commentList>
    <comment ref="E60" authorId="0" shapeId="0" xr:uid="{00000000-0006-0000-0E00-000001000000}">
      <text>
        <t>[Threaded comment]
Your version of Excel allows you to read this threaded comment; however, any edits to it will get removed if the file is opened in a newer version of Excel. Learn more: https://go.microsoft.com/fwlink/?linkid=870924
Comment:
    These are populated from the forecast above.</t>
      </text>
    </comment>
    <comment ref="F60" authorId="1" shapeId="0" xr:uid="{00000000-0006-0000-0E00-000002000000}">
      <text>
        <t>[Threaded comment]
Your version of Excel allows you to read this threaded comment; however, any edits to it will get removed if the file is opened in a newer version of Excel. Learn more: https://go.microsoft.com/fwlink/?linkid=870924
Comment:
    This is rounded for presentation purposes. This way the numbers will match the TPCS.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<sst xmlns="http://schemas.openxmlformats.org/spreadsheetml/2006/main" count="4555" uniqueCount="1434">
  <si>
    <t>Dustin Sawyers (NWW)</t>
  </si>
  <si>
    <t>Change Made By</t>
  </si>
  <si>
    <t>Description</t>
  </si>
  <si>
    <t>Date</t>
  </si>
  <si>
    <t>Change Control Log</t>
  </si>
  <si>
    <t>THE HARD STUFF</t>
  </si>
  <si>
    <t>Spell check and clean up the risk model tab.  Eliminate duplicates and restatements as much as possible.  No sense in carrying forward multiple descriptions of the same thing.</t>
  </si>
  <si>
    <t>AFTER THE MEETING</t>
  </si>
  <si>
    <t>AT THE MEETING</t>
  </si>
  <si>
    <t>There is a sample meeting agenda and the risk checklist included to help.</t>
  </si>
  <si>
    <t>Quick Instructions for Using This Template</t>
  </si>
  <si>
    <t>Remaining Activities</t>
  </si>
  <si>
    <t>Meeting Agenda</t>
  </si>
  <si>
    <t>1)  Good Morning and Project Intro</t>
  </si>
  <si>
    <t>2)  Intro to Risk (maybe use the "cost risk quick" template</t>
  </si>
  <si>
    <t>a)  Risk Analysis</t>
  </si>
  <si>
    <t>b)  How it Fits in project Execution/Management</t>
  </si>
  <si>
    <t>c)  Measured</t>
  </si>
  <si>
    <t>3)  Basis of Design/Scope, Basis of Estimate/Schedule, Changes to Estimate/Schedule Basis</t>
  </si>
  <si>
    <t>4)  Attendees</t>
  </si>
  <si>
    <t>5)  Start Risk Register Development  (Note PDT crossover)</t>
  </si>
  <si>
    <t>a)  Brainstorming (Potential Risk Events)</t>
  </si>
  <si>
    <t>b)  Event Description, Discussion, Effect (Cost and/or Schedule), POC</t>
  </si>
  <si>
    <t>c)  Restacking (Likelihood/Impact)  and Ranges</t>
  </si>
  <si>
    <t>d)  Identification of Top Risk Elements</t>
  </si>
  <si>
    <t>6)  End Risk Register Development</t>
  </si>
  <si>
    <t>7)  Clean up and Distribute Risk Register for PDT buy in on risks captured at meeting</t>
  </si>
  <si>
    <t>9)  Sensitivity Analysis/ Probability Curves</t>
  </si>
  <si>
    <t>10)  Reality Check Results</t>
  </si>
  <si>
    <t>11)  Calculate Contingencies and Risk Items</t>
  </si>
  <si>
    <t>13)  Write Risk Report</t>
  </si>
  <si>
    <t>8)  Develop Risk Model - Quantitative Analysis of Risks</t>
  </si>
  <si>
    <t>12)  Development of Risk Mitigation / Risk Reduction Measures</t>
  </si>
  <si>
    <t>Coordination with PWD/ FMD and FEAD</t>
  </si>
  <si>
    <t>TO</t>
  </si>
  <si>
    <t>N</t>
  </si>
  <si>
    <t xml:space="preserve">Funding </t>
  </si>
  <si>
    <t>Access requirements</t>
  </si>
  <si>
    <t>SCIF?</t>
  </si>
  <si>
    <t>Is this a secured space/ facility</t>
  </si>
  <si>
    <t>Maintenance</t>
  </si>
  <si>
    <t>Janitorial</t>
  </si>
  <si>
    <t>Clearances</t>
  </si>
  <si>
    <t>Supported Command special requirements</t>
  </si>
  <si>
    <t>TURNOVER (TO)</t>
  </si>
  <si>
    <t>j.  Security  requirements - Escort</t>
  </si>
  <si>
    <t>EQ</t>
  </si>
  <si>
    <t>i.  Badging requirements (Non-Standard) (NAVSEA-CIA) Airfield</t>
  </si>
  <si>
    <t>h.  Base Security  requirements</t>
  </si>
  <si>
    <t>g.  Badging requirements (Standard)</t>
  </si>
  <si>
    <t>f.  Digging, Burn, and Hot work permits</t>
  </si>
  <si>
    <t>e.  Process Base Pass Requests</t>
  </si>
  <si>
    <t>d.  Utility/road outages</t>
  </si>
  <si>
    <t>c.  Arrange telephone connections</t>
  </si>
  <si>
    <t>b.  Lay down areas</t>
  </si>
  <si>
    <t>a.  Temp utility hook-up</t>
  </si>
  <si>
    <t>Perform base/contractor coordination:</t>
  </si>
  <si>
    <t>Other:</t>
  </si>
  <si>
    <t>General maintenance access considered in design</t>
  </si>
  <si>
    <t>Equipment deliveries and safe storage areas defined</t>
  </si>
  <si>
    <t>Requirements fully understood by customer/others and design confidence in equipment</t>
  </si>
  <si>
    <t>Sufficient space, sizing and utility requirements/redundancies is considered for equipment?</t>
  </si>
  <si>
    <t>a.  Integrated equipment- operating rooms, security, life safety systems</t>
  </si>
  <si>
    <t xml:space="preserve">Compatibility and Sole Source </t>
  </si>
  <si>
    <t>Conveyance systems – IT coordination, Network access requirements (pharmacy robots)</t>
  </si>
  <si>
    <t>b.  Adequate Network connections - exponential growth in requirements in last few years.</t>
  </si>
  <si>
    <t>a.  Wi-Fi- Televisions/cable</t>
  </si>
  <si>
    <t>Communications and Information Technologies (IT)</t>
  </si>
  <si>
    <t>Design flexibility to support changing technologies</t>
  </si>
  <si>
    <t>Risk of equipment change due to technology advances, or changing requirements. (Surgery, Laboratory, communications/IT equipment.)</t>
  </si>
  <si>
    <t>a.  Foreign national access—Kitchen equipment past Lesson Learned</t>
  </si>
  <si>
    <t>Medical, Kitchen, Administrative, Maintenance, Other</t>
  </si>
  <si>
    <t>Gov’t furnished equipment, design, purchase, delivery and install</t>
  </si>
  <si>
    <t>Timing of follow on contracts is considered in overall schedule.</t>
  </si>
  <si>
    <t xml:space="preserve">Coordination between stakeholders and contractors </t>
  </si>
  <si>
    <t>Design phase (%) and confidence</t>
  </si>
  <si>
    <t>EQUIPMENT LIST</t>
  </si>
  <si>
    <t>EQUIPMENT (EQ)</t>
  </si>
  <si>
    <t>CC</t>
  </si>
  <si>
    <t>Status of Initial Outfitting and Transition (IO&amp;T) contract, involvement, coordination with construction contractor</t>
  </si>
  <si>
    <t xml:space="preserve">Work windows/outages required for resting /commissioning identified </t>
  </si>
  <si>
    <t>Recertification/Commissioning due to rework or delay</t>
  </si>
  <si>
    <t>Central utility plant (CUP) adjustments as new buildings brought on line- (staged or legacy campus)</t>
  </si>
  <si>
    <t>Post commissioning maintenance prior to turnover- Medgas leakdown, MRI exercising, Genset Fuels, Consumables for testing, Spares</t>
  </si>
  <si>
    <t>Identification of Commissioning Agent and responsibilities clearly defined/understood by stakeholders</t>
  </si>
  <si>
    <t xml:space="preserve">Unique coordination requirements for personnel or materials (X-ray source)  </t>
  </si>
  <si>
    <t>a.  Labs, pharmacy, medical systems, HVAC, fire, emergency generators, etc.</t>
  </si>
  <si>
    <t>Items requiring commissioning/certification identified in P&amp;S/project documentation</t>
  </si>
  <si>
    <t>COMMISSIONING / CERTIFICATION (CC)</t>
  </si>
  <si>
    <t>Special Equipment</t>
  </si>
  <si>
    <t>SA</t>
  </si>
  <si>
    <t>Specialty Design</t>
  </si>
  <si>
    <t>CO</t>
  </si>
  <si>
    <t>Specialty Construction</t>
  </si>
  <si>
    <t>Timing of Mission Need vs execution</t>
  </si>
  <si>
    <t>Experience</t>
  </si>
  <si>
    <t>Level of safety</t>
  </si>
  <si>
    <t>Safety personnel</t>
  </si>
  <si>
    <t>Safety</t>
  </si>
  <si>
    <t>Security  requirements - Escort</t>
  </si>
  <si>
    <t>Base Access (CONUS/OCONUS)- Security Background checks, timing, coordination, responsiveness, long term contact cost to maintain</t>
  </si>
  <si>
    <t>Badging requirements (Non-Standard) (NAVSEA-CIA) Airfield</t>
  </si>
  <si>
    <t>Badging requirements (Standard)</t>
  </si>
  <si>
    <t>Digging, Burn, and Hot work permits</t>
  </si>
  <si>
    <t>Process Base Pass Requests</t>
  </si>
  <si>
    <t>Utility/road outages</t>
  </si>
  <si>
    <t>Arrange telephone connections</t>
  </si>
  <si>
    <t>Lay down areas</t>
  </si>
  <si>
    <t>Temp utility hook-up</t>
  </si>
  <si>
    <t>Coordinate telecommunication equipment and distribution requirements with the Installation's Base Communications Officer.</t>
  </si>
  <si>
    <t>Confirm list of personal property equipment associated with this projects attached in EPG.  For each unit (e.g., generator) or type (e.g., desks) of personal property equipment listed, the following information should be provided:
- Description.
- Rough order of magnitude (ROM) cost estimate.
- Budget Submitting Office (BSO) responsible for programming funding.
- Funding source (e.g.,  OPN, O&amp;MN).
- Fiscal year (FY) of funding appropriation.
- Date of start of installation (usually but not always after completion of the project).
- Date installations completed (satisfy user/operator mission needs).
For major electronic systems, coordinate with the Space and Naval Warfare Systems Command (SPAWAR).  For crane systems, coordinate with the Navy Crane Center and PWD Weight Handling
Division.</t>
  </si>
  <si>
    <t>Equipment List</t>
  </si>
  <si>
    <t>Warranty Period considerations Administration/follow on support</t>
  </si>
  <si>
    <t>Final 1354</t>
  </si>
  <si>
    <t>Delay in turnover/construction could cause construction budget to bear O&amp;M costs</t>
  </si>
  <si>
    <t>Fuels &amp; O&amp;M costs accounted for commissioning and for final top off prior to turnover</t>
  </si>
  <si>
    <t>e.  Maintenance of turned over spaces- janitorial, exercising MRI,  etc.</t>
  </si>
  <si>
    <t>d.  Security during construction/Joint Occupancy</t>
  </si>
  <si>
    <t xml:space="preserve">c.  Key control/lock </t>
  </si>
  <si>
    <t>b.  Med Gas</t>
  </si>
  <si>
    <t>a.  Janitorial</t>
  </si>
  <si>
    <t>Does customer understand turnover/occupancy requirements</t>
  </si>
  <si>
    <t>System testing and commissioning delays</t>
  </si>
  <si>
    <t>i.  Security Concerns during Joint Occupancy</t>
  </si>
  <si>
    <t xml:space="preserve">h.  Liability insurance coverage </t>
  </si>
  <si>
    <t>g.  Rework due to damage</t>
  </si>
  <si>
    <t>f.  Security/safety of completed work</t>
  </si>
  <si>
    <t>e.  Staging of materials</t>
  </si>
  <si>
    <t>d.  Backup utilities</t>
  </si>
  <si>
    <t>c.  Protection from construction impacts</t>
  </si>
  <si>
    <t xml:space="preserve">b.  People management  </t>
  </si>
  <si>
    <t xml:space="preserve">a.  Functioning utilities intact  </t>
  </si>
  <si>
    <t>Occupancy during construction, Joint Occupancy/IO&amp;T</t>
  </si>
  <si>
    <t>Sufficient construction schedule durations (sequencing, phasing, concurrent activities, float, production rates)</t>
  </si>
  <si>
    <t>Consideration for standard weather impacts and or abnormal weather conditions</t>
  </si>
  <si>
    <t>Differing site conditions, contract modification and claim potential</t>
  </si>
  <si>
    <t>Material availability and delivery</t>
  </si>
  <si>
    <t>Special equipment and equipment availability</t>
  </si>
  <si>
    <t>Contractor provided infrastructure (for government use)</t>
  </si>
  <si>
    <t xml:space="preserve">Permits, licenses, submittal approvals </t>
  </si>
  <si>
    <t>Defects with existing infrastructure (customer wanting project to pay)</t>
  </si>
  <si>
    <t>Timely coordination, approvals, and delivery of critical GFE to support design/construction</t>
  </si>
  <si>
    <t>Changes in security posture during construction- Internal or External</t>
  </si>
  <si>
    <t>Site security Escort requirements- risk of variation in stated requirements</t>
  </si>
  <si>
    <t>Site security (can vary due to security posture, stage of construction, Joint occupancy, other activities in area, etc.)</t>
  </si>
  <si>
    <t>Congested site access, staging areas and restrictions</t>
  </si>
  <si>
    <t>Expected number of Requests for Information (RFI), tracking system, and ability/timeliness to respond</t>
  </si>
  <si>
    <t>Adequate laydown site available or Just in Time Delivery</t>
  </si>
  <si>
    <t>Accelerated contract schedule</t>
  </si>
  <si>
    <t>Safe storage of existing equipment and replacement (remodels)</t>
  </si>
  <si>
    <t>Innovative or complex project construction</t>
  </si>
  <si>
    <t>New Facility or Rehabilitation</t>
  </si>
  <si>
    <t>Elevators</t>
  </si>
  <si>
    <t>Cranes</t>
  </si>
  <si>
    <t>Vertical transportation equipment</t>
  </si>
  <si>
    <t>Boilers</t>
  </si>
  <si>
    <t>Structural steel, welding</t>
  </si>
  <si>
    <t>Concrete, masonry, stucco</t>
  </si>
  <si>
    <t>Roofing</t>
  </si>
  <si>
    <t>HVAC, TABS, DALTS, controls</t>
  </si>
  <si>
    <t>Provide technical expertise and ensure certification (QC Specialty)</t>
  </si>
  <si>
    <t>Warranty issue potential (specialized systems)</t>
  </si>
  <si>
    <t>Safety hazards</t>
  </si>
  <si>
    <t>Environment/Site/Location</t>
  </si>
  <si>
    <t>Furniture, Fixtures and Equipment (FFE)</t>
  </si>
  <si>
    <t>j.  Quantity/Type of Sampling &amp; Testing</t>
  </si>
  <si>
    <t>i.  Quantity of GFM/GFE (Specialized construction or systems)</t>
  </si>
  <si>
    <t>h.  Renovation/Repair</t>
  </si>
  <si>
    <t>g.  Critical end use of facility</t>
  </si>
  <si>
    <t xml:space="preserve">f.  Potential interruptions to base operations </t>
  </si>
  <si>
    <t>e.  Size ($ Cost)</t>
  </si>
  <si>
    <t>d.  Multi-disciplined (Specialized Acceptance)</t>
  </si>
  <si>
    <t>c.  Environmental Hazard (UXO, POL, Asbestos, Lead, etc.)</t>
  </si>
  <si>
    <t>b.  Schedule/Phasing</t>
  </si>
  <si>
    <t>a.  Prototype/Unique construction</t>
  </si>
  <si>
    <t>Complexity / Financial Risk</t>
  </si>
  <si>
    <t>ESS - SPAWAR vs Contractor</t>
  </si>
  <si>
    <t>NCTAMS LANT</t>
  </si>
  <si>
    <t>Differing site conditions</t>
  </si>
  <si>
    <t>Unusual transportation haul distances</t>
  </si>
  <si>
    <t xml:space="preserve">Critical fabrication and delivery </t>
  </si>
  <si>
    <t>Limited transportation / haul routes available</t>
  </si>
  <si>
    <t>Transportation / haul routes constricted or unusable during periods of time</t>
  </si>
  <si>
    <t>Productivity of critical work items</t>
  </si>
  <si>
    <t>Regulatory / operational work windows or outage periods</t>
  </si>
  <si>
    <t>Restricted schedule, accelerated schedule impacts</t>
  </si>
  <si>
    <t>Adequate staging areas</t>
  </si>
  <si>
    <t>Unidentified hazardous waste</t>
  </si>
  <si>
    <t>Historic change order or modification growth</t>
  </si>
  <si>
    <t>Consideration for standard weather impact</t>
  </si>
  <si>
    <t>In-water work</t>
  </si>
  <si>
    <t>Permit and environmental work windows</t>
  </si>
  <si>
    <t>Subcontractor capabilities/ availability</t>
  </si>
  <si>
    <t>Conflicts with other contracts/ projects</t>
  </si>
  <si>
    <t>Innovative project construction</t>
  </si>
  <si>
    <t>Inadequate skilled trades available for labor force</t>
  </si>
  <si>
    <t>Site access / restrictions (highways, bridges, dams, water, overhead / underground utilities)</t>
  </si>
  <si>
    <t>Rural / remote locale/ overseas</t>
  </si>
  <si>
    <t>Delivery issues (Customs, fuels, high security/items-explosives, SCIF components)</t>
  </si>
  <si>
    <t>TR</t>
  </si>
  <si>
    <t>Timely delivery of critical GFE</t>
  </si>
  <si>
    <t>Weather Impacts</t>
  </si>
  <si>
    <t>Labor Shortages</t>
  </si>
  <si>
    <t>Escorts</t>
  </si>
  <si>
    <t>Staging Area  of construction</t>
  </si>
  <si>
    <t>Restricted Work Windows</t>
  </si>
  <si>
    <t>CONSTRUCTION (CO)</t>
  </si>
  <si>
    <t>Authority to Operate (ATO)</t>
  </si>
  <si>
    <t>CS</t>
  </si>
  <si>
    <t>Platform Enclave -FEC Level</t>
  </si>
  <si>
    <t>Platform Enclave -Installation Level</t>
  </si>
  <si>
    <t>Wireless</t>
  </si>
  <si>
    <t>Fiber connectivity</t>
  </si>
  <si>
    <t>Coordination w/ ESS -SPAWAR?</t>
  </si>
  <si>
    <t>Clearances required to perform work</t>
  </si>
  <si>
    <t>Requirements partially defined</t>
  </si>
  <si>
    <t>Requirements defined fully</t>
  </si>
  <si>
    <t>ES</t>
  </si>
  <si>
    <t>CYBERSECURITY (CS)</t>
  </si>
  <si>
    <t>Internet</t>
  </si>
  <si>
    <t>UT</t>
  </si>
  <si>
    <t>Cable</t>
  </si>
  <si>
    <t>Identify proposed utility points of connection needed to support to the project, such as potable water lines, non-potable water lines, sewerage, electric, natural gas, phone, Information Technology (IT) lines, steam/hot water from central heat plant, condensate return, and
cooling water from central cooling plant.</t>
  </si>
  <si>
    <t>Known and unknown utility impacts</t>
  </si>
  <si>
    <t>Records / as-built availability / inaccuracies</t>
  </si>
  <si>
    <t>Fiber</t>
  </si>
  <si>
    <t>Communications</t>
  </si>
  <si>
    <t>Fire Water</t>
  </si>
  <si>
    <t>Electrical</t>
  </si>
  <si>
    <t>Sewer</t>
  </si>
  <si>
    <t>Water</t>
  </si>
  <si>
    <t>Availability/ Capacity/Condition</t>
  </si>
  <si>
    <t>UTILITIES</t>
  </si>
  <si>
    <t>UTILITIES (UT)</t>
  </si>
  <si>
    <t xml:space="preserve">Unexpected escalation on key materials </t>
  </si>
  <si>
    <t>g. Red Zone Turnover</t>
  </si>
  <si>
    <t>f. Fuels &amp; O&amp;M costs accounted for  commissioning and for final top off prior to turnover</t>
  </si>
  <si>
    <t>e. Maintenance of turned over spaces- janitorial, exercising MRI,  etc.</t>
  </si>
  <si>
    <t>d. Security during construction/Joint Occupancy</t>
  </si>
  <si>
    <t xml:space="preserve">c. Key control/lock </t>
  </si>
  <si>
    <t>b. Med Gas</t>
  </si>
  <si>
    <t>a. Janitorial</t>
  </si>
  <si>
    <t>IMS reflects reasonable durations for "other" required activities</t>
  </si>
  <si>
    <t>Estimate and schedule reflecting “most likely” occurrence (base schedule accuracy)</t>
  </si>
  <si>
    <t>Schedule depicts logical construction sequencing, resourcing phasing and parallel activities</t>
  </si>
  <si>
    <t>Schedule portrays critical construction features, matching estimate productivity</t>
  </si>
  <si>
    <t>Adequate schedule depicting all major/critical project features</t>
  </si>
  <si>
    <t>Prime and subcontractor structure matches likely acquisition strategy- Often subcontracting is 2-3 levels deep</t>
  </si>
  <si>
    <t>Estimate includes local quotes for special material and equipment</t>
  </si>
  <si>
    <t>E/S considers long-lead items</t>
  </si>
  <si>
    <t>Estimate reflects local material and delivery costs</t>
  </si>
  <si>
    <t>Estimate reasonableness of crews, productivities, multiple subcontractors</t>
  </si>
  <si>
    <t>Estimate reflects local or imported labor (market-bearing, overtime &amp; subsistence)</t>
  </si>
  <si>
    <t>Estimate includes waste, excess &amp; drop off quantities</t>
  </si>
  <si>
    <t>Estimate includes escalation on long term contracts: labor and materials</t>
  </si>
  <si>
    <t>Estimate includes exceptions, exclusions or qualifications</t>
  </si>
  <si>
    <t>Estimate Assumptions exclude necessary project costs</t>
  </si>
  <si>
    <t>Estimate(s) quality and confidence when developed by others</t>
  </si>
  <si>
    <t>Estimate confidence of lesser designed features</t>
  </si>
  <si>
    <t>Estimate confidence in large and critical quantities</t>
  </si>
  <si>
    <t>E/S Developed in sufficient detail (level of confidence)</t>
  </si>
  <si>
    <t>Parametric estimates adequate for design complexity</t>
  </si>
  <si>
    <t>E/S Developed for current scope and design level</t>
  </si>
  <si>
    <t>Consideration for testing and commissioning of systems prior to customer receipt</t>
  </si>
  <si>
    <t>Estimate basis: parametric models or project specific detailed development</t>
  </si>
  <si>
    <t>ESTIMATE &amp; SCHEDULE RISKS (ES)</t>
  </si>
  <si>
    <t>FE</t>
  </si>
  <si>
    <t>Adequacy or Reliability of infrastructure required (base fire loop/pumps don’t work)</t>
  </si>
  <si>
    <t>Fire suppression system- review plan, training, integration of local responders</t>
  </si>
  <si>
    <t>Fire suppression system- unique requirements, exotic fuels, atriums, ATFP integration</t>
  </si>
  <si>
    <t>Fire Suppression system- zones, integration with existing facilities, Egress during construction considerations.</t>
  </si>
  <si>
    <t>Coordination required with Jurisdictional authority and or responders (fire marshal)/ Fire Department</t>
  </si>
  <si>
    <t>FIRE PROTECTION (FE)</t>
  </si>
  <si>
    <t>ME</t>
  </si>
  <si>
    <t>Corrosion control</t>
  </si>
  <si>
    <t>Thermal Expansion considerations</t>
  </si>
  <si>
    <t>Seismic Requirements</t>
  </si>
  <si>
    <t>SCIF considerations and isolation</t>
  </si>
  <si>
    <t>Balancing requirements- dampers, valves, etc.</t>
  </si>
  <si>
    <t>HVAC integration with ATFP requirements</t>
  </si>
  <si>
    <t>Zones and pressure differentials- positive, neutral, negative</t>
  </si>
  <si>
    <t>HVAC- bubble tight SS vs galvanized ducting or other special requirements</t>
  </si>
  <si>
    <t>Equipment piping supply/discharge materials selection adequate- Sanitizers, Steam, treated water.</t>
  </si>
  <si>
    <t>Access panels in hard ceilings, shafts, etc.</t>
  </si>
  <si>
    <t>Requirement and design confidence</t>
  </si>
  <si>
    <t>Maintenance access</t>
  </si>
  <si>
    <t xml:space="preserve">Flexibility to adjust to technology changes </t>
  </si>
  <si>
    <t>Metering of mechanical systems</t>
  </si>
  <si>
    <t>Fuel Sources - availability/suitability</t>
  </si>
  <si>
    <t xml:space="preserve">Controls types, integration with legacy system requirements </t>
  </si>
  <si>
    <t>Long Lead Items Identified</t>
  </si>
  <si>
    <t>Special mechanical equipment- biohazard labs, specialty items-vet clinics</t>
  </si>
  <si>
    <t>Radiation on shielding on waste piping</t>
  </si>
  <si>
    <t>Special systems, medical support, gas</t>
  </si>
  <si>
    <t>Utility demands (HVAC, plumbing, fire suppression, water, sewer demands)</t>
  </si>
  <si>
    <t>MECHANICAL (ME)</t>
  </si>
  <si>
    <t>EE</t>
  </si>
  <si>
    <t>ESS – Electronic Security Systems</t>
  </si>
  <si>
    <t>UMCS</t>
  </si>
  <si>
    <t>Cathodic Protection</t>
  </si>
  <si>
    <t>Metering requirements</t>
  </si>
  <si>
    <t>Communications (SIPR and NIPR) Requirement</t>
  </si>
  <si>
    <t>Lightening Protection</t>
  </si>
  <si>
    <t xml:space="preserve">High Electro Magnetic Pulse (HEMP) requirements/shielding </t>
  </si>
  <si>
    <t>SCIF requirements/isolation/loading</t>
  </si>
  <si>
    <t>Overall load calculations for facilities/suitability of existing power grid</t>
  </si>
  <si>
    <t>Lighting systems specifications, color, type, vs commercial availability</t>
  </si>
  <si>
    <t>Power Quality- Reliability and Harmonics</t>
  </si>
  <si>
    <t>Emergency Generator requirements</t>
  </si>
  <si>
    <t>Includes interior security requirements</t>
  </si>
  <si>
    <t>Special Systems- ATFP integration</t>
  </si>
  <si>
    <t>Uninterruptable Power System (UPS) Requirements</t>
  </si>
  <si>
    <t>Power demands (lighting, communications, IT systems, safety and alarms)</t>
  </si>
  <si>
    <t>ELECTRICAL (EE)</t>
  </si>
  <si>
    <t>SD</t>
  </si>
  <si>
    <t>Envelope/facade integration with structural requirements</t>
  </si>
  <si>
    <t xml:space="preserve">Progressive Collapse and ATFP requirements in structure </t>
  </si>
  <si>
    <t>Hurricane requirements</t>
  </si>
  <si>
    <t>Seismic requirements clearly defined</t>
  </si>
  <si>
    <t>Environmental loads (weather, wind, seismic, security, snow loads)</t>
  </si>
  <si>
    <t>Design complexity impacts</t>
  </si>
  <si>
    <t>STRUCTURAL (SD)</t>
  </si>
  <si>
    <t>CV</t>
  </si>
  <si>
    <t>Material Testing and Lab plan adequate</t>
  </si>
  <si>
    <t>Low Impact Development Requirements</t>
  </si>
  <si>
    <t>Latent Site Defects- past use, infrastructure</t>
  </si>
  <si>
    <t xml:space="preserve">Adequate access for Constructability </t>
  </si>
  <si>
    <t>Site access for patients, employees, contractors during construction.</t>
  </si>
  <si>
    <t>Anti-Terrorism Force Protection (ATFP) Compliance with standoffs, access requirements, loading docks, etc.</t>
  </si>
  <si>
    <t>Potential for future additions/expansion</t>
  </si>
  <si>
    <t xml:space="preserve">Site information in general (site age, as-builts, utilities, cultural resources, site hazardous waste) </t>
  </si>
  <si>
    <t>Unknown Utilities</t>
  </si>
  <si>
    <t xml:space="preserve">Level Coordination with other projects in area, and coordination with the campus masterplan. </t>
  </si>
  <si>
    <t xml:space="preserve">Utilities (water, sewer, drainage) </t>
  </si>
  <si>
    <t>Building site layout accommodates all needs (layout, utilities, drainage, and traffic)</t>
  </si>
  <si>
    <t>Geotechnical Sampling sufficiency- potential for variations across site?</t>
  </si>
  <si>
    <t>CIVIL / SITE DESIGN (CV)</t>
  </si>
  <si>
    <t>AI</t>
  </si>
  <si>
    <t>Draft 1354</t>
  </si>
  <si>
    <t>Historical compliance/local codes etc.</t>
  </si>
  <si>
    <t xml:space="preserve">ABA – Architectural Barrier Act (formerly known as ADA)  </t>
  </si>
  <si>
    <t>BIM- quality and cost of model- (this may still not result in adequate clash detection due to stacking of tolerances)</t>
  </si>
  <si>
    <t>Special considerations for behavioral health areas on hardware, finishes, etc.</t>
  </si>
  <si>
    <t>LEED certification Level- “LEED equivalent” and problems this presents are understood</t>
  </si>
  <si>
    <t>Allowances for final finishes and dimensional tolerances in standard materials included and adequate for room sizing?</t>
  </si>
  <si>
    <t>Building/room numbering methodology (design vs final post construction)</t>
  </si>
  <si>
    <t>Sustainability requirements defined</t>
  </si>
  <si>
    <t>Sound Pressure Level (SPL) level requirements and testing requirements- Doors, walls, floors etc. What is true SPL reduction required?</t>
  </si>
  <si>
    <t>Façade interface with building envelope- deflections, coordination etc.</t>
  </si>
  <si>
    <t>Includes interior security requirements- (Armory, SCIF, IT, Pharmacy- class 3, 4 meds)</t>
  </si>
  <si>
    <t>Flexibility and potential for future additions</t>
  </si>
  <si>
    <t>Medical/Hazard Waste and disposal areas</t>
  </si>
  <si>
    <t>Elevators and pedestrian conveyance</t>
  </si>
  <si>
    <t>Flooring and IT considerations</t>
  </si>
  <si>
    <t>Fixtures, Furnishings &amp; Equipment FFE- Coordination? Acquisition approach?</t>
  </si>
  <si>
    <t>Definition of space requirements/sizing of structure and authorization document validation</t>
  </si>
  <si>
    <t>Interior spatial layout meets requirements and is deemed acceptable by occupant management.</t>
  </si>
  <si>
    <t>Exterior facade meets local community requirements/restrictions.</t>
  </si>
  <si>
    <t>ARCHITECTURAL &amp; INTERIOR (AI)</t>
  </si>
  <si>
    <t>Threat Classification</t>
  </si>
  <si>
    <t>Construction Security Team (Construction Surveillance)</t>
  </si>
  <si>
    <t>Cleared American Guards</t>
  </si>
  <si>
    <t>Cleared American Workers</t>
  </si>
  <si>
    <t>Vault(s)</t>
  </si>
  <si>
    <t>Built in Field</t>
  </si>
  <si>
    <t>Modular</t>
  </si>
  <si>
    <t>Purpose/ Use(s)</t>
  </si>
  <si>
    <t>Additional requirements</t>
  </si>
  <si>
    <t>Location</t>
  </si>
  <si>
    <t>Size</t>
  </si>
  <si>
    <t>Access Control</t>
  </si>
  <si>
    <t>RF Shielding</t>
  </si>
  <si>
    <t>Red/Black</t>
  </si>
  <si>
    <t>HOST NATION</t>
  </si>
  <si>
    <t xml:space="preserve">Local agency/regulator issues </t>
  </si>
  <si>
    <t>HN</t>
  </si>
  <si>
    <t>Critical studies incomplete or inconclusive that could significantly impact scope and cost. (Site stability)</t>
  </si>
  <si>
    <t>NATO</t>
  </si>
  <si>
    <t>Coordination?</t>
  </si>
  <si>
    <t>Host Nation Approval Required?</t>
  </si>
  <si>
    <t>HOST NATION (HN)</t>
  </si>
  <si>
    <t>Identify permits that will be required before operations can start (air, water, etc.).</t>
  </si>
  <si>
    <t>EN</t>
  </si>
  <si>
    <t>Determine whether bodies of water near this project site could be adversely impacted by this project.  If so, explain.</t>
  </si>
  <si>
    <t>Determine if environmental problems have occurred at the project site or nearby.  If so, explain.</t>
  </si>
  <si>
    <t>Determine if this project could adversely impact nearby facilities on the installation or off-base and/or members of the public.  If so, explain.</t>
  </si>
  <si>
    <t>Determine if the site and/or the facilities involved with this project are of historic significance.  If so, explain.</t>
  </si>
  <si>
    <t>p.  Coastal Zone Management Act (CZMA.</t>
  </si>
  <si>
    <t>o.  Sikes Act (requires military installations be managed for multipurpose uses and public access unless inconsistent with mission requirements.</t>
  </si>
  <si>
    <t>n.  Wilderness Act (applies to federal land that has retained its primeval character without permanent improvements or human habitation.</t>
  </si>
  <si>
    <t>m.  Wild Free-Roaming Horses and Burros Act (protects unbranded and unclaimed horses and burros on public lands from capture,
branding, harassment, and death.</t>
  </si>
  <si>
    <t>I.  Marine Mammal Protection Act</t>
  </si>
  <si>
    <t>k.  Migratory Bird Treaty Act</t>
  </si>
  <si>
    <t>j.  Endangered Species Act</t>
  </si>
  <si>
    <t>i.  Archeological Resources Protection Act, American Indian Religious Freedom Act, Native American Graves Protection and Repatriation
Act, Native American agreement's</t>
  </si>
  <si>
    <t>h.  National Historic Preservation Act (NHPA. Sect 106.  This usually involves consultation and negotiations with the applicable State Historic Preservation Office (SHPO..</t>
  </si>
  <si>
    <t>g.  Comprehensive Environmental Response, Compensation, and Liability Act (CERCLA.</t>
  </si>
  <si>
    <t>f.  Occupational Safety &amp; Health Administration (OSHA.</t>
  </si>
  <si>
    <t>e.  Resource Conservation and Recovery Act (RCRA.</t>
  </si>
  <si>
    <t>d.  Low Impact Development</t>
  </si>
  <si>
    <t>c.  National Pollution Discharge Elimination System</t>
  </si>
  <si>
    <t>b.  Clean Water Act</t>
  </si>
  <si>
    <t>a.  Clean Air Act</t>
  </si>
  <si>
    <t>Identify any cultural or historical recourses that could be or will be
impacted by this project.  If any, provide the status of required
actions.</t>
  </si>
  <si>
    <t>Determine the level of NEPA required for this project (i.e., CATEX,
EA, EIS).   Develop a timeline for completion of the NEPA documentation.</t>
  </si>
  <si>
    <t>ENVIRONMENTAL &amp; CULTURAL/HISTORICAL RESOURCES (EN)</t>
  </si>
  <si>
    <t>Is joint use applicable?</t>
  </si>
  <si>
    <t>PS</t>
  </si>
  <si>
    <t>Identify Installation Appearance Plans requirements.</t>
  </si>
  <si>
    <t>Confirm that the Basic Facility Requirements (BFR) support this project and is attached in EPG.</t>
  </si>
  <si>
    <t>FACILITY PLANNING DATA</t>
  </si>
  <si>
    <t>Determine if FAA/ ICAO approval be required for this project.  If so, explain and provide status of approval.</t>
  </si>
  <si>
    <t>SI</t>
  </si>
  <si>
    <t xml:space="preserve">Height restrictions? </t>
  </si>
  <si>
    <t>Impacts to local community?</t>
  </si>
  <si>
    <t>Determine if this project cause acoustic/noise problems that are a concern to safety and/or health or that are considered an off-base nuisance.  If so, explain. (Example aircraft noise)</t>
  </si>
  <si>
    <t>Air Installations Compatibility Use Zones (AICUZ).  If so, explain.</t>
  </si>
  <si>
    <t>Confirm environmental, historical and cultural resources impact issues  are addressed.  If there are any potential "showstoppers" (such as wetlands mitigation, State Historic Preservation Officer (SHPO) consultation, cultural resources issues, installation restoration clean-up, and Anti-Terrorist/ Force Protection) (AT/FP) requirements) associated with the preferred site, describe the issues in detail.</t>
  </si>
  <si>
    <t>Determine if this project's site in an appropriate land use area as identified in the latest installation master plan or Regional Shore Infrastructure Plan.  If not, explain why not.</t>
  </si>
  <si>
    <t>Bandwidth Coordinator for emitters</t>
  </si>
  <si>
    <t>Site approval received. (If not what impact is there). Is there another suitable site?</t>
  </si>
  <si>
    <t>Determine if there any potential nuclear radiation issues.</t>
  </si>
  <si>
    <t xml:space="preserve">Determine if the Explosive Safety Quantity Distance arcs and other NOSSNDDESB issues be a factor for this project.  </t>
  </si>
  <si>
    <t>Determine if Electromagnetic Interference (EMI) or Electromagnetic Radiation is a potential impact to personnel, equipment, ordnance, etc.</t>
  </si>
  <si>
    <t>Confirm appropriate planning studies have been completed and are attached to EPG Project.  If not completed, list and provide status.</t>
  </si>
  <si>
    <t>Determine whether this project needs National Capital Region Approval (Washington, DC) or other local approvals.  If so, provide the status.</t>
  </si>
  <si>
    <t>Are any waivers required?</t>
  </si>
  <si>
    <t>Determine if the project is sited in a 100- year floodplain.  If so, explain why this is the preferred site and describe any mitigation features and their costs that will be needed to protect this capital investment.</t>
  </si>
  <si>
    <t>Unexploded Ordinance (Site Clearance)</t>
  </si>
  <si>
    <t>SITE IDENTIFICATION &amp; APPROVAL (SI)</t>
  </si>
  <si>
    <t>Relocations identified facility</t>
  </si>
  <si>
    <t>Relocations identified utility</t>
  </si>
  <si>
    <t>Environmental mitigation needs identified</t>
  </si>
  <si>
    <t>Real estate / easement acquisition</t>
  </si>
  <si>
    <t>PLANNING-SITE (PS)</t>
  </si>
  <si>
    <t>Has the J&amp;As been approved?</t>
  </si>
  <si>
    <t>CA</t>
  </si>
  <si>
    <t>Are there any proposed J&amp;A (Justification and Approval)</t>
  </si>
  <si>
    <t>Acquisition size and various source selection requirements/approvals</t>
  </si>
  <si>
    <t>Market conditions and anticipated bidding climate</t>
  </si>
  <si>
    <t xml:space="preserve">Acquisition strategy or mega-project size decreasing competition </t>
  </si>
  <si>
    <t>Numerous separate contracts vice one large contract (Consolidation)</t>
  </si>
  <si>
    <t>Consolidation/ bundling of multiple projects</t>
  </si>
  <si>
    <t>Requirements for SDB and 8(a) contracts and subcontracts</t>
  </si>
  <si>
    <t xml:space="preserve">Adequate Contract Capacity Available </t>
  </si>
  <si>
    <t>Resource Availability of Source Selection/Evaluation Process</t>
  </si>
  <si>
    <t>Changing Acquisition Strategy</t>
  </si>
  <si>
    <t>Acquisition Strategy Determined?</t>
  </si>
  <si>
    <t>Qualified Contractors with Secure Facilities</t>
  </si>
  <si>
    <t>Will this be a Classified contract?</t>
  </si>
  <si>
    <t>CONTRACT ACQUISITION RISKS (CA)</t>
  </si>
  <si>
    <t>Are there any Key unknowns that could alter the design? Any additional studies required?  Cost and schedule for these?</t>
  </si>
  <si>
    <t>EX</t>
  </si>
  <si>
    <t>Project is supporting a system that is under development and functional requirements could change.</t>
  </si>
  <si>
    <t>Local country requirements- sponsors, work visas, Third Country National (TCN) restrictions</t>
  </si>
  <si>
    <t>Customer needs/anticipated workload and IMS-- (deployment, surge, etc.)</t>
  </si>
  <si>
    <t>Market conditions and bidding competition</t>
  </si>
  <si>
    <t>Conflicts with other projects, contracts and/or utilities</t>
  </si>
  <si>
    <t>c.  Phased IO&amp;T</t>
  </si>
  <si>
    <t>b.  Certification delays, lags</t>
  </si>
  <si>
    <t>a.  Swing Space Requirements</t>
  </si>
  <si>
    <t xml:space="preserve">Phased construction </t>
  </si>
  <si>
    <t>Project scope, criteria or design change potential (design and construction periods)</t>
  </si>
  <si>
    <t>Direct client support requirements</t>
  </si>
  <si>
    <t xml:space="preserve">Priorities change on existing program </t>
  </si>
  <si>
    <t>EXTERNAL RISKS (EX)</t>
  </si>
  <si>
    <t>Change in Conditions onsite/ regional (terrorist attack, weather events)</t>
  </si>
  <si>
    <t>PM</t>
  </si>
  <si>
    <t xml:space="preserve">Insufficient time to plan, accelerated schedules (design/acquisition/construction) </t>
  </si>
  <si>
    <t>Implementation of VE Recommendations</t>
  </si>
  <si>
    <t>A/E/C Consultant or contractor delays</t>
  </si>
  <si>
    <t xml:space="preserve">Risk due to accelerated schedule </t>
  </si>
  <si>
    <t>Risk to exceeding current project schedule Milestones</t>
  </si>
  <si>
    <t>Product development by several sources or entities (virtual or remote efforts)</t>
  </si>
  <si>
    <t>ABILITY TO EXECUTE</t>
  </si>
  <si>
    <t>Ongoing/ new changes to project and requirements by Supported Command.</t>
  </si>
  <si>
    <t>Priorities change on existing program</t>
  </si>
  <si>
    <t>Project scope definition is unclear or incomplete</t>
  </si>
  <si>
    <t>SCOPE AND OBJECTIVES</t>
  </si>
  <si>
    <t>PROJECT &amp; PROGRAM MANAGEMENT (PM)</t>
  </si>
  <si>
    <t>Risk/Opportunity Event</t>
  </si>
  <si>
    <t>Ref #</t>
  </si>
  <si>
    <t>RT</t>
  </si>
  <si>
    <t>Include?</t>
  </si>
  <si>
    <r>
      <t xml:space="preserve">Coordinate Electronic Security Systems  (ESS) </t>
    </r>
    <r>
      <rPr>
        <i/>
        <sz val="11"/>
        <rFont val="Calibri"/>
        <family val="2"/>
        <scheme val="minor"/>
      </rPr>
      <t xml:space="preserve">I </t>
    </r>
    <r>
      <rPr>
        <sz val="11"/>
        <rFont val="Calibri"/>
        <family val="2"/>
        <scheme val="minor"/>
      </rPr>
      <t>Physical Security Equipment (PSE) including Intrusion Detection Systems (IDS) with NAVFACHQ Cl ATFP, User/Opera tor, and Installation's BCO.</t>
    </r>
  </si>
  <si>
    <t>Risk Checklist (MILCON)</t>
  </si>
  <si>
    <t>Consideration for unknown/unidentified risks</t>
  </si>
  <si>
    <t xml:space="preserve">Labor disruptions </t>
  </si>
  <si>
    <t xml:space="preserve">Political factors change at local, state or federal </t>
  </si>
  <si>
    <t xml:space="preserve">Stakeholders demand schedule or quality over funds available </t>
  </si>
  <si>
    <t xml:space="preserve">Influential stakeholders request additional needs to serve other purposes </t>
  </si>
  <si>
    <t>New stakeholders emerge and demand changes</t>
  </si>
  <si>
    <t xml:space="preserve">Stakeholders request late changes </t>
  </si>
  <si>
    <t>c. Phased IO&amp;T</t>
  </si>
  <si>
    <t>b. Certification delays, lags</t>
  </si>
  <si>
    <t>a. Swing Space Requirements</t>
  </si>
  <si>
    <t>Escalation Exceeds CWWICS or assumed factors</t>
  </si>
  <si>
    <t xml:space="preserve">Adequacy of project funding (incremental, phasing or full funding) </t>
  </si>
  <si>
    <t xml:space="preserve"> Other:</t>
  </si>
  <si>
    <t>What is truly the  first operational day of facility?</t>
  </si>
  <si>
    <t>Who develops and maintains?  When is this team member onboard? (Usually in IO&amp;T contract)</t>
  </si>
  <si>
    <t>Responsibility for the Integrated Master Schedule (IMS)</t>
  </si>
  <si>
    <t>Schedule matches PDT plan</t>
  </si>
  <si>
    <t>E/S considers potential for multi-tiered subcontractors</t>
  </si>
  <si>
    <t>E/S inclusion of hidden contingency</t>
  </si>
  <si>
    <t>E/S Considers specialties in construction and electrical/mechanical systems</t>
  </si>
  <si>
    <t>E/S reflects contract strategy/structure- are markups applied correctly based on most likely acquisition?</t>
  </si>
  <si>
    <t>E/S addresses potential for partial occupation (personnel, utilities, interior, exterior)</t>
  </si>
  <si>
    <t xml:space="preserve">E/S of the complete program current/updated representing a true Total Project Cost for the project. </t>
  </si>
  <si>
    <t>E/S captures scope for all project features- Does it really represent a complete, usable, and  constructible approach to complete the project?</t>
  </si>
  <si>
    <t>Loss of Key Sub-Contractors</t>
  </si>
  <si>
    <t>Ability of the contractor to deliver adequate workforce</t>
  </si>
  <si>
    <t>Site staff decision-making ability/authority/timeliness</t>
  </si>
  <si>
    <t>Warrant level of onsite contracting staff and approval chain hierarchy</t>
  </si>
  <si>
    <t xml:space="preserve"> Pre-Construction/Partnering/cooperation between contractor, USACE, and stakeholders.</t>
  </si>
  <si>
    <t>Contractors approach to the schedule- Typically works easy items first- Usually the critical path of the project goes through the most complex items in the project- IE the trauma center/vertical tower, but the contractor chooses to start on the admin building first and ends up delaying project completion due to inadequate detail in early schedules.</t>
  </si>
  <si>
    <t>Defects/errors in design</t>
  </si>
  <si>
    <t>Adequate QA/QC</t>
  </si>
  <si>
    <t>Adequate site supervision</t>
  </si>
  <si>
    <t>Adequate Contractor Construction Staff</t>
  </si>
  <si>
    <t>i. Security Concerns during Joint Occupancy</t>
  </si>
  <si>
    <t xml:space="preserve">h. Liability insurance coverage </t>
  </si>
  <si>
    <t>g. Rework due to damage</t>
  </si>
  <si>
    <t>f. Security/safety of completed work</t>
  </si>
  <si>
    <t>e. Staging of materials</t>
  </si>
  <si>
    <t>d. backup utilities</t>
  </si>
  <si>
    <t>c. protection from construction impacts</t>
  </si>
  <si>
    <t xml:space="preserve">b. people management  </t>
  </si>
  <si>
    <t xml:space="preserve">a. functioning utilities intact  </t>
  </si>
  <si>
    <t>Sufficient Internet capabilities/infrastructure to support Resident Management System (RMS) and other requirements.</t>
  </si>
  <si>
    <t>Inadequate housing/utilities to support labor force</t>
  </si>
  <si>
    <t>Conflicts with other contracts for resources- internal and external to the project</t>
  </si>
  <si>
    <t>Inefficient contractor and/or subcontractors</t>
  </si>
  <si>
    <t>USACE staff skills for processing modification, Claims, RFI</t>
  </si>
  <si>
    <t>Skilled Gov’t construction management staff for contracts</t>
  </si>
  <si>
    <t>RG</t>
  </si>
  <si>
    <t>Certifications required/identified and included in cost/schedule- Pharmacy, armory, Biohazard, Specialized equipment</t>
  </si>
  <si>
    <t>Pressure to compress the study and permitting activities</t>
  </si>
  <si>
    <t>New permits or new information required</t>
  </si>
  <si>
    <t xml:space="preserve">Reviewing agencies delayed or take longer than expected </t>
  </si>
  <si>
    <t>Adequate budget/funding for specialized staff (IE No budget for Archeologist but building on a known historical site)</t>
  </si>
  <si>
    <t xml:space="preserve">Lack of specialized staff (biology, anthropology, archeology, etc.) </t>
  </si>
  <si>
    <t>Status of any other permits required</t>
  </si>
  <si>
    <t>State Historical Preservation Office concerns</t>
  </si>
  <si>
    <t>Restrictions imposed in approved documents/permits? Need for amendments to previously approved documents?</t>
  </si>
  <si>
    <t>Accuracy of current approved documents- is project footprint correct in NEPA documentation? Are there scope items promised/included in completed documents?</t>
  </si>
  <si>
    <t>Team understanding of NEPA and FONSI assumptions and requirements</t>
  </si>
  <si>
    <t xml:space="preserve">Status of critical environmental and regulatory studies National Environmental Policy ACT( NEPA) and the Finding of Non-Significant Impact (FONSI) </t>
  </si>
  <si>
    <t>Established requirements for initial project studies and potential impacts</t>
  </si>
  <si>
    <t>REGULATORY ENVIRONMENTAL RISKS (RG)</t>
  </si>
  <si>
    <t>LD</t>
  </si>
  <si>
    <t>Risk of site footprint growing beyond the planned real estate footprint?</t>
  </si>
  <si>
    <t>Transition plan for signage- Department Of Transportation (DOT), base, city (customer responsibility)</t>
  </si>
  <si>
    <t>Relocations identified and coordinated</t>
  </si>
  <si>
    <t xml:space="preserve">Freeway, railroad agreements and impacts </t>
  </si>
  <si>
    <t>Right-of-way analysis in question, or right of way is required(utilities)</t>
  </si>
  <si>
    <t>Confidence in estimated cost and schedule to acquire/resolve real estate</t>
  </si>
  <si>
    <t>Ancillary owner rights, ownerships in question</t>
  </si>
  <si>
    <t>Real Estate plan defined (status, purchases, agreements, easement acquisition)</t>
  </si>
  <si>
    <t>LANDS AND DAMAGES (LD)</t>
  </si>
  <si>
    <t>COMMISSIONING/CERTIFICATION (CC)</t>
  </si>
  <si>
    <t>Maintenance of fire suppression during construction/turnover</t>
  </si>
  <si>
    <t>Coordination required with Jurisdictional authority and or responders (fire marshal)</t>
  </si>
  <si>
    <t>Identification of designer of record for Fire/Life Safety</t>
  </si>
  <si>
    <t>Mockups- what are really needed?  Adequate time in schedule? Are adequate cost and testing requirements included?- (fire, sound, critical areas)</t>
  </si>
  <si>
    <t>LEED certification Level- “leed equivalent” and problems this presents are understood</t>
  </si>
  <si>
    <t>Need for waivers or any non-standard design issues that could cause delay</t>
  </si>
  <si>
    <t>Independent External Peer Review (IEPR) Coordination, Cost, and timing considerations</t>
  </si>
  <si>
    <t>Required coordination with industry by law (Navigation/Ports and Harbors)</t>
  </si>
  <si>
    <t xml:space="preserve">Regulatory/Statutory agreements known and understood-Buy American Act, Berry Amendment (domestic specialty metals), "stan" countries agreements on concrete supply- compliance </t>
  </si>
  <si>
    <t>Government Furnished Materials or Equipment</t>
  </si>
  <si>
    <t>Existing contracts that may require coordination (Utility plant adjustments)</t>
  </si>
  <si>
    <t>Sole source type items identified</t>
  </si>
  <si>
    <t>Special requirements of preferred providers- electrical water utilities etc.  (KAHRAMMA in Qatar or other base requirements)</t>
  </si>
  <si>
    <t xml:space="preserve">Host Nation vs USA or International Codes and requirements  </t>
  </si>
  <si>
    <t>ATFP Standoffs and Coordination</t>
  </si>
  <si>
    <t>Security requirements for the facility</t>
  </si>
  <si>
    <t>Need for design exceptions or waivers</t>
  </si>
  <si>
    <t>Inaccurate or risky design assumptions on technical issues</t>
  </si>
  <si>
    <t>Mission critical facility requirements (water, power, sewage, garbage, food)</t>
  </si>
  <si>
    <t>Design confidence by external review and others (timing, quality)</t>
  </si>
  <si>
    <t>Design use of latest confirmed criteria or changes in criteria are forthcoming. What is regulation/code cycle or update schedule?</t>
  </si>
  <si>
    <t>Quality/Skills/Size of design team (in over their heads? Too small? Responsiveness?  (8a on a mega project)</t>
  </si>
  <si>
    <t>Innovative design, highly complex, first of a kind, or prototypes</t>
  </si>
  <si>
    <t>Ongoing work (contracts) as compared to future work (contracts)</t>
  </si>
  <si>
    <t>Validation of programming data (is there sufficient funding, was all scope considered at programming?)</t>
  </si>
  <si>
    <t>Overall design development stage, incomplete or preliminary</t>
  </si>
  <si>
    <t>GENERAL TECHNICAL RISKS (TR)</t>
  </si>
  <si>
    <t xml:space="preserve"> Acquisition size and various source selection requirements/approvals</t>
  </si>
  <si>
    <t xml:space="preserve"> Bid schedule- Betterments vs Options- maximum value for customer considerations</t>
  </si>
  <si>
    <t xml:space="preserve"> Design-Build, vs Design-Bid-Build, vs ECI and possible effects on project</t>
  </si>
  <si>
    <t xml:space="preserve"> Joint Venture Contractor bidding </t>
  </si>
  <si>
    <t xml:space="preserve"> Market conditions and anticipated bidding climate</t>
  </si>
  <si>
    <t xml:space="preserve"> Acquisition strategy results in greater scope risk (Design Build, performance specs, best-value, ECI, cost-plus, contractor bonding…)</t>
  </si>
  <si>
    <t xml:space="preserve"> Acquisition strategy or mega-project size decreasing competition </t>
  </si>
  <si>
    <t xml:space="preserve"> Numerous separate contracts vice one large contract (Consolidation)</t>
  </si>
  <si>
    <t xml:space="preserve"> Acquisition planning to accommodate funding stream or anticipated strategy</t>
  </si>
  <si>
    <t xml:space="preserve"> Requirements for SDB and 8(a) contracts and subcontracts both USACE and bidders</t>
  </si>
  <si>
    <t xml:space="preserve"> Expiration of contracts required (Design, MATOC, SATOC, etc.)</t>
  </si>
  <si>
    <t xml:space="preserve"> Adequate Contract Capacity Available </t>
  </si>
  <si>
    <t xml:space="preserve"> Cost Thresholds for Principle Assistant Responsible for Contracting (PARC) Coordination/Approvals and Consolidation</t>
  </si>
  <si>
    <t xml:space="preserve"> Resource Availability of Source Selection/Evaluation Process</t>
  </si>
  <si>
    <t xml:space="preserve"> Changing Acquisition Strategy</t>
  </si>
  <si>
    <t xml:space="preserve"> Undefined acquisition strategy</t>
  </si>
  <si>
    <t xml:space="preserve"> Lack of acquisition planning support/involvement</t>
  </si>
  <si>
    <t xml:space="preserve"> Other </t>
  </si>
  <si>
    <t xml:space="preserve"> Project transfer between Gov’t agencies</t>
  </si>
  <si>
    <t xml:space="preserve"> Clearances (security, badging, access levels, lead times, varying escort   requirements (security posture))</t>
  </si>
  <si>
    <t xml:space="preserve"> Specialized training requirements</t>
  </si>
  <si>
    <t xml:space="preserve"> Commissioning and or special turnover requirements</t>
  </si>
  <si>
    <t xml:space="preserve"> Special Software Needs</t>
  </si>
  <si>
    <t xml:space="preserve"> Other funding sources- gift, other agency funds (ATFP, Hazmat) – how to address reliability/use/tracking etc.</t>
  </si>
  <si>
    <t xml:space="preserve"> Supervision and Administration (S&amp;A) rate varies from the standard rates</t>
  </si>
  <si>
    <t xml:space="preserve"> Megaproject controls- Team and staffing levels and cost to support</t>
  </si>
  <si>
    <t xml:space="preserve"> Priorities change on existing program</t>
  </si>
  <si>
    <t xml:space="preserve"> Multiple agencies coordination/regulator issues </t>
  </si>
  <si>
    <t xml:space="preserve"> Unexpected/Unknown requirements causing delays in obtaining approvals, decisions</t>
  </si>
  <si>
    <t xml:space="preserve"> Architect, Engineer, Consultant or Contractor delays </t>
  </si>
  <si>
    <t xml:space="preserve"> Timely response to critical decisions by PM and/or management</t>
  </si>
  <si>
    <t>b.  Change Control Plan Developed -Design and Construction Phases</t>
  </si>
  <si>
    <t xml:space="preserve">a.  Risk Management Plan current and updated </t>
  </si>
  <si>
    <t xml:space="preserve"> Adequacy of the Project Management Plan</t>
  </si>
  <si>
    <t xml:space="preserve"> Insufficient time to plan, accelerated schedules (design/acquisition/construction) </t>
  </si>
  <si>
    <t xml:space="preserve"> Coordination/communication difficulties with team</t>
  </si>
  <si>
    <t xml:space="preserve"> Functional and Technical labor availability/workload (design and construction)</t>
  </si>
  <si>
    <t xml:space="preserve"> Reprogramming Risk</t>
  </si>
  <si>
    <t xml:space="preserve"> Project competing with other projects, funding and resources</t>
  </si>
  <si>
    <t xml:space="preserve"> Funding profile for proposed schedule of events: design, acquisition, construction</t>
  </si>
  <si>
    <t xml:space="preserve"> Product development by several sources or entities (virtual or remote efforts)</t>
  </si>
  <si>
    <t xml:space="preserve"> Control over sufficient staff sizing and project priorities</t>
  </si>
  <si>
    <t xml:space="preserve"> Unanticipated project manager workload </t>
  </si>
  <si>
    <t xml:space="preserve"> Skilled staff able and prepared to manage to cost and schedule: earned value of design/construction</t>
  </si>
  <si>
    <t xml:space="preserve"> Sufficient project management staff over design, acquisition and construction</t>
  </si>
  <si>
    <t xml:space="preserve"> Design to Cost or Cost to Design</t>
  </si>
  <si>
    <t xml:space="preserve"> Project budget inadequate for scope required</t>
  </si>
  <si>
    <t xml:space="preserve"> Project scope definition is unclear or incomplete</t>
  </si>
  <si>
    <t xml:space="preserve"> Project purpose and objectives are insufficiently defined </t>
  </si>
  <si>
    <t>Risk Checklist (Civil Works)</t>
  </si>
  <si>
    <t>Project Scope:</t>
  </si>
  <si>
    <t>Date:</t>
  </si>
  <si>
    <t>Document Type:</t>
  </si>
  <si>
    <t>DD1391</t>
  </si>
  <si>
    <t>Project Location:</t>
  </si>
  <si>
    <t>Project:</t>
  </si>
  <si>
    <t>TBD</t>
  </si>
  <si>
    <t>District:</t>
  </si>
  <si>
    <t>Project Details</t>
  </si>
  <si>
    <t>Report Title:</t>
  </si>
  <si>
    <t>KEEP</t>
  </si>
  <si>
    <t>RANGE</t>
  </si>
  <si>
    <t>N/A</t>
  </si>
  <si>
    <t>PROGRAMMED AMOUNT ( IF KNOWN)</t>
  </si>
  <si>
    <t>Total Construction Management</t>
  </si>
  <si>
    <t>Total Planning, Engineering &amp; Design</t>
  </si>
  <si>
    <t>*</t>
  </si>
  <si>
    <t>Total Construction Estimate</t>
  </si>
  <si>
    <t>Real Estate</t>
  </si>
  <si>
    <t>FIXED DOLLAR RISK ADD (EQUALLY DISPERSED TO ALL, MUST INCLUDE JUSTIFICATION SEE BELOW)</t>
  </si>
  <si>
    <t>XX</t>
  </si>
  <si>
    <t>S&amp;A</t>
  </si>
  <si>
    <t>DDC Costs</t>
  </si>
  <si>
    <t>Miscellaneous</t>
  </si>
  <si>
    <t>In-Project Lump Sum(s)</t>
  </si>
  <si>
    <t>G Sitework</t>
  </si>
  <si>
    <t>F Special Construction and Demolition</t>
  </si>
  <si>
    <t xml:space="preserve"> </t>
  </si>
  <si>
    <t>E Equipment and Furnishings</t>
  </si>
  <si>
    <t>D Services</t>
  </si>
  <si>
    <t>C Interiors</t>
  </si>
  <si>
    <t>B Shell</t>
  </si>
  <si>
    <t>A Substructure</t>
  </si>
  <si>
    <t>Base Cost</t>
  </si>
  <si>
    <t>Feature of Work</t>
  </si>
  <si>
    <t>Schedule Duration:</t>
  </si>
  <si>
    <t>Meeting Date:</t>
  </si>
  <si>
    <t>Low Risk: Simple Project-No Life Safety</t>
  </si>
  <si>
    <t>Risk Category:</t>
  </si>
  <si>
    <t>TOTALS</t>
  </si>
  <si>
    <t>TOTAL</t>
  </si>
  <si>
    <t>Design</t>
  </si>
  <si>
    <t>Notes</t>
  </si>
  <si>
    <t>Finish</t>
  </si>
  <si>
    <t>Start</t>
  </si>
  <si>
    <t>Duration</t>
  </si>
  <si>
    <t>Contract</t>
  </si>
  <si>
    <t>Day</t>
  </si>
  <si>
    <t>Month</t>
  </si>
  <si>
    <t>Year</t>
  </si>
  <si>
    <t>Base Schedule</t>
  </si>
  <si>
    <t>Base Estimate</t>
  </si>
  <si>
    <t>Base Estimate Summary</t>
  </si>
  <si>
    <t>Schedule Summary</t>
  </si>
  <si>
    <t>Follow-Up Discussions (Individual or Group Discussions)</t>
  </si>
  <si>
    <t>Role / Discipline</t>
  </si>
  <si>
    <t>Office</t>
  </si>
  <si>
    <t>Name</t>
  </si>
  <si>
    <t>Attendance</t>
  </si>
  <si>
    <t>through</t>
  </si>
  <si>
    <t>Technical Lead</t>
  </si>
  <si>
    <t>Risk Register Meeting</t>
  </si>
  <si>
    <t>Risk Facilitator</t>
  </si>
  <si>
    <t>CSRA Risk Register Meeting Attendance</t>
  </si>
  <si>
    <t>∞</t>
  </si>
  <si>
    <t>High Range</t>
  </si>
  <si>
    <t>Low Range</t>
  </si>
  <si>
    <t>Schedule Impacts</t>
  </si>
  <si>
    <t>Cost Impacts</t>
  </si>
  <si>
    <t>Remaining Base Cost / Schedule</t>
  </si>
  <si>
    <t>High Impact</t>
  </si>
  <si>
    <t>Low Impact</t>
  </si>
  <si>
    <t>Impact</t>
  </si>
  <si>
    <t>If event
occurrence is…</t>
  </si>
  <si>
    <t>Unlikely</t>
  </si>
  <si>
    <t>Possible</t>
  </si>
  <si>
    <t>Likely</t>
  </si>
  <si>
    <t>Very Likely</t>
  </si>
  <si>
    <t>Certain</t>
  </si>
  <si>
    <t>This sheet defines what the impacts are based on their cost. This is crucial to define what truly negligible, marginal, moderate, etc. are. Fill this out before the meeting so that you can show what the ranges to be concerned are.</t>
  </si>
  <si>
    <t>Percent's above are based on 10 events, and are considered approximate, judgment should be used for final grouping dependent on # of occurrences, project size, flexibility and complexity.</t>
  </si>
  <si>
    <t>Likelihood</t>
  </si>
  <si>
    <t>% of Project Cost or Schedule Change</t>
  </si>
  <si>
    <t>Impact or Consequence of Occurrence</t>
  </si>
  <si>
    <t>Medium</t>
  </si>
  <si>
    <t>Low</t>
  </si>
  <si>
    <t>High</t>
  </si>
  <si>
    <t>RELOOK AT BASIS OF ESTIMATE</t>
  </si>
  <si>
    <t>Critical</t>
  </si>
  <si>
    <t>Significant</t>
  </si>
  <si>
    <t>Moderate</t>
  </si>
  <si>
    <t>Marginal</t>
  </si>
  <si>
    <t>Negligible</t>
  </si>
  <si>
    <t>Likelihood of
Occurrence</t>
  </si>
  <si>
    <t>Risk Matrix</t>
  </si>
  <si>
    <t>Needs Rated</t>
  </si>
  <si>
    <t>Low
% Occurrence</t>
  </si>
  <si>
    <t>High
% Occurrence</t>
  </si>
  <si>
    <t>per Cost
Event Exceeds</t>
  </si>
  <si>
    <t>per Schedule
Event Exceeds</t>
  </si>
  <si>
    <t>then it's likelihood is
thought to be between…</t>
  </si>
  <si>
    <t>Definition</t>
  </si>
  <si>
    <t>Likelihood of Occurrence</t>
  </si>
  <si>
    <t>Cost Impact</t>
  </si>
  <si>
    <t>Schedule Impact</t>
  </si>
  <si>
    <t>then it's impact to total project cost is thought to be between…</t>
  </si>
  <si>
    <t>then it's impact to total project schedule is thought to be between…</t>
  </si>
  <si>
    <t>Cost / Schedule Impact Percentages Converted to Cost / Schedule Ranges</t>
  </si>
  <si>
    <t>Round up to nearest…</t>
  </si>
  <si>
    <t>Select From List</t>
  </si>
  <si>
    <t>Project Cost</t>
  </si>
  <si>
    <t>Cost Engineering</t>
  </si>
  <si>
    <t>N/A -Not Modeled</t>
  </si>
  <si>
    <t>14 - Estimate and Schedule Risks (ES)</t>
  </si>
  <si>
    <t>7 - General Technical Risk (TR)</t>
  </si>
  <si>
    <t>Project Cost &amp; Schedule</t>
  </si>
  <si>
    <t>Customer</t>
  </si>
  <si>
    <t>2 - Scope and Objectives (SC)</t>
  </si>
  <si>
    <t>Construction</t>
  </si>
  <si>
    <t>Uniform</t>
  </si>
  <si>
    <t>13 - Construction (CO)</t>
  </si>
  <si>
    <t>4 - External Risks (EX)</t>
  </si>
  <si>
    <t>Civil/Site Design</t>
  </si>
  <si>
    <t>Project Management</t>
  </si>
  <si>
    <t>1 - Project &amp; Program Management (PM)</t>
  </si>
  <si>
    <t>Environmental Compliance</t>
  </si>
  <si>
    <t>33 - Regulatory And Environmental (ENV)</t>
  </si>
  <si>
    <t>Architectural</t>
  </si>
  <si>
    <t>11 - Architectural and Interior (AI)</t>
  </si>
  <si>
    <t>12 - Civil/Site Design (CV)</t>
  </si>
  <si>
    <t>19 - Structural (SD)</t>
  </si>
  <si>
    <t>21 - Environmental &amp; Cultural/Historical Resources (EC)</t>
  </si>
  <si>
    <t>Hydrology/Hydraulic Design</t>
  </si>
  <si>
    <t>Structural Design</t>
  </si>
  <si>
    <t>Geotechnical Design</t>
  </si>
  <si>
    <t>Mechanical Design</t>
  </si>
  <si>
    <t>16 - Mechanical (ME)</t>
  </si>
  <si>
    <t>15 - Electrical (EE)</t>
  </si>
  <si>
    <t>Electrical Design</t>
  </si>
  <si>
    <t>5 - Contract Acquisition Risks (CA)</t>
  </si>
  <si>
    <t>Schedule HV</t>
  </si>
  <si>
    <t>Schedule LV</t>
  </si>
  <si>
    <t>Cost HV</t>
  </si>
  <si>
    <t>Cost LV</t>
  </si>
  <si>
    <t>Risk Item Name for Chart</t>
  </si>
  <si>
    <t>Risk Item for Lookup</t>
  </si>
  <si>
    <t>ROM Schedule Risk @ 90%</t>
  </si>
  <si>
    <t>ROM Schedule Risk @ 80%</t>
  </si>
  <si>
    <t>ROM Schedule Risk @ 50%</t>
  </si>
  <si>
    <t>ROM Cost Risk @ 90%</t>
  </si>
  <si>
    <t>ROM Cost Risk @ 80%</t>
  </si>
  <si>
    <t>ROM Cost Risk @ 50%</t>
  </si>
  <si>
    <t>ROM Schedule of Risk Item @ 90% CL</t>
  </si>
  <si>
    <t>ROM Schedule of Risk Item @ 80% CL</t>
  </si>
  <si>
    <t>ROM Schedule of Risk Item @ 50% CL</t>
  </si>
  <si>
    <t>Schedule Impact ROM @ 90% w/o Risk Item</t>
  </si>
  <si>
    <t>Schedule Impact ROM @ 80% w/o Risk Item</t>
  </si>
  <si>
    <t>Schedule Impact ROM @ 50% w/o Risk Item</t>
  </si>
  <si>
    <t>Schedule Forecast w/o Risk Item</t>
  </si>
  <si>
    <t>ROM Cost of Risk Item @ 90% CL</t>
  </si>
  <si>
    <t>ROM Cost of Risk Item @ 80% CL</t>
  </si>
  <si>
    <t>ROM Cost of Risk Item @ 50% CL</t>
  </si>
  <si>
    <t>Cost Impact ROM @ 90% w/o Risk Item</t>
  </si>
  <si>
    <t>Cost Impact ROM @ 80% w/o Risk Item</t>
  </si>
  <si>
    <t>Cost Impact ROM @ 50% w/o Risk Item</t>
  </si>
  <si>
    <t>Cost Forecast w/o Risk Item</t>
  </si>
  <si>
    <t>Check Schedule Impact</t>
  </si>
  <si>
    <t>Check Cost Impact</t>
  </si>
  <si>
    <t>Schedule Impact Range (±)</t>
  </si>
  <si>
    <t>Construction Contract Duration</t>
  </si>
  <si>
    <t>Cost w/o Contingency or Escalation</t>
  </si>
  <si>
    <t>Suggested Risk Reduction Measures
(Avoid, Escalate, Exploit, Transfer/Share, Mitigate/Enhance, or Accept)</t>
  </si>
  <si>
    <t>Risk Quantification Discussions</t>
  </si>
  <si>
    <t>Schedule Risk</t>
  </si>
  <si>
    <t>Cost Risk</t>
  </si>
  <si>
    <t>Event Prob (PCS)</t>
  </si>
  <si>
    <t>Likely (S)</t>
  </si>
  <si>
    <t>Likely (C)</t>
  </si>
  <si>
    <t>Affected Project Component</t>
  </si>
  <si>
    <t>Responsibility/ POC</t>
  </si>
  <si>
    <t>Correlation to Other(s)</t>
  </si>
  <si>
    <t>Schedule Variance Distribution</t>
  </si>
  <si>
    <t>Cost Variance Distribution</t>
  </si>
  <si>
    <t>Risk Level (S)</t>
  </si>
  <si>
    <t>Impact (S)</t>
  </si>
  <si>
    <t>Risk Level (C)</t>
  </si>
  <si>
    <t>Impact (C)</t>
  </si>
  <si>
    <t>PDT Discussions on Impact and Likelihood</t>
  </si>
  <si>
    <t>Risk Event Description</t>
  </si>
  <si>
    <t>Risk Type</t>
  </si>
  <si>
    <t>REF</t>
  </si>
  <si>
    <t>Other Information</t>
  </si>
  <si>
    <t>Project Schedule</t>
  </si>
  <si>
    <t>Risk Rating</t>
  </si>
  <si>
    <t>Cost &amp; Schedule Impacts</t>
  </si>
  <si>
    <t>Probability of Occurrence</t>
  </si>
  <si>
    <t>Information</t>
  </si>
  <si>
    <r>
      <t>Cost Impact Range (</t>
    </r>
    <r>
      <rPr>
        <b/>
        <sz val="11"/>
        <rFont val="Calibri"/>
        <family val="2"/>
        <scheme val="minor"/>
      </rPr>
      <t>±)</t>
    </r>
  </si>
  <si>
    <t>Risk Register</t>
  </si>
  <si>
    <t>Low Variance (C)</t>
  </si>
  <si>
    <t>High Variance  (C)</t>
  </si>
  <si>
    <t>Low Variance (S)</t>
  </si>
  <si>
    <t>High Variance (S)</t>
  </si>
  <si>
    <t>Low Variance (CS)</t>
  </si>
  <si>
    <t>Likely (CS)</t>
  </si>
  <si>
    <t>High Variance (CS)</t>
  </si>
  <si>
    <t>Low Variance (TC)</t>
  </si>
  <si>
    <t>Likely (TC)</t>
  </si>
  <si>
    <t>High Variance (TC)</t>
  </si>
  <si>
    <t>Simulated Cost
(C + CS) x PCS</t>
  </si>
  <si>
    <t>TWO STEP (Cost &amp; Schedule)</t>
  </si>
  <si>
    <t>Simulated Schedule
S x PCS</t>
  </si>
  <si>
    <t>6.  Variance Distribution refers to the behavior of the individual risk item with respect to its potential effects on Project Cost and Schedule.  For example, an item with clearly defined parameters and a solid most likely scenario would probably follow a triangular or normal distribution.  A risk item for which the PDT has little data or probability of modeling with respect to effects on cost or schedule (i.e. "anyone's guess") would probably follow a uniform or discrete uniform distribution.</t>
  </si>
  <si>
    <t>* Likelihood, Impact, and Risk Level to be verified through market research &amp; analysis (conducted by cost engineer).</t>
  </si>
  <si>
    <t>Risk Register Legend</t>
  </si>
  <si>
    <t>Contingency %</t>
  </si>
  <si>
    <t>Baseline w/ Contingency</t>
  </si>
  <si>
    <t>Contingency Value</t>
  </si>
  <si>
    <t>Model Output</t>
  </si>
  <si>
    <t>Baseline Duration</t>
  </si>
  <si>
    <t>Percentile</t>
  </si>
  <si>
    <t>PROJECT CONTINGENCY
(BASELINE SCHEDULE)</t>
  </si>
  <si>
    <t>Contingency Summary Table - Schedule</t>
  </si>
  <si>
    <t xml:space="preserve"> Contingency Value</t>
  </si>
  <si>
    <t>Baseline TPC</t>
  </si>
  <si>
    <t>PROJECT CONTINGENCY
(BASELINE ESTIMATE)</t>
  </si>
  <si>
    <t>Contingency Summary Table - Cost</t>
  </si>
  <si>
    <t>Contingency</t>
  </si>
  <si>
    <t>Confidence Level</t>
  </si>
  <si>
    <t>Program Amount</t>
  </si>
  <si>
    <t>Contingency on Base Schedule</t>
  </si>
  <si>
    <t>Risk Distributions</t>
  </si>
  <si>
    <t>Contingency on Base Estimate</t>
  </si>
  <si>
    <t>Confidence
Level</t>
  </si>
  <si>
    <t>Contingency
Value</t>
  </si>
  <si>
    <t xml:space="preserve"> - PROJECT COST CONTINGENCY DEVELOPMENT -</t>
  </si>
  <si>
    <t>- PROJECT SCHEDULE CONTINGENCY (DURATION) DEVELOPMENT -</t>
  </si>
  <si>
    <t>Cost Contingency Analysis</t>
  </si>
  <si>
    <t>Schedule Contingency Analysis</t>
  </si>
  <si>
    <t>- Top Schedule Risk Drivers &amp; Ranges -</t>
  </si>
  <si>
    <t>- Top Cost Risk Drivers &amp; Ranges -</t>
  </si>
  <si>
    <t>Remaining Risk Items</t>
  </si>
  <si>
    <t>Top Schedule Risks</t>
  </si>
  <si>
    <t>Schedule Look Up Formulas from 'H-Risk Register-Model' for Charts</t>
  </si>
  <si>
    <t>- Top Schedule Risk Drivers by Confidence Levels -</t>
  </si>
  <si>
    <t>Top Cost Risks</t>
  </si>
  <si>
    <t>Rank</t>
  </si>
  <si>
    <t>Cost Look Up Formulas from 'H-Risk Register-Model' for Charts</t>
  </si>
  <si>
    <t>- Top Cost Risk Drivers by Confidence Levels -</t>
  </si>
  <si>
    <t>Schedule</t>
  </si>
  <si>
    <t>Cost</t>
  </si>
  <si>
    <t>Risk Level</t>
  </si>
  <si>
    <t>TOP SCHEDULE RISKS</t>
  </si>
  <si>
    <t>TOP COST RISKS</t>
  </si>
  <si>
    <t>Location:</t>
  </si>
  <si>
    <t>Estimate Contingency</t>
  </si>
  <si>
    <t>Base Schedule Start Date</t>
  </si>
  <si>
    <t>Base Schedule Finish Date</t>
  </si>
  <si>
    <t>Base Schedule Duration</t>
  </si>
  <si>
    <t>Schedule Contingency Duration</t>
  </si>
  <si>
    <t>Make any charts for the report that are not already included so that you can update them later.</t>
  </si>
  <si>
    <t>Other Costs Not subject to S&amp;A</t>
  </si>
  <si>
    <t>E&amp;F Equipment- Paid from Project Funds</t>
  </si>
  <si>
    <t>MIPRS- Paid from Project Funds</t>
  </si>
  <si>
    <t>G90 Miscellaneous Site Construction</t>
  </si>
  <si>
    <t>G50 Site Communications</t>
  </si>
  <si>
    <t>G40 Electrical Site Improvements</t>
  </si>
  <si>
    <t>G30 Liquid and Gas Site Utilities</t>
  </si>
  <si>
    <t>G20 Site Improvements</t>
  </si>
  <si>
    <t>G10 Site Preparation</t>
  </si>
  <si>
    <t>F30 Demolition</t>
  </si>
  <si>
    <t>F20 Facility Remediation</t>
  </si>
  <si>
    <t>F10 Special Construction</t>
  </si>
  <si>
    <t>E20 Equipment</t>
  </si>
  <si>
    <t>E10 Equipment</t>
  </si>
  <si>
    <t>D80 Integrated Automation</t>
  </si>
  <si>
    <t>D70 Electronic Safety and Security</t>
  </si>
  <si>
    <t>D60 Communications</t>
  </si>
  <si>
    <t>D50 Electrical</t>
  </si>
  <si>
    <t>D40 Fire Protection</t>
  </si>
  <si>
    <t>D30 Heating, Ventilation, and Air Conditioning (HVAC)</t>
  </si>
  <si>
    <t>D20 Plumbing</t>
  </si>
  <si>
    <t>D10 Conveying</t>
  </si>
  <si>
    <t>C20 Interior Finishes</t>
  </si>
  <si>
    <t>C10 Interior Construction</t>
  </si>
  <si>
    <t>B30 Exterior Horizontal Enclosures</t>
  </si>
  <si>
    <t>B20 Exterior Vertical Enclosures</t>
  </si>
  <si>
    <t>B10 Superstructure</t>
  </si>
  <si>
    <t>A90 Substructure Related Activities</t>
  </si>
  <si>
    <t>A60 Water and Gas Mitigation</t>
  </si>
  <si>
    <t>A40 Slabs On Grade</t>
  </si>
  <si>
    <t>A20 Subgrade Enclosures</t>
  </si>
  <si>
    <t>A10 Foundations</t>
  </si>
  <si>
    <t>MILCON</t>
  </si>
  <si>
    <t>35 - Life Safety (LS)</t>
  </si>
  <si>
    <t>34 - Turnover (TO)</t>
  </si>
  <si>
    <t>32 - Commissioning/Certification (CC)</t>
  </si>
  <si>
    <t>31 - Safety (SA)</t>
  </si>
  <si>
    <t>30 - Perform base/contractor coordination (PF)</t>
  </si>
  <si>
    <t>29 - Equipment List (EQ)</t>
  </si>
  <si>
    <t>28 - Complexity/Financial Risk (CF)</t>
  </si>
  <si>
    <t>27 - Cybersecurity (CS)</t>
  </si>
  <si>
    <t>26 - Utilities (UT)</t>
  </si>
  <si>
    <t>25 - Hazardous Materials (HZ)</t>
  </si>
  <si>
    <t>24 - Fire Protection (FE)</t>
  </si>
  <si>
    <t>23 - Sensitive Compartmented Information Facility (SCIF)</t>
  </si>
  <si>
    <t>Yes-No</t>
  </si>
  <si>
    <t>22 - Host Nation (HN)</t>
  </si>
  <si>
    <t>Weibull</t>
  </si>
  <si>
    <t>20 - Facility Planning Data (FP)</t>
  </si>
  <si>
    <t>Student's t</t>
  </si>
  <si>
    <t>18 - Hydraulics / Hydrology (HH)</t>
  </si>
  <si>
    <t>TASB</t>
  </si>
  <si>
    <t>Single Event (2 Step)</t>
  </si>
  <si>
    <t>17 - Geotechnical / Geology (GG)</t>
  </si>
  <si>
    <t>Poisson</t>
  </si>
  <si>
    <t>Pareto</t>
  </si>
  <si>
    <t>Normal</t>
  </si>
  <si>
    <t>Programs</t>
  </si>
  <si>
    <t>Neg Binomial</t>
  </si>
  <si>
    <t>Construction Period</t>
  </si>
  <si>
    <t>Planning</t>
  </si>
  <si>
    <t>Min. Extreme</t>
  </si>
  <si>
    <t>Solicitation</t>
  </si>
  <si>
    <t>Office of Counsel</t>
  </si>
  <si>
    <t>Max. Extreme</t>
  </si>
  <si>
    <t xml:space="preserve">Design  </t>
  </si>
  <si>
    <t>Lognormal</t>
  </si>
  <si>
    <t>DD3086</t>
  </si>
  <si>
    <t>10 - Relocations (RL)</t>
  </si>
  <si>
    <t>Local Sponsor</t>
  </si>
  <si>
    <t>Logistic</t>
  </si>
  <si>
    <t>9 - Lands and Damages Risk (RE)</t>
  </si>
  <si>
    <t>Hypergeometric</t>
  </si>
  <si>
    <t>Design Charrette</t>
  </si>
  <si>
    <t>8 - Site Identification &amp; Approval (SI)</t>
  </si>
  <si>
    <t>Geometric</t>
  </si>
  <si>
    <t>PED - 95%</t>
  </si>
  <si>
    <t>Gamma</t>
  </si>
  <si>
    <t>PED - 65%</t>
  </si>
  <si>
    <t>6 - Planning-Site (PS)</t>
  </si>
  <si>
    <t>Included within Other Risk/Model Item</t>
  </si>
  <si>
    <t>Exponential</t>
  </si>
  <si>
    <t>PED - 35%</t>
  </si>
  <si>
    <t>Discrete Uniform</t>
  </si>
  <si>
    <t>Unrated</t>
  </si>
  <si>
    <t>Report Update</t>
  </si>
  <si>
    <t>Custom</t>
  </si>
  <si>
    <t>3 - Ability to Execute (AB)</t>
  </si>
  <si>
    <t>Contracting</t>
  </si>
  <si>
    <t>Binomial</t>
  </si>
  <si>
    <t>Feasibility (TSP) - For Milestone #2</t>
  </si>
  <si>
    <t>Contract Cost &amp; Schedule</t>
  </si>
  <si>
    <t>BetaPERT</t>
  </si>
  <si>
    <t>Feasibility (Alternatives) - For Milestone #1</t>
  </si>
  <si>
    <t>Contract Schedule</t>
  </si>
  <si>
    <t>Beta</t>
  </si>
  <si>
    <t>Reconnaissance</t>
  </si>
  <si>
    <t>Contract Cost</t>
  </si>
  <si>
    <t>Y</t>
  </si>
  <si>
    <t>PD</t>
  </si>
  <si>
    <t>APC</t>
  </si>
  <si>
    <t>POC</t>
  </si>
  <si>
    <t>Distri</t>
  </si>
  <si>
    <t>LikeH</t>
  </si>
  <si>
    <t>Include</t>
  </si>
  <si>
    <t>Products</t>
  </si>
  <si>
    <t>Responsibility/POC</t>
  </si>
  <si>
    <t>Distributions</t>
  </si>
  <si>
    <t xml:space="preserve">This is the drop down master list for all sheets Do not delete.. If you need something insert it </t>
  </si>
  <si>
    <t>01 - LANDS AND DAMAGES</t>
  </si>
  <si>
    <t>02 - RELOCATIONS</t>
  </si>
  <si>
    <t>03 - RESERVOIRS</t>
  </si>
  <si>
    <t>04 - DAMS</t>
  </si>
  <si>
    <t>05 - LOCKS</t>
  </si>
  <si>
    <t>06 - FISH AND WILDLIFE FACILITIES</t>
  </si>
  <si>
    <t>07 - POWER PLANT</t>
  </si>
  <si>
    <t>08 - ROADS, RAILROADS, AND BRIDGES</t>
  </si>
  <si>
    <t>10 - BREAKWATERS AND SEAWALLS</t>
  </si>
  <si>
    <t>09 - CHANNELS AND CANALS</t>
  </si>
  <si>
    <t>11 - LEVEES AND FLOODWALLS</t>
  </si>
  <si>
    <t>12 - NAVIGATION, PORTS AND HARBORS</t>
  </si>
  <si>
    <t>13 - PUMPING PLANT</t>
  </si>
  <si>
    <t>14 - RECREATION FACILITIES</t>
  </si>
  <si>
    <t>15 - FLOODWAY CONTROL AND DIVERSION STRUCTURES</t>
  </si>
  <si>
    <t>16 - BANK STABILIZATION</t>
  </si>
  <si>
    <t>17 - BEACH REPLENISHMENT</t>
  </si>
  <si>
    <t>18 - CULTURAL RESOURCE PRESERVATION</t>
  </si>
  <si>
    <t>19 - BUILDINGS, GROUNDS, AND UTILITIES</t>
  </si>
  <si>
    <t>20 - PERMANENT OPERATING EQUIPMENT</t>
  </si>
  <si>
    <t>30 - PLANNING, ENGINEERING, AND DESIGN</t>
  </si>
  <si>
    <t>31 - CONSTRUCTION MANAGEMENT</t>
  </si>
  <si>
    <t>32 - HAZARDOUS AND TOXIC WASTE</t>
  </si>
  <si>
    <t>Top Cost Risks:  Copy/Paste for Report</t>
  </si>
  <si>
    <t>Top Schedule Risks:  Copy/Paste for Report</t>
  </si>
  <si>
    <t>Cost from Schedule Impacts</t>
  </si>
  <si>
    <t>Event Risk Info</t>
  </si>
  <si>
    <t>Cost Risk Modeling</t>
  </si>
  <si>
    <t>Schedule Risk Modeling</t>
  </si>
  <si>
    <t>Confidence Level:</t>
  </si>
  <si>
    <t>Additional Documentation</t>
  </si>
  <si>
    <t>Evaluation of Cost/Schedule Impacts</t>
  </si>
  <si>
    <t>Modeled?</t>
  </si>
  <si>
    <t>Check Impacts?</t>
  </si>
  <si>
    <t>Cost Forecasts &amp; Confidence Levels without Risk Item</t>
  </si>
  <si>
    <t>Schedule Forecasts &amp; Confidence Levels without Risk Item</t>
  </si>
  <si>
    <t>ROM Cost Impact of Risk Item &amp; Ranking</t>
  </si>
  <si>
    <t>ROM Schedule Impact of Risk Item &amp; Ranking</t>
  </si>
  <si>
    <t>Lookup Information for Automated Charts</t>
  </si>
  <si>
    <t>Worksheet/Cell</t>
  </si>
  <si>
    <t>Cost Range</t>
  </si>
  <si>
    <t>Round Schedule</t>
  </si>
  <si>
    <t>Round Cost</t>
  </si>
  <si>
    <t>Cost Risk Sum</t>
  </si>
  <si>
    <t>Schedule Risk Sum</t>
  </si>
  <si>
    <t>Mitigation</t>
  </si>
  <si>
    <t>Risk Register Report Last Column</t>
  </si>
  <si>
    <t>Risk Register Report First Column</t>
  </si>
  <si>
    <t>Hide Risk Register Column Start</t>
  </si>
  <si>
    <t>Hide Risk Register Column End</t>
  </si>
  <si>
    <t>Top Cost Risks Start</t>
  </si>
  <si>
    <t>Top Cost Risks End</t>
  </si>
  <si>
    <t>Top Schedule Risks Start</t>
  </si>
  <si>
    <t>Top Schedule Risks End</t>
  </si>
  <si>
    <t>Location of Information</t>
  </si>
  <si>
    <t>Programmed Amount Ceiling</t>
  </si>
  <si>
    <t>WBS / Feature of Work</t>
  </si>
  <si>
    <t>Contingencies</t>
  </si>
  <si>
    <t>59 - CONTINGENCIES FROM CSRA MODEL</t>
  </si>
  <si>
    <t>59 - CONTINGENCIES NOT FROM CSRA MODEL</t>
  </si>
  <si>
    <t>Project Development Phase:</t>
  </si>
  <si>
    <t xml:space="preserve"> Cost &amp; Schedule Summary for Risk Register Development</t>
  </si>
  <si>
    <t>Schedule Start:</t>
  </si>
  <si>
    <t>Schedule Finish:</t>
  </si>
  <si>
    <t>Schedule Contingency:</t>
  </si>
  <si>
    <t>Month/Year</t>
  </si>
  <si>
    <t>BEFORE THE CSRA MEETING:</t>
  </si>
  <si>
    <t>FIXED DOLLAR RISK ADD (EQUALLY DISPERSED TO ALL, MUST INCLUDE JUSTIFICATION SEE BELOW)*</t>
  </si>
  <si>
    <t>* Fixed Dollar Risk Add: (Allows for additional risk to be added to the risk analysis.  Must include justification.</t>
  </si>
  <si>
    <t>Included
Within
CSRA Model</t>
  </si>
  <si>
    <t>Not Included
Within
CSRA Model</t>
  </si>
  <si>
    <t>SUMMARY
&amp;
TOTALS</t>
  </si>
  <si>
    <t>Duration:</t>
  </si>
  <si>
    <r>
      <t xml:space="preserve">1.  </t>
    </r>
    <r>
      <rPr>
        <b/>
        <sz val="11"/>
        <rFont val="Calibri"/>
        <family val="2"/>
        <scheme val="minor"/>
      </rPr>
      <t>Risk/Opportunity</t>
    </r>
    <r>
      <rPr>
        <sz val="11"/>
        <rFont val="Calibri"/>
        <family val="2"/>
        <scheme val="minor"/>
      </rPr>
      <t xml:space="preserve"> identified with reference to the Risk Identification Checklist and through deliberation and study of the PDT.</t>
    </r>
  </si>
  <si>
    <r>
      <t xml:space="preserve">2.  </t>
    </r>
    <r>
      <rPr>
        <b/>
        <sz val="11"/>
        <rFont val="Calibri"/>
        <family val="2"/>
        <scheme val="minor"/>
      </rPr>
      <t>Discussions and Concerns</t>
    </r>
    <r>
      <rPr>
        <sz val="11"/>
        <rFont val="Calibri"/>
        <family val="2"/>
        <scheme val="minor"/>
      </rPr>
      <t xml:space="preserve"> elaborates on Risk/Opportunity Events and includes any assumptions or findings (should contain information pertinent to eventual study and analysis of event's impact to project).</t>
    </r>
  </si>
  <si>
    <r>
      <t xml:space="preserve">3.  </t>
    </r>
    <r>
      <rPr>
        <b/>
        <sz val="11"/>
        <rFont val="Calibri"/>
        <family val="2"/>
        <scheme val="minor"/>
      </rPr>
      <t>Likelihood</t>
    </r>
    <r>
      <rPr>
        <sz val="11"/>
        <rFont val="Calibri"/>
        <family val="2"/>
        <scheme val="minor"/>
      </rPr>
      <t xml:space="preserve"> is a measure of the probability of the event occurring -- </t>
    </r>
    <r>
      <rPr>
        <b/>
        <sz val="11"/>
        <rFont val="Calibri"/>
        <family val="2"/>
        <scheme val="minor"/>
      </rPr>
      <t>Unlikely</t>
    </r>
    <r>
      <rPr>
        <sz val="11"/>
        <rFont val="Calibri"/>
        <family val="2"/>
        <scheme val="minor"/>
      </rPr>
      <t xml:space="preserve">, </t>
    </r>
    <r>
      <rPr>
        <b/>
        <sz val="11"/>
        <rFont val="Calibri"/>
        <family val="2"/>
        <scheme val="minor"/>
      </rPr>
      <t>Possible, Likely</t>
    </r>
    <r>
      <rPr>
        <sz val="11"/>
        <rFont val="Calibri"/>
        <family val="2"/>
        <scheme val="minor"/>
      </rPr>
      <t xml:space="preserve">, </t>
    </r>
    <r>
      <rPr>
        <b/>
        <sz val="11"/>
        <rFont val="Calibri"/>
        <family val="2"/>
        <scheme val="minor"/>
      </rPr>
      <t xml:space="preserve">Very Likely, or Certain.  </t>
    </r>
    <r>
      <rPr>
        <sz val="11"/>
        <rFont val="Calibri"/>
        <family val="2"/>
        <scheme val="minor"/>
      </rPr>
      <t>The likelihood of the even generally will be the same for both Cost and Schedule, regardless of impact.</t>
    </r>
  </si>
  <si>
    <r>
      <t xml:space="preserve">4.  </t>
    </r>
    <r>
      <rPr>
        <b/>
        <sz val="11"/>
        <rFont val="Calibri"/>
        <family val="2"/>
        <scheme val="minor"/>
      </rPr>
      <t>Impact</t>
    </r>
    <r>
      <rPr>
        <sz val="11"/>
        <rFont val="Calibri"/>
        <family val="2"/>
        <scheme val="minor"/>
      </rPr>
      <t xml:space="preserve"> is a measure of the event's effect on project objectives with relation to scope, cost, and/or schedule -- </t>
    </r>
    <r>
      <rPr>
        <b/>
        <sz val="11"/>
        <rFont val="Calibri"/>
        <family val="2"/>
        <scheme val="minor"/>
      </rPr>
      <t>Negligible</t>
    </r>
    <r>
      <rPr>
        <sz val="11"/>
        <rFont val="Calibri"/>
        <family val="2"/>
        <scheme val="minor"/>
      </rPr>
      <t>,</t>
    </r>
    <r>
      <rPr>
        <b/>
        <sz val="11"/>
        <rFont val="Calibri"/>
        <family val="2"/>
        <scheme val="minor"/>
      </rPr>
      <t xml:space="preserve"> Marginal, Moderate, Significant</t>
    </r>
    <r>
      <rPr>
        <sz val="11"/>
        <rFont val="Calibri"/>
        <family val="2"/>
        <scheme val="minor"/>
      </rPr>
      <t>,</t>
    </r>
    <r>
      <rPr>
        <b/>
        <sz val="11"/>
        <rFont val="Calibri"/>
        <family val="2"/>
        <scheme val="minor"/>
      </rPr>
      <t xml:space="preserve"> or Critical.  </t>
    </r>
    <r>
      <rPr>
        <sz val="11"/>
        <rFont val="Calibri"/>
        <family val="2"/>
        <scheme val="minor"/>
      </rPr>
      <t>Impacts on Project Cost may vary in severity from impacts on Project Schedule.</t>
    </r>
  </si>
  <si>
    <r>
      <t xml:space="preserve">5.  </t>
    </r>
    <r>
      <rPr>
        <b/>
        <sz val="11"/>
        <rFont val="Calibri"/>
        <family val="2"/>
        <scheme val="minor"/>
      </rPr>
      <t>Risk Level</t>
    </r>
    <r>
      <rPr>
        <sz val="11"/>
        <rFont val="Calibri"/>
        <family val="2"/>
        <scheme val="minor"/>
      </rPr>
      <t xml:space="preserve"> is the resultant of Likelihood and Impact </t>
    </r>
    <r>
      <rPr>
        <b/>
        <sz val="11"/>
        <rFont val="Calibri"/>
        <family val="2"/>
        <scheme val="minor"/>
      </rPr>
      <t>Low</t>
    </r>
    <r>
      <rPr>
        <sz val="11"/>
        <rFont val="Calibri"/>
        <family val="2"/>
        <scheme val="minor"/>
      </rPr>
      <t xml:space="preserve">, </t>
    </r>
    <r>
      <rPr>
        <b/>
        <sz val="11"/>
        <rFont val="Calibri"/>
        <family val="2"/>
        <scheme val="minor"/>
      </rPr>
      <t>Medium</t>
    </r>
    <r>
      <rPr>
        <sz val="11"/>
        <rFont val="Calibri"/>
        <family val="2"/>
        <scheme val="minor"/>
      </rPr>
      <t xml:space="preserve">, or </t>
    </r>
    <r>
      <rPr>
        <b/>
        <sz val="11"/>
        <rFont val="Calibri"/>
        <family val="2"/>
        <scheme val="minor"/>
      </rPr>
      <t>High</t>
    </r>
    <r>
      <rPr>
        <sz val="11"/>
        <rFont val="Calibri"/>
        <family val="2"/>
        <scheme val="minor"/>
      </rPr>
      <t>. Refer to the matrix located at top of page.</t>
    </r>
  </si>
  <si>
    <r>
      <t xml:space="preserve">7.  </t>
    </r>
    <r>
      <rPr>
        <b/>
        <sz val="11"/>
        <rFont val="Calibri"/>
        <family val="2"/>
        <scheme val="minor"/>
      </rPr>
      <t>Responsibility or POC</t>
    </r>
    <r>
      <rPr>
        <sz val="11"/>
        <rFont val="Calibri"/>
        <family val="2"/>
        <scheme val="minor"/>
      </rPr>
      <t xml:space="preserve"> is the entity responsible as the Subject Matter Expert (SME) for action, monitoring, or information on the PDT for the identified risk or opportunity.</t>
    </r>
  </si>
  <si>
    <r>
      <t xml:space="preserve">8.  </t>
    </r>
    <r>
      <rPr>
        <b/>
        <sz val="11"/>
        <rFont val="Calibri"/>
        <family val="2"/>
        <scheme val="minor"/>
      </rPr>
      <t>Correlation</t>
    </r>
    <r>
      <rPr>
        <sz val="11"/>
        <rFont val="Calibri"/>
        <family val="2"/>
        <scheme val="minor"/>
      </rPr>
      <t xml:space="preserve"> recognizes those risk events that may be related to one another.  Care should be given to ensure the risks are handled correctly without a "double counting."</t>
    </r>
  </si>
  <si>
    <r>
      <t xml:space="preserve">9.  </t>
    </r>
    <r>
      <rPr>
        <b/>
        <sz val="11"/>
        <rFont val="Calibri"/>
        <family val="2"/>
        <scheme val="minor"/>
      </rPr>
      <t>Affected Project Component</t>
    </r>
    <r>
      <rPr>
        <sz val="11"/>
        <rFont val="Calibri"/>
        <family val="2"/>
        <scheme val="minor"/>
      </rPr>
      <t xml:space="preserve"> identifies the specific item of the project to which the risk directly or strongly correlates.</t>
    </r>
  </si>
  <si>
    <r>
      <t xml:space="preserve">10.  </t>
    </r>
    <r>
      <rPr>
        <b/>
        <sz val="11"/>
        <rFont val="Calibri"/>
        <family val="2"/>
        <scheme val="minor"/>
      </rPr>
      <t>Project Implications</t>
    </r>
    <r>
      <rPr>
        <sz val="11"/>
        <rFont val="Calibri"/>
        <family val="2"/>
        <scheme val="minor"/>
      </rPr>
      <t xml:space="preserve"> identifies whether or not the risk item affects project cost, project schedule, or both.  The PDT is responsible for conducting studies for both Project Cost and for Project Schedule.</t>
    </r>
  </si>
  <si>
    <r>
      <t xml:space="preserve">11.  </t>
    </r>
    <r>
      <rPr>
        <b/>
        <sz val="11"/>
        <rFont val="Calibri"/>
        <family val="2"/>
        <scheme val="minor"/>
      </rPr>
      <t>Results</t>
    </r>
    <r>
      <rPr>
        <sz val="11"/>
        <rFont val="Calibri"/>
        <family val="2"/>
        <scheme val="minor"/>
      </rPr>
      <t xml:space="preserve"> of the risk identification process are studied and further developed by the Cost Engineer, then analyzed through the Monte Carlo Analysis Method for Cost (Contingency) and Schedule (Escalation) Growth.</t>
    </r>
  </si>
  <si>
    <t>RISK REGISTER RISK LEVEL</t>
  </si>
  <si>
    <t xml:space="preserve">Risk No. </t>
  </si>
  <si>
    <t>Low Variance</t>
  </si>
  <si>
    <t>High Variance</t>
  </si>
  <si>
    <t>Check with Project Contingency Total</t>
  </si>
  <si>
    <t>Sum of Contingency in Table to the Left</t>
  </si>
  <si>
    <t>of Total Risk</t>
  </si>
  <si>
    <t>% of Total Contingency</t>
  </si>
  <si>
    <t>Feasibility (CWRB) - For Milestone #4</t>
  </si>
  <si>
    <t>Current Working Estimate</t>
  </si>
  <si>
    <t>CSRA FOR THE FY22 CURRENT WORKING ESTIMATE</t>
  </si>
  <si>
    <t>C5</t>
  </si>
  <si>
    <t>D5</t>
  </si>
  <si>
    <t>E5</t>
  </si>
  <si>
    <t>F5</t>
  </si>
  <si>
    <t>G5</t>
  </si>
  <si>
    <t>H5</t>
  </si>
  <si>
    <t>ESTIMATE AMOUNT</t>
  </si>
  <si>
    <t>UNIT PRICE</t>
  </si>
  <si>
    <t>UNIT</t>
  </si>
  <si>
    <t>QUANTITY</t>
  </si>
  <si>
    <t>DESCRIPTION</t>
  </si>
  <si>
    <t>CLIN</t>
  </si>
  <si>
    <t>TON</t>
  </si>
  <si>
    <t>SY</t>
  </si>
  <si>
    <t>JOB</t>
  </si>
  <si>
    <t>EA</t>
  </si>
  <si>
    <t>CY</t>
  </si>
  <si>
    <t>Remaining Construction</t>
  </si>
  <si>
    <t>LS</t>
  </si>
  <si>
    <t>Modifications to Date</t>
  </si>
  <si>
    <t>Options</t>
  </si>
  <si>
    <t>Base</t>
  </si>
  <si>
    <t>Awarded</t>
  </si>
  <si>
    <t>0002A</t>
  </si>
  <si>
    <t>0002B</t>
  </si>
  <si>
    <t>0003D</t>
  </si>
  <si>
    <t>0015C</t>
  </si>
  <si>
    <t>0021E</t>
  </si>
  <si>
    <t>Mobilization and Demobilization - USACE Estimate</t>
  </si>
  <si>
    <t>Surveys - Pre-Dredging Hazard Survey</t>
  </si>
  <si>
    <t>Shoreline Proection Surveying</t>
  </si>
  <si>
    <t>Debris Removal from Channel - Up to 20 Tons Total</t>
  </si>
  <si>
    <t>Dredging - Channel Deepening (Maintenance) - Sta. 132+67 to 185+23</t>
  </si>
  <si>
    <t>Dredging - Channel Deepening (New Work) - Sta. 132+67 to 185+23</t>
  </si>
  <si>
    <t>Debris Removal from Bend Easing Sta. 147+73 to 159+83</t>
  </si>
  <si>
    <t>Dredging - Bend Easing (Maintenance) Sta. 147+73 to 159+83</t>
  </si>
  <si>
    <t>Dredging - Bend Easing Deepening (New Work) Sta. 147+73 to 159+83</t>
  </si>
  <si>
    <t>Shoreline Protection - Rip Rap</t>
  </si>
  <si>
    <t>Shoreline Protection - Geotextile Fabric</t>
  </si>
  <si>
    <t>Shoreline Protection - Ancillary Work</t>
  </si>
  <si>
    <t>ODMDS Monitor Surveys</t>
  </si>
  <si>
    <t>As-Built and Record Drawings</t>
  </si>
  <si>
    <t>Debris Removal from Channel Sta. 62+00 to 132+67</t>
  </si>
  <si>
    <t>Dredging - Channel Deepening (Maintenance) Sta. 62+00 to 132+67</t>
  </si>
  <si>
    <t>Dredging - Channel Deepening (New Work) Sta. 62+00 to 132+67</t>
  </si>
  <si>
    <t>Debris Removal from Channel Sta. -180+00 to 62+00</t>
  </si>
  <si>
    <t>Dredging - Channel Deepening (Maintenance) Sta. -180+00 to 62+00</t>
  </si>
  <si>
    <t>Dredging - Channel Deepening (New Work) Sta. -180+00 to 62+00</t>
  </si>
  <si>
    <t>Mobilization and Demobilization</t>
  </si>
  <si>
    <t>Debris Removal from Channel Sta. -340+00 to -180+00</t>
  </si>
  <si>
    <t>Dredging - Channel Deepening (Maintenance) Sta. -340+00 to -180+00</t>
  </si>
  <si>
    <t>Dredging - Channel Deepening (New Work) Sta. -340+00 to -180+00</t>
  </si>
  <si>
    <t>Mobilization and Demobilization Sea Turtle Trawling and Relocation</t>
  </si>
  <si>
    <t>Turtle Deflector Device and Endangered Species Observers</t>
  </si>
  <si>
    <t>Sea Turtle Trawling and Relocation</t>
  </si>
  <si>
    <t>Debris Removal from Channel Sta. -218+00 to 256+25</t>
  </si>
  <si>
    <t>Dredging - Channel Deepening (New Work) Sta. -218+00 to 256+25</t>
  </si>
  <si>
    <t>DAY</t>
  </si>
  <si>
    <t>Schedule No. 1 (Reach 2 Improvements)</t>
  </si>
  <si>
    <t>Option No. 1 (Reach 1A Channel Deepening)</t>
  </si>
  <si>
    <t>Option No. 2 (Reach 1B Channel Deepening)</t>
  </si>
  <si>
    <t>Option No. 3 (Reach 1C Channel Deepening)</t>
  </si>
  <si>
    <t>Option No. 4 (Reach 4 Channel Deepening)</t>
  </si>
  <si>
    <t>Option No. 5 (Additional Turtle Trawler)</t>
  </si>
  <si>
    <t>Procurement (RTA to NTP)</t>
  </si>
  <si>
    <t>PED_MO</t>
  </si>
  <si>
    <t>FOOH_MO</t>
  </si>
  <si>
    <t>EDC_MO</t>
  </si>
  <si>
    <t>CM_MO</t>
  </si>
  <si>
    <t>Prime_HOOH</t>
  </si>
  <si>
    <t>Prime_Profit</t>
  </si>
  <si>
    <t>Prime_Bond</t>
  </si>
  <si>
    <t>per MO from MII without HOOH, Profit, &amp; Bond</t>
  </si>
  <si>
    <t>FOOH per MO (fully burdened)</t>
  </si>
  <si>
    <t>round up to nearest</t>
  </si>
  <si>
    <t>FOOH Monthly Costs</t>
  </si>
  <si>
    <t>Prime Contractor Markups</t>
  </si>
  <si>
    <t>PED cost per MO</t>
  </si>
  <si>
    <t>EDC cost per YR (assumed)</t>
  </si>
  <si>
    <t>EDC cost per MO</t>
  </si>
  <si>
    <t>CM/S&amp;A cost per YR (assumed)</t>
  </si>
  <si>
    <t>CM/S&amp;A cost per MO</t>
  </si>
  <si>
    <t>Amount</t>
  </si>
  <si>
    <t>Details</t>
  </si>
  <si>
    <t>Assume additional FOOH + EDC + CM costs during construction.</t>
  </si>
  <si>
    <t>Assume additional costs for PED as well.</t>
  </si>
  <si>
    <t>Design/Procurement</t>
  </si>
  <si>
    <t>Quantity</t>
  </si>
  <si>
    <t>UOM</t>
  </si>
  <si>
    <t>Unit Cost</t>
  </si>
  <si>
    <t>Variance</t>
  </si>
  <si>
    <t>Crystal Ball Data</t>
  </si>
  <si>
    <t>Workbook Variables</t>
  </si>
  <si>
    <t>Last Var Column</t>
  </si>
  <si>
    <t xml:space="preserve">    Name:</t>
  </si>
  <si>
    <t xml:space="preserve">    Value:</t>
  </si>
  <si>
    <t>Worksheet Data</t>
  </si>
  <si>
    <t>Last Data Column Used</t>
  </si>
  <si>
    <t>Sheet Ref</t>
  </si>
  <si>
    <t>Sheet Guid</t>
  </si>
  <si>
    <t>Deleted sheet count</t>
  </si>
  <si>
    <t>Last row used</t>
  </si>
  <si>
    <t>Data blocks</t>
  </si>
  <si>
    <t>1336952e-b211-4694-b667-130aa9294537</t>
  </si>
  <si>
    <t>CB_Block_0</t>
  </si>
  <si>
    <t>Decisioneering:7.0.0.0</t>
  </si>
  <si>
    <t>a27905c2-8638-4000-b9e5-bd1207c9cd33</t>
  </si>
  <si>
    <t>CB_Block_7.0.0.0:1</t>
  </si>
  <si>
    <t>CB_Block_7.0.0.0:2</t>
  </si>
  <si>
    <t>CB_Block_7.0.0.0:4</t>
  </si>
  <si>
    <t>CB_Block_7.0.0.0:3</t>
  </si>
  <si>
    <t>PED cost per YR (assumed for AE + USACE)</t>
  </si>
  <si>
    <t>CB_Block_7.0.0.0:5</t>
  </si>
  <si>
    <t>f5dd8486-43d8-4446-8716-9ee9fdff0c22</t>
  </si>
  <si>
    <t>㜸〱敤㕣㕢㙣ㅣ搷㜹摥戳攴㉥㜷㤶愴㐸㡢戲㘴挹㡥捤挴㜱㝣愱㐲㡢戲ㄵ摢愹ㄵ㠵ㄷ㔱愲㑤㠹戴㐸挹づ攲㤴ㅥ敥捥㤰㈳敤捣搲㌳㐳㑡㜴㡣摡戹戹㘹搳㈴戵摤㍥戸㜵攱㑢㉦㐰㠱戶㐰㕢搴㜰搰戴㡤㠱戶㈹㕡ㅢ敤㐳晡㔰愰て㙥㔰戴てつち〱㝤㌱㡡〰敥昷晤㘷㘶㜷㜶挹ㅤ搲㙢扢愵ぢㅥ㝢㝦㥥昹捦㘵捥攵扦㥤晦㍦愳㡣捡㘴㌲敦㈲昱㉦㔳㈷㌳㌷捣慤〷愱攵づ㡦㔷㉢ㄵ慢ㄴ㍡㔵㉦ㄸㅥ昵㝤㜳㝤摡〹挲づ㔴挸㉦㌸㈸て㜲ぢ㠱昳㠴㔵㔸㔸戳晣〰㤵㜲㤹㑣愱㘰㘴㔱捥㑥昸敢㡦ㅦっ戶敡改〴㤸ㅦㅦ㥢㔹扣㠸㕥攷挲慡㙦ㅤㅥ扣愰摢ㅥㅦㄹㄹㅥㄹ扥晢搸挸搱攱㈳㠷〷挷㔷㉢攱慡㙦ㅤ昷慣搵搰㌷㉢㠷〷㘷㔷ㄷ㉢㑥改㐱㙢㝤扥㝡挹昲㡥㕢㡢㐷敥㕡㌴敦扥㜷攴敥㘳挷散晢敥扢户〷慦捥㥣ㅤㅦ㥢昵㉤㍢昸㠰晡捣㜱挸㜷㑦㔸㈵㠷㜳戳㉣摦昱㤶㠶挷挷昰㝦㘲晣㜸扡㘷㜸㙥搹戲㐲扥摡昲㉤慦㘴〵〶ㅡ㜶扢愳㐱戰敡慥㜰昱っ㜷ㄲ㔳㉤㤹㐱㤸㜳挷慤㑡挵㜰攳㕥ぢ敥っ搶慥㘲慥昷戸㜳㤶ㄷ㌸愱戳收㠴敢㜹㜷ㅥㅤ㤵㝢摤昳㠱㜵捥昴㤶慣戳愶㙢攵摣㔳慢㑥戹㔳愷㑣挷慤㜱ㄷ挹㠱挹昴㠷㐷〳㜷㝣搹昴㘵㐴〱ㄷ㈶愵敥愴㕦㙡慣㝢㜳敢㝥㌹㜴㜹〳晢扣愵㜵㍤㤴㕣㌰晤㕡捤愱搶㌵愳挹㌷㡥攰捥搶昵ㄳ㙢搴搸收昶搶㙤㘴㈹ㅢ㙢慢敥㠸扥㘵㐵㌱ㄹ㈳㑦搰㐵㔰㈰攰〶ㅡ㐵㠲㙥㠲ㅥ〰搵昹㕦攰㤲㘴㐳ㄶ㘵ㄷ捣散挲㘲㜶愱㤴㕤㈸㘷ㄷ慣散㠲㥤㕤㔸捡㉥㉣㘷ㄷ㥣散挲挵散挲㈵搴㠹㔳愱慢㉢ㅢ愵敢㝦昲㐷慦晦昱ㄳ㥦㥥㜹晥㤹晦㝥昶昳㤷㕥戱㝢昶愰搲㐳搱愰㈶㝣昳㌲㐸慤㑥挵攰〸晥户㌵㔷㠰㈹散㘳昶㍤昶挸㐸昹搸ㄱ昳㉥㌳挷㘹愵㙣㝥〳愱昴愳㙥㡦晤戰攳㤵慢㤷㘵敦㙥ㄸ㌳〳慢扥㜰㐳㔱搹㔸㜵搵㉢〷搷㙦㕥㌸ㄷ㥡愱㜵愸戹慣摥挹㠶㘶㜳㘰㉢㉢㤰昷摤搸摣散㠲㔹㔹戵㐶慦㌸扡昸㘳㑤挵敥慣㕦㕤㙣㕤㍡改㕢㡦搷㑡㌷㡣㘸ㄴ㐲㙤㑤晡摥㌰㑢㕤愴挷㌵㌸扥㕣つ㉣㑦㠶㌷攴捥㍡愵㑢㤶㍦㘷㔱㈴㕡㘵㤹敡戵㉣㡡戸㝥㘸挶挳㐴挱慤攵㑦㈴戱昶挹㉢㈱㤸搹㉡㘳扣㉢㤶ㅦ慥捦㥢㡢ㄵ㙢㝦㐳ㄵ晤㑥ㄴㅣ㙣㐰㑦㔶㑢慢挱㜸搵ぢ晤㙡愵戱㘴戴扣㘶㐲搲㤴捦㔴换㔶㘷㘷㐶㠴〲〴㙥㐷㠷㔲㤹㍢㕡昳㠲㙣㐴㘲㡢挹挸搷㌵㤲摤昰㌹捣づ戳愸㔸愴挹散㈷户攸㡣攳ㄵㄹ㤳挲㠱㠹㌹㔱㝦昰愵户㙤搱㙤㙤攷㍥摣捡搹散㐰㌴晢㤳㙢㤶ㄷ㥥㌶扤㜲挵昲㔳戵㥦攲㠸㡣㍥㠰摣㔵〸㠴㤶慢㐷㔵愷慥愸昵摣㘵愷ㅣ㉥攷㤷㉤㘷㘹㌹〴づㅡ戲㔰攰搲㙥㐸挶㌵㐰ㄹ㝢〹〶〰㡡挵㑣㝥ㅦ㉢攵㡢㐸㤹ㅣ愵㔳ち㉦㌷〸㜲戶㙢攰攵ㅥ㝢搲愹㠴㤶ㄶ捡㝤㌶㜶㐴㙢㌵搹扥㕥㤲愸㙦㤶戴挲搸㘷㡦㠳㑡㑤挷ぢ搷敢㝣扢㠱㑢㌴ㄱ敤捡㠲ㅤ㈷ぢ㈸ちㅡ攵㐱ち慦㠱㘸㥡愴㐱㝡攵〴ㄱ㤱つ㔲㌴㍢㝡㙥㈴㌲搶㑦㤱ㄱ愸㥦㈴㐲搶㍥搲㕡㐶㤰搸㌷ㄲ㈹ㅢ戵攴挷㕤㘹戶㤹㉤慦愵搹戵㔸㌸㘳㍦挱〱㠲敢〸づ〲愸㝦㠳㠴愳㤴㐳扥㌱ㄹ搷攳搹戸㠱攰㘳〰㤰㑦〶㘵㑥㈴慡㘸㐳㙤挷㡥㘴扤㕥搸挹㘲ㄴ㙢㔱㐴换戸㘶㘷昶扡戲搱㤱搵戹㌳㜴㙤愷攸搸㑦戵愶捤攴㜴㐸㤱㈹㔵㤳㜳摤愲㙡㜲㈱㔸戵㑤扤㜵ㄳ㥡ㅡ㠳〴ㅦ〷㈸ㅡ㥦㈰㠴㜲愱挱扢㍤㡢㥥㈶攵㐷挲㉣搲挶㔰㥢ち㍥㈲㘴ㅥ〱㔲㠴摣㠶攳换慥つ㑤㜳㜰挸晥挸摢搰㠷㕢昳㜷戴改㑤㝡㜳㔷敦搰㕦昴ㅥ慤攸㥢挱㕥敡㥦㕢敡㤸㕢㔰㙣㝣㡡攰㔶㠰㈶ㅤ挳搳昷㝢昵ㄴ㠸㔹散㈶㜶㙥㉦扤㉥㘲攵捥慦慦㔸愲㠱㝡散㜹搳㕦戲㐲㜸㌰愶㈶㘰ぢ㔷㝤摦慡攰㔰㕢ㄶ〴捦㉦〷ㅡ㤱挱愴㕦㜵㠹摦戵㤱㠳㡦㠴㘲攸散捣㜶㘴㥡㙣攴ㄴ㕢㌳攱㜳㑡㔰づ㜵昰㕤慤㠵㐴愲㔱㈳㜹戱㕤晡昹㜲㔷㤲戴㈱㐹㙥挷戲ㅡ㜷〰㐰㑡愸㝦㙣㈹㔱づ戳摡愷愵㕡愳挵㑡て㕦捡改愴挹㠷戸㐱㡥㜴㙢㠷敤ㄸ晣〷㐱慦㍢攷戸㌵㘱搱敤捥㕡㝥〹扥〵愷㘲ㄵ戵㕢㤶愲㘶㔷㔶㝣㐴㘴㐵㐷挷㠶昳㜴㡡㝦㑤攸愴㐹㑡愴㜲㝢㙡㘱捡㔹扣㑥㔴㜴㐳㔲愸愴戸㠶㙡ㄲ㠸㤴挷扡扢㈲愶つㄱ㜳㈷ㄶ捥㌸㐲㌰㐲㜰ㄴ㈰昷ㄶ㈴捤㜶ㄷ㥥攱戰慥㌵扡戴ㄷㄶ㌲〵㙥㠳戸〸摦㙣㈹慣㡥昱㌵㥦㈱戸〷愰挹晣愱〳㌲㠵㄰㘵换ㄳ㠴㈸㘱っ晢㠲㘳㕤㈶つ散戱ㄱ㔸ㅡ㕦つ挲慡换挸㔲慦㍤㔱㍤㕢つ㈷㥣㘰〵㤱愸〱㍢捡㍣扣㙣㜹愰㉥ㅦ戶㑦ㄳ慥扡戲㘲㤵つ㝢慥扡ち搱㌶㌵戱ㄳづ收㔸づ搸㤲㜲㌶捦㉡愴昶捥挷攸㐲㘱愵挵摦㑡㙦散戶扣摦㍣昴昵搵㔷㜴摥〹㉢㔶户慤㤹㡥昹㠲㡤㔵㐴攴愰摣㘵捦㉦晢㤶㌵搱㙢㥦昲㥤㜲挵昱㉣㙥〶㙣㑣〶敢愶慤㈵㐴〹㘶慢㡣〱㔶扤㕥㝢摥㌷扤㘰挵㘴㐰㜱㝤㙦挳㤳㠴㐵㜲昶㤸攳〵㜸㡤散㈲昳㝤昶摣㜲昵㌲㈲戶慢慥㜷捡㕣〹㜶挴慥㤰攸㜵㤲慤㔱㔹㤵捤慡㐲戶搰敥晥昰㐰㥥挹㤰昷㍡〹㘴慦㌲㌹晡捣㔳戴㌷敤晡㈸㐶㐳㍢㥤㘳敡㐱昴愸㠶散㐸㤵挲攴㔴攳㍥戶昹㉣挰〳愷捥㑦搵㈳㜳敦㉢㘶㥤愳㤷㍦㐵挶ぢ㔹搴〲㈱昴搱敤搱愴㐲ㅣ㈹〷ㅣ㠸ㅤ攷㔳㌳昹ㄵ㙤愹㐳敡摢㔳捦㑥㈲㤲搴㘳㑦㥢㡢㔶〵昱㘸搷っ昷攸〷㥡戱慥㔹〹愲戲昱慡敢㥡㈴㉤㤲攵㕣挹㈴〵㡦慥㠶搵㌳㡥㘷搸〰㐲㝦ㄱ捡扣〲㤴㜹㐵㔰㍤昶㌹㠶〶㈵捦扥慡㑢愶敦㠴换慥㔳㉡昰㠱攱扢ㅤ㐱㤳㘰㜲㑡摥㌸挵㌲㘳戰挹㥡㍦て㤳㉤ㄸ挶㜶て㐳㡥㜲改戸晤愰摣慣捡攳㍦搵愶㘳〹〲㐶㍣愵挶晤攸㉤㈷户㈳㈰㜲㈴㕤㡤敦㘰㕣㝤ちㄸ㉤㠴戸敢㈹㈴〲慦㘰㐲挸搳挵㥤户捦㝢㑥㠸摤攳㡥㑤㍡攱㐴㠰㉤〷㐰㔶㡥户㠷㘴㔷ㄳ㡤㠶㙡㕡攱愶㡤㐵つ㙡攲挶㡤攵㐹扤昱挹㑤㡡戵㐶㐹㈸㤲慤㉡㠹㘶搹㘴㡣㍢㐹搵㈸㔱摣戱戶㔱㘹㙥搳晡扡㔳㡡扣て挵㈴㌴㤳㌱㍥㈷㠴㠲㐰㙦愴愳攸戳㑦㈷㡦㐴挴㠶㌶㐰㤱㝡㑡攳㝡愳㤰攰ㄴ慥㥤㤴慤㘲昴〴晥摥ㄳ㘵㘷㔶挳㠶ㄲ昳捡㐰㔴㌲㕡愹捣㜸戰ㄲ㑡愶㕦摥㈱㉣㡤戹㘹つ㈳摣搹慥昶搷换㥢㘰挴㠸つㄹㄶ㐹昱〳㠳つ挱㕣㠹㠸㉡慤戳㕥㉥㜵つ㕤攰搳ㄹ换昴㘴〷收挲昲㠴戵㈶㘶㔸摤㤲ㅦ㤰〶戵搳愲挸㔱挳ㅥ㕤っ愰搲㐳捡昱㈸㈷っ㙥搸攷攸㤶挲㈵〶㠸摤㈸㌷㕢ちㄱ摡慤㜵挰㤳挱捥搹ㅤ慣㠸づ㥤搰㍡愳〴捤愷㄰㙥攳㈴挸㍢㙤敥㈸〴愹㉤改㍦㑦愸㕦㝢㠱改㜷㑦㘴攲㑣挴㐴っ㜷愵㔸て搸摣㘴㘴㤲㕣㌴㄰〷捣戵㘴ㄳ愱搵ㄳ攳㘸㘲昴搲攴昳㐳摣攲㘱㉣慢㡦㙣㔳挱㍤户搰㠱㌶慤慣敦戱愷扣㔲㘵戵㙣㠹㉡㡥㘵戵㘸攴ㅤ戱㕦㜲〵㔰㜳㔳捡扡㐴㡢㌲㠵愳ㄴ愷捣㑤㙡摦敥㌶㑥愰戹〸㌹昴愱㔵ㅦ〳㤰㈹㙥㌹〹㠸㙤戸愷㐰晢㜰㙦晤〲㠳㕣㥥㠳㐸摢㠰愲㉣㥢挶㝤扣㕡ㄴ㔹戸㉤㔱㙤扡㍡㕤愵捤㥥㐰㥤㜶㌴㙡㐷散ㄱ收愹〵㕥㍥て㘳愴㑤敥㘰㈷㤹慢㔱㜴昷敡㔳昲㤸戹㡡慤㤰ㅤ㔰㡣昱昲ㄴ㤴挱慡㠲㤱㘸㜰㘷敢㔶户㘲昴㤷㤶户㌱ち愰ㄸ〶愶㐱㡢㥡摡挰ㄹ㐷㝥㙢〳攷㈶搴㑡㠹㤰㈶㠳愹㡣㔱づ挰㘱㡦㑤〳㌷昱㈰㍤㕦㠵ㄲち昷挹挵戰昸㙥攲㤰㡢㈳㔰搵摦摦㠴㥣㌵㐳㕣㝦昱づ㌶愱㐷换㘵㥡扢昰捦敤㠸㕤挵搵つ㙤㡥敥㙢扡㤴㈵㜳愲㝤㜷㜳㔳㐱㜴㔹昰攸挴昰㘹㌳㉣㉤捦㠵敢晡攲㔶扢㈴㤱晢㍥晣ㄱ㥢扥㥤㌶㜳愷挷㡢愸㙢㕣晢攲㈵慦㝡搹㤳㜱攵〲摥晡〳㠵攰ち㘵ㄷ〷㔹㝣ㄷ㔷㡡昱ㄷ㈹㥢挹晤㈹㝡摣捥戰搹㐱摤㐱挲㝥㈴ㄵ㡤㐹晣㘵㤰㝡㄰㝦㔳㘸〵昶㝢敤收〰㘹㘵㕦ㄳ慤㠸㌰搸㈵ㄶ㙦改〳㈳ㄶ昵㍤㙣㉤〹愶挸㉢攴㔸㜲愴㙣㐶扤㡥〷㙥扡㍣ㄷ㡤㈹晣攵昶㝤ㅣ㝦㔳戶㑦〴㝡㜴搵㠳ㄷ㐳晥晦散㔴捣搵㥢戲搵晦〲㔳慢搷戰ㄹ戲㑤搸㤳晡㌶晤㐹攳㌶㑤敢㙤㔲扣ㄲ㈲扣㝣㈶捡昰㈱挷㔰敤㝢ち㡡㜳㕥扢㠷搱て晤昲敦晦攱㘱㜴〶㍢捣㈴昶ㅡ挲㙥户㈰㕦㌳ㄷ㍡㌶㤸ぢっ攴㡢戹㌰换㌶㡣攸㙢㜳㈱昲㠷㥣〳㘲㙢㜳㠱㜱扥ㄴ愳㌰ㄱ㜶㑤戸㌸㜸ㅡ摢敦搲㔷㜶ㅡ㤷㜰慤〰戱㝤㈸戰㘰ㅣ摥愹〳ㅢ搱戳愶㙦扡〷〵㝦捡户愰搸晣㜹摣敡㤶㈶㙣㜱㘸搳ㄲ㘹戴㠹摦㈲昶戸敦晡㔶戶㜷㤷ㅤ㍢愵㤳㜶攵慢㠲捡扦て慦㠹攲ㄹ㈲昳攵㝤㝦㜰敡㕦㥥昸晡〹摥㕣㡢㘸㌵挷㔰㜱㍢攱㝢摡ㄵ〸昰㈶㉥㡤㕣换㡦㜴捥攰㜳㈵㘷愵㘲㡤㤹扥㔸㐴㠱攱挶㔹㑤㜸〹挲搴挴户ㄳ捣㑤摣㠱搰收收㜰㤳敢㔳㍥㜲ㄲ㜷攱㜰㘲攰攲摦㡢㐳㠸慡愵㌲㙢搳昲捣晤㍥搴搱㝢ㅣ㐸愳挵挸ㄳ㈸㤳㔲扦ㄷ敢㍢㡤挸㘴㡥㐱愳改㘳愵攲ㄵ㠰㔸㑡㈱ㄶ㐱ち㐹ㅥ㙡㜸㌹㐰愴搴㜹㘴㜲㜷〲愴㐴搹㥡挳扤昴つ散ち〱慢㜶〱戰捤て㕡戰㡡搸挵搸㉦摦敥改㤶慥㠰㔸㌵㌱㙣㉢㌶捤〵㘴攴㈰㐳挴㐸㡣㝤ㄸ㤹㌸攵㡥㈲户㙤搷ㄴ㕦搲敢敡㈰㥣㘶散㥣㑢扦㕢搱㍤改慤攲ㄶ〸昴㑣㕥ㄴ㠶户㤷㘸ㅣ㑥㈵㕥愷慢ㄶ㌵㡡戰㑦㘷㙢㡤扡愳㈲攸㉣敦㈰㑥愸〸〴昲慢㈱㤶て搵扢扥戶戹㠴㍡捥敢挲〴昹㠳晤㜵㘳ち㘳攳慤攴ㄸ㐸搸㙤搵㉡攸慢攲㡦愰〹㈷㥤㔱㐶㍤㉢捦㡡昱敡㤸戳㍡戲ㅢ昴㍦㈳搹挲㔹㕦㘰㙢㠶戴ㅢ昴晦ㄷ㠱搸㔲晦慢晢搸ㄶ㍦攳搱㈸㈳挶㈹㘳㈹㕢㠶㙦戸㈲昰㜲㈳㤰㈳㠷㘴㐳戲っ㝦敢摣ㅣ㍥㘴搵挵㈲挱攱〳敢㙣扥㈶㔱㙢㑢摢戶扢愵〰㘴㥣㈸昷㥢㄰㐱㉤摢㌷捡慤昸愴㥢晦㔹㌴摣㜷挶㈹昹搵愰㙡㠷㠳㜳〸〰て昲㍢㌴ㅢ㌶捦愸㝡愵㔹愸摤㡣㤵攸㜹っ㙤捥捥㐰㘰㥦戵挲て㉡㉥挹㈸挳昶愲ㅡ晣㈶愹㍦ㄱ㙡愲㜶〸慥戱ㅦ㕡㌵㉢昸㡣㜵〶㝥捦㤰愸ㅤ愱散戴昷戹昹戶〶㤷づ昷戵ㅥ㠴㙦挸慡っ㈳㔰㈶㔳昸攲㤷戸慥捤㙢搰㔸㌷㥡㕢挰㥡敤昹摦㡡戹㤷戰愷摢㝢㑢㈳挹昰㥤晣㍡戹㘸㉣ㄲ攲㜰㝤〲㝦户敦慣㘵㙦〳愰昳攸攳㙥㍡挵㠶㉡㜰愵㙤㈳ㄲ㕥㐲㔳㌵㑡㠰㥦㔱㡥㌲㝣㔰昴昸㤱ㄵ搵慦㘳㕡㘴〰攴㜱〶〴㘸㑤搵㉦愰㥡昶㈰戰㌲ㄲ愹㕡㑤㈲㈳晤㉦㈳㐳㈲攳㑦搱㤱㈰㔸㈷㠹攵戹㔵戰ㄷㄳ搸㝥ㅥ㕥挹昱挶㈵㠰摥づ挵挳ち改扡愸㝥〵㙦㝣〹㍦扤㝥㉥㜱㌸扣挸愱〴㜹㈳愹ぢㄴて㈵㌲愳㘷搱愰㌶愳ㄵ㘰㕢捦攸扢愸扡㜱㐶㌴㈷㘴㤴挹晥晢㘳㜵㘴〴㝣㜵㐸戰㑡戰〶搰ㅦ搷散愳愰攵㕣昲㍡㜰昱㍤敥㌵搲㍦㐴㝦摦㍥昱搶㥢㑣㍦㌹愱㐴戴愲愸㜱ㄶㄴ慤㌲㡢㙦㈶㘷戱づ㙣敢㔹㍣戳搹㉣晡ㅦ㐵ㅢ㔹搵㉦㈳㠳㔵㈵昵挹慣㥥㐴㠶ぢ捡㥦㉡挵搸㜸〶㜸捥昴㤳㔴愴敤捦㈱搳摢搱捦慤愵㥦挷㜸㡡攰㘹㠲慦㄰㝣㤵攰㙢〴㕦㈷昸〶㐰戱㥦㍢㉥㤵㥦㈱敥攷〹扥㐹昰ぢ〴扦㐸昰㉤㠲㕦〲㈸昶㤳㄰愴昲户㠹晢づ挱㜷〹㝥㤹攰㔹㠲攷〸㥥〷㈸收㐸ㅦ㍦搳㕡㑤搲ち㡥扦敦㐵挴愳攱㐳摥㤳昸㌰㜷㍤㡢昶ㅤ昸㜷〹㜲愲搳㍢戳㥦㙤慦慦搸慥愶㑡捥㔵戰昸敦愳ㅦ敥㐸摤㤱捡ㅥて攱㔷〰㕦㤱摡㘵扦㝥ㄵ㤹㜸扦㜲㈴扥㤴捦戵挴捡攵搵㔶慥㘹㕥扢搷昳摡戶㈹戸㤱㕦㝤㐷㐸㜸㑣㠹摦㍦户㔴捣昹㌶敦㙣愸㡢㌱㌳㥣㍥ㅤ㜹㌵攱收慣㌱愳づ㤶㤰㜹戹㤰捡㠹㉢晦攱㙢㜵㘷ㅢち㤰挰戱扡㌲㤹㕣㉡㉦挷㤵㡦攲㍢㍢愹㠳㥥㜵㝡㍢慥㑣㘱㈰㤵㤷攲捡晦㜱昴㘰慤㜲捣晢扡攷ㅣㄹ㌳攵挴㈲㘷戸挴㌷昷㝤愸㥥戳㘹〵㜵摢ㅡ㑤㐲㤴换〰ㄵ戱㠳㝡㜰扤挷挷㔷敦搳戸慤㠶㑢㍤㔰㤵晡ㅦ扦㤸挲㉤戶〹㌳㌴昱㔱晢ㅡ慥て昸㠶㍣戱㜱摥㥥昱㠱攸戲愷〲㥣㡣换㍢㡡㐴㘰搴㜵敡昵摤㈲捣㤲㜲〰愸慦㐷ㅣ昶捣昲㔶㔰㝢㈶㠰㠴捡㍡㤵ㄵ敦㙣收改㍡捤ㄸ㉦㘲㜳愰㥡〰㤹㌱㝥〳㔰㠷搶㜸晦㍣搳㑦㤹㉢〲昵㈵ㄶ扣㑣昰ち㐰㔱㔱挰㤲づ昲慦〲昴挵晦昴挸攰㥡㜸扤戲敡㑢昱换㤲㘴㘴晣ㄶㅢ晣㌶㐰〷ㅣ昱㉡㈲挲愲昱㍢挰㈴㕥慡㈸慣㈹㌲搵㈳攸㠵㜲㡡㔲愴愸㥥㡥搱て㐷㘸ㅥ〴㡡敡㉢㌱晡㐲㠴摥㉦攸慦挶攸昳ㄱ晡㠰愰㈹昴愵敦昹〸㝤㥢愰愹〶〴㍤ㄷ愱㙦ㄷ昴㌷㘲昴戹〸㑤攵㔷挸〳㈰扤昳慥愲愶㤰㘶て㐵攵㝡愴搴ㅤ㠲㥥㡤搰㝡愴搴㈶㠲㥥㠹搰㝡愴搴㉦㠲㍥ㅢ愱昵㐸愹㜱〴㝤㈶㐲敢㤱㝥㉢㐶㑦㐷㘸㍤㔲㙡㈵愹晤㘰㠴收㐸㡢㡡摡㐹搰て㐴㘸㍤㐰敡㉢㐱㑦㐵㘸㍤㐰㙡㌰㐱㐳〴挹挲敢〱㔲愷〹晡㔴㠴搶〳愴㤶ㄳ昴㘴㠴搶〳愴摥ㄳ昴挹〸慤〷昸㝣㡣㥥㠸搰㌲挰㝥㉡〹㈱戰㍦㐳挶昸㜳㠲扦〰㈸收㐸㤸摢收㄰搲㙦㥢戶收て搰㔴㤱散搹㠷昱㐶㤴攱㠳㈲捤换㑣㍥ㄷつ昹㝥㈰ち搹扣㝡㌹㉥㌸ㅥㄵㅣ㤷〲愵㕥㠹ぢ敥㡦ち㑥〰㘱晣ㄵ㠰㈲敤㜳㑥挶㕦昳㠹㈴㉦㉦晣㘱㤴㤱ㄷ㜲つ攴㠵昷㌶扤㤰敢㈲〵昷㌴扤㤰㙢㈵〵㥦㐹扥昰敦搸改て〸昰㙢戰搳晡摦〰㐶搶晢㉤㘴㝡㍢晡㌸㌶㥡㔰搹㉢慡昴㔸昹戱挷摥改敢ㅣ㍣搴昹挸攷㝢㕥㜸晢㙦㝦晣摣㡦ㅥ㍤晥敦㍦㝤昱挵ㅦ晤敢㜳㙦晥昴晢㡢挷㝦昸敡慢㝦昹挰㑢㙦晥㜸慦晤㜲昶戵㜷愶㕦㝥㜲攴搲㤳㡦摢攷敦㌸昵攴ㄷ㉥㍥㌴㌲㝢捤㔰㐷㐷㔷搷慤〳㝦㜳摤㙤晤㑦㍦晥扡㝡攳㥦づ㜸㑡愶㡢ㄷ㌴づ㠳搳㤶㘱晣㍤㌲ㄸ〶㐷晣愱づ㠳搳㤵㠵㍡ㄲ㉤搴ㄸ㄰㌴㔷㌸〰㈹戸戳戱愰晢㝦〰戱づ㝥㠱</t>
  </si>
  <si>
    <t>㜸〱敤㕣㕢㙣ㅣ搷㜹摥戳攴㉥㜷㤶愴㐸㑢戲㘴㈹㡥捤挴㜱㝣愱㑡㡢戲ㄵ摢愹ㄵ㤵ㄷ㔱愲㑤㠹戴㐸挹づ攲㤴ㅥ敥捥㤰㈳敤捣搲㌳戳㤴㤸ㄸ戵㤳收摡愴㑤攳愴て㙥㕤昸搲㈶㐰㡢戶㐰ㅥ㙡㈴㘸摡摡㐰摢ㄴ慤㡤昶㈱㝤㈸搰〷㌷〸摡㠷〶㠵搰扥昸㈱㠰晢㝤晦㤹搹㥤㕤㜲㠷昴摡㙥改㠲挷摥㥦㘷晥㜳㤹㜳昹㙦攷晦捦㈸愳㌲㤹捣㕢㐸晣换搴捤捣㡤昳敢㐱㘸戹㈳ㄳ搵㑡挵㉡㠵㑥搵ぢ㐶挶㝣摦㕣㥦㜱㠲戰ぢㄵ昲㡢づ捡㠳摣㘲攰㝣挶㉡㉣慥㔹㝥㠰㑡戹㑣愶㔰㌰戲㈸㘷㈷晣つ挶て〶㕢昵㜵〳㉣㑣㡣捦㉥㕤㐲慦昳㘱搵户㡥っ㕤搴㙤㑦㡣㡥㡥㡣㡥摣㜳㝣昴搸挸搱㈳㐳ㄳ戵㑡㔸昳慤ㄳ㥥㔵ぢ㝤戳㜲㘴㘸慥戶㔴㜱㑡て㔹敢ぢ搵换㤶㜷挲㕡㍡㝡昷㤲㜹捦㝤愳昷ㅣ㍦㙥摦㝦晦㝤㝤㜸㜵收摣挴昸㥣㙦搹挱扢搴㘷㡥㐳扥㘷搲㉡㌹㥣㥢㘵昹㡥户㍣㌲㌱㡥晦ㄳ攳挷搳扤㈳昳㉢㤶ㄵ昲搵㤶㙦㜹㈵㉢㌰搰戰搷ㅤぢ㠲㥡扢捡挵㌳摣㈹㑣戵㘴〶㘱捥㥤戰㉡ㄵ挳㡤㝢㉤戸戳㔸扢㡡戹摥攷捥㕢㕥攰㠴捥㥡ㄳ慥攷摤〵㜴㔴敥㜷㉦〴搶㜹搳㕢戶捥㤹慥㤵㜳㑦搷㥣㜲户㑥㤹慥摢攲㉥㤲〳㤳改㡦㡣〵敥挴㡡改换㠸〲㉥㑣㑡摤㈹扦搴㕣昷㤶昶晤㜲攸昲〶昶㜹㙢晢㝡㈸戹㘸晡昵㥡挳敤㙢㐶㤳㙦ㅥ挱㕤敤敢㈷搶愸戹捤ㅤ敤摢挸㔲㌶搷㔶扤ㄱ㝤换㡡㘲㌲㐶㥥愰㠷愰㐰挰つ㌴㡡〴扤〴㝤〰慡晢扦挱㈵挹㠶㉣捡㉥㥡搹挵愵散㘲㈹扢㔸捥㉥㕡搹㐵㍢扢戸㥣㕤㕣挹㉥㍡搹挵㑢搹挵换愸ㄳ愷㐲㑦㑦㌶㑡㤷㉦搶扥晤昵㙢㔳攷㥥晤挳㔷晥㙢攴㝢㍦晢㘹摦ㅥ㔴㝡㌸ㅡ搴愴㙦㕥〱愹㌵愸ㄸㅣ挱晦戶收ち㌰㠵㝤摣扥搷ㅥㅤ㉤ㅦ㍦㙡摥㙤收㌸慤㤴捤㙦㈲㤴㐱搴敤戳ㅦ㜱扣㜲昵㡡散摤㡤攳㘶㘰㌵ㄶ㙥㌸㉡ㅢ慦搶扣㜲昰㠱捤ぢ攷㐳㌳戴づ户㤶㌵㍡搹搰㙣ㅥ㙣㘵〵昲扥㥢㕡㥢㕤㌴㉢㌵㙢散慡愳㡢㍦搸㔲散捥昹搵愵昶愵㔳扥昵㐴扤㜴挳㠸挶㈰搴搶愴敦つ戳搴㐵㝡㕣㐳ㄳ㉢搵挰昲㘴㜸挳敥㥣㔳扡㙣昹昳ㄶ㐵愲㔵㤶愹㕥捦愲㠸敢㠷㘷㍤㑣ㄴ摣㕡晥㜰ㄲ㙢㥦扡ㅡ㠲㤹慤㌲挶扢㙡昹攱晡㠲戹㔴戱づ㌴㔵搱敦㐴挱愱㈶昴㔴戵㔴ぢ㈶慡㕥攸㔷㉢捤㈵㘳攵㌵ㄳ㤲愶㝣戶㕡戶扡扢㌳㈲ㄴ㈰㜰扢扡㤴捡摣搹㥥ㄷ㘴㈳ㄲ㕢㑣㐶扥愱㤹散㐶捥㘳㜶㤸㐵挵㈲㑤㘶㍦戲㐵㘷ㅣ慦挸㤸ㄴづ㑣捣㠹晡㠳㉦扤㝤㡢㙥敢㍢昷摥㔶捥㘶昷㐵戳㍦戵㘶㜹攱ㄹ搳㉢㔷㉣㍦㔵晢㈹㡥挸ㄸ〰挸㕤㠳㐰㘸扢㝡㔴㜵敡慡㕡捦㕤㜱捡攱㑡㝥挵㜲㤶㔷㐲攰愰㈱ぢ〵㉥敤㠶㘴㕣〷㤴戱㤷㘰ㅦ㐰戱㤸挹敦㘷愵㝣ㄱ㈹㤳愳㜴㑡攱攵㈶㐱捥㜶㑤扣摣㘷㑦㌹㤵搰搲㐲㜹挰挶㡥㘸慤㈶摢搷㑦ㄲ昵捤㤲㔶ㄸ晢敤〹㔰愹改㜸攱㝡㠳㙦㌷㜰㠹㈶愲㕤㔹戰攳㘴〱㐵㐱戳㍣㐸攱㌵㄰㑤㡢㌴㐸慦㥣㈰㈲戲㐱㡡㘶㐷捦捤㐴挶晡㈹㌲〲昵㤳㐴挸摡㐷摢换〸ㄲ晢㐶㈲㘵愳戶晣戸㉢捤㌶戳攵戵㌴扢ㅥぢ㘷ㅣ㈰㌸㐸㜰〳挱㈱〰昵㙦㤰㜰㤴㜲挸㌷㈷攳〳㜸㌶㙥㈴昸㈰〰攴㤳㐱㤹ㄳ㠹㉡摡㔰摢戱㈳㔹慦ㅦ㜶戲ㄸ挵㕡ㄴ搱㌲慥摢㤹晤慥㙣㜴㘴㜵敥っ㕤摢㉤㍡昶愳敤㘹㌳㌹ㅤ㔲㘴㑡搵攴㕣户愸㥡㕣〸㔶敤㔰㙦摤㡣愶挶㄰挱㠷〰㡡挶㠷〹愱㕣㘸昰㙥捦愲愷㐹昹扥㌰㡢戴㌱搴愱㠲㡦〸㤹㐷㠰ㄴ㈱户攱昸戲㙢㐳搳ㅣㅣ戶摦昷㌶昴㤱昶晣ㅤ㙤㝡㡢摥摣搵㍢昴ㄷ扤㑤㉢晡ㄶ戰㤷晡㤷戶㍡收㔶ㄴㅢㅦ㈵戸つ愰㐵挷昰昴晤㜶㍤〵㘲ㄶ扢㠹㥤摢㑢慦㡢㔸戹ぢ敢慢㤶㘸愰㍥㝢挱昴㤷慤㄰ㅥ㡣改㐹搸挲㔵摦户㉡㌸搴㤶〵挱昳换挱㘶㘴㌰攵㔷㕤攲㜷㙤攴攰㝤愱ㄸ扡扢戳㕤㤹ㄶㅢ㌹挵搶㑣昸㥣ㄲ㤴㐳ㅤ㝣㜷㝢㈱㤱㘸搴㑣㕥㙣㤷㝥扥摣㤵㈴ㅤ㐸㤲㍢戰慣挶㥤〰㤰ㄲ敡㥦摡㑡㤴㈳慣昶ぢ㔲慤搹㘲愵㠷㉦攵㜴搲攲㐳摣㈰㐷㝡戵挳㜶ㅣ晥㠳愰摦㥤㜷摣扡戰攸㜵攷㉣扦〴摦㠲㔳戱㡡摡㉤㑢㔱戳㉢㉢摥㈷戲愲慢㙢挳㜹㍡挵扦㈶㜴搲㈲㈵㔲戹㍤戵㌰攵㉣摥㈰㉡扡㈱㈹㔴㔲㕣㐳㜵〹㐴捡㘳摤㕤ㄱ搳㠱㠸戹ぢぢ㘷ㅣ㈵ㄸ㈵㌸〶㤰㝢ㅤ㤲㘶扢ぢ捦㜰㔸捦ㅡ㕤摡㡢㡢㤹〲户㐱㕣㠴慦戵ㄵ㔶挷昹㥡㡦ㄱ摣ぢ搰㘲晥搰〱㤹㐲㠸戲攵〹㐲㤴㌰㠶㝤搱戱慥㤰〶昶搸〸㉣㑤搴㠲戰敡㌲戲搴㙦㑦㔶捦㔵挳㐹㈷㔸㐵㈴㙡㥦ㅤ㘵ㅥ㔹戱㍣㔰㤷て摢愷〵㔷㕤㕤戵捡㠶㍤㕦慤㐱戴㑤㑦敥㠴㠳㌹㤶〳戶愴㥣捤戳ち愹戳昳㌱扡㔰㔸㘹昱户搲ㅢ扢㉤敦㌷て㝤〳㡤ㄵ㕤㜰挲㡡搵㙢㙢愶㘳扥㘰㘳ㄵㄱ㌹㈸昷搸ぢ㉢扥㘵㑤昶摢愷㝤愷㕣㜱㍣㡢㥢〱ㅢ㤳挱扡ㄹ㙢ㄹ㔱㠲戹㉡㘳㠰㔵慦摦㕥昰㑤㉦㔸㌵ㄹ㔰㕣摦摢昴㈴㘱㤱㥣㍤敥㜸〱㕥㈳扢挸晣㠰㍤扦㔲扤㠲㠸㙤捤昵㑥㥢慢挱㡥搸ㄵㄲ扤㑥戲㌵㉡慢戲㔹㔵挸ㄶ㍡摤ㅦㅥ挸㌳ㄹ昲㕥㌷㠱散㔵㈶㐷㥦㜹㡡昶愶㕤ㅦ挵㘸㘸愷㜳㑣㝤㠸ㅥ搵㤱㕤愹㔲㤸㥣㙡摣捦㌶ㅦ〷㜸昰昴㠵改㐶㘴敥ㅤ挵慣㜳昴昲愷挸㜸㈱㡢㝡㈰㠴㍥扡㍤㥡㔴㠸㈳攵㠰〳戱攳㝣㙡㈵扦愲㉤㜵㐸㝤㝢ㅡ搹㈹㐴㤲晡散ㄹ㜳挹慡㈰ㅥ敤㥡攱ㅥ晤㐰㌳搶㌵㉢㐱㔴㌶㔱㜵㕤㤳愴㐵戲㥣㉦㤹愴攰戱㕡㔸㍤敢㜸㠶つ㈰昴ㄷ愱捣慢㐰㤹㔷〵搵㘷㥦㘷㘸㔰昲散慢扡㙣晡㑥戸攲㍡愵〲ㅦㄸ扥摢ㄱ㌴〹㈶愷攴㡤㔳㉣㌳㠶㕡慣昹ぢ㌰搹㠲ㄱ㙣昷〸攴㈸㤷㡥摢て捡捤慡㍣晥㔳ㅤ㍡㤶㈰㘰挴㔳㙡㍣㠰摥㜲㜲㍢〲㈲㐷搲戵昸づ挶戵愷㠰搱㐲㠸扢㥥㐲㈲昰ち㈶㠴㍣㕤摣㜹晢㠲攷㠴搸㍤敥搸㤴ㄳ㑥〶搸㜲〰㘴攵㜸㝢㔸㜶㌵搱㘸戸慥ㄵ㙥摥㔸搴愴㈶㙥摡㔸㥥搴ㅢㅦ搹愴㔸㙢㤴㠴㈲搹慡㤲㘸㤶㑤挶戸㤳㔴㡤ㄲ挵ㅤ㙢ㅢ㤵收㌶㙤慣㍢愵挸㍢㔰㑣㐲㌳ㄹ攳ㄳ㐲㈸〸昴㐶㍡㡡㍥晢㜴昲㐸㐴㙣㘸〳ㄴ愹愷㌴慥㍦ち〹㑥攳摡㐹搹㉡㐶㑦攰敦㍤㔱㜶戶ㄶ㌶㤵㤸㔷昷㐵㈵㘳㤵捡慣〷㉢愱㘴晡攵ㅤ挲搲㤸㥢搶㌰挲㥤㥤㙡㝦扤扣〹㐶㡣搸㤰㘱㤱ㄴ㍦㌰搸㄰捣㤵㠸愸搲㍡敢攷㔲搷搱〵㍥㥤戵㑣㑦㜶㘰㍥㉣㑦㕡㙢㘲㠶㌵㉣昹㝤搲愰㝥㕡ㄴ㌹㙡搸㘳㑢〱㔴㝡㐸㌹ㅥ攵㠴挱つ晢㍣摤㔲戸挴〰戱ㅢ攵收㑡㈱㐲扢昵づ㜸㌲搸㌹扢㠳ㄵ搱愱ㄳ㕡㘷㤴愰昹ㄴ挲㙤㥥〴㜹愷挳ㅤ㠵㈰戵㈵晤攷㐹昵摢捦㌲晤挱挹㑣㥣㠹㤸㠸攱慥ㄴ敢〱㥢㥢㡣㑣㤲㡢昶挵〱㜳㉤搹㐴㘸昵挵㌸㥡ㄸ晤㌴昹晣㄰户㜸ㄸ换ㅡ㈰摢㔴㜰捦㉤㜴愰㑤㉢敢㝢散㘹慦㔴愹㤵㉤㔱挵戱慣ㄶ㡤扣㈳昶㑢慥〰㙡㙥㑡㔹㤷㘸㔱愶㜱㤴攲㤴戹㐹㥤摢摤挶㐹㌴ㄷ㈱㠷㍥戴敡㘳〰㌲挵㉤㈷〱戱つ昷ㄴ㘸ㅦ敥㙤㕣㘰㤰换㜳㄰㘹ㅢ㔰㤴㘵㌳戸㡦㔷㡦㈲ぢ户㈵慡捤㔴㘷慡戴搹ㄳ愸㌳㡥㐶敤㠸㍤挲㍣戵挰换攷㘱㡣㜴挸ㅤ散㈴㜳㉤㡡敥㕥㝢㑡ㅥ㌳搷戰ㄵ戲〳㡡㌱㕥㥥㠲㌲㔸㔵㌰ㄲつ敥㙣挳敡㔶㡣晥搲昲㌶挶〰ㄴ挳挰㌴㘸㔱㔳ㅢ㌸ㄳ挸㙦㙤攰摣㡣㕡㈹ㄱ搲㘴㌰㤵㌱捡㝤㜰搸㘳搳挰㑤㍣㐸㉦㔴愱㠴挲晤㜲㌱㉣扥㥢㌸散攲〸㔴昵て戴㈰攷捣㄰搷㕦扣㐳㉤攸戱㜲㤹收㉥晣㜳㍢㘲㔷㜱㜵㐳㥢愳晢㕢㉥㘵挹㥣㘸摦摤搲㔲㄰㕤ㄶ㍣㌶㌹㜲挶っ㑢㉢昳攱扡扥戸搵㈹㐹攴㝥〸㝦挴愶㙦愷捤摣敤昱㈲敡ㅡ搷扥㜸搹慢㕥昱㘴㕣戹㠰户晥㐰㈱戸㐲搹挳㐱ㄶ摦挲㤵㘲晣㐵捡㘶㜲㝦㠶ㅥ户㌳㙣㜶搰㜰㤰戰ㅦ㐹㐵㘳ち㝦ㄹ愴ㅥ挲摦ㄴ㕡㠱晤㕥扦㌹㐰㕡搹摦㐲㉢㈲っ㜶㠹挵㕢㝥搷㠸㐵晤〰㕢㑢㠲㈹昲ち㌹㤶ㅣ㈹㥢㔱摦挷〳㌷㕤㥥㡢挶㌴晥㜲晢㍥㠴扦㈹摢㈷〲㍤扡敡挱㡢㈱晦㝦㜶㉡收敡㑤搹敡㝦㠱愹搵换搸っ搹㈶散㐹㘳㥢晥戴㜹㥢㘶昴㌶㈹㕥〹ㄱ㕥㍥ㅢ㘵昸㤰㘳愸昶㙤〵挵㌹慦摤挳攸㝢㝥昹昷晦昰㌰㍡㡢ㅤ㘶ㄲ㝢つ㘱户㕢㤱慦㥢ぢ㕤ㅢ捣〵〶昲挵㕣㤸㘳ㅢ㐶昴戵戹㄰昹㐳捥〳戱戵戹挰㌸㕦㡡㔱㤸〸扢㈶㕣ㅣ㍣㡤ㅤ㜰改㉢㍢㠳㑢戸㔶㠰搸㍥ㄴ㔸㌰〱敦搴挱㡤攸㌹搳㌷摤㐳㠲㍦敤㕢㔰㙣晥〲㙥㜵㑢ㄳ戶㌸扣㘹㠹㌴摡挴㙦ㄱ㝢摣㜷㝤㉢摢扢换㡥㥤搲㐹扢昲㔵㐱攵摦㠱搷㐴昱っ㤱昹散晥㍦㌹晤慦㥦昹挲㐹摥㕣㡢㘸㌵挷㔰㜱㈷攱㝢摡ㄵ〸昰㈶㉥㡤㕣捦㡦㜴捥攲㜳㈵㘷戵㘲㡤㥢扥㔸㐴㠱攱挶㔹㑤㜸〹挲搴挴户ㄳ捣㑤摣㠱搰收收㐸㡢敢㔳㍥㜲ㄲ㜷攱㐸㘲攰攲摦㡢㐳㠸慡慤㌲敢搰昲捣晤㌱搴搱摢ㅣ㐸戳挵挸ㄳ㈸㤳㔲㝦ㄴ敢㍢㡤挸㘴㡥㐳愳改㘳愵攲ㄵ㠰㔸㑡㈱ㄶ㐱ち㐹ㅥ㙡㜸㌹㐰愴搴〵㘴㜲㜷〱愴㐴搹㕡挳扤昴つ散ち〱慢㝥〱戰挳て㕡戰㡡搸挵搸㉦摦改改㤶慥㠰㔸㌵㌱㙣㉢㌶捤㐵㘴攴㈰㐳挴㘸㡣㝤〴㤹㌸攵㡥㈱户㙤搷ㄴ㕦搲敦敡㈰㥣㘶散㥣㑢扦㕢搱㍤攵搵㜰ぢ〴㝡㈶㉦ち挳摢㑢㌴づ愷ㄲ慦搳㔵㡢ㅡ㐵㌸愰戳昵㐶扤㔱ㄱ㜴㤶㜷〸㈷㔴〴〲昹搵㄰换㠷ㅢ㕤㕦摦㕡㐲ㅤ攷昵㘰㠲晣挱晥扡㈹㠵戱昱㔶㜲っ㈴散戶㙡ㄵ昴㔵昱㐷搱㠴㤳捥㈸愳㤱㤵㘷挵㜸㜵捣㔹㕤搹つ晡㥦㤱㙣攱慣㑦戲㌵㐳摡㑤晡晦㔳㐰㙣愹晦搵晤㙣㡢㥦昱㔸㤴ㄱ攳㤴戱㤴㉤挳㌷㕣ㄱ㜸戹ㄱ挸㤱㐳戲㈱㔹㠶扦㜵㙥ㅥㅦ戲敡㘲㤱攰昰㠱㜵户㕥㤳愸户愵㙤摢摢㔶〰㌲㑥㤴晢㍤㠸愰戶敤㥢攵㔶㝣搲捤晦㌲ㅡ敥㍦敢㤴晣㙡㔰戵挳愱㜹〴㠰㠷昸ㅤ㥡つ㥢㘷㑣扤搸㉡搴㙥挱㑡昴㍤㡥㌶攷㘶㈱戰捦㔹攱扢ㄵ㤷㘴㤴㘱㝢㔱つ㝥㤳㌴㤸〸㌵㔱㍢〴搷搹て搷捣ち㍥㘳㥤㠵摦㌳㈴㙡㐷㈸㍢敤㝤㙥扤慤挱愵挳㝤慤㠷攰ㅢ戲㉡㈳〸㤴挹ㄴ㍥昵㘹慥㙢敢ㅡ㌴搷㡤收ㄶ戰㘶㘷晥户㘲敥㜹散改昶摥搲㑣㌲㝣㈷扦㑥㉥ㅡ㑢㠴㌸㕣㥦挴摦敤㍢㙢搹摢㍥搰㜹昴㜱㌷㥤㘲挳ㄵ戸搲戶ㄱ〹㉦愱愹ㅡ㈳挰捦㈸㐷ㄹ㍥㈸㝡晣挸㡡敡㜷㌰㉤㌲〰昲㌸〳〲戴愷敡㘷㔱㑤㝢㄰㔸ㄹ㠹㔴慤愶㤰㤱晥㔷㤰㈱㤱昱愷攸㐸㄰慣㤳挴昲摣㉡搸㑢〹散㈰て慦攴㜸攳㌲㐰㝦㤷攲㘱㠵㜴㕤㔴摦挶ㅢ㥦挷㑦慦㥦㑢ㅣづ㉦㜲㈸㐱摥㐸敡〲挵㐳㠹捣攸㥢㘸㔰㥦搱㉡戰敤㘷昴つ㔴摤㌸㈳㥡ㄳ㌲捡㘴晦㠳戱㍡㌲〲扥㍡㈴愸ㄱ慣〱っ挶㌵〷㈸㘸㌹㤷扣づ㕣晣㠰㝢㡤昴㡦搱摦㌷㑥扥晥ㅡ搳捦㑥㉡ㄱ慤㈸㙡㥥〵㐵慢捣攲㉢挹㔹慣〳摢㝥ㄶ㕦摡㙣ㄶ㠳㡦愱㡤慣敡㘷㤱挱慡㤲晡㘴㔶㑦㈲挳〵攵㑦㤵㘲㙣㍣〳㍣㘷〶㐹㉡搲昶㔷㤰改敦ㅡ攴搶搲捦㘳㍣㐵昰㌴挱攷〸㍥㑦昰慢〴㕦㈰昸㈲㐰㜱㤰㍢㉥㤵扦㐴摣㤷〹扥㐲昰㔵㠲㕦㈳昸ㅡ挱搷〱㡡㠳㈴〴愹晣敢挴晤〶挱㌷〸㝥㤳攰㥢〴捦㄰㝣ぢ愰㤸㈳㝤晣㘲㝢㌵㐹㉢㌸晥扥ㄷㄱ㡦愶て㜹㑦攱挳摣昵㉣摡㜷攱摦㈵挸㠹㑥敦捥㝥扣戳扥㘲扢㥡㉡㌹㔷挱攲扦㠳㝥戸㈳つ㐷㉡㝢㍣㡣㕦〱㝣㐵㙡㤷晤晡㉤㘴攲晤捡㤱昸㔲㍥搷ㄲ㉢㤷㔷㕢戹愶㜹敤㕥捦㙢摢愶攰㐶㝥昵ㅤ㈱攱㌱㈵㝥晦摣㔶㌱攷㍢扣戳愱㉥挵捣㜰收㑣攴搵㠴㥢戳捥㡣㍡㔸㐲收攵㐲㉡㈷慥晣扤㤷ㅢ捥㌶ㄴ㈰㠱㘳㜵㘵㌲戹㔴㕥㠹㉢ㅦ挳㜷㜶㔲〷㍤敢昴㐶㕣㤹挲㐰㉡㉦挷㤵晦攳搸愱㝡攵㤸昷㜵捦㌹㌲㘶捡㠹㐵捥㜰㠹㙦敥〷㔰㍤㘷搳ち敡戵㌵㥡㠴㈸㤷〱㉡㘲〷昵攱㝡㡦㡦慦摥㘷㜰㕢つ㤷㝡愰㉡昵㍦㝥㌱㡤㕢㙣㤳㘶㘸攲愳昶㌵㕣ㅦ昰つ㜹㘲攳扣㍤敢〳搱㘳㑦〷㌸ㄹ㤷㜷ㄴ㠹挰愸敢搶敢扢㐵㤸㈵攵〰搰㔸㡦㌸散㤹攵慤愰捥㑣〰〹㤵㜵㉢㉢摥搹捣搳つ㥡㌱㥥挳收㐰㌵〱㌲㘳晣㉥愰づ慤昱晥㜹㘶㤰㌲㔷〴敡昳㉣㜸㠱攰㐵㠰愲愲㠰㈵ㅤ攴㕦〲ㄸ㠸晦改㤱愱㌵昱㝡㘵搵愷攳㤷㈵挹挸昸㝤㌶昸づ㐰ㄷㅣ昱㉡㈲挲愲昱㕤㘰ㄲ㉦㔵ㄴ搶ㄴ㤹敡㔱昴㐲㌹㐵㈹㔲㔴㑦挷攸㐷㈲㌴て〲㐵昵戹ㄸ㝤㌱㐲ㅦ㄰昴攷㘳昴㠵〸㝤㔰搰ㄴ晡搲昷㐲㠴扥㕤搰㔴〳㠲㥥㡦搰㜷〸晡㡢㌱晡㝣㠴愶昲㉢攴〱㤰摥㝣㑢㔱㔳㐸戳㠷愳㜲㍤㔲敡づ㐱捦㐵㘸㍤㔲㙡ㄳ㐱捦㐶㘸㍤㔲敡ㄷ㐱㥦㡢搰㝡愴搴㌸㠲㍥ㅢ愱昵㐸扦ㄶ愳㘷㈲戴ㅥ㈹戵㤲搴㝥㈸㐲㜳愴㐵㐵敤㈴攸〷㈳戴ㅥ㈰昵㤵愰愷㈳戴ㅥ㈰㌵㤸愰㈱㠲㘴攱昵〰愹搳〴㝤㍡㐲敢〱㔲换〹㝡㉡㐲敢〱㔲敦〹晡㔴㠴搶〳晣㔶㡣㥥㡣搰㌲挰㐱㉡〹㈱戰㍦㐷挶昸ぢ㠲扦〴㈸收㐸㤸摢收㄰搲㙦㠷戶收㉢㘸慡㐸昶散挳㜸㌵捡昰㐱㤱收㘵㈶㥦㠸㠶晣〰㄰㠵㙣㕥扤㄰ㄷ㥣㠸ち㑥㐸㠱㔲㉦挶〵て㐴〵㈷㠱㌰晥ㅡ㐰㤱昶㌹㈷攳㙦昸㐴㤲㤷ㄷ晥㈸捡挸ぢ戹〶昲挲晢㕡㕥挸㜵㤱㠲㝢㕢㕥挸戵㤲㠲㡦㈵㕦昸昷散昴ㄵ〲晣㥡散戴挱㔷㠱㤱昵㝥ㅤ㤹晥慥〱㡥㡤㈶㔴昶慡㉡㍤㕥㝥晣昱㌷〷扡㠷づ㜷㍦晡㑢㝤捦扥昱㜷㍦㜹收挷㡦㥤昸昷㥦㍦昷摣㡦㝦晡捣㙢㍦晦攱搲㠹ㅦ扤昴搲㕦㍤昸晣㙢㍦搹㙢扦㤰㝤昹捤㤹ㄷ㥥ㅣ扤晣攴ㄳ昶㠵㍢㑦㍦昹挹㑢て㡦捥㕤㌷摣搵搵搳㜳摢扥扦扤攱昶挱愷㥦昸扥㝡昵㥦て㝡㑡愶㡢ㄷ㌴て㠳搳㤶㘱晣〳㌲ㄸ〶㐷晣㥥づ㠳搳㤵㠵㍡ㅡ㉤搴㌸㄰㌴㔷㌸〰㈹戸慢戹愰昷㝦〰挸愱㝦㡦</t>
  </si>
  <si>
    <t>㜸〱敤㕣㕢㙣ㅣ搷㜹摥戳攴㉥㜷㤶愴㐸㡢戲㘴㈹㡥捤挴㜱㝣愱㑡㡢戲ㄵ摢愹ㄵ㤶ㄷ㔱愲㑤㠹戴㐸挹づ攲㤴ㅥ敥捥㤰㈳敤捣搲㌳㐳㑡㑣㡣摡㐹㤳㌴㙤摡愶㜱摡〷愷㉥㝣改〵㈸搰〶㈸㡡ㅡ〹㥡戶㌱㝡㐹㉦㌲摡㠷昴愱㐰〲戸㐱搱㍥愴㈸〴昴挵て〱摣敦晢捦捣敥散㤲㍢愴搷㜶㑢ㄷ㍣昶晥㍣昳㥦换㥣换㝦㍢晦㝦㐶ㄹ㤵挹㘴摥㐲攲㕦愶㑥㘶㙥㥥摦〸㐲换ㅤ㥥愸㔶㉡㔶㈹㜴慡㕥㌰㍣收晢收挶㡣ㄳ㠴ㅤ愸㤰㕦㜴㔰ㅥ攴ㄶ〳攷㌳㔶㘱㜱摤昲〳㔴捡㘵㌲㠵㠲㤱㐵㌹㍢攱慦㍦㝥㌰搸慡愷ㄳ㘰㘱㘲㝣㜶改ㄲ㝡㥤て慢扥㜵㜴昰愲㙥㝢㜲㘴㘴㜸㘴昸扥ㄳ㈳挷㠷㡦ㅤㅤ㥣㔸慢㠴㙢扥㜵搲戳搶㐲摦慣ㅣㅤ㥣㕢㕢慡㌸愵㐷慣㡤㠵敡㘵换㍢㘹㉤ㅤ扢㜷挹扣敦㠱㤱晢㑥㥣戰ㅦ㝣昰㠱ㅥ扣㍡㜳㙥㘲㝣捥户散攰㕤敡㌳挷㈱摦㌷㘹㤵ㅣ捥捤戲㝣挷㕢ㅥ㥥ㄸ挷晦㠹昱攳改晥攱昹ㄵ换ち昹㙡换户扣㤲ㄵㄸ㘸搸敤㡥〵挱㥡扢捡挵㌳摣㈹㑣戵㘴〶㘱捥㥤戰㉡ㄵ挳㡤㝢㉤戸戳㔸扢㡡戹搱攳捥㕢㕥攰㠴捥扡ㄳ㙥攴摤〵㜴㔴敥㜵㉦〴搶㜹搳㕢戶捥㤹慥㤵㜳㑦慦㌹攵㑥㥤㌲ㅤ㜷挴㕤㈴〷㈶搳ㅦㅥぢ摣㠹ㄵ搳㤷ㄱ〵㕣㤸㤴扡㔳㝥愹戱敥㙤慤晢攵搰攵つ散昳昶搶昵㔰㜲搱昴㙢㌵㠷㕡搷㡣㈶摦㌸㠲㝢㕡搷㑦慣㔱㘳㥢扢㕡户㤱愵㙣慣慤扡㈳晡㤶ㄵ挵㘴㡣㍣㐱ㄷ㐱㠱㠰ㅢ㘸ㄴ〹扡〹㝡〰㔴攷㝦㠳㑢㤲つ㔹㤴㕤㌴戳㡢㑢搹挵㔲㜶戱㥣㕤戴戲㡢㜶㜶㜱㌹扢戸㤲㕤㜴戲㡢㤷戲㡢㤷㔱㈷㑥㠵慥慥㙣㤴扥㔹晥挱㕦晥昸敦㝥㌸晥挷攷㝥㜸㜹昴捡㌷慥昵散㐳愵㐷愳㐱㑤晡收ㄵ㤰㕡㥤㡡挱ㄱ晣㙦㝢慥〰㔳搸㈷散晢敤㤱㤱昲㠹㘳收扤㘶㡥搳㑡搹晣〶㐲改㐷摤ㅥ晢㌱挷㉢㔷慦挸摥摤㍣㙥〶㔶㝤攱㠶愲戲昱敡㥡㔷づ㍥戰㜵攱㝣㘸㠶搶㤱收戲㝡㈷㥢㥡捤㠳慤慣㐰摥㜷㑢㜳戳㡢㘶㘵捤ㅡ扢敡攸攲て㌶ㄵ扢㜳㝥㜵愹㜵改㤴㙦㍤㔵㉢摤㌴愲㌱〸戵㜵改㝢搳㉣㜵㤱ㅥ搷攰挴㑡㌵戰㍣ㄹ摥㤰㍢攷㤴㉥㕢晥扣㐵㤱㘸㤵㘵慡㌷戲㈸攲晡愱㔹てㄳ〵户㤶㍦㥣挴摡愷慥㠶㘰㘶慢㡣昱慥㕡㝥戸戱㘰㉥㔵慣㠳つ㔵昴㍢㔱㜰戸〱㍤㔵㉤慤〵ㄳ㔵㉦昴慢㤵挶㤲戱昲扡〹㐹㔳㍥㕢㉤㕢㥤㥤ㄹㄱち㄰戸ㅤㅤ㑡㘵敥㙥捤ぢ戲ㄱ㠹㉤㈶㈳摦搴㐸㜶挳攷㌱㍢捣愲㘲㤱㈶戳ㅦ搹愶㌳㡥㔷㘴㑣ち〷㈶收㐴晤挱㤷摥戹㑤户戵㥤㝢㙦㉢㘷戳〳搱散㑦慤㕢㕥㜸挶昴捡ㄵ换㑦搵㝥㡡㈳㌲晡〰㜲搷㈱㄰㕡慥ㅥ㔵㥤扡慡㌶㜲㔷㥣㜲戸㤲㕦戱㥣攵㤵㄰㌸㘸挸㐲㠱㑢扢㈹ㄹ㌷〰㘵散㈷ㄸ〰㈸ㄶ㌳昹〳慣㤴㉦㈲㘵㜲㤴㑥㈹扣摣㈰挸搹慥㠱㤷㝢散㈹愷ㄲ㕡㕡㈸昷搹搸ㄱ慤搵㘴晢㝡㐹愲扥㔹搲ち攳㠰㍤〱㉡㌵ㅤ㉦摣愸昳敤㈶㉥搱㐴戴㈷ぢ㜶㥤㉣愰㈸㘸㤴〷㈹扣〶愲㘹㤲〶改㤵ㄳ㐴㐴㌶㐸搱散攸戹㤱挸㔸㍦㐵㐶愰㝥㤲〸㔹晢㔸㙢ㄹ㐱㘲摦㑣愴㙣搴㤲ㅦ昷愴搹㔶戶扣㤶㘶㌷㘲攱㡣㠳〴㠷〸㙥㈲㌸っ愰晥ㅤㄲ㡥㔲づ昹挶㘴㝣〰捦挶捤〴ㅦ〴㠰㝣㌲㈸㜳㈲㔱㐵ㅢ㙡㈷㜶㈴敢昵挲㑥ㄶ愳㔸㡢㈲㕡挶㌵㍢戳搷㤵㡤㡥慣捥摤愱㙢㍢㐵挷㝥戴㌵㙤㈶愷㐳㡡㑣愹㥡㥣敢㌶㔵㤳ぢ挱慡㙤敡慤㕢搱搴ㄸ㈴昸㄰㐰搱昸㌰㈱㤴ぢつ摥㥤㔹昴㌴㈹摦ㄷ㘶㤱㌶㠶摡㔴昰ㄱ㈱昳〸㤰㈲攴㌶ㅤ㕦昶㙣㘸㥡㠳㐳昶晢摥㠶㍥摡㥡扦愳㑤㙦搲㥢㝢㝡㠷晥愲户㘹㐵摦〶昶㔲㍦㘸愹㘳㙥㐷戱昱㔱㠲㍢〰㥡㜴っ㑦摦㙦搷㔳㈰㘶戱㥢搸戹晤昴扡㠸㤵扢戰戱㙡㠹〶敡戱ㄷ㑣㝦搹ち攱挱㤸㥥㠴㉤㕣昵㝤慢㠲㐳㙤㔹㄰㍣扦ㅣ㙡㐴〶㔳㝥搵㈵㝥捦㐶づ摥ㄷ㡡愱戳㌳摢㤱㘹戲㤱㔳㙣捤㠴捦㈹㐱㌹搴挱昷戶ㄶㄲ㠹㐶㡤攴挵㜶改攷换㍤㐹搲㠶㈴戹ぢ换㙡摣つ〰㈹愱晥戹愵㐴㌹捡㙡㍦㈵搵ㅡ㉤㔶㝡昸㔲㑥㈷㑤㍥挴㑤㜲愴㕢㍢㙣挷攱㍦〸㝡摤㜹挷慤〹㡢㙥㜷捥昲㑢昰㉤㌸ㄵ慢愸摤戲ㄴ㌵㝢戲攲㝤㈲㉢㍡㍡㌶㥤愷㔳晣㙢㐲㈷㑤㔲㈲㤵摢㔳ぢ㔳捥攲㜵愲愲ㅢ㤲㐲㈵挵㌵㔴㤳㐰愴㍣搶摤ㄳ㌱㙤㠸㤸㝢戰㜰挶㌱㠲ㄱ㠲攳〰戹搷㈱㘹㜶扡昰っ㠷㜵慤搳愵扤戸㤸㈹㜰ㅢ挴㐵㜸慤愵戰㍡挱搷㝣㡣攰㝥㠰㈶昳㠷づ挸ㄴ㐲㤴㉤㑦㄰愲㠴㌱散㡢㡥㜵㠵㌴戰捦㐶㘰㘹㘲㉤〸慢㉥㈳㑢扤昶㘴昵㕣㌵㥣㜴㠲㔵㐴愲〶散㈸昳搸㡡攵㠱扡㝣搸㍥㑤戸敡敡慡㔵㌶散昹敡ㅡ㐴摢昴攴㙥㌸㤸㘳㌹㘰㑢捡搹㍣慢㤰摡㍢ㅦ愳ぢ㠵㤵ㄶ㝦㉢扤戱㍢昲㝥昳搰搷㔷㕦搱〵㈷慣㔸摤戶㘶㍡收ぢ㌶㔶ㄱ㤱㠳㜲㤷扤戰攲㕢搶㘴慦㝤摡㜷捡ㄵ挷戳戸ㄹ戰㌱ㄹ慣㥢戱㤶ㄱ㈵㤸慢㌲〶㔸昵㝡敤〵摦昴㠲㔵㤳〱挵㡤晤つ㑦ㄲㄶ挹搹攳㡥ㄷ攰㌵戲㡢捣昷搹昳㉢搵㉢㠸搸慥戹摥㘹㜳㌵搸ㄵ扢㐲愲搷㐹戶㐶㘵㔵㌶慢ち搹㐲扢晢挳〳㜹㈶㐳摥敢㈴㤰扤捡攴攸㌳㑦搱摥戴敢愳ㄸつ敤㜴㡥愹〷搱愳ㅡ戲㈳㔵ち㤳㔳㡤〷搹收攳〰て㥦扥㌰㕤㡦捣扤愳㤸㜵㡥㕥晥ㄴㄹ㉦㘴㔱ぢ㠴搰㐷户㑦㤳ち㜱愴ㅣ㜰㈰㜶㥣㑦捤攴㔷戴愵づ愹㙦㕦㍤㍢㠵㐸㔲㡦㍤㘳㉥㔹ㄵ挴愳㕤㌳摣愷ㅦ㘸挶扡㘶㈵㠸捡㈶慡慥㙢㤲戴㐸㤶昳㈵㤳ㄴ㍣戶ㄶ㔶捦㍡㥥㘱〳〸晤㐵㈸昳㉡㔰收㔵㐱昵搸攷ㄹㅡ㤴㍣晢慡㉥㥢扥ㄳ慥戸㑥愹挰〷㠶敦㜶〵㑤㠲挹㈹㜹攳ㄴ换㡣挱㈶㙢晥〲㑣戶㘰ㄸ摢㍤っ㌹捡愵攳昶㠳㜲戳㉡㡦晦㔴㥢㡥㈵〸ㄸ昱㤴ㅡて愱户㥣摣㡥㠰挸㤱㜴㍤扥㠳㜱晤ㄹ㘰戴㄰攲慥愷㤰〸扣㠲〹㈱㑦ㄷ㜷摥扥攰㌹㈱㜶㡦㍢㌶攵㠴㤳〱戶ㅣ〰㔹㌹摥ㅥ㤱㕤㑤㌴ㅡ慡㘹㠵㕢㌷ㄷ㌵愸㠹㕢㌶㤷㈷昵挶㐷戶㈸搶ㅡ㈵愱㐸戶慢㈴㥡㘵㡢㌱敥㈶㔵愳㐴㜱挷摡㐶愵戹㑤敢敢㑥㈹昲づㄴ㤳搰㑣挶昸㠴㄰ち〲扤㤱㡥愲捦㍥㥤㍣ㄲㄱㅢ摡〰㐵敡㈹㡤敢㡤㐲㠲搳戸㜶㔲戶㡡搱ㄳ昸㝢㕦㤴㥤㕤ぢㅢ㑡捣慢〳㔱挹㔸愵㌲敢挱㑡㈸㤹㝥㜹㤷戰㌴收愶㌵㡣㜰㘷扢摡㕦㉦㙦㠲ㄱ㈳㌶㘴㔸㈴挵てっ㌶〴㜳㈵㈲慡戴捥㝡戹搴㌵㜴㠱㑦㘷㉤搳㤳ㅤ㤸て换㤳搶扡㤸㘱㜵㑢㝥㐰ㅡ搴㑥㡢㈲㐷つ㝢㙣㈹㠰㑡て㈹挷愳㥣㌰戸㘱㥦愷㕢ち㤷ㄸ㈰㜶愳摣㕣㈹㐴㘸户搶〱㑦〶扢㘷㜷戰㈲㍡㜴㐲敢㡣ㄲ㌴㥦㐲戸㡤㤳㈰敦戴戹愳㄰愴戶愴晦ㅡ㔵摦㜸㥥改昷㐷㌳㜱㈶㘲㈲㠶扢㔲慣〷㙣㙥㌲㌲㐹㉥ㅡ㠸〳收㕡戲㠹搰敡㠹㜱㌴㌱㝡㘹昲昹㈱㙥昱㌰㤶搵㐷戶愹攰㥥㕢攸㐰㥢㔶㌶昶搹搳㕥愹戲㔶戶㐴ㄵ挷戲㕡㌴昲慥搸㉦戹〲愸戹㈹㘵㕤愲㐵㤹挶㔱㡡㔳收㈶戵㙦㜷ㅢ愳㘸㉥㐲づ㝤㘸搵挷〰㘴㡡㕢㑥〲㘲㥢敥㈹搰㍥摣㕦扦挰㈰㤷攷㈰搲㌶愱㈸换㘶㜰ㅦ慦ㄶ㐵ㄶ㙥㑢㔴㥢愹捥㔴㘹戳㈷㔰㘷ㅣ㡤摡ㄵ㝢㠴㜹㙡㠱㤷捦挳ㄸ㘹㤳㍢搸㐹收㝡ㄴ摤扤晥㡣㍣㘶慥㘳㉢㘴〷ㄴ㘳扣㍣〵㘵戰慡㘰㈴ㅡ摣搹扡搵慤ㄸ晤愵攵㙤㡣〱㈸㠶㠱㘹搰愲愶㌶㜰㈶㤰摦摥挰戹ㄵ戵㔲㈲愴挹㘰㉡㘳㤴〳㜰搸㘳搳挰㑤㍣㐸㉦㔴愱㠴挲〳㜲㌱㉣扥㥢㌸攴攲〸㔴昵て㌶㈱攷捣㄰搷㕦扣挳㑤攸戱㜲㤹收㉥晣㜳扢㘲㔷㜱㜵㐳㥢愳〷㥡㉥㘵挹㥣㘸摦摤搶㔴㄰㕤ㄶ㍣㍥㌹㝣挶っ㑢㉢昳攱㠶扥戸搵㉥㐹攴扥〳㝦挴㤶㙦愷捤摣改昱㈲敡㍡搷扥㜸搹慢㕥昱㘴㕣戹㠰户晥㐰㈱戸㐲搹挵㐱ㄶ摦挲㤵㘲晣㐵捡㘶㜲㝦㡡ㅥ㜷㌲㙣㜶㔰㜷㤰戰ㅦ㐹㐵㘳ち㝦ㄹ愴ㅥ挴摦ㄴ㕡㠱晤㕥扢㌹㐰㕡㌹搰㐴㉢㈲っ昶㠸挵㕢㝥搷㠸㐵㝤ㅢ㕢㑢㠲㈹昲ち㌹㤶ㅣ㈹㥢㔱摦挲〳㌷㕤㥥㡢挶㌴晥㜲晢㍥㠴扦㈹摢㈷〲㍤扡敡挱㡢㈱晦㝦㜶㉡收敡㉤搹敡㝦㠱愹搵慢搸っ搹㈶散㐹㝤㥢晥愴㜱㥢㘶昴㌶㈹㕥〹ㄱ㕥㍥ㅢ㘵昸㤰㘳愸昶㙤〵挵㌹慦扤挳攸㝢㝥昹昷晦昰㌰㍡㡢ㅤ㘶ㄲ㝢つ㘱户摢㤱慦㤹ぢㅤ㥢捣〵〶昲挵㕣㤸㘳ㅢ㐶昴戵戹㄰昹㐳捥〳戱扤戹挰㌸㕦㡡㔱㤸〸扢㈶㕣ㅣ㍣㡤ㅤ㜴改㉢㍢㠳㑢戸㔶㠰搸㍥ㄴ㔸㌰〱敦搴愱捤攸㌹搳㌷摤挳㠲㍦敤㕢㔰㙣晥〲㙥㜵㑢ㄳ戶㌸戲㘵㠹㌴摡挲㙦ㄱ㝢摣昷㝣㉢㍢扢换㡥㥤搲㐹扢昲㔵㐱攵摦㠱搷㐴昱っ㤱昹散㠱㙦㥥晥搷捦㝣㘱㤴㌷搷㈲㕡捤㌱㔴摣㑥昸㥥㜶〵〲扣㠹㑢㈳㌷昲㈳㥤戳昸㕣挹㔹慤㔸攳愶㉦ㄶ㔱㘰戸㜱㔶ㄳ㕥㠲㌰㌵昱敤〶㜳ㄳ㜷㈰戴戹㌹摣攴晡㤴㡦㥣挴㕤㌸㥣ㄸ戸昸昷攲㄰愲㙡愹捣摡戴㍣㜳㝦〸㜵昴㌶〷搲㘸㌱昲〴捡愴搴ㅦ挴晡㑥㈳㌲㤹ㄳ搰㘸晡㔸愹㜸〵㈰㤶㔲㠸㐵㤰㐲㤲㠷ㅡ㕥づ㄰㈹㜵〱㤹摣㍤〰㈹㔱戶收㜰㉦㝤〳㝢㐲挰慡㕤〰㙣昳㠳ㄶ慣㈲㜶㌱昶换户㝢扡愵㉢㈰㔶㑤っ摢㡡㑤㜳ㄱㄹ㌹挸㄰㌱ㄲ㘳ㅦ㐳㈶㑥戹攳挸敤搸㌵挵㤷昴扡㍡〸愷ㄹ㍢攷搲敦㔶㜴㑦㜹㙢戸〵〲㍤㤳ㄷ㠵攱敤㈷ㅡ㠷㔳㠹搷改慡㐵㡤㈲散搳搹㕡愳敥愸〸㍡换㍢㡣ㄳ㉡〲㠱晣㙡㠸攵㐳昵慥㙦㙣㉥愱㡥昳扡㌰㐱晥㘰㝦摤㤲挲搸㜸㉢㌹〶ㄲ㜶㐷戵ち晡慡昸攳㘸挲㐹㘷㤴㔱捦捡戳㘲扣㍡收慣㡥散㈶晤捦㐸戶㜰搶㈷搹㥡㈱敤〶晤晦㈹㈰戶搵晦敡㐱戶挵捦㜸㈲捡㠸㜱捡㔸捡戶攱ㅢ慥〸扣摣〸攴挸㈱搹㤰㉣挳摦㍡㌷㡦て㔹㜵戱㐸㜰昸挰㍡㥢慦㐹搴摡搲戶敤㙥㈹〰ㄹ㈷捡晤㌶㐴㔰换昶㡤㜲㉢㍥改收㝦ㄶつて㥣㜵㑡㝥㌵愸摡攱攰㍣〲挰㠳晣づ捤㠶捤㌳愶㕥㙥ㄶ㙡户㘱㈵㝡㥥㐴㥢㜳戳㄰搸攷慣昰摤㡡㑢㌲捡戰戳愸〶扦㐹敡㑦㠴㥡愸ㅤ㠲ㅢ散㐷搷捣ち㍥㘳㥤㠵摦㌳㈴㙡㔷㈸㍢敤㝤㙥扥慤挱愵挳㝤慤㐷攰ㅢ戲㉡挳〸㤴挹ㄴ㍥昵㘹慥㙢昳ㅡ㌴搶㡤收ㄶ戰㘶㝢晥户㘲敥㐵散改捥摥搲㐸㌲㝣㈷扦㑥㉥ㅡ㑢㠴㌸㕣㡦攲敦捥㥤戵散㙤〰㜴ㅥ㝤摣㑤愷搸㔰〵慥戴ㅤ㐴挲㑢㘸慡挶〸昰㌳捡㔱㠶て㡡ㅥ㍦戲愲晡㑤㑣㡢っ㠰㍣捥㠰〰慤愹晡㜹㔴搳ㅥ〴㔶㐶㈲㔵慢㈹㘴愴晦ㄵ㘴㐸㘴晣㈹㍡ㄲ〴敢㈴戱㍣户ち昶㔲〲摢捦挳㉢㌹摥戸っ搰摢愱㜸㔸㈱㕤ㄷ搵慦攳㡤㉦攲愷搷捦㈵づ㠷ㄷ㌹㤴㈰㙦㈴㜵㠱攲愱㐴㘶昴㌵㌴愸捤㘸ㄵ搸搶㌳晡㉡慡㙥㥥ㄱ捤〹ㄹ㘵戲晦晥㔸ㅤㄹ〱㕦ㅤㄲ慣ㄱ慣〳昴挷㌵晢㈸㘸㌹㤷扣づ㕣㝣㥢㝢㡤昴㑦搱摦㌷㐶㕦扦挶昴㥦愳㑡㐴㉢㡡ㅡ㘷㐱搱㉡戳昸㜲㜲ㄶㅢ挰戶㥥挵㤷戶㥡㐵晦ㄳ㘸㈳慢晡㔹㘴戰慡愴㍥㤹搵搳挸㜰㐱昹㔳愵ㄸㅢ捦〰捦㤹㝥㤲㡡戴晤㌹㘴㝡㍢晡戹戵昴昳ㄸ捦㄰㍣㑢昰㌹㠲捦ㄳ晣㍣挱ㄷ〸扥〸㔰散攷㡥㑢攵㉦ㄱ昷ぢ〴㕦㈶昸㐵㠲㕦㈲昸ち挱㉦〳ㄴ晢㐹〸㔲昹㔷㠸晢㔵㠲慦ㄲ晣ㅡ挱搷〸㥥㈳昸㍡㐰㌱㐷晡昸改搶㙡㤲㔶㜰晣㝤㉦㈲ㅥつㅦ昲㥥挲㠷戹ㅢ㔹戴敦挰扦㑢㤰ㄳ㥤摥㤹晤㜸㝢㝤挵㜶㌵㔵㜲慥㠲挵㝦〷晤㜰㐷敡㡥㔴昶㜸〴扦〲昸㡡搴㉥晢昵ㅢ挸挴晢㤵㈳昱愵㝣慥㈵㔶㉥慦戶㜲㑤昳摡扤㥥搷戶㑤挱㡤晣敡扢㐲挲㘳㑡晣晥戹愵㘲捥户㜹㘷㐳㕤㡡㤹攱捣㤹挸慢〹㌷㘷㡤ㄹ㜵戰㠴捣换㠵㔴㑥㕣昹㡦㕥慤㍢摢㔰㠰〴㡥搵㤵挹攴㔲㜹㈵慥㝣ㅣ摦搹㐹ㅤ昴慣搳ㅢ㜱㘵ち〳愹扣ㅣ㔷晥昱昱挳戵捡㌱敦敢㥥㜳㘴捣㤴ㄳ㡢㥣攱ㄲ摦摣昷愱㝡捥愶ㄵ搴㙤㙢㌴〹㔱㉥〳㔴挴づ敡挱昵ㅥㅦ㕦扤捦攰戶ㅡ㉥昵㐰㔵敡㝦晣㘲ㅡ户搸㈶捤搰挴㐷敤敢戸㍥攰ㅢ昲挴挶㜹㝢搶〷愲换㥥づ㜰㌲㉥敦㉡ㄲ㠱㔱搷愹搷㜷㥢㌰㑢捡〱愰扥ㅥ㜱搸㌳换㕢㐱敤㤹〰ㄲ㉡敢㔴㔶扣戳㤹㘷敢㌴㘳扣㠰捤㠱㙡〲㘴挶昸㉤㐰ㅤ㕡攳晤昳㑣㍦㘵慥〸搴ㄷ㔹昰ㄲ挱换〰㐵㐵〱㑢㍡挸扦〲搰ㄷ晦搳㈳㠳敢攲昵捡慡㑦挷㉦㑢㤲㤱昱㍢㙣昰扢〰ㅤ㜰挴慢㠸〸㡢挶敦〱㤳㜸愹愲戰愶挸㔴㡦愳ㄷ捡㈹㑡㤱愲㝡㌶㐶㍦ㄶ愱㜹㄰㈸慡捦挵攸㡢ㄱ晡愰愰㍦ㅦ愳㉦㐴攸㐳㠲愶搰㤷扥ㄷ㈲昴㥤㠲愶ㅡ㄰昴㝣㠴扥㑢搰㕦㡣搱攷㈳㌴㤵㕦㈱て㠰昴收㕢㡡㥡㐲㥡㍤ㅡ㤵敢㤱㔲㜷〸㝡㉥㐲敢㤱㔲㥢〸㝡㌶㐲敢㤱㔲扦〸晡㕣㠴搶㈳愵挶ㄱ昴搹〸慤㐷晡㤵ㄸ㍤ㄳ愱昵㐸愹㤵愴昶㈳ㄱ㥡㈳㉤㉡㙡㈷㐱㍦ㅣ愱昵〰愹慦〴㍤ㅤ愱昵〰愹挱〴つㄱ㈴ぢ慦〷㐸㥤㈶攸搳ㄱ㕡て㤰㕡㑥搰㔳ㄱ㕡て㤰㝡㑦搰愷㈲戴ㅥ攰搷㘳昴㘴㠴㤶〱昶㔳㐹〸㠱晤ㄹ㌲挶㥦ㄳ晣〵㐰㌱㐷挲摣㌱㠷㤰㝥摢戴㌵扦㡢愶㡡㘴捦㍥㡣搷愲っㅦㄴ㘹㕥㘶昲㠹㘸挸て〱㔱挸收搵㑢㜱挱挹愸攰愴ㄴ㈸昵㜲㕣昰㔰㔴㌰ち㠴昱搷〰㡡戴捦㌹ㄹ㝦挳㈷㤲扣扣昰㝢㔱㐶㕥挸㌵㤰ㄷ㍥搰昴㐲慥㡢ㄴ摣摦昴㐲慥㤵ㄴ㝣㉣昹挲㝦㘰愷摦㈵挰慦挱㑥敢㝦つㄸ㔹敦搷㤱改敤攸攳搸㘸㐲㘵慦慡搲㤳攵㈷㥦㝣戳慦㜳昰㐸攷攳㍦搳昳晣ㅢ㝦晦愳攷扥晦挴挹晦昸挹ぢ㉦㝣晦摦㥥扢昶㤳敦㉣㥤晣摥㉢慦晣搵挳㉦㕥晢搱㝥晢愵散慢㙦捥扣昴昴挸攵愷㥦戲㉦摣㝤晡改㑦㕥㝡㜴㘴敥㠶愱㡥㡥慥慥㍢〶晥昶愶㍢晢㥦㝤敡㕢敡戵㝦㌹攴㈹㤹㉥㕥搰㌸っ㑥㕢㠶昱㡦挸㘰ㄸㅣ昱㝢㍡っ㑥㔷ㄶ敡㔸戴㔰攳㐰搰㕣攱〰愴攰㥥挶㠲敥晦〱㥢散㝦晡</t>
  </si>
  <si>
    <t>EDC cost per MO (rounded)</t>
  </si>
  <si>
    <t>CM cost per MO (rounded)</t>
  </si>
  <si>
    <t>PED cost per MO (rounded)</t>
  </si>
  <si>
    <t>No change from base estimate / schedule.</t>
  </si>
  <si>
    <t>Remaining Construction (Awarded)</t>
  </si>
  <si>
    <t>Remaining Construction (Under Construction)</t>
  </si>
  <si>
    <t>Construction (Future Contract)</t>
  </si>
  <si>
    <t>Beginning Fiscal Year for Chart Above</t>
  </si>
  <si>
    <t>XXX</t>
  </si>
  <si>
    <t>In-Person, Virtual, Partial, Invited</t>
  </si>
  <si>
    <t>For Medium &amp; High Risk Items, the team needs to identify suggested risk reduction measures...Avoid, Escalate, Exploit, Transfer/Share, Mitigate/Enhance, or Accept.</t>
  </si>
  <si>
    <t>Example variation risk (such as quantity variation).</t>
  </si>
  <si>
    <t>Example event risk (may or may not happen).</t>
  </si>
  <si>
    <r>
      <t xml:space="preserve">Best practice is to state what the current design, estimate, and schedule assumptions are and challenge your team on the Low Variance (LV) and High Variance (HV) ranges.
</t>
    </r>
    <r>
      <rPr>
        <u/>
        <sz val="11"/>
        <rFont val="Calibri"/>
        <family val="2"/>
        <scheme val="minor"/>
      </rPr>
      <t>Example:</t>
    </r>
    <r>
      <rPr>
        <sz val="11"/>
        <rFont val="Calibri"/>
        <family val="2"/>
        <scheme val="minor"/>
      </rPr>
      <t xml:space="preserve">
The base estimate &amp; schedule assumes 1M CY of excavation for 12 MO.
LV:  Assume 750k CY of excavation for 9 MO.
HV:  Assume 1.5M CY of excavation for 18 MO.</t>
    </r>
  </si>
  <si>
    <t>Example Variation Risk of Relatively Known Quantities</t>
  </si>
  <si>
    <t>Example Variation Risk with Placeholder Costs</t>
  </si>
  <si>
    <t>Example variation risk on allowances for unknown scope.</t>
  </si>
  <si>
    <t>&lt;--- Top Number of items equate to…</t>
  </si>
  <si>
    <t>LV Quantity</t>
  </si>
  <si>
    <t>HV Quantity</t>
  </si>
  <si>
    <t>Assume 750k CY with 3 MO savings.</t>
  </si>
  <si>
    <t>Assume 50% more quantity (1.5M CY) with 6 MO additional time.</t>
  </si>
  <si>
    <r>
      <t xml:space="preserve">Best practice is to state what the current design, estimate, and schedule assumptions are and challenge your team on the Low Variance (LV) and High Variance (HV) ranges.
</t>
    </r>
    <r>
      <rPr>
        <u/>
        <sz val="11"/>
        <rFont val="Calibri"/>
        <family val="2"/>
        <scheme val="minor"/>
      </rPr>
      <t>Example:</t>
    </r>
    <r>
      <rPr>
        <sz val="11"/>
        <rFont val="Calibri"/>
        <family val="2"/>
        <scheme val="minor"/>
      </rPr>
      <t xml:space="preserve">
The base estimate &amp; schedule assumes $2M for electrical work but scope is unknown.  Work is not on critical path therefore there is no schedule risk.
LV:  Assume $1M based on low end costs of similar project recently completed.
HV:  Assume $3M based on low end costs of similar project recently completed.</t>
    </r>
  </si>
  <si>
    <t>CB_Block_7.0.0.0:7</t>
  </si>
  <si>
    <t>CB_Block_7.0.0.0:6</t>
  </si>
  <si>
    <t>CB_Block_7.0.0.0:9</t>
  </si>
  <si>
    <t>CB_Block_7.0.0.0:8</t>
  </si>
  <si>
    <t>Project Name</t>
  </si>
  <si>
    <t>Walla Walla, WA</t>
  </si>
  <si>
    <t>Brief description of project scope.</t>
  </si>
  <si>
    <t>Awarded Contract #1 (Still Under Construction but Nearly Complete)</t>
  </si>
  <si>
    <t>Awarded Contract #2 (Still Under Construction but Nearly Complete)</t>
  </si>
  <si>
    <t>Contract #3 - Scope of Work / Bid Items</t>
  </si>
  <si>
    <t>Fixed Dollar Risk Add</t>
  </si>
  <si>
    <t>Example Event Risk with Range of Costs</t>
  </si>
  <si>
    <t>Triangular (LV, ML, HV)</t>
  </si>
  <si>
    <t>Triangular (LV, ML, 85%)</t>
  </si>
  <si>
    <t>Triangular (15%, ML, 85%)</t>
  </si>
  <si>
    <t>㜸〱敤㝤㜷㥣ㄴ㐵ㄶ晦搶挲㌶摢㐳搸ㄱ㌱愷〵〱ㄱ㄰㈷〷ㄴ㘱㔹戲〸㐸㔴っ换㠴ㅥ㔹摤〰扢ぢ〲㝡㘶㍤挳㤹搰㔳㌱㡢㠸㤸㜳㌸㌳㐱ㄴっ愷摥愹㘷㌸㐵㡣㘷㌸ㄳ㉡收摦昷㕢摤搵搳㌳搳㌳散昹㤳捦捦㍦㝥换敥愳敢扤敦㝢晤敡扤慡敡敥敡慡㤹㌲㔱㔶㔶昶㉢㝥昸㍦㝦㍡昲㘰搷㈹ぢ㕢摢㡣挶㐱戵捤つつ㐶慡慤扥戹愹㜵㔰㑤㑢㑢㘲攱昸晡搶戶づ〰㘸㜵昵㤰户㔶搴戵搶㉦㌲㉡敢收ㅢ㉤慤〰㔵㤴㤵㔵㔶敡攵㤰敦㘴晤㜹㔵㐱愷㤶摥㤱〴愸㌲㕤㈳改㐴㔲㐹愲㤳㜸㐸㍡㤳㜴㈱改㑡搲㡤愴㡡挴㑢戲つ㐹㜷㤲㙤㐹㝡㤰㙣㐷戲㍤挹づ㈴㍢㤲昰晣晡捥㈴扢㠰㜴搹ㄵ㘴㙡敤昰㠹挹愳㔱㥢㈹㙤捤㉤挶挰敡改愶捦㐳晣晥㐱晥㐱愱戰㍦㌰挸㌷戰扡㜶㕥㐳摢扣ㄶ㘳㐸㤳㌱慦慤㈵搱㌰戰㝡搲扣㘴㐳㝤敡㐰㘳攱搴收㘳㡣愶㈱㐶搲ㄷ㑣㈶㐲㌱㝦㈸ㅣ捥挴攳戱㉥扢挱昲㠴摡攱㤳㕡㡣㑣敢敦㘵㜳㜷摡㥣㔸㍢㝣搰〴愳敤昷戲戹〷㙣挲攴㠸收挶㐴㝤搳敦㘴戴㠲㌹つ㡥㌰㔲昵㑣扥㘱戴搴㌷ㅤ㌵〸㙥攷〴ㅡ愵攸愰㔱㠸㜸㉡搱摡㔶㙢㌴㌴㑣㌶㌲捣㝢㤷㐶挶捣㘸㌱㥡㔲㐶㙢户挶㤱ぢ㔲㐶㠳㈵㙥慤㙣㥣㥥㘸㤹㤰㘸㌴㍡昲愰慡搱捣摢搸戴搱搴㔶摦戶戰㙢攳戴㔶㘳㜲愲改㈸㠳㤰㡡挶搱昳敡搳ㅤ㍢㡡㡥ㅤ换㍡散攵收㡣捣捤愰㔱㉤愹摡搹㠹㤶㌶㔹㘲搶晣㙥㔸㐷ぢ㤱㡥攷戸挵㔶㔴㥤愷挵㌴㑤愹㙦㍣搰㘸㘹㌲ㅡ㜸ㄲ㈶㙦㐰ㅥ㐸挶挴っ扤ㅤㅣ㔵ㅢ㈶㐶㜴戶晡ㅢ慢挲戳攸搵㈴㍤㐱戴㕥㈰摥㈱㌵搳㝡晢愳㝤㝢つ慥敥搵户㜷㑤㉣慡敦㐹㜹㙦㄰搱昱つ㜴㕥愷㍥㍢㔰㜹㕤愲扣㉥㔹㕥㤷㉡慦㑢㤷搷ㄹ攵㜵㤹昲扡愳捡敢㘶㤷搷搵㤷搷ㅤ㕤㕥㜷っ㌰敡愷戲㔳愷㜲敢攷愷敢て㕥搶㜹敤摣㤱㡦㡥㍥扤捦㔱㜷慤㑦ち昶㔷搹㜱晢攲㐰摦ぢ㐴敢〷㤲攷㑦㌴慣敦㑤㜹㝦㄰㈱㕥㠶㍦昴㘹搹攸㌵㡢づㄹ㝥㐸捤㤹晢摤㤶戹改攳づぢ〵晢扤㌴㌶㤰攰㝤㐰戴㐱㈰㜹挶㘲㌱㝤㕦捡㝤㈰㐲晣摤㌲㌶㘷㕥摦ぢ㤶晥晤㤲摡㍢㘶㙣慡㙦㝥攳捤㌱㠲攳㠷㌴ㄶ㈰㌸〸愲㠵㐰昲㡣㐵㠲㝡㤸昲〸㠸㄰敢㉣㘳㘷㝣㤹戹攱搶摢㘶㡦扥㘲攲慢挳摥摡㌰昷㐸挱昶㈸㡤挵〸㡥㠳㘸㠳㐱昲㡣㐵〳晡㝥㤴敦て㈲挴㙡换搸户㙦昴戸攴愴㍢摥ㅦ戳扣晥攴攷㌶㥥㌴㙤㤹攰㜸㈶㡤ㅤ㐰昰㔰㄰㙤ㄸ㐸㥥戱㔰㔰慦愱㝣㌸㠸㄰㡦㕡挶慡㜶昹昰㠰㡢挴㜳㌵㘷搵ㅥ戰愸㘲戳㙦戱攰戸㈸㡤㡤㈰㜸㈴㠸㌶ち㈴捦㔸㈴愲㡦愶㝣っ㠸㄰て㔸挶㤶㘵㝥㌵愶㉦㤹㔰戳愲改戶捦㔶摥昱昹㌵㠲攳慢㌴㌶㡥攰〳㐱戴昱㈰㜹挶愲㈱晤㈰捡㈷㠰〸㜱㤷㘵㙣改㡣改㝢㜶㍡㜲搴戸㐷慥㝤敤晣扦㙦㥣㜶㠲㘰㌳㤳挶㈶ㄱ㝣㌰㠸㌶ㄹ㈴捦㔸㉣愲㑦愱㝣㉡㠸㄰户㔸挶㑥㤸扡敦ㅥ㍤㜶晢㘰攲摤愳晣ㄷ㝦戸戱昱ㄳ挱昱㕥ㅡ㥢㑥昰っ㄰敤㄰㤰㍣㘳搱愸㝥㈸攵㌳㐱㠴戸挱㌲昶搲昲ぢ敦慡摦昴捡㠸愵愷㍤㜶晦㥣㍥㈳敦ㄴ扣㙥㐸㘳㠷ㄳ㝣〴㠸㜶㈴㐸扥戱㠸㕥㐷昹㉣㄰㈱慥戱㡣㝤㝦㔴慡㐳昵㐷㡢㐶摦㜱㘷㥦敤㤶摦晦㔲㘷挱敢㡦㌴㤶㈴㌸〵愲愵㐱昲㡣㠵㠳扡㐱㜹〶㐴㠸㈵㤶戱㡢㜶晦攰㠷搱〳㝦ㅤ㜱摡㘷㕦㍤ㅤ㝤攰戴ㄹ㠲搷㌱㘹㙣㌶挱昵㈰摡搱㈰㜹挶㘲〱㥤晤㔳㙦〰ㄱ攲㈲换搸戸摡摢㤶扦戸昰慢㥡慢㜷扤㌲昳㡢昷扤㘳〵慦㠷搲㔸ㄳ挱捤㈰摡ㅣ㤰㝣㘳㝥㝤㉥攵㉤㈰㐲㥣㙢ㄹ㝢攴攴愶愵㥤㙦〹㑣㕣㕣搹攷昲扢㥦㕢㝦㝢〵慦慢㘱户㔱㉢㝦㐰慣㘹㙤㥤搷㌸㠷㜷〴搶㘰捤收慥㌷㡥㘸㙤㥢㤴㘸㘹㙣晤㝤㐷㜵㡣改㕢ㅡ搶㙢㕡ㅢ户晥戰㡥㤳晣㉥挳扡搶㠶㘰敤㌹戵愵ㅥㄷ慦㜹つ㠹㤶㠱〷搵㌷つ搹㈷㌸㜰㝣晤㌱㐶㐳扤搱摡㌶挴㌷昰愰挴㠲㈱ㄱ㝤ㅥ愳㍡ㅦ㐴㍢ㄶ㘴㤷㈱㌵愳ㅣ攳扦㍦搶户㔷昵㍥扣ㄴ搴晡㘳晡〲㐲ㄷ㠲〸㜱㠶㤵摥愶搷㜷㍤敦搴搷㉥㥥戸攲戰敤㠷敤㍡昷摤ぢ〴敦㤸㘴㕢㌹㡥攰攳㐱戴㍦㠱攴户㤵㤰㝥〲攵㈷㠲〸㜱㤲㘵㙣昷晥㙢ㅥ㤸㌵攷敤昱㜷戵㍣㜸昹晡㙢〶㥤㉤㜸攷㈵㡤㥤㑣昰㈹㈰摡愹㈰昹挶挲晡㘹㤴㥦づ㈲挴㈲换搸摥㔷㕣摦摣㜷捣㈵愳敥ㅦ搲扤昶㤳㘳慦晤㕣昰づ㡥㡤㑦晢㌳挸㉥搳㥡敡㌳捤㉤㡤㌲㉥㠱㐱昱㜸摣っ挷㈰㥦捦慦㥦〹㠰㝥ㄶ愱㘷ㄳ㥡ㅢ㤲㠰捦づ㐹挰愷㥦㐳攸㕦㐰㠴㘸戵㑥慣㡦敤㌷昱搰㔳㥢㠷摦㝢昳攴敤摦㕦㜴散㘳㠲㜷㡤戲ㄶ攷ㄱ㝣㍥㠸㜶〱㐸㕥㉤㄰摦ぢ㈹㕦っ㈲㐴愳㘵慣晢晡ㄹ敦捤敤㤸慥㔹昲昱㌷㥦㔵慤慢㙢㄰扣晢㤴戵戸ㄸ〷㔵㈳づ㌵㕡㈷㌴て㥣搴搲㥣ㅣ攲ㅢㄴ搶晦㑡ぢ㤷㠰㘸㤷㠲散㍣㘴愶㈳㤷戹㡥㕦㐶攴ㄲ㄰㈱㌲搶戹搶㉥㥦晤改㝤扤㕡㐷㉥㍢㜷晤扡㌵㔳挶慤ㄵ扣挹㤵㡥㕦㐱昰㤵㈰摡㔵㈰㜹㡥㐷㝤晡搵㤴㕦〳㈲挴㉣换搸㝥晢敥㍤㍥晤晥㡦ㄳㅦ㍤㘳攱㤱晢摣搷敦㜳戱㈳挴搲搸㜵〴㉦〵搱慥〷挹㌳ㄶぢ敡换㈸扦〱㐴㠸㤹㤶戱昹㜳〶㕦昱攵㠳㉦㑥㔸晣愷戱㙤㑢ㄳ扢㌶㠸㥤㈰㤶挶㙥㈴㜸〵㠸㜶ㄳ㐸扥㌱㥦㝥㌳攵户㠰〸㌱搵㌲㌶㙡摣㌱㌷慥挸㐴て㍣昳晣㑤㑦昶㕦扢昳㠱㠲㌷敦搲搸㙤〴摦づ愲摤〱㤲㘷㉣ㅣ搲敦愴晣㉥㄰㈱㈶㔸挶㍥㡢㕥戵㝥捦㙤㝡㡤扢戶摦摢㍢㤵㥦昶昲㥤㠲て〱㌲㍦昷攰挰㤷摦〱㘳〱ㅦ㝦ち扡愱㍦ㄲ㤲〲晤㕥㥥攲㍥㄰敤㝥㄰㌴扤ㄱ㡥っ收昶挶〷〸㝤㄰㐴㠸搱㤶㌷㤷つ昰挴㔷㥣㌹㜳挴慤攵㉤㕦㍣戶㝦挷㙦扢㍣〴昱挱搶ㅤ摦㠸㤶挴戱戸㙤捥摥㤱攳㌱㠴晦戶晣㈸㠲㈷㤱㑣㌸ㄳ捤昸晤改戰㉦ㄱ㑣㔴㔴挳㙣㝢㙦㠰搹敤扡㘴㘶搴㌷愵㥢㡦㤵㜷挴㕤㌲愳敡ㅢ摡㡣ㄶ㔹愸捡攰㍦昳慥㕥㤶扢㘶㐶㉥挰攳㔰捡扣㜹敥㤱愹㌵㕡摡昰ㄸ搱戶㌰㍢昴敥㍡㍣搱㙡㘴㡢〳㉣摢挳㥢攷㌵愵㕢㜷㜱ㄷ㑥㘹㑢戴ㄹ㍢攷换戲㐶ち搴愶攰ㄱ挳㘸㤵㉥敤㥥慦㌶㍤搱㌰捦愸㔹㔰㙦㡡㜷换ㄳ攳㘱愳㌹㔹㕣㍡慡挵㤸㙢㑢ぢ㍣慡挱ㄳ昰㝣㘹扢愰㤶愶挸昴慢扡㜶㜶㜳慢搱㈴摤ㅢ搰㌸愹㍥㜵㡣搱㌲挵攰昳戳㤱㤶㔵摤㡥㈲敢㠹㘷挰挴㈶㔴ㄴ捦㌰改㕥㑥㉥〳㙤㌴愵㡤㌴晣㥤㠳㈸㉦㥣㥡㐸㌶ㄸ摢攷㐰捣㜳㐲戰㔳づ㝢㔴㜳㙡㕥㙢㙤㜳㔳㕢㑢㜳㐳慥愴㈶㍤㍦㠱愷慣昴㐱捤㘹愳愳晣㈹㌳愹㈸敢搰㐱㠸戲㝥㙥ㄷ㝥摡㙥攵〳㡤愳㤱昰戱愹㌴搸搱㠸〸㜶㝤㄰戲㉤攳挰搱挸㠸摦扢愴㈷捥㐶㐸戴慦㈴摡愵㤱㔲㘹挷摣㡥㌷㘸㌲昲㠳㍣㌴ㄸ散㤵攵扤㡢㥢捣戶换㉤㜸敡挸ち愷㑢㠸㉥ㄱ㌴㘹搶㙥㝢㕢ㄷ㕣㕥扥慤㔵晢㤱昳昱㉣㍤㈶搱㤴㙥㌰㕡㑡㑥昶〸㝡愴㍦㑣昲〸挹愳㈴㡦㤱㍣づ㔲㌱っ㘳㕣搱㠸㜶〴㐲㉣㄰ぢ㉢㡥慤㑦户捤搶㘶ㅢ昵㐷捤㙥〳て㤳㐴㤵㤵っ㜷挱㡦扥ㄲ㉣㝤ㄵ挹㙡㄰㡦愷㑣㕢㐳㤰收搱㥦攴㝦㙢㐱扡搴捣㙢㙢慥戶摡㠲㐷㔴昴〴敦㝦㝦㤶㉦㠷㤶㉥愷づ㌰户搳㕡搱㠸ㄹ㡡搶づㅤ摣㐲㌱㈶搱㍡扢㡤扤戰戴㤰昶㥥㈲㜹ㅡ愴换㍡㤰〹㘳㡣〶昴攱摦㙢㕡愸㘲㑦搸摣攲昴〳敦昴戶㙦㥣戲戰㈹㌵扢愵戹〹㤳㜳㈳ㄲ㙤㠹㥡ㄴ收㔸㕡㐵㐲㙢ㅣ摦㕣㍢慦㑤㙢ㅣ㔳㡦晦扡㌴㑥㌶收ㄸ㠹戶㕡㡣搱㙤㕤ㅢ挷㘳㝥㐶づ愲㘳搳ぢ㉡ㅡ捤愹㤵ㄱ㐶㙢㑡攷ㅣ捣㔸㡣㐹ぢ㌴ㅣ㘱㤰敤搲挸㔱挶㔸搰㐶搳㥤ㅡ㜱摦㡦戶愴〳㌴㐰㙡㤹㐷搴散㉡㜹㑡摢㘳㤵㘰挱㉢てㅤ㔶㍡㑢㠶㘹愹㡣捤〶㤷㑦㕣晥㍢㕡㌴扦晢㑣㙢慢㙦㘸ㅤ㘴㠵㜷搰㠸㘶捣搱ㄹ㜲㝡㤲㘱搷㌴戴㉥慤㘴戲昲㝢㌹㈷㜱㈶愶㤲愶㔹戸㌲扡愵㜹摥ㅣ摥昱晦㕥㜶㘸慢㑣㕦て㜲捤㤷㌷敦搷攷慡㍢㝥戵晥㍦ㄱ晤㐷晥攸扤㠸㘰㘳㘷ㄱ晦挹ㅦ晤㌹晣攷㈹㈵慢攸つ㠴敢㌰㕢㘴扥愹〲昸㉥㡤愸敤搴ㄶ㐳㑥愰㔵捡挲挲㌹㐶搷挶ㄹ捤㉤挷㈴㥢㥢㡦㘱昲扢挹㔲敢㙣挳㘸攳慣㔴㘷㙢ㄲ㡥挷㐲㠸づㅤ㜲愶㥣ㅣ搳㔷㝢挰扥昶㈲㐸搷㥡㠶㠶㙡㘵戱㔵㝢〹慣づ戸㥣㘸晦挰㐱ㅦㅦ㙥㜳晣晢散戳㑦敤㤴挹㌵搵㔳㡤挶㌹つ戸ㄵ愸ㅥ㜵㘸㈰㔸㍤㘲㜲捤愸愹㠳ㄶ㌴戴㉥㄰〳ㄱち㑥㈵慤慡㔸戸㌴㜶㐶搹戰扦扤晦㘸昷㑥敢㥥ぢ㡡〱㤶愰㘰挲慡㉦㡣㔷攳㑦㝦㠵攴㔵㤲㝦㤱扣㐶昲㍡㠸攸〳㔵㡥㕡㌸捥晤搱摦㐴㔹晦㌷挹㕢㈰ㄸ㝢㘴㍡㌰昴㙣㈰㡦㐳㡦㐷㠸扤昰ㅦ㐷ㅣ㝤㈳挹扢㈰㘲㙦㄰昶捤㌲晤㍤㤰愲〹敥㐷㐴㐱㠲㍦〴搷愳㤷㤰㠹晥㐰㌰挹㍡㠳慡㌳㡣㍡㐳㈸扡㕢㌱㈸〸捥㌶㤶愰㘰〲㙥㈰搴慡愹晦〵挹㤷㈴㕦㤱㝣㑤戲〹㐴㜴㉥ㅡ㥣㙦㠹昹㡥㘴㌳㠸㈳㌸㍦㤰㘷〵㘷ㅦㅣ换攰晣㐴收捦㈰㘲㕦㄰㌳㌸扦攰愸㘸㜰〶㔱愱㈰㌸散晥ㅥ扤㠴㑣昸愰攷ㄶ㥣捤扦ㄴ㘹㌹摦㔹㠲㠲〹挵〰㉣㔵搳ぢて㑥慡㜷㈶改㐲搲㤵愴ㅢ㠸昸ㄲ慡敥㉤挷㑢捣㌶㈴摤㐱ㅣ挱改㠱愲戶ㅤ㐸摥㐵㑢〴㜱愶㥥㍣摢昶㄰敡㍢㠰㠸㌰㡡㘶愴㜶㐴戱㘸愴㐲搴㉡㠸搴㉥㔰昱攸㈵㘴㈲〲㍤户㐸扤㔵㉣㔲晦戶〴〵戳愵㌱㔸慡愶ㄷ扤㜱㔲扤て㐹㕦㤲扤㐸晡㠱㠸㔷㡢㐶慡㍦㌱〳㐸〶㠲㌸㈲㌵㠸㍣慢ㄹ挵㘱扣㈷㑦攰㈳搳て㈲昶㐳搱っ㑥〰挵愲挱ㄹ㑣慤㠲攰㠴愱攲搱㑢挸挴晥搰㜳ぢ捥㥡㘲挱㔹㙤〹ち㘶㝦て㠰愵㙡㝡㜱〰㑥慡て㈵ㄹ㐶㔲㐳㌲ㅣ㐴㍣㕡㌴㌸㈳㠸ㄹ㐹㌲ち挴ㄱ㥣㌱攴戱ㄹ㘱〰ㅡち攳㍤㜹㠲㜱㘴ㅥ〸㈲㙡㔰㌴㠳㌳ㅥ挵愲挱ㄹ㐶慤㠲攰㑣㠴㡡㐷㉦㈱ㄳ挳愱攷ㄶ㥣㥢㡢〵攷㈶㑢㔰㌰㥢㍤〲㤶慡昱愷ㅦ㠲㤳敡㠷㤲捣㈴㌹㡣攴㜰㄰㜱㝤搱攰ㅣ㐹㑣ㅤ挹㉣㄰㐷㜰㤲攴㔹挱ㄹ〹攳㍤㜹㠲㌴㤹〶㠸ㄸ㡤愲ㄹ㥣っ㡡㐵㠳㌳㡡㕡〵挱愹㠷㡡㐷㉦㈱ㄳ㘳愰攷ㄶ㥣ぢ㡡〵攷㝣㑢㔰㌰㍢㍦づ㤶慡改㐵ぢ㑥慡户㤲戴㤱捣㈳㤹て㈲捥㉡ㅡ㥣〵挴㉣㈴㔹〴攲〸捥昱攴㔹摤敡㐰ㄸ敦挹ㄳ㥣㐰收㠹㈰攲㈰ㄴ捤攰㥣㠴㘲搱攰㡣愷㔶㐱㜰㑥㠵㡡㐷㉦㈱ㄳㄳ愰攷ㄶ㥣昹挵㠲㌳捦ㄲㄴ扣㙤㤸〴㑢搵昴攲㉦㌸愹㝥㉥挹㜹㈴攷㤳㕣〰㈲㥡㡢〶㘷㌱㌱ㄷ㤱㕣っ攲〸捥㈵攴㔹挱㌹ㄸ挶㝢昲〴㤷㤱戹〴㐴㑣㐱搱っ捥攵㈸ㄶつ捥㘴㙡ㄵ〴攷㉡愸㜸昴ㄲ㌲㌱ㄵ㝡㙥挱㌹扣㔸㜰づ戳〴〵㙦㑦愶挳㔲㌵扤㔸㡥㤳敡㌷㤲慣㈰戹㠹攴㘶㄰㌱慤㘸㜰㙥㈵收㌶㤲摢㐱ㅣ挱戹㤳㍣㉢㌸㌳㘰扣㈷㑦㜰㌷㤹昷㠰㠸㐳㔱㌴㠳㜳㉦㡡㐵㠳㜳〸戵ち㠲昳〰㔴㍣㝡〹㤹㤸〹㍤户攰っ㉦ㄶ㥣ㅡ㑢㔰昰㌶攸㜰㔸慡愶ㄷ㑦攰愴晡㑡㤲㔵㈴慢㐹搶㠰㠸晤㡡〶㘷㉤㌱㑦㤱㍣つ攲〸捥㝡昲慣攰ㅣ〱攳㍤㜹㠲㘷挹㝣づ㐴搴愱㘸〶攷㜹ㄴ㡢〶攷㐸㙡ㄵ〴攷㐵愸㜸昴ㄲ㌲㌱ぢ㝡㙥挱改㔷㉣㌸㝢㔹㠲㠲户㕢㐹㔸慡挶㥦晥㍡㑥慡扦㐱昲㈶挹扦㐹摥〲ㄱ㍤㡢〶㘷〳㌱敦㤰㙣〴㜱〴攷㍤昲慣〱㌹〵攳㍤㜹㠲て挸晣㄰㐴ㄸ㈸㥡挱昹〸挵愲挱㐹㔳慢㈰㌸㥦㐰挵愳㤷㤰㠹っ昴摣㠲搳慤㔸㜰扡㕡㠲㠲户㜵戳㘱愹㥡㕥㙣挲㐹昵㙦㐸扥㈵昹㡥㘴㌳㠸攸㔴㌴㌸㍦㄰昳㈳挹㑦㈰㡥攰晣㐲㥥搵㜲敡㘱扣㈷㑦㔰㔶づ㈲㐰挴㌱㈸㥡挱㈹㐷戱㘸㜰㡥愶㔶㐱㜰㉡愰攲搱㑢挸㐴〳昴摣㠲戳改攷㈲户换㕦㕢㠲㠲户㡦㑤戰㔴㑤㉦扡搱昷㉡ㄲ慥昵搱户㈱改づ㈲㍥㠳慡晢敤㜲て㘲戶㈳搹ㅥ挴ㄱ㥣ㅤ挹戳㠲挳ㄷ㥡㌲㌸㍢㤳戹ぢ㠸㤸ぢ㤶ㄹ㥣㕤㔱㉣ㅡ㥣㌹㜴慢㈰㌸㝢㐰挵愳㤷㤰㠹ㄶ攸戹〵攷昵㘲挱㜹捤ㄲㄴ扣㑤㥤〷㑢㈵㘶攲㜳摥㔹㝡㠱捤㤹㠹㉦㤸㘳㌶㈷㘰晦晦㑣晡ㅦ㙥㈶㍤㜷ㄶ扤晦ㄶ愶㡥昳收搱㡢捥㥡㍥㠴〶昱晦攷愱昳ㄷㅤ㥡昳搰晤㌸っ扣㕡㜴㘰改て戱㍥㠰㘴㈰㝢㝢㜶〶㘷㤰㔹ㄴ昳ㄱ㕢㌹愸散㑢㤰て愴㘲〱㔸愵㘷㔵搱㕤慢〰敡挸㐵づ㕤ㅢ㐷ㄸ㤹〴ㄶ〹捡㤹㔰㤱昸㝦㌹㔱摡ㄱ㙢㌵㐵㜶㤶戴㜴㈵攰晢敥愸㠴㤶晦㠶㈵㜷晤ㅡ㔶搵愵㐷ㅢ㑤㔳㌱ㅢ搸㑡昸敦㌵晦昹㝢搹愱㑦扡ㅦ㘹㔳㍦ㄵ捦愳㌱戴扦㑥〸㔷㔹愷昹㥣挴慥慢㉢慢愴㌵㜲昴㘳㐹ち慥ㄸ㘱㌶㥡㔲㌲戱㄰㝡昶ㄵ㐳ㅢっ㝣〷㌴ㄶ㜳㝡㙥㑤戱慢挶㙡㑢㔰戰㐸攳㌸㔸慢愶㈷〷挰㤰㍥㤴㘴ㄸ㐹つ挹㜰㄰昱㘸搱㤶㍦㠲㤸㤱㈴愳㐰ㅣ㉤㝦っ㜹搶㈵昵㜸ㄸ敦挹ㄳ㡣㈳昳㐰㄰㜱〲㡡收㈵㜵㍣㡡㐵㉦愹㝦愲㔶㐱㠰㈶㐲挵愳㤷㤰㠹ㄳ愱㘷〷挸㌱㜷㜹㜳戱攰摣㘴〹ちㄶ㥤㥣っ㑢搵昴攲㄰晡㝥㈸挹㑣㤲挳㐸づ〷ㄱ搷ㄷつ捥㤱挴搴㤱捣〲㜱〴㈷㐹㥥ㄵ㥣㔳㘰㕣〶㈷㑤愶〱㈲㑥〳换っ㑥〶挵愲挱㌹㤵㙥ㄵ〴愷ㅥ㉡ㅥ扤㠴㑣㥣づ㍤户攰㕣㔰㉣㌸攷㕢㠲㠲㐵㌴㘷挲ㄲ敦㌹昴ㄶ扡㝤㙥搱㐰戴㐱慣捦㈳㤹㑦敦戲攳攳〲戳㈸捥㠲ㄱㄹ㠴㠵〴㉤〲ㄱ攷㠰挵㌱㔲㍦づ㈵昵㈳㑥挳㌹搸昵〴㈵㘷㤳ㄴ〴攰㐴摡㉣㈵ㄳ㝦㠱㕥㌶〰散㍥㘶搷㔹㘴搵戳㘰㘶㝢愱㈵㈸㔸捣㜳ㅥ㉣㔵搳㡢㌳㘹攴㉣㤲戳㐹捥㈱昹ぢ㠸㘸㠵㉡敦㐶㑦〲㡡㝦摤㍢㈲㘴㄰㘰ㅥ㠱㤸昳㐹㉥〰㜱〴㘵㌱㜹搶㜳捣昹㐰捡挰㕣㑣收㕦㐱挴㠵㘰㤹慤攳ㄲㄴ㡢戶㡥ぢ㜸㡥㠲攰㉣㠱㡡㐷㉦㈱ㄳ㡢愱㤷つ捥㑢戴㈲愷晤㘷ㄵぢ㑥㥤㈵㈸㔸㥣昴㔷攸捡搶戱㤴㙥ㅦ㘱〵〲捣摣ㅦ㝤ㄹ挴晡つ㈴换改㕤戶㜵慣㌰㡢攲ㄲ㈸挸㈰摣㐴搰捤㈰攲㌲戰㘴敢戸〵㈵昵㈳愶攲ㅣ㜶敢戸ㄴ散挲〰摣㐱㥢㝡〹㤹㔸〲扤㙣〰戲慤㘳㕣戱〰㡣戵〴〵㉢愶慥㠰愵㙡㝡昱㈰晤晥ㅢ挹㐳㈴て㤳㍣〲㈲㙡㡢〶攵㌱㘲ㅥ㈷㜹〲挴ㄱ㤴㔵攴㔹㘳挷㤵㌰㉥〳戳㠶捣㈷㐱挴搵㘰㤹慤㘳㉤㡡㐵㕢挷㔵㜴慢愰㜵慣㠳㡡㐷㉦㈱ㄳ搷㐰㉦ㅢ㥣㙣敢昰ㄵぢ捥扥㤶愰㘰〵搸㜵戰㔴㑤㉦㕥愲敦晦㈰昹㈷挹换㈴慦㠰㠸扤㡢〶攷㕦挴扣㐶昲㍡㠸㈳㌸㙦㤲㘷〵㘷㈹㡣换攰扣㐵收摢㈰㘲ㄹ㔸㘶㜰㌶愰㔸㌴㌸搷搳慤㠲攰扣ぢㄵ㡦㕥㐲㈶㙥㠰㥥㕢㜰戶㉦ㄶ㥣敤㉣㐱挱㡡戶ㅢ㘱愹㥡㕥㝣㑡摦㍦㈳昹㉦挹攷㈴㕦㠰㠸慡愲挱昹㡡㤸慦㐹㌶㠱㌸㠲昳㉤㜹㔶㜰㔶挰戸っ捥㘶㌲扦〷ㄱ㌷㠳㘵〶攷〷ㄴ㡢〶攷㈶扡㔵㄰㥣㥦愱攲搱㑢挸挴㉤搰㜳ぢ捥㑦㍦ㄵ㤹〲昸搱ㄲㄴ慣搰攳挲扣㙡㝡愱㜵〰改㐴㔲㐹挲慤㍥扡〷㐴㝣〳㔵昷㈹㠰㉥挴㜴㈵改〶攲〸㡥㤷㍣㙢搰扤ㅤ挶㘵㜰扡㤳戹㉤㠸戸ㄳ慣㍤昱㠷慤㍦㈸ㄶつ捥ㅤ㐴ㄴ〴㘷〷愸㜸昴ㄲ㌲㜱ㄷ昴摣㠲戳戱㔸㜰摥戱〴〵㉢づ敦㠵㈵㌹攸㔶搳敤户㡢〶愲ㄷ挴晡㥥㈴扤改㕤㜶搰敤㙢ㄶ挵㝤㌰㈴㠳戰ㄷ㐱晤㐰挴〳㘰挹㐱㜷㙦㤴搴㡦㜸〵攷戰〷摤晢挱㉥っ挰㍥戴愹㤷㤰㠹〷愱㤷つ㐰㜶搰㝤戶㔸〰㥥戱〴昹㡢ㅣ㉢ㅥ㠶愵晣㜵ㅢ㜲ㅦ㡣扤晣换昱㐰摣つ㘰㉤㠳搵扦㙤慤㥤㌳㕣摦㌳慡扥つ㑦㉣㕤㌲㈰㌸㤴㉡㍢换㤵㔲づ愵〱㤹改昵挶戱㝣㔶搹愳㔰㠴㉤㐲戵昳㕡摢㥡攵㤲㤴摤ぢ攵㈳㥡㈷㌴户㡤愸㙦挵挲㠳㠵扤㕤挴愶㘴挶㙣愳〹㑢昷㕡戰㠲㙦㑢愰收㌹㜳㡣戴㡢㡦㔳㥡攷戵愴㡣戱㈳晥〸㡢晦㠴戹戶愶っ换㌷㠴挰㔲㠸攲㌳ㄶ㡥戸敦㠶摣㤴㘳挹㠷昸㡤㙢挷搸つ换昴㈸㥢㉡捥㠹㈶慥挷搸っ㍤㘵ㄵ㡦㠰㔵扡㠹㌸㤶ㄳ㜶〶搸㤳㐱㕡㑤㕥㔷㙢扤敡搸愶搶晡戴攱戱㑡㔸㑦摦捤㍡㥣㌸慦㉤㐷㤲㔸戰慤㈵挱扡㤴㠹㑤㐸㝤㉡搱㤲晥㈳㘴〵ㄵ挳㡦㤹ㄲ愱攱摦㙦ぢ戴㘹愶慣散ぢ㜹㔳㡥搲ㄷ㈷愲戳挷慤㔸㍦ち㠶敢㌲㈱扢㍢攲挰戱ㅡ㤳㌳ㅥ㕤ㄹ㙥㥢㕤挹搲㐱㐶愲㐹㘶㘱㑡㕢㝡㠴㌱扦㥢㐴ㄸ㘸攰搸㤹搷㘰㙣㥢㕢㤴㜳㈴㝡愶㈶搹摡摣㌰慦捤攸㘶ㅦ挹㡥慥㘷㈶ㅢ㔸昵㠳㤵戵㕤散愳㐹愹㌶慣㍤戶敤㜱搵散ㅦ㈷㐳㠸㐸㐷㉢㑢㐲收㐹㉢搱㜸㜳㉢挱㍥昴ㅢ戳㉡捡捡㌲昲攷扦㐳挵攵㑢昸㜳搳搰㌲㜵攰攱㑦㔹挵㘳㌰㥦㍦〹㤲㍢搶㍡㤷捥戲㈷㙤慢㔶㜴㥢㈳㥣ㅣ扣扡㈸ㅥ㔷慤㜶捤挸㜱て㑢搳戹捦愷㡡㕤愷〱㍢㘶摢敡㔳㠹㠶㠶㠵摤㌲㘳㥢㔲つ昳搲挶昸㐴搲㘸㔰㘳㌶㜶㙥晣㐱昲搵ㄱ㔱戳㝡㔴㠹戸㔸㐱ㄹ㡢㥤捣㙡愱敥㙦ㅥ收㠴㍥ㄸ㍤㑤摢て愴㘲㐸捤昴㔸ㄴづ㜸昴晤慤摥昷㌸㑡晦昳㙡㘵て㤴扡㘷搷摡换ㅤ慦ㄸ攰ち㔸ㅣ搹戸㜸搳㕥昰㉣晢㥤〳㌶扥㜹㝣㌳ㄶ愳愷ㅤ慣㌱昵㈶敢て搳扢㘴挷搲㌴敤户㕥㘶㄰㉢晣㝣昱慢昵㍦㈷㥥昰昳挵㔰㕥㘹搸㐵㔶愲㤴扦散搳搱㐵攴ㅤ㠰ㅣち昹㍥愶㡡攳㤸㜹晢㌰戵扥慤挱攸㥣㤱㜲㜹㕣挹㡥挱㘸㜶捡㑣㥤㡤㈵㤴㈳扡㘶㐶户搴愷ㅢ敡㥢っ摥㡡㘰㜳〴㜷ㄹ㡦㌷㡥挲㌲晥㐹捤慤昵摣㉡搷㌵㌳戵㈵搱搴㍡㠷㉢㘵㔳ぢ扢攷㤴㘴戲㉡㌲挳敢㥢搰㡤捣㜳昲戸㉡㌳㘵㜶昳戱搸㝦㍦慦戱㘹㜴㘲㑥敢ㅦ㈲㔱散㔵收㡦㌹づ㤶㡢昲㜲㔱㔹㕥昹㕢慦㔸摡㄰昴㡦摤㙢㥢㕢摢慡搵づ昱敡㘳昷㙤慥㥥㕣摦㝡㑣㌵扢攵攰㙡㉣㤴挳㔹〳㌸㙢㌹㠹㤵捤㔵㌸㉡搱戱㤹㐸㙢㥦〵㍢㌶摤捥搹㤸攸扡捥摢晥㝣〳づ搶晡〱昰慣换㔰㤰㜱愳愷㡤捤敥捥昹扦晡戰㠰㡡搵戰㕣攲㥡㈱㕢㡥扤ㄵ㘰㍢㠰扢㤹慤㠹㍣㌶㉥㕤㌶ち㤶昲㕢愸㈷㈳㌱㙣慣戸捣ㄲ捥挳㔱㔸愷摤〵㘳〳挶㘸挴ㄷ㠳㜳㌷戳挰晢扥挶㐴㐳慢㈵慢㙤㙥㙣㑣戰昵戱攵㑥挱〰㙦㔴捡㥢㜰っ㌶㝡〶㐴㌶㔱㡢㤵㔸〰㔶㘲㠱㘴攱扡捤敤㍤昲㤸戶㥡㡦㑡戴搴户捤㙥慣㑦㔵戲挰㉤㌸㝦㠸㘶㡢㈶搴ㄱ挱㔴㍦戲敤攲㡥㌶晦㠵㠹戹晣ㅢ改ㅥ㠴㠷っ㠶㡥改㐷攳㉥㤷ㄷ㝢昱ㅢ昷㑥愰昹捡〷㌱扤〶搶㉡昰㜸㕥㠶㙢㡣改㡡攳㑥つㅣ㌹㑥㠹㈷〹挰㥦㍥ㅣ㜰ㅥ昰慦攳㔳㈰㈵㔷戴㜷〲挰㌳扥㌹㤱ㅥ㠵㕤㕡捤㉤㥤慣て户愸㐴㙡㌹敡戴㜸戹㡢愱ㄶ晢㝦戰慦㘸㍥㙥㤸㕢㉡挹㤸㠲晤〱ㅤ戹晦㐱㌳㜳挸㙢㘶㔹㐵㐵攷㑡户㜳㡤㔵戶㝡㕢慢扤㥤ㅦづ㌲戶挰晥愷〷挷㠶戲戶ㅥ捥〴㤴改戵愰晡〸搶改㘹ㄴ㔹㥦㍣挰㐸〲㐶㠱㔴慣㠷㌰扦㤷ㄴ㕤昱て㠵戲㡡㐶敥㐴愸㙣㘴㜵㜰㕦愲㘱㝦〲㜶㌴㈰㈴㕡攷捡㜵㤰敢愳㠱㝡敥搹㘷㠷攰戸㑣㜰㐹扤㍡扦㡥㘳㡦㠷挱搳挷昰晣㘳㐱挴㉢㈸昲改㔵愶つ敦㐹㜸ち敢挹㘵㍣㡥㜱㌵ㄱ慦㠲挵愷ㄷ昵攳挸㈴慥晡〷㔹愸㝦㐱捣晢㙥收㜰㑢昷㜰攲㌵攰㜸ㅦ㈷昴〹㔰搷㈶㠲昰㐶㈲ㅡ〶捦愳㑦戲㑣扥㡥ㄲ㙦㈶捣㥦愲㤷㍢昱㈶〰㉢〹搲㌹挴㑡て昲挶㔰昱㙦戰㌹㡥敡㤳㠱㄰㙦攱㘸㌵晥攰慢搹㕣愷㠲扢攵收扡㐱㙡挰挸㌴ㅡ戱ち㘲㈳づ㔴㠸ㅤ㙤㘰㍡㌰晡っ〲摦㜵〷ㅣ㐲挰愱〴扣〷〰摢㠱㍥ㄳ㈵㍢㜵ㅦ㍡搴ㅣ愹㍢㡣㙡㠷㔳敤ぢ〰ㅣ愹㍢ㄲ㍣㤵扡㍡ㅣ㌳㜵㕦㠲㔵㍣㜵戳㉣搴㔷㐰戵㍢㜵㕦〳㙣愶㉥〱㜵㉤〹㈲敦〱㘳攰㝢昴㤴㘵㜲ㄳ㑡敤㐹摤户挰㙤㈱㜵摦〱㈲㔳㘷挰戶搸㡣搲㙡晣搹愹㍢㡡づ㌰敥㈵㐷㥡ㅦ愴〶㈲㌷㥢㐶慣㠲昸〹〷㉥愹慢〷㐶㍦㥡挰㥦摤〱挷㄰搰㐰挰㉦〰挸搴㌵愲㘴愷㡥㘳㥥戲敢㐸㕤ㄳ搵㥡愹收〱挰㤱扡戹攰愹搴戵攰㤸愹攳愲晣攲愹㙢戵㔰㕤㠰㙡㜷敡戸扡摦㑣ㅤ㍦搶㐸㥢〷挲搴㐵㜰摢㠱搴捤户㑣㜶〳慡㍤愹攳㍥㠰㤵搰挴慥㝤㘸晥㠶ㅢㅢ挱㑤〴㌲戳ぢ㘰㐰㜴㐷㘹㌵敤愹㑥戹〸摣㉤㘷戶〷搴昰㡢㔷㜶㌴㈲搵昱㍦㜷ㅡ愸っ㌸㍡攵昱挰攸㝦㈲㤰扢㄰㕣〰㈷㄰㜰㈲〱㍢〲㈰㌳㝢ㄲ㑡㜶㘶戹昵㐰愹㌹㌲㝢㌲搵㑥愱㕡㙦〰ㅣ㤹㍤つ㍣㤵搹搳㜱捣捣㜲ㄳ㐱昱捣㥥㘱愱晡〲搵敥捣㜲㌷㠲㤹搹㍦㐳㕤㍢ㄳ㐴㡥愷ㅣ〶㍤晡㔹㤶挹㝥㐰戵㈷戳晤㠱㕢〹捤ㄲ攳㈹㜷㌵挸搴㥤〳摢㘲㈰㑡慢愹愰㔲㜷㉥ㅤ搸㘲愷ㅣ〴㌵晣攲慤㈴㡤㐸㜵晣捦㝤㄰㉡挴㡥搴㥤て㡣㝥〱㠱摣㈳攱〲戸㤰㠰挵〴〴〰㤰愹扢〸㈵㍢㜵㘱㠷㥡㈳㜵ㄷ㔳敤慦㔴㍢〰〰㐷敡㉥〵㑦愵敥㌲ㅣ㌳㜵㐳〱㈹㥥扡㈵ㄶ㙡ㄸ㔰敤㑥㕤つ挰㘶敡㉥㠷扡㜶〵〸㔳ㄷ㌲㍢攵㤵㤶㐹㙥愶㘸㑦敡㐶〰户ㄲ㝥㘳㤹〷㌴改㝦晥攳㠴攰㥥ぢ㤹扡慢㠱㄰愳㔰㕡㙤㈲捤㑢攱戵攰㙥㌹㜵㘳愰㠶摦㌲晤㍡ㅡ㌱㑦㔴㈶挶攱挸㈵㌳㑢㠱搱慦㈷㤰㍢㌸㕣〰换〸戸㠱㠰昱〰挸搴㉤㐷挹㑥ㅤ户㙤㈸㌵㐷敡㙥愴摡ち慡ㅤ〲㠰㈳㜵㌷㠳〷慦攴晣敢㉤㌸㘶敡戸〱愳㜸敡㙥戵㔰㌳㠱㙡㜷敡戸㤳挳㑣摤㙤㔰搷㙥〷㤱攳㘹〴㘷挷慢ㄷ换㈴户㝡戴㈷㜵㐷〲户ㄲ㥡㈵㔲㔷〷㠸㑣摤㕤戰㉤㘶愱戴㥡ち慡搷摤㐳〷戶搸敢戸㠵〴扦㘵晡扤㌴㈲搵昱㝦ㅡ㐷㉡挴㡥㕥㜷ㅦ㌰晡晤〴㜲㝦㠹ぢ攰〱〲ㅥ㈴㈰〳㠰㑣摤摦㔰戲㔳挷㑤㈵㑡捤㤱扡㠷愸昶㌰搵㕡〰㜰愴敥㔱昰攰㤵㑣摤㘳㌸㘶敡戸㍤愴㜸敡ㅥ户㔰㝣昲㙤㜷敡收〱㙣愶敥〹愸㙢㉢㐱攴㠰挹㑤㘵ㅥ㝤㤵㘵㤲ㅢ㔱摡㤳扡〵挰慤㠴㘶㠹〱㤳晢㔵㘴敡搶挰戶㔸㠴搲㙡㉡愸搴慤愵〳㕢㑣ㅤ㌷戸攰ㄷ换昴㘹㐴慡攳晦ㄳ㜰愴㐲散㐸摤搳挰攸敢〸㍣搱ㅤ戰㥥㠰㘷〸㌸〹〰㤹扡㘷㔱戲㔳挷㉤㉦捡慥㈳㜵捦㔱敤㜹慡晤〵〰㐷敡㕥〰て㕥挹搴扤㠸㘳愶㡥㥢㔷㡡愷敥㈵ぢ㜵ㅥ㔰敤㑥ㅤ㜷挱㤸愹晢〷搴戵㝦㠲㌰㜵㌱戳搷扤㙣㤹攴㌶㤹昶愴㙥㌱㜰㉢攱㜷㠹搴㜱㌷㡤㑣摤慢戰㉤㉥㐶㘹㌵ㄵ㔴敡㕥愳〳㕢㑣ㅤ户摦攰ㄷ㡢〷㘸㐴慡攳晦换㜰愴㐲散㐸摤ㅢ挰攸㙦ㄲ挸扤㌹㉥㠰㝦ㄳ昰ㄶ〱㤷〳㈰㔳昷㌶㑡㜶敡戸㈱㐷愹㌹㔲户㠱㙡敦㔰㙤㌹〰㡥搴扤ぢㅥ扣㤲愹㝢て挷㑣ㅤ户搶ㄴ㑦摤晢ㄶ㙡〵㔰敤㑥ㅤ昷攸㤸愹晢〰敡摡㠷㈰戲搷㤹昳挷ㅦ㔹㈶㙦〶慡㍤愹扢ㄵ戸㤵昰扢㐴敡戸搷㐷愶敥㘳搸ㄶ户愳戴㥡ち㉡㜵㥦搲㠱㉤愶㡥㥢㠳昰㡢㈵ㄱ㌴㈲搵昱晦摤㌸㔲㈱㜶愴敥扦挰攸㥦ㄳ挸㥤㐳㉥㠰㉦〸昸㤲㠰㝢〱㤰愹晢ち㈵㍢㜵摣㉥愴搴ㅣ愹晢㥡㙡㥢愸昶〴〰㡥搴㝤ぢㅥ扣㤲愹晢づ挷㑣摤㑡㐰㡡愷㙥戳㠵攲捥愰㜶愷㡥㍢㠸捣搴㝤て㜵敤〷㄰㤹㍡戳搷晤㘸㤹㕣〳㔴㝢㔲户ㄶ戸㤵昰扢㐴敡戸ㄳ㐹愶敥㘷搸ㄶ㑦愳戴㥡ち㉡㜵扦搲㠱㉤愶㙥㍤搴昰㡢㑤㈷㤸ㄳ攳㠱晣㝢ㄶ㔴㠵搸㤱㍡捥㥢改攵〴㜲㕦㤳ぢ愰〳〱昸攴捤㌲昱㍣〰㌲㜵ㄵ㈸搹愹攳㘶㈶愵收㐸㥤㐶戵㑥㔴㝢ㅤ〰㐷敡攴㈷挴㕡愹昳㐰捥搴㜱㕢㔲昱搴㜵戶㔰摣户搴敥搴㜱㝦㤳㤹扡㉥㔰搷扡㠲㌰㜵㘱昳づ戳㥢㘵昲㉤愰摡㤳扡つ挰慤㘴㈶㡡摦㘱扥〳㠸㑣㥤ㄷ戶〵㌷㑣攵愴㡥慢ㄱ户㥣扡昷愰㠶㕦㉣㠵愱ㄱ㤵扡て㜰愴㐲散㐸㕤て㘰昴敤〸攴慥㉢ㄷ挰昶〴散㐰挰㐷〰挸搴敤㠸㤲㥤㍡㙥戵㔲㙡㡥搴敤㐴戵㥤愹戶〹〰㐷敡㜶〵て㕥挹㕥户ㅢ㡥㤹扡㙦〰㈹㥥扡摤㉤ㄴ㜷㔵戵㍢㜵摣㝤㘵愶㙥て愸㙢搵㈰昲㕡㘷㍥搷昵戴㑣㙥〶慡㍤愹晢〱戸㤵昰扢㐴慦攳㉥㉥㤹扡㍤㘱㕢㜰㍢㔷㑥敡晡搰〱挶扤攴㘴换㉦㔰挳㉦㜶捡搳〸搱昲て㝡㉡挴㡥搴敤〵㡣摥㡦㐰敥〹㜳〱散㑤㐰㝦〲捡〱㤰愹ㅢ㠰㤲㥤㍡晡愳搴ㅣ愹ㅢ㐸戵㝤愸挶㑤㕢㡥搴敤ぢㅥ㍣㤲愹昳攱㤸愹慢〲愴㜸敡晣ㄶ㡡㝢扥摡㥤㍡敥つ㌳㔳ㄷ㠰扡ㄶ〴㤱愹昳攳散昸昰〲换㘴㜷愰摡㤳扡ㅥ挰慤㠴㘶㠹搴㙤〷挸㉡㈲㈲戰㉤戶㐷㈹㈷㜵㌱㍡〰㘶改搴敤〸㠴㑣㕤㥣㐶㠸收摦捥攰慡㄰搳㠴㌵捤㍤ㄸㄸ㝤㍦〲戹㘳捤〵戰㍦〱㐳〸攰ㅥ㌶㤹扡〳㔰戲㔳户㠷㐳捤㤱扡愱㔴ㅢ〶㔲挱㉤㌰晦挳㔶㈳扥散搷敤㠵㔲㜲扤㐶㜶㕤㔴搷㡣㜳ㄹ搴戶ㄹ㙢㍤㤴㘳搵㔳ㅥ㑦慥ㄳ挰㕢愸㍦搰㥡㈶搴て挱㔴敦㜴㝥昳敢㘳昶㕥扥㠱㐱换攷㉥㈲搹戰戴ㅡ〴㝣㠷散愷〵㔶㈳㍥㙤㉤昵挹㜹㝣愷㉢捦换㐱愷㈳㠹搴㉤ㄳ摣㝢戴ち㈵㝤㌸㌴〵㌷㈱㤹つ㑥㤸ㄳ〹㈳㤸㐰㌰㑢㌷㌸㙥㔶㤲つ㙥㈴㡤㄰捤扦㝤挱㔵敤愹〲っ敢戵挵㈸㘰昴搱〴㜲㌷㤳ぢ㘰っ〱㘳㐱㉡戸㙦㈶晦㥤㔷敥昶ㅦ慣晡㘲㥢敢㈸㍦㝡㥢㥦攰㔴㠹て㐳㤲ㅦ晤㔴㈱㕦㄰㜵㜶㝣㘴㤳㘶㝥㕡㔳㈵㜴㜰搴搸慡㑤挱摢㐳㈳敤㌱㕢ㄷ㕦挸㈰愲㘵攵戸㜹㈸慦搴昲㌷㐳ㄶ㥣㤶㈶愶ㄸ㜲㡢㤲搸ㅤ㉥㘸攳攰昱㥥㕣〹〸晢㜵戹㥦昵㤹晢㠱㡢㙢㠰挶扡晥㕦昱㥦晣挱晡戲昱搰挵㐷㘵㠴ㅤ〱改㐲㡥昹愲攷㈰㐸昵〹㈰㠲晢㙣ㅣ愳攰㈴慡㔹愳攰挱㌸㘶㕢攰㉢慣攲愳攰㘴ぢ㌵っ愸㜶㡦㠲摣捥㘳㡥㠲㔳愰慥㑤〵㤱愳愰昹㥣㍤捤㌲㌹ㅣ愸昶㡣㠲摣昸戳㤲ㄵ㉦晥愲㘷㈴㈰慢㠸㤸〱摢㘲ㄴ㑡㌹愳攰愱㜴〰捣搲㡤㤲晢㠸搸づ昵㤹㌴㐲㌴晦戸㤱㐸戵㌹㥡戰㐶挱挳㠰搱て㈷㤰㥢㡣㕣〰㐷㄰㜰㈴〱摣㜶㈴㐷挱㍡㤴散㔱㜰愲㐳捤㌱ち捥愲㕡㠲㙡㠷〰攰㐸㕤ち㍣㤵扡㌴㡥㤹扡㐳〱㈹㥥㍡挳㐲捤〴慡摤愹攳㘶㈳㌳㜵ㄹ愸㙢㐷㠱挸搴㤹敦攸㘶㕢㈶戹ㅢ愹㍤愹攳戶愴㉤愴慥づ㤰㔵愸㥡㝥㌴㙣㡢㔹㈸攵愴慥㠱づ㠰㔹㍡㜵㐹㈰㘴敡ㅡ㘹㐴〶ち晦㜳㥢㤳㑢㘶㥡㠰搱㥢〹㌴摣〱㜳〸㤸㑢㐰〶〰㤹扡ㄶ㤴散搴㜱摦㤳戲敢㐸㕤㉢搵摡愸搶〲〰㉦㘲搲㘹㙢挸㙤㐳㔹㠶㐲㥢〷㐸て敢㘳㠰户㍣摥捥㠳摥㉡挶㘷㍥㉤捦㐷㈹㘷扣㕤〰敥㤶攳戳〰㙡㌲㍥ぢ㘹㐴挵㘷㈱戸慡ㅥ攰愳㐹㜵攲㠹ㄶ攱㔸㍦㡥挰㐵敥㠰攳〹昸ㄳ〱摣㌰挵㌱㔷㍢〱愵㘲㘳㔹扣慦晤㔱捥㜱㜹㤱挸ㅢ换㑥㠲㉥挶戲ㄳㅤ㈷㜳㡣㘵㈷昳㘴愷昰㘴㘷〲攰攸㄰愷㔱捤ㅡ换㑥挷㌱㍢〴户㐵ㄵ敦㄰㘷㔸㈸敥㥢㙡㜷㠷攰晥㉡戳㐳晣ㄹ敡摡㤹㈰散㄰㝥昳捤攷㔹㤶㐹㙥挰㙡㑦㠷攰㑥㉣戳ㄵ㥣つ捤搲慦捦㜰捦㠸㔴昱搲敢㔸ㄷ㈴捥㠷㠵㔵㑣搳㌹㌰㈰戸㥦㉢愷扦㥣㑢晦挰㉣摤㕦ㄶ〳㈱摢挳㜹㌴㈲攳㠸晦㉦〶㔷戵〷㥡戰㠶扡昳㠱搱㉦㈰昰慦敥㠰ぢ〹㔸㑣挰㈵〰挸晥㜲ㄱ㑡㜶㝦㔹攲㔰摢㔵摡摤〶㔴扦㤸㙡㝦愵摡㔲〰昲晢ぢ户㙡㤹㤱扡〴㤰㙤昱㜹搳晢㑣㘸摥㜲㜷戹〱㙡慢㘸晤㔲ㅡ㕥㡥㔲㑥㜷㔹〲敥㤶挳戳〲㙡㌲㍣㤷搳〸慣挹㍦㙥〹㜳〹捦ㄵ挰攸㔷ㄲ挸敤㘲㉥㠰慢〸戸㥡〰敥㈰㤳摤攵ㅡ㤴㝡搹㤷㝥攷㠷㘵晢户搴㕢慥㠳㉡㝡换ㅤ㡥㜳㌹㝡换㔲㥥敢㝡㥥敢㐱〰ㅣ扤攵〶慡㔹扤㘵㌹㡥搹㕢晥〶㐸昱摥㜲愳㠵㝡〸愸㜶昷ㄶ敥㌷㌳㝢换ち愸㙢㌷㠱戰户㐴㝤㜴㕡扦搹㌲挹つ㘹敤改㉤摣㤹㈶摢㐰昱㉢晦攳㠰慣㠲㜱晤㔶搸ㄶ㑦愰㤴搳ㅤ㙥愷〳㘰㤶敥づ慢㠰㤰昹扥㠳㐶㘴愰昰㍦㜷扡戹愴昳㑥㘰昴扢〸㝣搲ㅤ㜰㌷〱昷㄰戰ㄶ〰搹ㅤ敥㐵挹敥づ摣晡愶散㍡㉥ㅦ昷㔱敤㝥慡扤〴㠰㈳㜵て㠲愷㔲昷㌷ㅣ㌳㜵摣挴㔶㍣㜵て㔹愸㝦〲搵敥搴扤っ戰㤹扡㠷愱慥㍤〲㈲慦晣收㠴搱愳㤶挹㔷㠰㙡㑦敡晥〵摣ㄶ㔲昷ㅡ㈰慢㤸扡挷㘱㕢扣㡥㔲㑥敡㔶搲〱㌰㑢愷㡥摢昰㘴敡㔶搱㠸㑡ㅤ昷攱愹㄰搳㠴㌵㤲慤〶㐶㕦㐳攰摢敥㠰㈷〹㔸㑢挰〶〰㘴敡㥥㐲挹㑥ㅤ㌷收㈹扢㡥搴㍤㑤戵㜵㔴攳㈶㍡㐷敡㥥〱㑦愵敥㔹ㅣ㌳㜵摣㘲㔷㍣㜵捦㔹㈸敥挱㙢㜷敡㍥〷搸㑣摤昳㔰搷晥づ㈲㔳㘷昶扡ㄷ㉣㤳摣捣搷㥥搴㝤〵摣ㄶ㔲挷㍤㝦慢㔰㌵晤㈵搸ㄶ㥢㔰捡㐹摤㍦改〰㤸愵㔳昷㉤㄰㌲㜵㉦搳㠸っㄴ晥摦っ慥ち㌱㑤㔸愹㝢〵ㄸ晤㔵〲扦㜷〷晣㡢㠰搷〸昸〱〰㤹扡搷㔱戲㔳挷㙤㠳捡慥㈳㜵㙦㔰敤㑤慡㘹ㅤ㜲㔲昷ㄶ㜸㉡㜵㙦攳㤸愹敢〴㐸昱搴㙤戰㔰㤵㐰戵㍢㜵㍡挰㘶敡摥㠱扡戶ㄱ㠴愹ぢ㥢㡦㑡敦㕡㈶㍤㐰戵㈷㜵㕤㠰㌳㔳㔷㜴㈱㐰㔷㐰㔶愱㙡晡晢戰㉤扡愱戴ㅡ㈵搴㔴摥㥡改ㅦ搲〱㠴慡㜴敡扣㔰㤳愹晢㠸㐶愴㍡晥敦づ慥ち㌱㑤㔸愹晢て㌰晡挷〴㙥敢づ昸㠴㠰㑦〹攸〱㠰㑣摤㘷㈸搹愹摢挱愱收㐸摤㝦愹昶㌹搵慡〱挸扦㝦攸〵㥥っ㠵昶〵㈰晦搳ㄴ挷㥥㔰㤵㈱晡㤲挶㝢愳戴ㅡ戵㐱㐴捣㄰㝤つ敥㤶㐳搴ㄷ㙡㌲㐴㥢㘸㠴敡晣摢ぢ㕣ㄵ愲㕤挰戰㙥戹扦〱㐶晦㤶挰㝥敥㠰敦〸搸㑣挰摥〰挸㝢㠸敦㔱㜲摣㜲ㄷ晦扥㠶㌵㌸㑦摥㉤昷㡦搰挵㑤挴㍥㡥㤳㌹㙥㈲㝥㠲㔴晦ㄹ愴㈲ち㐰晢戶搰㜵㠲㐱慦㘳㕦愳晣㝣㤵㙤㌲〷捦㑢㌴攰晢捣㈶㘲㜳㑤ㅢ㔹㝦㠴挵搲ㅤ捤㉤㑥㕢㥣戰㤱㔵㌸散㠸摤㔱戳晣ㄸ攴㑥敥㔸㜵㤳ㅦ㈷昳摢戶㐰㜹㉡捡㝦晣昵搷昶㥤㠵敤㈸昷〳㕥㤰㈴摣㕣晤㡡㠴㜱㤰㡡愱㈸ㅢ㕥ㄹ攷搰慣ㅦㄱ㜷攳㔶っ〶户挴㈶㠳扣摤㐳戴扡㙤㜶㐹㌴ㄷ扦て㘸挰㝣㘱㍢昶ㅡ昰㥢搱挴晥㙥㍥㠸〳ㄴ户〳㌱㌸〵晦㉡㙡挰捤㥦挹㉢㔸扤㉥㕢㜱㠶敢搸愷戴㉤㙣挰摥〱ㅥ㜲㘶捦㍣攲㘲㘹㙣㥢〴て㑥㌷户㜴挴摥搰晣㡦愴戲㜵昹㤱㔴㥤㝢攴㝤㜱㠲㔴愳㘴㈸扣愹昸改㠷挲㉦〲戰昵改㜴㌶㉢搴攱㡦㔶㠱㍡昵㌸愸㍥搵搲摣摡㥣㘹慢㥥㠲㉤㌲搵晣㉡㡤っ㌶㑢搵㔴晣〰㡢慥攷㘴挵㍡㌶昱慢晦收昳㤳㝣㍣挷㌴㌵ㅦ摢㈴扤愹㘸攵㌷㡡昰㙣㝡愷㑥㍣㡤〷㝦昲㘷㑦〴捥㍢ㅣ㡥㔲㔹敦㠴ㄳ㜷敤攰慤㐵㤹㐳戱㔶㠹㜲㥦摡攱戵㤳敢〲扥㔰㌸㤲捥㘴㈲挹㜸㈶㤴㑥㘶ㄲ晥㜰㈸㤶〸愷㠳搱㜴㍡㥣㠹昸㌵㝥㝢愵〹㌵㝣〱㕦㌲㄰つ愴ㄲ㠹㐸挸ㅦ挶户㐲㈶㌲晥㔸搰て㔸㈰ㅡ㑡㠴扣㈳㉣昳扡〷㍡㝡㘷㄰敦㐸挵敡㐲㔶㔷戲㐶㈹ㄶ〱ㄲ㕡㌵ㅡ㉣㝡慥㐹搷㝦㐷攲ㅤ〳换昸㉤搳扣㌸㔹户摡攱㜵㡥㥤㌲摡㌶攰㜵〱㑦㑥昵㑥挶户㝦㘸摤挱搹〶㥣摣敦㕦昴㡥戵慣攸搵㌰愵昷㈴搹づ㐸㜱㈰昸ㅣㄴ㍤攲㘳攴㡥㥤㤶攷昲攸㍢㐰挸捥㌷ㅥ㐵㤹㥣㥣捥㜷㤰㉢㜷〲戸散㠰晡㑥戴㍣挹ㄵ㌳㔹㜱㜷㈱〶愷㤲㝦㔳挱㘵〷ㄱ敦挱〹㌶㑢〸昰愵愳㠰戰㔹㠹㡤攰戰㘹攵㌶㡤㘹㔰㤰㑤㘳て攰搰㌴戸㔴㕤㌶㡤㙡㤴捤㝣〷㘳攱㜴㍡ㅥ昵㠷㝤〱㈳㘴愴㌲㠹㑣㌸㤵挹㈴愳改愰ㄱ㑣㘵㡣㠸搶搳㠶㠶攳搱㐴㌸ㄵ㠹愶攲攱〰扥㔹㌴㥤㌴㝣攱㜸挲〸㠵搲㜱㥦ㄱ挹〴扣㌳㉣昳㝡㉦攸攸㝢㠲㜸て㔱慣㙣搳㌸㔴戱㙣㔴搵㑣戰戶㑥搳㌸っ㤶昱㡢㡦㜱愴㑢㙣ぢ㍡搳敦㍤㕣昱晢㔲戸ㄷ挹㍥攰㡢㈳挱㌷㤳晤ㄲ愲㤹㑤昶扥㄰㌲搹㜵㤰ㄷ㈶㝢㤶㉢㌷〱慥㑣戶㥦㤶㔳慥ㄸ㐳㜱㠳挴挰つ昹㜷ㄴ戸㌲搹捦挲㠹挲㘴慦㜷㑤昶㙣㈸挹㘴㐷㘱ち挹慥㐷㔹㈶㍢㠶戲㤹㙣㜴昹㔴㈰ㄸ㑦〶㤲愹㑣㈸ㄶ㐹愲㙢㐷挳ㄱ㈳敡て㠵㈲晥㔸㈸愵挵㙤㘸㈶ㅥ㡤挴㘳㤱戴㉦ㄶ〸㠴㌲挹㘰〲㘳㐶搰㤷㐸挴攲晥㌴挶㡦愸昷㘸换扣㍥ㄸ㍡晡㝥㈰摥㘳ㄴ㉢㥢散〶挵㈲㐰㐲慢ㅡ挱摡㍡挹㙥㠲㘵晣ㄶ㈴㥢㉢昱㈵㝦愰捣㌳挹㐸戸㈳收㠲㘹㈶晢愱㥣㘴㡦㠶㤰挹㙥㠱㕣㈶㝢っㄸ敡㐷戴扡㜲摢挰㤵挹ㅥ㑢换㕣㘲㕦愸戹㐰㜱て㈴〶〶攵摦㈲㜰㘵戲敦㜵㈴㕢㍢〸㤰愲㔷ㄱ㜱户㙢ぢ㌸づ㤶㘴ぢ㤸〸㘵戴㠰攳㔱㤶㉤㘰ㄲ捡㔶㜷て〷搰愹㈳挱㔴㌴㤱〹㠵愲㤹㔸㌲ㅡ㡡㠶攲㠹戸㍦ㄱ㡥愵㝣㘹敤㘰ㅢ敡ぢ挵㐳愹㐸㈸ㄶ㑦〴㠲愱㑣㈲ㄹぢ愴㘲〱㍦㕡㑥㈲ㄵ㡢㐴愳㐱㉦㤷搷搳扣㍥ㄹ㍡晡ㄴ㄰敦〹㡡㌵㤵慣㘹㘴㥤愸㔸〴㐸㘸搵㐹㘰㙤㥤ㄶ㜰㌲㉣攳ㄷ摦戳㠹㤳攵㕦〹づ〵㉦昷㑡㌰ㄳㅣ㤷㉢挱㈹㤶ㄵ㥤ㄳ戱昲㕢㔸昵㈳㠰ㄴ愷㠱㙦戶㤷愵㌹敤愵づ㐲戶㤷搳㈱㤷㔹捦戹ㄲ㥣攱捡晤㌳戸戲扤㈴㘸昹㉣㔷捣㌹㡡㥢㈲㐶戵㤷㜳挱㤵敤攵㑡㐷㝢挹㕥〹㉥㜷㙤ㅡ攷㐱㐹㌶㡤愳㘰ち㑤㠳㡢散㘵搳㤸㡤戲搹㌴㐲ㄸㄹ攲㜱㕦㌰㘶㘴攲愱㜴㈸挸戱ㅥ㕦挰收捦昸㠳〱㥦㘱ㄸ㕡扤つ挵㥤㐴㍣ㄲ㌲搰㜶㝣㠹㔰㍡㥡㡣㈷㔳愹㑣㌴ㅡぢ㈶㝣㠱㔰㉡㄰昷㕥㘰㤹搷㡦㠶㡥㝥っ㠸昷㐲挵捡づづ㡢ㄵ换㐶㔵㕤〴搶搶㘹ㅡㄷ挳㌲㝥ぢ〶〷敥〸㤰㝣捥敥换㙦挹搵攷挱㕦㜱㈹㤸㘶戲捦捥㐹昶戱㄰㌲搹㤷㐱㉥㤳㥤㌳㌸㉣㜱攵㕥づ慥㑣昶㐲㕡扥搲ㄵ㜳戵攲ㅥ㐷㡣㑡昶戵攰捡㘴㥦收㑣㌶〷〷㜹搹㍦挵㌵搹搷㐱㐹㈶晢㐴攰㤰散愵㈸换㘴㥦㠴戲㌵づ〴㤲㌱攴搴敦昷㐷搰晤㝤昱愴捦ㄷ㑡㈷㤲㈹㈴㍡㤳〹晡つ敤㘴ㅢ㥡昰㈵㘳搱戰ㄱ㡤㠷晤㤹㔰㈶㤴㑣攲㜲敦㡢㠵㘲愱㘰㈶ㄱて㐷晤摥敢㉤昳晡㈹搰搱㑦〵昱㉥㔳慣散㌸㜰㠳㘲ㄱ㈰愱㔵换挱摡㍡挹扥ㄱ㤶昱㡢捦㔵攴挹搸昱㜵昶㜵敦ち挵㍦㠰挲愱㈴攷㠲㉦㙥〶摦㑣㜶㑢㑥戲捦㠷㤰挹扥〵昲挲㘴摦敡捡扤つ㕣㤹散ぢ㘹㤹㥢〳ち㌵敦㔲摣㡢㠸㠱ㅢ昲敦ㅥ㜰㘵戲ㅢ㕣㤳㝤戴㙢戲敦㠵㤲㑣昶愵㌰㠵㘴㜳㈱扦㑣昶㘵㈸㕢挹㌶晣攱㐰㍡ㄹ㡥挵㘳㤹㔰搰敦㑢ㄸ㘱㈳㠱慢㝦㉡ㄶ昳愷愳改㡣戶挴㠶攲挶㉦㄰挹㈴〲扥ㄸ㝡㜲㈲敡㑢愴昱摣攰㑢昹㔰ち㐶攲㔱挳换㉤〲㜲搰扦ㅣ㍡晡ㄵ㈰摥〷ㄴ㉢㥢散〷ㄵ换㐶㔵晤つ慣慤㤳散㠷㘰ㄹ扦〵挹㝥㔸昱㐷㔰㌸㤲攴〶昸㉢戸昳挰㑣昶捣㥣㘴摦〸㈱㤳晤ㄸ攴㌲㘵㌹挳昸攳慥摣㈷挰㤵挹扥㠹㤶㔷戹㘲搶㈸敥㉤挴愸㘴慦〵㔷㈶㝢慡㌳搹昶つ晤㘴搷㘴㍦〵㈵㤹散㍢㘰ち挹㝥ㅡ㘵㤹散㍢㔱㌶㤳㡤愴㐵㌲㐶ㅡ㔷散㌴㥥晡㔲挹㐴㌴㘸昸昱搸ㄷ挷ㅤ㥣㉦㠲㥥㝤㔷ㄶㅡち㈴㝤〹㌴〱㈳ㅣち挵搰捤㠳㤱㠰ㄱ㠹攳㜲㥦づ〵㌲㐹㥦㜷㥤㘵㕥扦ㅢ㍡晡㍤㈰摥昵㡡㤵ㅤ挶㥦㔱㉣〲㈴戴敡㔹戰戶㑥戲㥦㠳㘵晣ㄶっ攳捦㉢晥㌸ちて㈴㜹ㄴ敥㠸ㄷ挰㌷㤳㍤㍣㈷搹㡦㐳挸㘴扦〸㜹㘱戲㕦㜲攵晥〳㕣㤹散㤵戴捣つ〸㠵㥡慦㉡敥㙡㘲㔴戲㕦〳㔷㈶㝢㝦搷㘴て㜶㑤昶敢㔰㤲挹㝥ち愶㤰散㌷㔰㤶挹㝥ㅡ㘵敢㥡㡤挷㜵㍣㠸㠵晣戱㘸ㄲ㡦昸挹㘴㍣㤲㠹晢㜰挱㡥㈴挳㈱㕦㈴慣慤戳愱改㐴㈰㄰㌱攲㤱㘰㉣ㄸぢ㐵〲戱㜸㌰ㅡ〸㠴搳搱㐴〲㤷㜰摣晤㜹摦戴捣敢敢愱愳㍦〳攲攵敥〳搹搹戳挹㝥㑢戱㙣㔴搵摢㘰㙤㥤㘴㙦㠰㘵晣ㄶ㈴晢ㅤ挵㥦㐴攱挱㈴㉦挳㕦昱㉥昸㘶戲晢攷㈴晢㔵〸㤹散昷㈰㉦㑣搹晢慥摣て挰㤵挹㝥㡤㤶㍦㜲挵㝣慣戸㙦㄰愳㤲晤㈹戸㌲搹扤㕤㤳摤换㌵搹㥦㐱㐹㈶晢㙤㤸㐲戲晦㡢戲㑣昶〶㤴捤㘴愷㤳㤱っ㥥搳挲戱〰㥥扦㌱ㅢ㤳㠸㐵㝣愱㔸摡昰㘷愲挱㈰ㅥ挴戵㜷㙣㘸㌰㥤昶㐵〳挱㐸捣ㅦつ㠶㠲㌱㕦捣㙦昸㈳攱㜴挲㤷捥㠴㘳攱㔰挶换㡤ぢ㌲戳ㅢ愱愳扦ぢ攲晤㐲戱戲挹晥㔲戱〸搰〹慤晡ち慣慤㤳散慦㘱ㄹ扦〵挹摥愴昸搳㈹㥣㐱昲ㄹ㍣ㄱ摣て㘱㈶扢㝢㑥戲㍦㠷㤰挹晥づ昲挲㘴㙦㜶攵㝥て慥㑣昶㤷戴晣愳㉢㐶㙥㑦攰搹扦㈶〶〷昲敦㔷㘰㘵戲扢戸㈶摢攳㥡㙣㘶㕡㈶晢㍢㤸㐲戲〵ち㌲搹㥢㔱戶㠶㜱摥㡦挵㠲搱㜸㈸㤲っ挵㠲攱㜸㍡㄰挳ㅤ㕢㌰ㄳ㑤㠵㌲昸搵扥户愱搱愸ㅦ㠳㠰㍦㤹〸攲挶㍤㤵㡣㈴愳ㄹ㈳ㄳ挵㍣㕦㍣㠴慢㐰㈲攲㉤户捣敢㍦㐰㐷晦ㄱ挴摢㐱戱戲挹敥愸㔸㌶慡慡〲慣慤㤳㙣つ㤶ㄱ戹㠲㘴㜷㔲晣挳㈹㍣㠲愴〲ㄳ㠶㐲〷摦㑣昶て摦㍢攷㘵㍡㐱挸㘴㝢㈰㤷挹捥戹ㅢ敦散捡敤〲慥㑣戶㑥换摤㕣㌱㕥挵敤㑣㡣㑡㜶㜷㜰㘵戲㌷挱〹㝢㕥挶扥ㅢ晦ち摣ㅦ㤰㜰㠶㑣晥挸昹搹㙤愱㠴㕦㝣㥤〸㑣㈱搹㍤㔰㤰挹昶愲㙣㈶㍢㙡昸ㄳ愹㠴捦〸愵㔳㘱捣户㐶㤳㍥っ换㤹㘴㉣㤵挱搴㕣㉡㤳搲戶戱愱㍥㝦〶て摦㍥㕣㥤㌳㐶㈸ㄵ挳扤㕣㉣㘸㈴㤳㐶㍣ㄱ挹㈴㌳㐶捡扢㥤㘵㕥敦づㅤ㝤㕢㄰敦昶㡡㤵扤㐱摢㐱戱㙣㔴搵㡥㘰㙤㥤㘴敦〴换㌲搹㜹㜷攳㍢㉢㝥㤲攱㐹㤱散〶㝦挵慥攰㥢挹摥㤸㤳散㍤㈰㘴戲㜷㠳㕣㈶㍢攷〶㙤㜷㔷敥ㅥ攰捡㘴昷愴攵㥥慥㤸㍤ㄵ㜷㑦㘲攰㠶晣敢〳慥㑣昶㥢捥㘴摢㌷㘸慦扢㈶扢㉦㤴昰㡢㈹㐵㤸㐲戲昷㐲㐱㈶扢ㅦ捡慡㘷㈷晤昱㜰㈲ㄳ㠸㐶㌳㈱㕦㌴㠸㠹戶㑣〴㤷㘳挳㤷ち挷㈳㠱愰戶㜷ㄶㅡ㡢〶㌰ぢ㠳㔹㜸㍦敥挸挲㌱捣挱ㄸ㈹㕣搶㠳愱㔸㉣㤲㠸挶扣晤㉣昳㝡㝦攸攸〳㐰扣㝢㉢㔶戶㘷昷㔷㉣ㅢ㔵㌵〰慣慤㤳散㠱戰散搶戳昷㔱晣搹っ㑦㍤㐹ㄸ晥㡡㝤挱㌷㤳扤㍥㈷搹㔱〸㤹㙣ㅦ攴㠵挹昶扢㜲〳攰捡㘴挷㘹㌹攴㡡㠹㈸敥㝥挴愸㘴挷挰㤵挹㕥攳㥡散㔵慥挹㡥㐳〹扦㜸㤰㠴㈹㈴㝢㌰ち㌲搹挳㔰㌶㤳敤ぢ愷㤱散㔴㉡㙣㘰㡥㌵攱挷慤㔷ㄸ昳㙦昱㘴㈶ㄲ㑡㈴ㄳ攱㠸㔶㘳㐳攳扥㈴㠷㝣㑥挹㐶㐳晥〴㥥搵㜸㑦ㄷ㌵愲ㄱ㝦〸㐸扦㜷㍦换扣㍥ㅣ㍡㝡㉤㠸㜷㝦挵捡㈶㝢㠸㘲ㄱ㈰愱㔵〷㠰戵㜵㤲㍤ㄴ㤶摤㤲㍤㑣昱戹愱㐰㙦㈶㌹〸敥㠸攱攰换㘴㑥㘰㐹〵㝦〴戸㌲昸㜷㌹㠲慦㑤〲愴昸っ攸ㅤ慥ㄹㄹ〹㑢昸挵㍣㈳㤴㤱㤱㔱㔶㔹㥢㠲戲㤹㤱㜴〰㤷㐸㈳ㄵ㡡挶㔳挹㔰〴㙦挴㈲㤸〹〹㘱扣つ挶晣〱㜴㐴㙤㙡ㄶ敡ぢ㐵挲扥㐸㍡㥤挴㘵㌸㤸㐰愷ぢ㠷晤扥㜴ㅡ搰㠸㍦攵㑦㘸搳戲搰㑣㍣㡤挹㤰㔰ㄲ昳攵㈱㍣㍣挷搳戱㔸㈲〹㝢㤹㜴㈸㡡㠹ㄲ㙤扡つつ昹㈳扥㐸〲愷づㄸㄸ挱㠳ㄸ扦晤㐱㕦㈸㤸挴捣㝡㌰ㅤ昰挷扤愳㔵㈵㘶㐰㐷㍦㠴攴㔰㤲㤹㈰摥㌱㑡㜸ㄸ㔹㠷㤳ㅣ㐱㜲㈴㠵㘳㤵㔰攲愵㍡㤵愴㡤㡡昱㄰㙥昱〵戸戵㘳〱搰㌲㤱ㄴ㈹㝣㕡㠰搱戱㔳愷㠲捦搴捤㝤ㄹ㡥捤っ昲挵㌹㕦㥢㙢ㅡ㘹挵㔵㐸㑦改㜷摢㑡㠹慤㈰晢ㄶ㤵捡散㐲㝡㥡㝥ㅢ㈰ㅥ敦㐱慡㔶戹敦㜰戴㝡㐸扢攳㍤ㅥ扥㥣㐴㝤㈱㌳㕦〴㝢㈷㈸晣㍣ㅡ㥡㑦搲㐰㙢晦挰㤱㤸〴愱㌹摣㉣㠶㡢搹ㄷ㍣捤㍣ㄵ㠶㥢㠳㈱㤷㉤㌴攷摡㌲搹㤵㍢〵㕣㌹摣捣㠵戲㤸收㡡㤹愱戸慤挴搰〳晥ㅤち慥㙣昱㝦㜱戴昸散ㅣ敥搹慥㡤㝢㈶㤴昰㡢晤㤸㌰㠵挶㝤ㄸち㜲戸㔹㠰戲搹戸㡤㐴っ㌷〸㐱㍣收昹㠳愱㐸㌴ㅥて愴㝣㠹愰ㄱ〸ㄹ㔱㡣㈹挱戸戶搰㠶〶㤲㠱㜰㈶ㅥ昷㠷㈳攱㔸㈸㠹戹扦㐴㈶ㅤ㑣愵㌰攳捦㠶㥥〹㜹て户捣敢㡢愰愳ㅦ〷攲㍤㐲戱戲挳捤㤱㡡㐵㠰㠴㔶搵㠱戵㜵㠶㥢㔹戰散㌶摣㈴ㄴ晦㌸㠶攷㜸㤲搳攱㡥㐸㠱㙦㈶㝢㔱㑥戲晦っ㈱㤳㥤㠶扣㌰搹㠶㉢㌷〳慥㑣昶㔹戴㍣摢ㄵ㜳戴攲㥥㐳っㄳ捤扦〶㜰㘵戲摢㕣㤳摤攲㥡散㐶㈸攱ㄷ摦攱〱㔳㐸㜶ㄳち㌲搹ㄷ愰㙣㕤㕢㠲戱㌴慥㉢㐱㕣㔲㜰㡦攰㑢㈶㌰ㅤㅢ㑦愴㈲晥〰〶戵㤰㍦慤㕤㘸㐳㠳㘱㈳收换昸搱っ㌲㤸挱つ㠶ㄲ昱㘰〶挳㥦ㅦ㘹㡦挷愲ㄹ㥦户搹㌲慦㉦㠶㡥㝥ㄱ㠸㜷㡥㘲㘵㤳㍤㔷戱㙣㔴㔵ぢ㔸㕢㈷搹慤戰散㤶散㌶挵㍦㤹攱㌹㠵攴㉡昸㉢收㠳㉦㤳㜹㌵㑢っ㍣晦ㄶ㠰㉢㠳㥦㜰〶㥦搷ㄶ㌹㠱㕥攷ㅡ晣㠵㔰挲㙦㤹扥ㄴ㌸〴㝦ㄱち㜴㐵扢ㅥ㘵㉢昸㈹ㅦ㙥挴挳挹㔸っ攱っㄹ改〴慥攸㤱㌴摥愰㐵㈳㠱㑣㈰ㅥ搳㤶搹㔰㝦ㅣ㡦敢愹㜴㌲㤰收㕢搷㘴㌴㘱㐴㡣㌰ㅥ攴㌲㤹㔴㈰㤰㐸昸戴ㅢ㙣㘸㌰ㄱ昰㠷つ扣㠵㐹愵愲戸㈴愴ㄲ戸㐴㘱攲㌶散挳㠵㈱㤶捣〴扤挷㔹㥥攸换愱愳摦㐸戲〲挴㝢扣攲摦㐴搶捤㈴户㤰晦㈷挵㈷捡挴㔳㔳㥣〴㍥㉦〸攲㘰〴㠰㠳戵㡣摣㥤〴摤〵攲昱㥥っ㈱㝥昳ㅦ搰㜴づ扡摥㔳㤴昰㑣㈲捥㈲㜹㤰慡㜲㠴㍤つ㐲戳搳㡤㠲摤散〸晢㌰敤愲搳㥤づ戹㍣摢㈳㘰愸ㅦ㜱㠶㉢昷捦攰捡㑥昷㈸戰攲㉣㔷捣㌹㡡晢㌸㌱㌰㈸晦捥〵㔷收㝤ㄸ㥣㈸㝣㔴㍢〰摣挲㐷戵昳愰㠴㕦㝣㡤㉡㑣㈱敦攷愳㈰㍢摤ㅡ㤴捤扣攳つ㤷㍦㥡挲〳㤸摦㐸昰挵㐹㉣ㅣ换ㄸ戸㥤㑢攲慤㌸㥥捡〲摡㤳㌶㌴㥣ち昸㝤㔸㉤㤱㌱㠲挹㤰㡦㜸㕦㍣攰㑦挵㔳搱㘴㄰敦摣つ敦〵㤶㜹㝤㉤㜴昴愷㐰扣ㄷ㉡搶搳㘴慤㈳㙢戱㘲搹愸慡㡢挰摡㍡㥤敥㘲㔸㤶㉤晤㔹㥣㍡昷㘵改㜳攰攴扦㔲㝤ㅥ㍣㤷ㄷ愸㝦戵慣攸攷㌳㤸攷㤱扣〸愴戸ㄴ㝣㤹晡㤷㔸㔲愹㕡〲慥㑣搵㍥捥㔴搹㕤㜴㠰㙢慡㉥㠷ㄲ㝥昱㘵㉥㌰㠵㔴㕤㠱㠲㑣搵慢㈸㥢愹ち㐷昱愲ちて㔷㔸戴㤰〸㐵㜹㌵㑣挵搲㔸摣㤴㡡㠲攵挷㠳搶扦㙣㘸㈸㤴㑣㐵挲攸㘰㜸㡥づ愵㌸㤵㤲昶㐷搲ㄸ㑦㝤昱㜸ㄴ㜷㝤摥㉢㉤昳晡㙢搰搱㕦〷昱㕥愵㔸㙦㤰昵㈶㔹㔷㉢ㄶ〱ㄲ㉡慥〳㑢㜶戴㥥愸〶㍢摡づ㜴㝡〳攵敦㠰㜸扣㑢〱挰慦㝢㐷扢㕥〹晦㑡挴㈵㈴ㅦ㔱㔵㜶戴ㅢ㈰㌴㍢摡昶戰㥢敤㘸㥦搰㉥㍡摡㜲挸㘵戴㜳㙥㘵㙥㜴攵慥〰㔷㜶戴捦愰㉣㙥㜶挵摣慡戸㥦ㄳ〳㕦攴摦敤攰捡散㜹攱㠴摤搱散挷攴㙥攰ㄶ㜶戴㍢愰㠴㕦捣愵挱ㄴ戲㜷㈷ち㌲㝢㥢㔰㌶戳㠷㡦ㄶ挵㌳㜱㌴㡣晥㠵㤵ち㜸㈰捡㠴〲扥㜰㉡㡡敢㔵㌸㠳㌹㙣敤ㅢㅢ㥡づ㘱散㡤ㅢ攸㙣㜸ㅤ㥤〹愴㘳㝥㕦ㄸ㈳㙢搲㤷㐶敦㑣〴挳摥扢㉣昳晡户搰搱扦〳昱摥慤㔸搹慢摢㍤㡡㐵㠰㠴㔶摤ぢ搶搶改㘸昷挱戲摢搵敤㝥挵扦㠲攱戹㤲㐴㘰愱慤㜸㄰㝣㌳搹扦㙣㜶㈶扢〳㠴㑣昶摦㈰㉦㑣昶㐳慥摣㠷挱㤵挹慥愰攵㐷㕤㌱㡦㉢㙥㈷㘲㔴戲㔷㠲㉢㤳扤ㄹ㑥ㄴ㈶晢㕢㜰ぢ㤳扤ち㑡昸挵㘲㐱㤸㐲戲㔷愳㈰㤳摤〵㘵㌳搹挱㐴㉡ㅥっ㘱㔱〹㕥㌶愲㉦㠶ㄳ㐶㍡㥥昶攳捤ㄴ㕥㌹㈷晤㤹戸搶搵㠶ㅡ㜱㈳ㅥっ㈷搲㤸づ挱㙣㘷っ㑢搵昰ㅢ㑤愲扦晡昰昲㈳攲昳慥戱捣敢摤愰愳㔷㠱㜸㥦㔴慣㙣戲搷㉡㤶㡤慡㝡ち慣慤㤳散愷㘱搹㉤搹敢ㄴ晦㍡㠶㘷㈹挹㑥昰㔷㍣〳扥㤹散て㜲㤲扤ぢ㠴㑣昶戳㤰ㄷ㈶晢㌹㔷敥昳攰捡㘴敦㐶换㉦戸㘲㕥㔲摣㍤㠸㔱挹晥㈷戸㌲搹ㅢ㕣㤳晤㤶㙢戲㕦㠶ㄲ㝥戱晣て愶㤰散㔷㔰㤰挹敥㡤戲㤹㙣㍣晡〶㠳㐶㌸㡥换㘶㉡攴㑦㘱㥡ㄳ敦愵㌲㔸㠹㠰㝥㡢ㄵ㘹㍥慤㑦ㄶ㥡昴愷㈳㈱㥦㠱〵慣〹慣㌷昱挷戱晥㉣ㅥ昴攱㤶㤵昳愵㠹愰昷㔵换扣摥ㄷ㍡晡㕥㈰摥㝦㈹㔶㌶搹慦㈹ㄶ〱ㄲ㕡昵㍡㔸㕢㈷搹㙦挰戲㕢戲摦㔴晣ㅢㄹ㥥ㄵ㈴㝥戸㈳摥〲摦㑣昶昳㌹挹づ㐲挸㘴扦つ戹㑣㜶捥搴昶〶㔷敥㍢攰捡㘴㠷㘹昹㕤㔷捣晢㡡ㅢ㈵㐶㈵晢㐳㜰㘵戲㥦㜶㈶摢㥥摡㕥敢㥡散㡦愰㠴㕦㉣晦㠳㈹㈴晢㍦㈸挸㘴敦㡦戲㑡㌶昲ㅣ㠹愷搲㌱㈴ㄲ㙢捣㌰㤳㤹㑥昸ㄳ㠱ㄸㄶ㈴㘰愹㐱㑣ㅢ㘲㐳挳〱捣戱㠴ㄳ㔱㑣㘶昳㠱㌵ㄲ㑢昱收ち昳愴㘹〳换㔱㈳〹敦挷㤶㜹晤〰攸攸㐳㐱扣㥦㈸㔶㜶㙡晢㔳挵戲㔱㔵㥦㠱戵㜵㤲晤㕦㔸㤶挹捥㥢摡晥㕣昱昹㜵㘲晡敤㈴㘳攱慦昸ㄲ㝣㤹捣㜱㉣愹攰㝦つ慥っ晥㝤捥攰摢㜷㐰昷戸〶㝦ㄳ㤴昰㡢㑦㝤㠰㈹〴晦ㅢ慢慣㑤㐴搹っ㍥㤶㜱㘳㔸㡣㘱扥ㄱ㔳㔳㠶㠱㝢ㅦ㉣收㐴㜴ㄳ㔸晤挳搷っ摡㈴ㅢㅡ挷愵ㄶ慦㡦㤳㘱㍣㜱㠴㈲挱㐰㌲ㄹ挶㜵搷㌰搲戱㔴ㅣ㜷㑥㐹敤㘰ㅢ敡て挷晤㔱捣㘵挶㈳㈹〳换ち戸ㄶ㈸㘵攰捡㡢搷て晥㄰晢敦㘴ㅢ㥡㠹昹㠳㤸挲㑣㠷ㄲ㤱ㄴ㕥㐸㘱晤㘸㉡㥣收捡㈱捣㘶㐷晤㘹挳晢慤慡挴ㄴ攸攸㔳㐹愶㤱㑣〷昱㝥愷㠴㌳挸㍡㠴攴㔰㤲㤹ㄴ㙥㔶㐲ㄷ㑤昱㈳㠴昲慥敢㍡㠴㡥㜷㕤㙣㤵晡㉣㉡㈷㐰㍣摥㥦㤴㜶敥㥣㤲昹㜸昳戳ㄲ摥㑢慤晢㐸㘶㔳㔵摥㜵晤ち愱捣攰搱㘰㌱昵晣昳慡㕢㉣㈱昰㜶㑤㡡㡦㠱㔸㈵搸摢〱㕣攸㘱㈲ち摣慥ㅤ㉡㍡愱扣㕦昱敦愹㜲慣㕦ㅦ㠰つㄹ昸捥つ㈳㡤㡦戸㥦㠳㙦慡㔹㌸戲愹慤㘵㈱慢搳〱ㅦ㜱㙦㝥㠰㐹挷昲挱扦捤ㄶ㘷敤㜶㠳㈹晥㔵㕣㠴㔰晤㕦搸㘱㕤戳昳㜸戴戸〷晥昴㈶㔴戸挲㠳敡扡㝥㔱㡣戹〴㝦ち㍥摢摦ㄸ㔴㍢㍣㍡㘸攴㠲㤴搱挰慦收挱㐲㝤摣㠴㤵㙤搷㌸戶ㄵ㠷㐶㑢敢搴收ㅡ昹㔵㌱㥣攱摢㐶慤攵ㅦ搰㌸㝡㕥㝤ㅡ㜱攸㤳攵愸敦㘵㔲㙡ㄳ㕢㙣扤慥㔹ㄴ扥㌸㘲扢㙣挹昱〱㌰扢㘴戹昸ㄲ㉥〴摣㐸㉢㡢慤搸づ搶戱扣㠳搸愷㜸戰㐷戵愴慣つ㌴捡㑣㉢㈳戱㡢换㜷ぢっ慦㙦㤳摦捤戱㉢攴㐲慦㐴㠴戴㌹㠸㔵愷㈱扤㙢愶昷㡥㐵㉢捥㐷㍡晥户㌳ㄵ㘶〰愶戱㔱愱㠵㉤戱㌳㑥挰㌴〸㕤攷愹昸㍤〲摤㜱慡㘹扤晤搱扥扤〶㔷昷敡摢扢㠶㘷㍤〷㘷㜵晤ㅣ愶ㄱ捤㡤㠹晡愶㐱愸愰慡搹挸愶㜹㡤戹愷㘴挲昹㠳㡦ㄸ攷㈹㜹晤愵㍤戲㐴㔷ㄴ㔸㈵㔹攰扥㡡摥㌸搲㕦㈴㜹㠹㐴昶慤㌳〰㜸〳晢搶ち扥㈲昷㜴㑢昰搳昵〷㉦敢扣㜶敥挸㐷㐷㥦摥攷愸扢搶㈷挵づ戰㐴㈷昴攳㜱㐶搵ㅢ挵㑥㡡晢㈷晡〱㌱晦扣扢㠰㉢㍢攱〹攰㜶敤㈰昶㐰㤹ㅤ㔱㥣っ敢㙣晤戲挱㥥㐴ㄵ㙥㑤㌰愳㔵㡤㈳敤ㄴ昰ち愲ㄵつ㡢㍦㐱㐹搵搰愳㥦㐶捤㍤㙤捤㥥搴㍣〳㍣㌳愵㠰㉦〴㕣挵挰愳㥦㐹昸㍥〰戹㐵愲つ㔰搷㐸戴㕡㠲㘵愳搷㉣㍡㘴昸㈱㌵㘷敥㜷㕢收愶㡦㍢㉣ㄴ晢挲㤲㡣挴㜹戰㙢㐷挲慦戸攷昳㙣㉡ㄲ㐱㜰㘵㈴㉥〰ㄷ㤱㠸愲㉣㈳搱っ敢㜶㈴ㄶ㔳㘵㌰㐴㘶㈴㘲㌸搲㉥〶捦㙡愲㌱㜱㑣㑥㝤㉥㈱㝣㍦ㅢㅥ㈷晣㌲昰ち〲ㄷ㡢㠹愳愰㤹つ摣攵搴ㅣ〹扣㕢㈴㤲㔶㠵ぢ摡㐴挲ㄲ捣㤹搷昷㠲愵㝦扦愴昶㡥ㄹ㥢敡㥢摦㜸㜳㡣ㄸつ㑢㌲ㄲ搷挲慥㡡㠴㔷摤㍤㠹戱㑡㝣ㅤ㑦慢㐲㜲㈰戸㌲㈴㑢挱㐵㐸㈶愲㉣㐳㜲〴㑥㘳㠷㘴ㄹ㔵戸摣摤っ〹搷搵㙢换挱㌳㐳ㄲ〹㡡㐳㠱捥愶㜸〵攱㔳㙣昸挱㠴摦っ㕥㐱㐸愰㌹つ㥡搹㤰摣㑡㑤摥搳㈸㤶攰㘲㝡㘵㔹㜰㌹扡㕢戰㈶㔹㌱㈹〸搶㐴㑢㜰挶㤷㤹ㅢ㙥扤㙤昶攸㉢㈶扥㍡散慤つ㜳㡦ㄴ㜵戰㈴㠳㜵㌷捥愸㠲㈵ㄲ㡡㝢て晤㔰㌱㑡㠱㉢㘳㜴㉦戸㠸搱㔱㈸换ㄸㅤ〸敢㜶㡣敥愷捡搱㄰㤹㌱㥡㡤㈳敤㐱昰ち㉡ㅤつ㠸搱㌹㤵㝥㠸㥡挷搸㥡昵搴㝣〴㍣慢〳〵㐴㉤攰㉡〶ㅥ晤㌱挲戹㔶摢㉤ㄲ〷㔸ㄵ㉥㠸挴㄰㑢昰敤ㅢ㍤㉥㌹改㡥昷挷㉣慦㍦昹戹㡤㈷㑤㕢㈶㡥㠵㈵ㄹ㠹㌵戰㙢㐷㘲愱攲㍥挹戳愹㐸ㅣ〷慥㡣挴㕡㜰ㄱ㠹ㄳ㔱㤶㤱㠸挳扡ㅤ㠹愷愹挲㐵搱㘶㈴㑥挲㤱戶ㅥ㍣戳㍥愱愰〸攷搴攷㔹挲㑦戵攱㈷ㄳ晥㍣㜸〵㠱㠳愶ㅦ㥡慡㘹㜸昴ㄷ愸㜹㉥昰㙥㤱ㄸ㘸㔵戸㈰ㄲ〳㉣㐱搵㉥ㅦㅥ㜰㤱㜸慥收慣摡〳ㄶ㔵㙣昶㉤ㄶ攷挳㤲㡣挴㉢戰㙢㐷攲㐲挵㝤㤵㘷㔳㤱戸〸㕣ㄹ㠹㝦㠱㡢㐸㕣㡡戲㡣挴㕥戰㙥㐷攲㜵慡㜰㉤戰ㄹ㠹换㜰愴扤〹㕥㐱搵㈲ㄱ戱㘷㑥搵摥愲收ㄵ戶收ㄲ㙡㙥〰捦敡㜱ㄱ戱〷攰搹㌶戱㤱昰ㅢ〰㜲㡢挴捥㔶㠵ぢ㈲戱㤳㈵㔸㤶昹搵㤸扥㘴㐲捤㡡愶摢㍥㕢㜹挷攷搷㠸ㅢ㘱㐹㐶攲㈳搸戵㈳㜱㤳攲晥㠷㘷㔳㤱戸〵㕣ㄹ㠹㡦挱㐵㈴敥㐰㔹㐶㘲㍢㔸户㈳昱㈹㔵戸㥣搶㡣〴搷敤㙡晦〵捦㙡攳㈱戱㑤㑥㝤扥㈰晣ㅥㅢ㝥ㄷ攱㕦㠱㔷㄰戸㘸㐸㜴㠵㘶戶㑤㙣愲㈶㤷挰扡㐵愲搲慡㜰㐱㈴㍡㔹㠲愵㌳愶敦搹改挸㔱攳ㅥ戹昶戵昳晦扥㜱摡〹攲㜱㔸㤲㤱昸〱㜶敤㐸慣㔴摣ㅦ㜹㌶ㄵ㠹搵攰捡㐸晣〴㉥㈲昱ㄴ捡㌲ㄲㅤ㘰摤㡥挴㉦㔴㔹て㤱ㄹ㠹愷㜱愴㤵㔵扡㔴㉤ㄶㄱ扦㝥攷慣㕡㌹㔰攲ㄹ㕢㜳ㅤ㌵㍢㠲㘷挶㄰昰ㅦ〱捦戶〹㡤㜰慥て㜵㡢挴户㠰扡㕥㘸扦戱〴㈷㑣摤㜷㡦ㅥ扢㝤㌰昱敥㔱晥㡢㍦摣搸昸㠹㜸ㄵ㤶㘴㈴扡挰慥ㅤ㠹搷ㄴ户㉢捦愶㈲昱〶戸㌲ㄲ摤挰㐵㈴摥㐶㔹㐶攲㑢㔸户㈳攱愵ち㔷㔷㥡㤱搸㠰㈳慤㍢㜸㔶㥢㠸㡡捦㜲敡搳㠳昰㜷㙤昸㍢㠴㙦て㕥㘱㥢㠸㡡晦㐰㌳摢㈶㜶愴收㘷挰扢㐵攲㍤慢挲〵㙤攲㕤㑢昰搲昲ぢ敦慡摦昴捡㠸愵愷㍤㜶晦㥣㍥㈳敦ㄴ㥦挳㤲㡣挴敥戰㙢㐷攲㑢挵摤㠳㘷㔳㤱昸ㅡ㕣ㄹ㠹㙡㜰ㄱ㠹敦㔰㤶㤱㜸ㅢ搶敤㐸昴愲ち搷ㅦ㥡㤱搸㡣㈳慤㌷㜸㠵㔵㡢㠸㌷㜲慡搶㤷㥡㍦摡㥡摦㔳戳ㅦ㜸㔶っ㈳攲㔵挰戳㙤愲㍦攱ㄵ㜸挴㜰㡢挴㑢㔶㠵ぢ㈲昱愲㈵昸晥愸㔴㠷敡㡦ㄶ㡤扥攳捥㍥摢㉤扦晦愵捥愲ㄳ㉣挹㐸昸㘰搷㡥㠴慥戸㝥㥥㑤㐵愲㌳戸㌲ㄲ〱㜰ㄱ〹㉥ぢ㤴㤱㜸づ搶敤㐸㠴愸搲ㅤ㈲㌳ㄲ㕥ㅣ㘹ㄱ昰ち㈲ㄱづ㡡㜵㔰捣㈶㌹㐶捤㙤㙤捤㙤愸㌹ㄸ㍣㌳ㄲ㠰㍦〹㜸㌶ㄲ晢ㄳ捥㘵㜷㙥㤱㜸挲慡㜰㐱㈴ㅥ户〴ㄷ敤晥挱て愳〷晥㍡攲戴捦扥㝡㍡晡挰㘹㌳〴搷攸挹㐸っ㠷㕤㍢ㄲ㜲昱ㅤ〲愰搷昲㙣㉡ㄲ㝢〲㉢㈳㌱〲㕣㐴㘲㉦㤴㘵㈴ㅥ㠶㜵㍢ㄲ愳愸挲㤵㙢㘶㈴晡攱㐸ㅢ〳㕥㐱㈴㘲〱昱〰ㄴ戳㤱ㄸ㐷捤〱戶收摥搴ㅣて㥥㌵㑥〴挴㍤㠰㘷㈳㌱㠱㜰慥㐹㜳㡢挴敤㔶㠵ぢ㈲㜱㥢㈵ㄸ㔷㝢摢昲ㄷㄷ㝥㔵㜳昵慥㔷㘶㝥昱扥㜷慣㠸挲㤲㡣挴㔴搸戵㈳ㄱ㔷摣㘹㍣㥢㡡挴㝥攰捡㐸㑣〷ㄷ㤱攰㠲㌲ㄹ㠹㥢㘰摤㡥挴㈱㔴攱攲㉦㌳ㄲ㕣㘵愶捤〴捦慡㡦㕦摣㤰㔳㥦挳〹攷㉡㌰ㄳ捥㤵㘶摡㤱攰ㄵ〶捥㉦慥㠳㘶㌶㜰戳愸挹〵㕢㙥㤱戸搲慡㜰㐱㈴慥戰〴㡦㥣摣戴戴昳㉤㠱㠹㡢㉢晢㕣㝥昷㜳敢㙦昷㜲戱㤷慣㕤〶㜶㔱扢挹㈸换摡㉤㠱㠶㕤扢搹㍣改っ㠸㑣㜷愷攰㐸㍢ㅡ㍣㙤㐸敦愹扤晤戱㡡扦〲㥣晦〵㝡昲扢㑥慤㐷㔳㉥㕤攲㠳㝣㑢㜳挳㔸㝥挹㠹㘳㌶㠲て㜶捣㠰㐷㙦攰㐹戸愴捡㍣〹搷㝡㘹㑤攰敤㡥㘷攱㔱捥㘷㘱挷挷戱昲攴ㄷ攲攴愵㥥㡢戱〶愹㍤捦挵㜳㜸㝡㉥捥㌲㑦捦昵㘳㕡㡢㔹㐷㍣㠹挷挴戹㌸つ敢挹㘸㜹昴㌶愲戹㠰换㐴㜳〹㤹㌶摦㐴㑦㈱晡㉣ぢ捤搹㈰㡦扥㠰攸挳㠰㔱〶〴㔷㠷戱挰慡ぢ慥ㄲ㘳㠱㘰挱搵㘲慣ㄲ㡥换慡戸搴ち扦昲㡦っ敢㠷摦㌲㉢㝦㠶㤹晦㔵㕡晦㝢慤晦㝢っ慢㌲㤴收ㄱ愲攷攲㥡㡡つ㈷㕥昳攵捤晢昵戹敡㡥㕦慤晦㑦戴㌴㥦㌰晦㔷㜴挷㘱㠲ぢ戲戲㡤㙢㌰㥣戲ㄶて挰㈹搷换昱愹㤶愰改昵㕤捦㍢昵戵㡢㈷慥㌸㙣晢㘱扢捥㝤昷〲挱㠵㕢戲㥢㥤㠰晡摢摤㙣慥攲㥥挸愸攰挴晣昳戶㠲㉢ㅢ攲㐹攰愲㈱ㅥ㡢戲㙣㠸㈷挲扡摤㄰㑦愱ちㄷ㍤㤹㘱攷敡㉡敤㌴昰慣㙥ㄶㄲ挷〱㥤ㅤ㌶捥㈰晣㌸ㅢ捥ㄵ㔶摡㤹攰ㄵ㜶戳㤰㌸ㄶ㥡搹㙥㜶㌶㌵㑦〷㍥ㅢ㠹散㕣㐸㡢㔵攱㠲㙥㌶搷ㄲ散摥㝦捤〳戳收扣㍤晥慥㤶〷㉦㕦㝦捤愰戳挵㥦㘱㐹㐶攲〲搸戵㈳㜱㤶攲㕥挸戳愹㐸㥣〳慥㡣挴㘲㜰ㄱ〹慥㌲㤲㤱㘸㠴㜵㍢ㄲㄷ㔳㠵㙢㝤捣㐸㕣㠰㈳敤ㄲ昰ち慢ㄶㄶ昵㌹㔵扢㡣㥡ㄷ搹㥡ㄷ㔲昳㜲昰慣ㄸ㠶㠵〱㜸㌶㠶㔷ㄲ捥㔵㍣㙥㤱㤸㘵㔵戸㈰ㄲ㜵㤶㘰敦㉢慥㙦敥㍢收㤲㔱昷て改㕥晢挹戱搷㝥敥攵ち㈰㔹扢愵戰㡢摡㜱ㄹ㡦慣摤ㄱ搰戰㙢户㡣㈷攵㙡ㄸ戳㜶㕣摢愳㉤〷慦㘰㉣〸昸晡慡㡦㌳敤ㅤ昰㠹㐳㘱㐴㜵ㅥ㡦扥㠲㔶㙥戴慤㜰搹㡦㜶㌳㜸㕤㠶昴㥥〲昴㍥扥㐱㍥㥦㕦㑣㠳㡥敡㝤ㅥ晤㔶敡㜰㐵㡥㜹收ㅢ愸㜳扢愹㌳つ㍡〳㑣㥤㠳㉤ㅤ搶挴愳摦㐹㥤㥢㠰愴ㄹ戲〴㔷昹㈸㥢攲ㄶㄴ㤴㔳㔵㜷愲㠰ㅢ愰昶昷攸慡扢㤴㐶戱㥥晣捣㜵㈳敦晦晡攷㑥挳㜶搹昷摦扤㌵㠱ㅥ捣〵㍦搹㙣㘵㝢昰㜸戸攷摡㠳て戴〴晡搸㝥ㄳて㍤戵㜹昸扤㌷㑦摥晥晤㐵挷㍥㈶ㅥ㠶㈵搹㙥敦㐷ㄵ㔵扢昵慡搵㐱㐲㉥晤㐱㘵昴〷ㄸ〱㔶ㅣ㝦㕥㉥昶㤱㈹㝥㄰㕣愴㤸㉢㜶㘴㡡㐷攳㌴㜶㡡ㅦ愲ち搷捤㤸㠱收㌲ㅥ敤ㄱ昰ちㅡ㌰㐶搳㕡㈸㘶晢收㘳搴㝣捡搶㝣㤲㥡㑦㠰㘷㌶㘰挰㠷〲㥥㙤挰慢〸攷㥡ㅤ㘵㐱慣㐳㐱挹挵㡢㈸㘴㠳㤵敤攴㠳慤㤸ㄴ㌴敤戸㈵攸扥㝥挶㝢㜳㍢愶㙢㤶㝣晣捤㘷㔵敢敡ㅡ扣㕣㌹㈳敢晤㌴捥㠸㝡㜳昹㡢慣㜷ㄴㅡ㜶扤搷搳ㅤ㉥㔵㌱敢晤㉡㡥戴㘷挱摢㙤㐸㙦攷㈷㡦愲慤攵戴散㈰㙣愸㐶攴搱㥦愷ㄱ慥㘴㌱㡤㜰戵㡣昶〲㜸戸㈰ㅦ捡㝥戰㉦搰慡晤㜹昴㤷㠸㝥〳ㄸ挵ㄲ㕣ㄲ愳慣㔵㙤㐰㠱㝥攳㍦攷㑦攱㐵愶㡡换㘲㈴戲㔸㔳㌴昵㌷っㄵ㕣ち㤳㡤㙡戶〹昶户㠲㔷㄰搵扤㉤挱摡攵戳㍦扤慦㔷敢挸㘵攷慥㕦户㘶捡戸戵攲ㄳ㔸㤲㑤昰㕦愸㠵㙡㠲㐲慥㠵挱搹昴搷㔸㌷ㅣ挸㤶挷搵㉦㌲〳慦㠳㡢っ㝣㡤戲捣㐰ㅦ㔸户㌳昰㈶㔵戸摣挴っㅥ搷戵㘸㙦㠱㘷戶㥦愸㑦昴〴㕡戵て㡦扥㠱昰敦㙣㌸搷戶㘸ㅢ挱㉢㘸愸搰摣つ㥡慡㤹㜹昴昷愸挹㈵㈲搹㐸㘴摢搷㡥㔶㠵ぢ㈲戱㠳㈵搸㙦摦扤挷愷摦晦㜱攲愳㘷㉣㍣㜲㥦晢晡㝤㉥戸㥥㐴㐶攲㘳搸戵㈳㈱ㄷ㡡㌰ㄲ㥦昰㙣㉡ㄲ㕣ㅡ㈲㈳昱㈹戸㠸〴搷㜷挸㐸㙣ぢ敢㜶㈴晥㑢㤵㙥㄰㤹㤱攸㠲㈳敤ぢ昰ち慡ㄶぢ㡡慡㥣慡㝤㐵㑤㉥攰㌰㌵戹〶㐴摢〴㥥㜵ㄱ〹㡡捥㠰㘷㘳昸㉤攱㕣㍦攱ㄶ〹捤慡㜰㐱㈴㉡㉣挱晣㌹㠳慦昸昲挱ㄷ㈷㉣晥搳搸戶愵㠹㕤ㅢ〴ㄷ㕢挸㐸晣〴扢㜶㈴攴㉡ち㐶攲㘷㥥㑤㐵㠲敢㈶㘴㈴㝥〱ㄷ㤱攰攲〷ㄹ〹〱敢㜶㈴昰敤㐴㘵㠲ぢㄵ捣晡㜰㐵㠴㔶づ㥥㔵ㅦ㥦昸昹㕢㘷㝤㍡ㄲ捥ㄵぢ㈶㥣慢㈲㌴つ扣挲挰昹挴昷搰捣戶㠹㑡㙡㜲㜱㠱㕢㈴㌶〱敡㍡㐰㝦㙤〹㐶㡤㍢收挶ㄵ㤹攸㠱㘷㥥扦改挹晥㙢㜷㍥㔰㜰㈵㠲㡣㐴㌷搸戵㈳㈱㤷ㄸ㌰ㄲ㔵㍣㥢㡡〴ㄷㄵ挸㐸㜸挱㐵㈴戸㌲㐰㐶攲㜳㔸户㈳搱㥤㉡〷㐰㘴㔶㙤㝦ㅣ㘹㍤挰㉢愸㕡㌸㈴㍥挹愹摡昶搴攴慢㝦㔳㤳慢〷戴ㅤ挱㌳㘳〸昸㠷㠰㘷摢挴捥㠴昳捤扢㕢㈴㌶㕡ㄵ㉥㘸ㄳ敦㔸㠲捦愲㔷慤摦㜳㥢㕥攳慥敤昷昶㑥攵愷扤㝣愷㜷ㅣ㉣挹摡㔵挳㉥㙡㌷〱㘵㔹扢户愱㘱搷慥ㄷ㑦捡搷搲愶㡦㝣ㅦ慦昵戶㝣慣攵㡤晢ㅢ㐰慢换戸㐷敦㑢昸㔴ㅢ㍥㠹昰㝥ㄶ㝣㌸攱慦㕡㜰㠶摥愳昷㈷㥣㉦挹㑤敢㝣㉦慦つ戴攰㌵㠴晦挳㠲㥢㡦〵㠳〸㥦㙥挳㈷ㄳ敥〳㡦㜷㌹捥て㤰㠴㘶昶㕡〰㉢㝦㠷ㄵ㌵㝡㝢昴〰慤昰㌵扣㜲㕢昰㜵㍣ぢ㜴㑡昰戵扣㍤敥捦㐴㐱㘹㔶昱㥤㍢〶戳㉤㡦晢挰攰挷昱㜰挱ㄷ昵㔲戳搴㜵攰㠵搱㜵㉢㑤㑤㤳扥㌰扡戹㐶捣㠶㘶㌶摦搹敢挲㝡㔴挹戵攵慦戳〴㤷つ昰挴㔷㥣㌹㜳挴慤攵㉤㕦㍣戶㝦挷㙦扤㐷挳㤲捣㜷っ昵搷攳㈴㠳㐱㍣㕥扥摤㤷㠲晤㔰挴ぢ晤〶㤴㕤㥦て昹㉡扦㜵㔰㉤扥㐵愴㡤ㅦ〲㘸戴㑡㐶ㄵ扣慤挸昰㕤㜶攷㡣挹收慢㜸㝣㜰㘱㝤㐳㠳晣捣扦㉥㤹㠳ㄲ㉤挷ㄸ㉤攳敢㥢㡣搶㉥㤹㈹昵㡤搶愷搵㡤挰户摢攰㕢㐸搴ㄷ摥敢戲㐴㘵㉤㌳戱㈵㙤戴㜴捡㡣㙤㥤搶㙡愴㉢ㅢ㈷㈵摡摡㡣㤶愶㍦挲挷㙦攲㔳ㄸ㍢戲㌵㘲昴攸㠰敦㑦㈹㜷晤〰㐴㝥戲愱敢昳扤ㄹ挲㙣㍣挶攳昳㈷昹㔶扤扣扣㔲㤴晦戶て摦搴昶㐷摡慡戰〸挰㐸㈵㕡摢慡攷昳ㄳㄷ㕢换挵㙡戴〳戹㝥昱㤳挰㑥昲搹㤸换㤹昴〳㠰搵㠶㠲㜴挰摢㙦㝥㜷ㄵㅡ㍣晡攱㌰㜰昴㌵㈸㐸㔲㔶搱㠴㈶㤰㕦㌱㝥ㅣ攵㈸㙡㔴ㅣ㕢㥦㙥㥢慤捤㌶敡㡦㥡摤㠶㡦㥤散慣㍥㉥㤲搶㍡戶㐰戵搴ㅡ〱昶戱㑥㡤㜵㠹㤶㤶挴挲捡挶扡〶愳改愸戶搹㤵㜵昳戱㉥〲摦搹〳攵捡捡㑡㝤㌸晣攱愹昸㈷收㠳㐹慢㝡㉤戸㙣愸攴㝡㡦〷㐷戶摡ㄱ昴㝤㈴挹㈸㄰㡦㤷敦挹愵㘰㌴㡡ㄸ搷㑥㐰㤹㑤㕡㘷㥣捡挵〳慥㜱ㄹ㐷㝤挶㈵ㅢ㤳昱㘴㘵㘳㈲昸㌲㥤晥愹ㅦ挱㜷攴搲慦〹㐰㉡扦挴㤹㡡㍢ㄱ㕣㔵〷敦㜹攰㑡愷㈶搱敡挱㈴㤳㐱㍣㕥扥换㤶㠲㈹㈸挲㕢扥挵㜶㜸㝢㡢慢户搳愹㥦敢敤㈱㘴㌹扣㕤っ㍢㌹摥㕥〲㠶昴㜶㈶㤰捡㉦㜱戹攲ㅥ〶慥慡㠳㤷㉦㥢愵㔳㠷搳敡ㄱ㈴㐷㠲㜸扣㝣捤㉣〵㜵㈸挲㕢扥㘰愶户摡㉣㤴ぢ摢攰㌵慥摥㈷㠱搵㔲㈰戹㙤㌰つ㡥戳〶㝣㍦㥤㔳㠳ㄵ㘰挸ㅡ㘴㠰戴㙢㜰慢攲ㅥ〵慥㕤㠳扢挱㤵㡥捥愶搵㝡㤲愳㐱㍣㕥扥〴㤶㠲㘳㔰㐴つ昸晡搷ㄱ敦㡢㕣㍤㙥愲㝥㙥扣攷㤰戵〶㙤㐱㤲㌲㜱㍦散攴㜸晢㄰ㄸ搲摢ㄶ㈰㤵㕦攲㌱挵㙤〵㔷搵挱换户戴搲㈹㝥戹㤳㍥㡦㘴㍥㠸挷换ㄷ戵㔲㜰㉣㡡昰㤶慦㘸愵户㡣㜷戹昸戳慢户㡢愸捦昸㘶摢昲昱㘴㌹扣㝤ㅡ㜶㜲扣㝤ㄶっ改敤〹㌴㡣㙡昱㑦昰㕤慣攴㥥〸慥慡㠳昷ㄵ㜰愵㔳㈷搱敡挹㈴愷㠰㜸扣㝣㤹㉡〵愷愲〸㙦昹ㅡ搵攱敤㜱慥摥㥥㐱晤㕣㙦捦㈴换攱敤敢戰㤳攳敤㕢㘰㐸扦捥〶㔲昹㈵昸扥㔴㜲捦〱㔷搵挱晢ㄱ戸搲愹扦搰敡戹㈴攷㠱㜸扣㝣攱㈹〵攷愳〸㙦昹慡搳搱ㄲ㥡㕤扤㕤㑣晤摣㤶㜰㌱㔹づ㙦㍦㠵㥤ㅣ㙦昹摥㔳晡㜵〹㤰捡㉦挱㜷㥡㤲㝢㈹戸慡づ摥ㅦ挰㤵㑥㕤㐶慢㑢㐸㉥〷昱㜸昹㔲㔲ち慥㐰ㄱ摥昲㜵愴挳摢㤴慢户㔷㔳㍦搷摢㙢挹㜲㜸晢ぢ散攴㜸㕢㡥扢㝥改搷㔲㈰㤵㕦㐲㔳摣敢挱㔵㜵昰㜶〱㔷㍡戵㡣㔶㙦㈰㔹づ攲昱昲挵愱ㄴ摣㠸㈲扣敤㠶戲挳摢ㄹ慥摥摥㑣晤㕣㙦㙦㈵换攱慤ㄷ㜶㜲扣敤〱㠶昴昶㜶㈰㤵㕦㘲㐷挵扤〳㕣㔵〷敦敥攰㑡愷敥愴搵扢㐸敥〶昱㜸昹㜲㑦ち敥㐱ㄱ摥㔶愳散昰昶㐰㔷㙦敦愷㝥慥户て㤲攵昰戶ㄷ散攴㜸摢ㄷっ改敤㐳㐰㉡扦㐴㝦挵㝤ㄸ㕣㔵〷慦て㕣改搴㈳戴晡㈸挹㘳㈰ㅥ㉦㕦挰㐹挱攳㈸挲摢〰捡搲㕢㜳㑣ㄸ敡敡敤㉡敡攷昶戲㌵㘴㌹扣つ挱㑥㡥户㌱㌰愴户㙢㠱戴扤摤㕦㜱㥦〲搷昶㜶㌸戸搲愹愷㘹㜵ㅤ挹㝡㄰㡦㤷㉦挹愴攰ㄹㄴ攱㉤㕦㡦㌹㘲ㅢ㜴昵昶㜹敡攷挶昶〵戲ㅣ摥㡥㠲㥤ㅣ㙦挷㠱㈱扤㝤〹㐸摢摢〹㡡晢て㜰㙤㙦愷㠲㉢㥤晡㈷慤扥㑣昲ち㠸挷换ㄷ㔹㔲昰㉡㡡昰㜶㍡捡づ㙦昷㜲昵昶㜵敡攷㝡晢㈶㔹づ㙦て㠱㥤ㅣ㙦て〷㐳㝡晢ㄶ㤰捡㉦㌱㑢㜱摦〶搷慥㐳挶㜲㐲摢〰慥昳㥢〰搲㡥㉦㍢散㈸昶㔰捥㤵㥤㔴㤶扤攱摢〸ㅤ敤㕤㤰づ㜸慤㈳ㅦ㙤攵つ摦㝢攰㌸ㅤ攴ぢ慢ㅣ〷ㅢ㤴㉢ㅦ〰㘹㍢㌸㐷㜱㍦愴㔹㕣㈲攴ㄳ㔳㥢攲㝥攴挴㉥㔰摣晦㌸戸摥ㄳ挰㤵ㄱ晥ㄸ㕣晤ㄳ㤲㑦㐱㍣㕥扥摣㤰㠲捦㔰㐴攸㑦㐲搹ㄱ晡㙤㔴敤㜲㙥㘷扦愰㝥㙥攸扦㈲㙢㑤昶挲㝣ち散攴搴散っ㌰㘴攸㌷〱㘹搷散㙣挵晤〶㕣晡㐱㠹昷〲㜰愵㔳摦搲敡㜷㈴㥢㐱㍣㕥扥㠰㤰㠲敦㔱㠴户㝣昵攰昰戶挲搵摢㥦愸㥦敢敤㉦㘴㌹扣扤ㄸ㜶㜲扣扤っっ改㉤ㄷ晤㉢扦挴㤵㡡㉢挰戵敢戰搴㜲㐲㉢〷搷晥㡡戶摣㔶昲昳㌷㙡㕢㤳戳㤵㜴㠴㠲㔶〱㤲摢㑡㌴㜰㥣摥昱㉤㐳㡥㜷㝣㘱㈰扤慢愴〱搵ㅥ㙥㔵㕣ㅤ㕣摢扢㍢ㄵㄷㅢ㐱㙣慥㤷昳攴㌲㤰㥤㜹慥㉥㈴㕤㐱㍣㕥捥㤰㑢㐱㌷ㄴㄱ攱〷㔱㤶ㄱ㌶㠷戹㉦㔴㍤㜲摡挳㌶搴捦ㅤ收戶㈵换ㄱ㘱㑥愳戳づ㌷つ晤捦戰ㄳ㠶㥤㕤㈳ㅥ〳㐳搶㘱㍢㈰敤〸慦㔲摣敤挱戵敢挰㠹㙡㍡愱敤〰慥晡㔲㉦㘷㠰换挵㐷捡戱㌲㘷㠰㜷愲ㄷっ㜰戶ぢ敥㐲㤶挳戱昵㤶㘳挰挸ㅦ挱㌹㙢改搸㙥㐰摡挱攵摣戴攴敥づ慥㜲捣晢㉦㜰改扢扥〷慤㔶㤳昴〴昱㜸㌹摤㉢〵扤㔰㐴ㄸ㌹搱敢㘸愸㙦㉡㙦㜳挲搸㠷晡戹つ㜵㉦戲ㅣ摥扥〹㍢㌹㑤㘱〳ㄸ搲慦扤㠱㔴㝥〹捥攸㑡㙥㝦㜰改〷㈵摥㡦挱㤵㑥つ愰搵㠱㈴晢㠰㜸扣㥣㤲㤵㠲㐱㈸挲㕢㑥挶㍡扣㝤挱搵㕢㍦昵㜳扤つ㤲攵昰㤶昳戶㌹摥㜲㍡㔶晡ㄵ〶㔲昹㈵㌸敢㉡戹ㄱ㜰㔵ㅤ扣㍦㠱㉢㥤㡡搲㙡㡣㈴づ攲昱㜲摡㔴ち〶愳〸㙦㌹㘱敡昰㜶㡤慢户㐳愸㥦敢敤㔰戲ㅣ摥㤶㘱㔰挸昱戶㈳ㄸ搲慦ㅡ㈰㤵㕦愲㔲㜱㠷㠳慢敡攰敤〶慥㜴慡㤶㔶㐷㤰㡣〴昱㜸㌹戵㈹〵愳㔰㠴户㕥㤴愵户㘶㠷㝡搰搵摢戱搴捦敤㔰〷㤲攵昰戶㍢散攴㜸扢㍤ㄸ搲摢㠳㠰㔴㝥㠹㥤ㄵ㜷〲戸㜶ㅤ慡㉤㈷戴㠹攰ㄶ扦戶摤愹㥣㉢㜳㜶慡㠳改㐹㙥愷㥡㐲㤶挳戹㕥昹捥昵㔵㙥㑣㜳扡搱㕦㜱愷㍢戹㠳ㄴ㜷㠶㤳ㅢ㔰摣㐳挰戵扢㘵っ㕣㌹㝢㝡㈳㕣攵散改晥㘸攸㤵攵㥡攰㐴㥢ㄴ㉣户〴㐳愴㐰㠸挱㑡㜰㠳㈵攰ㅡ〵晤㜰ㄸ慤攰㐴㕣晥㈷捥挸攵㈱收昴㤱攳㝢㑤搰攲捡昴挶㈹昸㔲つ捥㈴㜹ㅡ戹㤱㐱㉥摥搰ㅡ愷捣挶㤷㙥㙣㘳㘱〷搸㤸敥㌶挷挶㜶戳㔹㔲㘷愷摡收挶㌹㠹㤶㐴戲挱㈰㘴㐰搶攸㜶昹ㄲ㠹㐷㡡㤹攵戲㕥挵昷㤲㈸〷㌹搵㔵㈹摡つ慣ㄴ㔴搰㡦㐰㑣扡攲㐰㘴㡦㘴戱攲〰挴愹摤搳㙣㥣搶晦㡤㕦晦㜲㈴ㅣ㄰挳㜰㌲昹收愰㡥㈵扡㠳扦慡攱ㄶ户㤲㜷㐲㔵戵慡㠴晦换挴〸㔰㤹晡㙢昳摡〴㘷慢愴攰㥡扣㌶㌱㑡〹慥㜶戶㠹ㄴ㑦㌸ㅡ㈲戶㡢㙣っ戲㐷㌲ㅡ㘲ㅣ愴㡣㠸㙥㄰捦改㉢改㙥挶改敥〴㡢换戱愳慣㡡㔳㔴挴㐸攷挵㈴㤴愴㔷㑢昲摣攵㜴㤵ㄴ㕣㤶攷敥㘴㈵戸搴改敥搱㍣㈱愷戳㑡扢㍢ㅤ〸改㙥〳昱㠷愰㈴摤㙤㜴扡㍢搳攲㥡搱㍤㑣㤵昰㝦㤹㌸ㅣ㔴㝡戵㌸捦㕤捥㔷㐹挱㠵㜹敥ㅥ愹〴ㄷ㌸摤㥤换ㄳ搶㐱㈴摤㙤㐱挹㙣㙢昶㤱ㄹ摤㈴㄰搲摤㔶攲搳㈸㐹㜷摢㥣敥㘶㉣慥改敥㔱慡㠴晦昱㈹㍢愰搲慢㜳昲摣攵攴㤴ㄴ㥣㥤攷敥搱㑡㜰㤶搳摤〵㍣㈱㈷慦㑡㐷户〹〸改敥㈲攲攷愰㈴摤㍤捥改㙥㡢挵㌵ㅢ〳㘷愴戲㡤㠱㌳㔱搲慢搳昲摣攵散㤴ㄴ㥣㥡攷敥㝣㈵㌸挵改敥㠹㍣㈱㘷慦㑡㐷㜷ㄱ㄰搲摤㤳㠹㍦ㅥ㈵改敥㈹㑥㜷㑦戰戸㘶㜴㑦㔴㈵晣㕦㈶㑥〲㤵㕥晤㈹捦㕤㑥㑦㐹挱昱㜹敥㥥愲〴挷㌹摤㍤㠳㈷㍣ㄵ愲搲敥㥥〱㠴㜴昷㑣攲捦㐴㐹扡㝢㤶搳摤戳㉤慥ㄹ㕤捥㐹㘵愳换戹㈸改搵晣㍣㜷㌹㍦㈵〵昳昲摣㍤㑦〹摡㥣敥㥥换ㄳ㜲晥慡㜴㘳㔸っ㠴㜴昷㝣攲㌹㘱㈵摤扤挰改敥㈵ㄶ搷㡣㉥㈷愵愴扢昸ㅦ摦て〰㉡扤㙡捥㜳㤷ㄳ㔴㔲搰㤴攷敥攵㑡搰攸㜴昷㘲㥥昰ち㠸㑡扢㝢㌵㄰搲摤㑢㠸扦ㄶ㈵改敥愵㑥㜷㤷㕡㕣㌳扡搷慢㤲㝣ㅥ㕤㠶㤲昴㙡㜶㥥扢㥣愱㤲㠲愳昲摣㕤慥〴ㄹ愷扢㔷昰㠴㌷㐲㔴摡摤㥢㠱㤰敥㕥㐵㍣愷慣愴扢㔷㍢摤扤摤攲㥡搱攵戴㔴㌶扡㜷愲㈴扤㑡攴戹换㈹㉡㈹㤸㤵攷敥摤㑡㔰攷㜴㜷㈹㑦挸㈹慣搲敥摥て㠴㜴㜷ㄹ昱て愲㈴摤扤挱改敥㐳ㄶ搷㡣敥挳慡㈴愳晢〸㑡搲慢㤹㜹敥㜲㡥㑡ちづ捤㜳昷㌱㈵㌸挴改敥㑤㍣攱攳㄰㐹㜷敤搱㔶户㡦捣㜱㜷ㄵ㄰搲摤㕢㠸㕦㠳㤲㜴昷㔶愷扢㙢㉤慥改敥㔳慡㈴摤㝤ㅡ㈵改搵㤴㍣㜷㌹㐹㈵〵㤳昳摣㕤慦〴〷㍢摤扤㤳㈷攴㈴㔶改攸㍥て㠴㜴昷㙥攲㕦㐰㐹扡㝢㡦搳摤㤷㉣慥改㉥㘷愶㘴㘳㤰敥㜲㐶㑡㝡㌵㍥捦㕤捥㔲㐹挱㠱㜹敥扥愲〴攳㥣敥㍥挰ㄳ㜲ㄶ慢戴扢慦〳㈱摤晤ㅢ昱㙦愲㈴摤㝤挸改敥㕢ㄶ搷㙣扢㙦慢ㄲ晥挷㑥て㔰愹晦㌰㌵摥戳㘴晡㈳㑥晤て㤴〶㉢㔸昵愱㉡敤捤搲㐷慡㈴㘵㥣㈹捡㠶攲㘳㤴㘴㡤㙢昳㐲挱㔹㈳㈹ㄸ㥥ㄷち捥㈴㐹㐱㡤㌳ㄴ㑦搰ㄹ捥㉡㤵づ挵ㄷ㐰挸慡慣㈲晥㉢㤴㘴㈸㔶㍢慢挲㈹㈳摢挱㉡㑥ㄵ挹ㄲ晥挷〲㈹㔰㜹昲晤昳摣攵戴㤱ㄴ散㤷攷敥㘶㈵ㄸ散㜴昷㈹㥥㤰搳㑡愵摤晤〹〸改敥㍡攲㝦㐱㐹扡扢摥改㉥攷㡣㙣〷慢㌸㔷㘴㍢㉦㌸攵㈳昵㥦㈱㥢㌳㍤㔲晦㔹敢㠰㠵㉡捥敡㐸㡤扤㔹搲㔵㐹收㡡戳㌸㔹㙢㥤㔱㤲㜵っ收㔵扥㡢ㄲ〴昲㉡摦㔵〹晣捥捡扦㐰慢㥣昱㤱㤵户㠷㠲晣㐱㠱昳㍣搲昹㤷㠸摦㤶〴ㅥ敡晦戰づ愴昳㥣捥㤱づ㈲㌴㘵㔵㥣挶挹扡换改ㄸ愹晦㑦戲㌹ㄳ㈳昵㕦戶づ愴㍥㘷㕤愴㠶慣㍣㘷㕢戲晡㥣㘵㤱搵敤㥦㔷㕤捥扣㐸挱摥㜹搵攵㙣㡣ㄴ昴㜳㔶昷㌵㕡敤〵㔲㍡搷㝤㠰㤰敥扥㐱㍣愷㘲愴扢㙦㕡〷搲摤扤慤㠲搹㑢㌹摤㈲摤㘵攵挵〰㤴攴挹昷捣㜳㜷愰ㄲ昴捡㜳㜷ㅦ㈵攸改㜴㜷〳慤㜲㙡愶戴扢㥣㤰㤱敥㙥㈴㍥㐸挲散扣㙢ㅤ㐸㜷㌹敦㘲㍢㔸挵昹ㄶ㔹㤲㘳㈰攷㔹愴扢扢收戹换戹ㄷ㈹搸㈵捦㕤捥挷㐸挱捥㑥㜷㍦愴㔵捥捤㤴㜶㤷㌳㌲搲摤晦㄰捦挹ㄸ改敥挷搶㠱㜴㤷ㄳ㉦戶㠳㔵挳㔵㐹㐶㤷ㄳ㉤昲攴摢攵戹换挹ㄷ㈹攸㤱攷敥㐸㈵搸搶改敥㝦㘹㤵㤳㌳愵摢晥㔸㈰愴扢㕦㄰㝦㈰〹愳晢愵㜵㈰摤㍤挸㉡㤸㔷ㄸ捥戸搸捥㡢㠳㔱㤲晡㕦㤱㍤挵㤲改㕦㕢〷㔲㥦㤳㈳戶㐶ㄵ㈷㐵戲㈵㑥㠶㘴㑢㥣〴㤱㈵搹㑢㌸㝢挱㙦㌵㈸㕦㈰㔲戳搲戳㘶㙤慥敡㔸扤㜳挷㐳㠶㜵㔹戲㘱晤挶挵晦㍣㝣挸㠷㍦㕤㜹攵㍦摦㕢晣散㑦㡦㈴㠷㍣戵㜴改㥡㜱搷㍣扢戱㝢收摡昲晢㌷㡦扦昶㜸晦㌱挷捦捤㑣敢㍦晡昸㐳㡦㍥搸㍦㘹㥢〱ㅤ㍡㜴敡戴搷戶㑦敦搸捦㝢搲摣〷挵捡搷㜶㘸慡攰㔴㐰慦㉤捦㌳搰愳摦昸慣扦㠹ㄵ㤲て晣㡣慡㕣㝡㡥〳晥㜸昹攰捦㤹づ晤㕢ㅣ㜴敤㔰挵攷昲慤㔹㕢㈱ㅦ攴㜹挲ㅣ㌷昸㐰㉦摤搸㙣扡㜱昴搶㜶愳〱㈷㘰㐴㜳摤㘸㔴㙥晣㘰扡㌱㜷㙢扢挱慢〱昳慦晦〸㈲㕡㐹攸㤴晡㌰〴ㅣ㤷㜹昹㌸㉥㘳昳㌳づ㤰㈲㍥㉤㙦搵ㄴ挹挷敢㠲搸ㅣ愷摣昸搵㜴攳挴慤敤㠶㝣㙣㉥㠸挶㈹捡つ搱㔹㐶㠳㑦户㕢㌵ㅡ昲㜱戸挰㡤戳㤴ㅢㅤ㑣㌷捥摤摡㙥挸挷摣㠲愴昰㜱㔷戶㡤ち搳つ㍥㡤㙥搵㘸㕣㠲ㄳㄴ昶ㅢ㍥挶㑡㌷㍡㤹㙥㕣戱戵摤戸捡搵つ㍥㥥㑡㌷㜴搳㡤愵㕢摢つ昹戸㔹㤰ㄴ㍥㜶㑡㌷㍡㥢㙥摣戴戵摤戸〵㈷㈸ㅣ㌷㙥㔵㙥㜴㌵摤攰搳摥㔶㙤ㅢ㜷㉢㌷㜲㠶昶㝢㤴ㅢ㔵愶ㅢ㝣㡡摢慡㙥挸挷扥㠲愴昰昱㑦㈶㘵ㅢ改㠶㜸搸搵㔹㍥攴㐹搴戶愶戳㝣捥摡慡捥慥㜲㜵㠳て㘸搲㡤敤㑣㌷昸晣戴㔵摤㔸攷敡挶㝡攵挶づ㘶捣㥥㜱㐵㍤慢㔰㍢㤹捥昲㜹㘷慢㍡㉢ㅦ㤰㤸㘰戵〷つ挷㘵摥㝦㈸㌷㜶㌱㥤㤵㡦㐱〵捤㠰㡦㐳㌲戲扢㤹捥昲㘹㘵慢㍡晢〶㑥㔰㌸㘰昲㌱㐷扡戱㠷改〶㥦㐲戶慡ㅢㅢ㕤摤攰攳㡢㜴愳愷改〶㥦㉥戶慡ㅢ晦㜱㜵㠳㡦㈵搲㡤㍤㑤㌷昸搴戰㔵摤㤰㡦ㄹ㙣ㅢ㌹㌷㕡㝣摣㤰㙥昴㤱㙥〸昹㌰㐱㔴㕦㤴搵㡦㤷てㄵㄲ戵㤷㠹㤲㌷搷㐴昵㐳㤹㤹㤶㝦扣㥤㤶捦㐹慦㙥㌲摦㥤づ㠷愴㔲㤴〹摥攰㑡挱㉢㜹〲摥㜲㑡挱换㜹㠲ㅦ㈱㤰㉤㘸愰昳〴扣ㄹ㤴昰㝦攴挱㜹㝢㈶〵㉦攵〹㜸挳㈴〵㉦收〹㜸ぢ㈳〵㉦攴〹㜸㔳㈱〵㝦捦ㄳ昰㌲㉦〵捦攷〹㜸攱㤵㠲攷昲〴扣ㄴ㑡挱戳㜹〲㕥㥣愴攰㤹㍣〱㉦ㄷ㔲戰㍥㑦挰〱㕣ち搶攵〹㌸㘶㑢挱搳㜹〲㡥愲㔲昰㔴㥥㠰攳㥡ㄴ慣捤ㄳ㜰㈸㤳㠲㈷昳〴ㅣ㕣愴㘰㑤㥥㠰攳㠹ㄴ慣捥ㄳ戰㠷㑢挱慡㍣〱晢㥣ㄴ慣捣ㄳ戰ㄷ㐸挱ㄳ㜹〲戶㑢㈹㜸㍣㔷攰㔵つ㔴戰㑤㑡挴㘳㜹〸㌶㑥搹㙡㙢㜱㠰㑦㈳㘵㕢㤲攵ㄱ戲㕣㐱㜶㠹搷捥㤳㡣㤶㤴搱搴㔶摦㘰昰戵㌷㕡㔸㔹搷挶摡㜹慤㙤捤收㥢昹搶ち昹㉥扥昰㕤㝤㜷挲〷攴㐰㍤㈶㡢戴捡㍣戴㕦摡㜷戶㐴㝣换晦扦扥戱敦㠴摡昰て敢ㄷ㜶㉦晤㌰㙤扥戰㙦ㅦ捡㝡㕢㍦ㄲ搱昱㜰㕤㠴搰戳㠷戲㉣ㄸ㍦〶㑦ㅦ㤵挵㘴て㈵愶㡡㍡㥣〵㘲〹㍦ㅢ㠶㕥扥㠴㍦晦ㄹ晡摣戳晣昹㜴㘸ㄵ㌵㑡㈲㍡晦ㅦ㠵㕣㝥慢</t>
  </si>
  <si>
    <t>㜸〱捤㝤〷㤸ㄴ㔵昶晤扣㠱㈹愸㈶㑣㠳㘱ㄵ搳㠰〸〸㠸㥤〳〶挲㤰〴ㄴ㈴ㄹ㔶挱㥥づ㌰㌸〱㘷〶〴㑣㈸收扣㘰搶㔵搷㉣㘲捥㙢ㅡ挱㔵㜴搵㜵捤愲愲㡢㜹㜵㕤㜵㕤㜵㡤晦㜳㙥搵慢愹敥慥ㅥ收攷㝦攷晢㜶愰㙦搷扢昷摣㕢户敥㜹㔵㕤昵敡㔵㜷㤹㉡㉢㉢晢〵㝦㝣攷㕦㔷㉥散㌸㜳㔹㜳㑢戶㝥㐴㜵㘳㕤㕤㌶摤㔲摢搸搰㍣㘲㑣㔳㔳㙡搹搴摡收㤶㉥〰ㄸ昳㙡㘱㙦慥㤸搷㕣扢㍣摢㝤摥㤲㙣㔳㌳㐰ㄵ㘵㘵摤扢㥢攵戰㙦㙦扦晣扡㘱搲换散㑡〱㔴㤹㘹㔰㜴愳攸㑥㘱㔲昸㈸㝡㔰昴愴攸㐵搱㥢愲㤲挲㑦搱㠷愲㉦挵㔶ㄴ㕢㔳㙣㐳戱㉤挵㙦㈸戶愳攰晡捤㝥ㄴ㍢㐰昴摣ㄱ㘲㔶昵搸㘹㌵ぢ戱㌵㌳㕢ㅡ㥢戲挳慢收㔸㌹敦ㄳっ㡥〸㡥㠸㐴㠳愱ㄱ㠱攱㔵搵㡢敢㕡ㄶ㌷㘵昷㘹挸㉥㙥㘹㑡搵つ慦㥡扥戸愶慥㌶㍤㈵扢㙣㔶攳㤱搹㠶㝤戲㌵㠱㜰㑤㉡㤲〸㐶愲搱㕣㌲㤹攸戹ㄳ㈲ㅦ㔰㍤㜶㝡㔳㌶搷晣摦㡡戹㌳㘳㑥慢ㅥ㍢攲㠰㙣换㝦㉢收㉥㠸㠹㤰攳ㅡ敢㔳戵つ晦愵愰ㄵ攴㌴㍣㉥㥢慥㈵昹搹㙣㔳㙤挳晣ㄱ㐸㍢慦搰㘸挵㐷㑣㐰挵搳愹收㤶敡㙣㕤摤㡣㙣㡥扣昷慣㘷捤戲㑤搹㠶㜴戶戹㜷晤昸愵改㙣㥤㙤㙥敥㕥㍦㈷搵㜴㐰慡㍥摢㤵ぢ㤵昵ㄶ㙦晢㘵戲つ㉤戵㉤换㝡搵捦㙥捥捥㐸㌵捣捦ㄲ㔲㔱㍦㜱㜱㙤愶㙢㔷搵戵㙢㔹㤷挱㕥挹〸㌷㈳㈶㌴愵慢ㄷ愴㥡㕡愴㐵搶㠲㕥㔸㔷て㤱挴昳搲㘲㉦慡㉡昰㈲㑤㌳㙢敢愷㘴㥢ㅡ戲㜵㕣〹挹ㅢ㔶〰㤲㥡㔸愵㜷㡡愳户㠶挴愸ㅥ昶晥挶㑤攱㕡捣㉡㡡晥㄰挶〰〸晦㍥㘳㘶てっ挶〷つㄸ㔹㌵㘰搰挰㌱挱愴戹㉢敤〳㈱㔴搷㌷戱昳扡晤戹〳㤵捦㑢㤵捦慢㈹㥦㤷㉥㥦㤷㈹㥦㤷㉤㥦㤷㉢㥦㌷扦㝣摥㠲昲㜹戵攵昳ㄶ㤶捦㍢ㄲㄸ晤搷扤㕢户㜲晢敦挴敡㜱搷ㅥ扦慡㝣昲㑤て㌴㈶㘷摥昵昵ㄷ㡡晢慢散戸㠳戰㘰づ㠶㌰㠶㐰ㄴ攴ㄳ㐹㤸扢搳㍥ㄴ㐲愹㔷㤰て㜳㍡昸昷挷挷㘳搷㡦慦扥攲晢愳㜷㘸㠹っ㝢㔵㜱扦㤷㘰挳〹摥〳挲ㄸ〱㔱㄰㉣ㅡ㌳昷愴㍤〰愱搴㕦散㘰㝤㠶㙦晤攵㠰㔵敦散扦收昹昱捦摤昹昱㙥昳ㄵ㡦ㅦㄲ㉣㐴㜰ㄸ挲㠸㐰昸昷ㄹ㍢搶㔵愹㔸挸㡣搲ㅥ㠳㔰敡㘹㍢搸攴ㅢ㔷扥㜳搸散㉦㈷㍣昲搱敤㘷㠴㍦㌹攵㘲挵晥㈸挱ㄲ〴㈷㈱㡣㤱㄰〵挱㤰搹㕥戴敦つ愱搴㝡㍢搸攲搳ㅡ摥戹㜳搲挵㤳㉦㙤㜹㘴㘱攲㉦㑢㐷㈹ㅥ捦㈴搸扥〴㡦㠲㌰㐶㐳ㄴ㙣㘶㈴㘸㡥愱㝤㉣㠴㔲㡦搸挱扥て扦㝥攷昴捣搴敡㕢㕥改㍦㝢搵㠳攱㠵㡡挷㐵〹㌶㡥攰昱㄰挶〴㠸挲㘰〱㜳㈲敤㤳㈰㤴扡摦づ昶收昲攳㘶慣㥣㜳捥㤸〷搲㙢㝥㤹戹㜱敥㕤㡡挷㔷〹㌶㤹攰㈹㄰挶㔴㠸挲㘰㈱㜳㝦摡て㠰㔰敡㑥㍢搸㠴㐳〶㕤昹搳㍤搷㑦戹攰戴摤㤷晥㙤晡愰㙦ㄴ扢㤹〴㥢㑥昰㠱㄰挶っ㠸㠲㥡〵ㄳ收㑣摡㘷㐱㈸㜵㡢ㅤ散愹㘹敢㤷㉦㝣攵晣戱㜷㥦㝣攲捣㠵戳㕥敥愵㜸扣㤷㘰㜳〸㍥〸挲㌸ㄸ愲㈰戳㔸挲㍣㠴昶㐳㈱㤴扡摥づ㤶㍣攱昱昸摢挷㘷挶摣昶摣㥦㌶㡤散㜷昱㠳㡡㥦ㅢㄲ散㌰㠲て㠷㌰收㐲ㄴ㘴ㄶつ㤹昳㘸㍦〲㐲愹慢散㘰〷捤㝡攲昲㡦㉡㑦㥣㜲挱敢㝢晣㍣㜹摢㌱㙦㉡㝥晥㐸戰ㅡ㠲搳㄰㐶〶愲㌰戳戸㤹愵㍤〷愱搴愵㜶戰ㄷ㔷㉦ㄸ户戴昹捣戱㘷㥣ㄱ晤散㤳㑢攲㤳ㄵ㍦挷㈴搸〲㠲㙢㈱㡣㠵㄰〵挱挲〹㤳晢愷㔹〷愱搴㙡㍢搸攸攸昹敦敤扦㘱昳攸㥢ㅡ挶晣昵戹㥦㘲㍢㉡㝥ㅥ㑡戰〶㠲ㅢ㈱㡣㐵㄰㠵㥢㤹㌴㡦愲扤〹㐲愹㜳散㘰㍦扥㌱㝤㝣扦㜵㌷㔶㥦㤱昶扦愹晡㙦㜷㥢攲攷慡〴㙢㈱㜸㌱㠴戱〴愲㈰戳㐸捣㍣㥡昶愵㄰㑡㥤㘶〷㕢戴㝣慦㜱㌷㙦昳敥㝥㡦㝥昰挱挳昳㝦扥㌸愹昸昹㉣挱㤶ㄳ㝣っ㠴㜱㉣㐴㐱戰㔸搴㍣㡥昶攳㈱㤴㍡搱づ㌶戴昷敦㍥ㅤ㌵攰摡愹て敦扢㌶㕡㕢昹搴㜹㡡㥦昳ㄲ㙣〵挱㈷㐲ㄸ㈷㐱ㄴ〴㡢㈶捤㤵戴㥦っ愱搴㌱㜶戰敡昲ㅤ㑥㤸㝢攱戹搵慢㝢㌴扤㜶敦摢㘷慤㔱㍣㕦㤰㘰愷ㄲ㝣ㅡ㠴㜱㍡㐴㐱戰㔸挰㍣㠳昶㌳㈱㤴㕡㙣〷换㝤扡扥昲搹收晤㈷摥摣㌲晡户慦㥣昰搲敢㡡攷ㅤㄲ散㙣㠲捦㠱㌰捥㠵㈸〸ㄶ㑤㤸攷搱㝥㍥㠴㔲㡤㜶㌰晦㈷攱愵㝦戸昴摥㐹㙢搵㈹慢㑦㝡㌶昶㠸攲昹㡢〴㕢㐵昰㙡〸攳〲㠸㠲㘰㤱㠸㜹㈱敤ㄷ㐱㈸㔵㙢〷晢㈹㔳晤搹挶㠱ぢ慡㙦戸㘵摥ぢㄷ㈶㔶慣㔲㍣て㤲㘰㤷㄰㝣㈹㠴㜱ㄹ㐴㐱㌰ㅣㅣ㉦愷晤ち〸愵搲㜶戰愷昶㍣攳搸㘷㈶㍤㍣昶㥡㥤㍥昳㕤戰㜶㜰㍦戵ㅤ捣ㄲ散㑡㠲慦㠲㌰慥㠶㈸〸ㄶ㠹㥡㝦愰晤ㅡ〸愵づ户㠳摤㜸昱捡ㄳ摦扦㜶户搱ㄷ㍤昰搵㔳㌳㜶㥢昵愰攲㜹㤹〴扢㡥攰敢㈱㡣ㅢ㈰ち㠲㠵㤳收㡤戴摦〴愱搴㐱㜶戰㜱昷捦ㅤ扡换晢户㡦扦昹㤴收㘷㙥晤晢㡢〳㔴㍦㤸㈵搸ㅡ㠲㙦㠱㌰搶㐲ㄴ〴㡢〵捤㕢㘹扦つ㐲愹〳敤㘰㤵攳㝥㌳㙢昸㠷晢㑥扡㘲挵攵摤㜶ㅤ戳㜹㠶攲㜹愲〴扢㠳攰㍢㈱㡣扢㈰ち㜶㈷〴扢㥢昶㝢㈰㤴㥡㘲〷晢慥昲摥〹㉢㉦㥣㌲㜹㐵昴搱攳㑥㌹敦㥢㐷㝢摥〷昳㠱昶㘷晡戸愶搴搱㌸㌱㙡㍢攷挲㠹㈶晦㙤昹㘴ㄳ攷㥡戹㘸㉥㥥ぢ〶㌳搱㐰㉡㥣慡愸㐲搸㡥㥥攲戰慢昷捣ㅤ㔴摢㤰㘹㍣㕡捥㜹㝡收㈶搴搶戵㘴㥢愴㔱㤹挳㥢㜵摥㈶敤㕥戹昱㑢㜱挲㥢戶㑥㡦戶捥㔵㘷㥢㕡㜰愲搸戲慣敤㥣㘹挷戱愹收㙣㕢㜳㤸ㅤ㝢㙣攳攲㠶㑣昳づ摥挶㤹㉤愹㤶㙣扦㐲㕢㕢㤰㈲户㤹㌸㠹捣㌶㑢㑡㍢ㄷ扡捤㐹搵㉤捥㡥㔹㕡㙢㤹㜷㉡㌰攳㜴戲戱愶戴㜵㐲㔳昶㈸挷㕡㤴搱ㄸ㕣攳㉣㤱搸㐵㕢㘹㤹慣扣慡慡ㄷ㌴㌶㘷ㅢ㈴扤㘱昵搳㙢搳㐷㘶㥢㘶㘶㜹㠵㤴捤挸愶㙥㐳㤳㝤㑥㍢㙣㕡〳㌶ㄴ㘷愹㤹〱㙥㉤ぢ㥤㙤挸㘴㌳挸㜷ㄱ慡扣㙣㔶慡愶㉥扢㙤ㅥ挴㕡㈷っ摢攷愹㈷㌴愶ㄷ㌷㔷㌷㌶戴㌴㌵搶攵㕢挶㘴㤶愴㜰ㅥ㥤搹扦㌱㤳敤㉡㝦㘵㤶㔴㘵㕤扡㈸㔵㌶挴敢㠴㤴戱㥢㜹捡敡敡㈴㍣㌱㙥ㅦ散敡㐴〴㝢㥥敡㍡㤱戱攰敡㘴挴敦摥㙥㈶敥㑥㐸㜴愰㕤戴㐷㈷愵搳㜶昹㍢摥㠸ㄹ攰〷㍣搴㘵戹㔷㤶て㉣ㅤ戲慤㕦㙥㈱㔳ㄷ㉢扣㈰㈶扡㥤愲㐹㔸愷敦㜵㉥戸扣㝣㉢㝢敢挷㉦挱搵搲愴㔴㐳愶㉥摢搴敥攵扣㘲㐶收晤ㄴて㔰㍣㐸昱㐷㡡㠷㈰㉡挶攱ㄸ㔷戲愲㕤㠱㔰㑢搵戲㡡愳㙢㌳㉤ぢ㡣〵搹摡昹ぢ㕡愰挳㌰㐰昷敥㉣㜷慢晤敡ぢ攴攲㜲㌴捣㐷㈸ㅥ愵㜸っ挲攷㉢㌳㕡昱㕥㘶昸捣挷昹戶づ愲攷㤸挵㉤㡤㔵㜶㕦昰愹㡡晥搰晤摦慦搶㘴㙤㜲㜱㠸慢昷收㡡㝡㕣㠳㌶㜷改攲㔵㡡㐹愹收〵㉤摣ぢ摢㌷㈲ぢ㜳㍤挵ㄳ捣昱㑦㄰〷㑣捡搶㘱ㅦ晥㙦㕤昸㔷散㡡㤸㕢扣挰攴搹搵戶昵㌳㤷㌵愴ㄷ㌴㌵㌶㘰昸㘵㕣慡㈵㌵㈶㡤慢攸㘶㤵㌲敡愷㌶㔶㉦㙥㌱敡㈷搵攲慤㘷晤㡣散愲㙣慡愵ㅡ挷攸㤶㕥昵㔳㜱〵㉥〷搱晤㌲㑢㉢敡慤㡢攷㜱搹收戴挹慢散晤㜰㑣㕡㙡㘰〹〷搹㥥昵㍣捡㘴㤷戶㌰㜴户晡改㈹㕣愵户㤸〰つㄳ㉦㙢㠹㥥扤㐴愷扤㝤㜶ぢㄱ晣戲攸㡡搲㐳ㄴ㔶愴㌲㜶ㅢ㝣㝣攲〳户慢㉤ぢ㜷㥦搹㉤戵㜵捤㈳散昲㡥ㄸ搷㠸㔱㤸慣っ㐰戱散㠶㠱摥㘵戴㑢㔶攱㕥捥换昴㘹改ㅡ㉢㉣㔲㤹搸搴戸㜸搱捥㠸昵摦㡡挳㔸㘵收㤳㄰㔷㝤戹㘶慦摤㝥㝦晢㉦昶晢〹搸㝦攴捦ㅣ㐰㐴㉢〴㥢㜸㤳㍦昳㘹扣昹摡戳㔵っ〴挲昳㌰㕢㘲㐴愱〲昸㥥昵搸摡㔹㑤㔹ㄹ㈲改㉥㡤㘵㡢戲扤敡て㙡㙣㍡戲愶戱昱㐸㤲摦㕢㕡捤ぢ戲搹ㄶ㡥㍢昴戰㠷㔹戸慣㤴敡搲㈵㙦㔰挱㌵㐰戱ぢ攲ㅢ捦㐱昴ㅡ㔳㔷㔷愵㈳㌶ㅢ捦㐳搵〵ㅦ㈷挶㕦戰戰㕢〰愷㌹挱㍤昶搸愳㝡收㡣㌱㔵戳戲昵㡢敡㜰㉡㔰㌵攱㤰㔰戸㙡摣㡣㌱ㄳ㘶㡤㔸㕡搷扣㔴〵㔰ちづㄶ慣慢㔸㜶㑤攲搴戲搱て㝥昰㐸摦㙥㑦㍦ㄷ㔶㝢摡㠶愲㈱㠹㐱〸㕥㠵㤷昹㈲挵㑢ㄴ㉦㔳扣㐲昱㉡㠴摡ㅤ慥㍣㙡㘱㌹晦捦㝣ㅤ㙤昳つ㡡㡤㄰㌸昶〸ㅤ㌸昴扣㐵ㅤて㍤㍥愵〶攳㡤㐷ㅣ㜳ㄳ挵㍢㄰㙡㜷〸敥㥢㘵收扢㄰㈵〹ㅥ㐲㐴㉢〴㔶敥慣摤㝣てち㥦搹㡥㑤つ〵㠲㈴㥢㉣慡挹㌲㥡㉣愱摡ㄶ㘱㍣㡢戳㡤㙤㈸ㅡ㘲ㄹづ户㉡晡㝦㐶昱て㡡捦㈹晥㐹昱〵㠴慡㠴慢㜷㜱扥㈲收㕦ㄴ㕦㐳戸㡡昳つ㜵㜶㜱昶挰戲ㄴ攷㍢㉡晦〳愱昶㠴戰㡡昳㍤㤶㑡ㄶ㘷〴ㅤ㕡㈱㤰㐰㕢㜱㝥㠲挲㘷戶㘳㔳〱㈰扣㡡昳攳捦㈵㡡昳㠳㙤㈸ㅡ㌲ち㈱㔲ㄵ㕥愶愱㈰扡㔱㜴愷㌰㈹㝣㄰敡摦㜰昵㉥㑥㑦㘲㝡㔱昴㠶㜰ㄵ挷㡦愶搱〷愲攰㐳㑢㠵戱愶晥㕣㕢㕦ㄸ捤慤㈰㔴ㄴ㑤慢㔲㕢愳㔹戲㔲ㄱ㝡戵㐲攴㔵敡㌷㜰昱㤹敤搸㔴っ㉥㕥㤵摡㕣慡㔲㝦戳つ㐵攳㘱〹㐴慡挲换慣挲㑡捤晥ㄴ〳㈸㜶愵ㄸ〸愱摥㉣㔹愹㐱挴っ愶ㄸ〲攱慡搴㔰敡㔸㈹散㘳㐹〴敦捦ㄵっ愷㜲て〸戵ㄷ㥡㔶㜱㐶愰㔹戲㌸㈳改搵ち㤱㔷㥣㈰㕣㝣㘶㍢㌶戵㌷㕣扣㡡戳愱㔴㜱㥥戲つ㐵攳㝢晢㈲㔲ㄵ㕥收㐸慣搴摣㡢㘲㙦㡡㝤㈸昶㠵㔰㡦㤷㉣捥㘸㘲挶㔰㡣㠵㜰ㄵ㘷ㅣ㜵昶㍥㌶ち挱晢㜳〵ㄳ愸㥣〸愱挶愰㘹ㄵ㘷ㄲ㥡㈵㡢㌳㥡㕥慤㄰㜹挵㤹〲ㄷ㥦搹㡥㑤㡤㠵㡢㔷㜱㙥㉢㔵㥣㕢㙤㐳搱㜸攵㌸㐴慡挲换㥣㠵㤵㥡戳㈹收㔰ㅣ㐴㜱㌰㠴扡戱㘴㜱づ㈵收户ㄴ㠷㐱戸㡡㌳㤷㍡扢㌸攳ㄱ扣㍦㔷㜰〴㤵㈹〸挵愱㑦慢㌸㌵㘸㤶㉣捥〴㝡戵㐲攴ㄵ㈷ぢㄷ㥦搹㡥㑤㑤㠲㡢㔷㜱㉥㈸㔵㥣搵戶愱㘸晣㜵㌲㈲㔵攱㘵㌶㘰愵㘶㈳挵㈲㡡愳㈸㥡㈰搴㌹㈵㡢搳㐲捣㘲㡡㈵㄰慥攲㉣愵捥㉥捥ㄴ〴敦捦ㄵ㉣愷昲ㄸ〸戵㍦㥡㔶㜱㡥㐵戳㘴㜱愶搲慢ㄵ㈲慦㌸㈷挰挵㘷戶㘳㔳〷挰挵慢㌸换㑢ㄵ㘷㤹㙤㈸ㅡ㑦㥥㡥㐸㔵㜸㤹愷㘳愵收ㄹㄴ㘷㔲㥣㐵㜱㌶㠴㙡㉥㔹㥣㜳㠹㌹㡦攲㝣〸㔷㜱㔶愱㘹慣㠶㈸㍣㍡㜳扣扡㍦搷㜶〱㡣收㠵㄰㙡㈶㥡㔶愵㉥㐲戳㘴愵㘶搰慢ㄵ㈲慦㔲㤷挲挵㘷戶㘳㔳戳攰攲㔵愹㈳㑡㔵㙡㥥㙤㈸ㅡ㉣㥦㠳㐸㔵㜸㤹搷㘰愵收戵ㄴ搷㔱㕣㑦㜱〳㠴㍡愴㘴愵㙥㈲收㘶㡡㌵㄰慥㑡慤愵捥敥㐶ㅣ㝦敦捦ㄵ摣㐶攵敤㄰敡㄰㌴慤攲摣㠱㘶挹攲ㅣ㑣慦㔶㠸扣攲摣つㄷ㥦搹㡥㑤ㅤちㄷ慦攲㑣㈸㔵㥣昱戶愱㘸昰晦㌰㐴慡挲换㝣ㄸ㉢㌵ㅦ愱㜸㤴攲㌱㡡㔶〸㌵慡㘴㜱搶ㄱ戳㥥攲〹〸㔷㜱㥥愴捥晥攸㍡ㅣ挱晢㜳〵ㅢ愸㝣ㅡ㐲捤㐳搳㉡捥㌳㘸㤶㉣捥㕣㝡戵㐲攴ㄵ攷㌹戸昸捣㜶㙣敡〸戸㜸ㄵ㘷㜸愹攲っ戳つ㐵㌷㌳㙡㄰愹ち㉦昳㔵慣搴㝣㡤攲㜵㡡㌷㈸㌶㐲愸摤㑡ㄶ攷㉤㘲摥愶搸〴攱㉡捥扢搴搹㍤㈷㡤攰晤戹㠲捤㔴扥〷愱戲㘸㕡挵㜹ㅦ捤㤲挵挹搰慢ㄵ㈲慦㌸ㅦ挱挵㘷戶㘳㔳㌹戸㜸ㄵ愷㙦愹攲昴戱つ㐵㌷㘷ㄶ㈰㔲ㄵ㕥收ㄷ㔸愹昹㈵挵㔷ㄴ晦愲昸ㅡ㐲昵㈸㔹㥣㙦㠸昹㤶攲㍢〸㔷㜱扥愷捥㉥づ敦昷昴攷ち㝥愴昲㈷〸挵晢㍣㔶㜱㝥㐶戳㘴㜱ㄶ搲慢ㄵ㈲慦㌸慡㥣挵㘹挷愶敡攰攲㔵㥣敦㝥㉡㜱敥晣慤㙤㈸扡搹搴㠰㐸㔵㜸㤹㍥慣搴散㐱搱㤳愲ㄷ㐵㙦〸昵㈵㕣扤捦㥤㌹〷挴散㐳搱ㄷ挲㔵㥣慤挵㠰つ挷ㄹ㘱㈳㠲昷攷ち戶愵昲㌷㄰㡡昷慤慣攲㙣㠷㘶挹攲㉣愲㔷㉢㐴㕥㜱㜶㠰㡢捦㙣挷愶㥡攰攲㔵㥣㑤愵㡡昳戶㙤㈸扡㜹搶㠲㐸㔵㜸㤹〳㤹晢㙥ㄴ㠳㈸〶㔳っ㠱㔰慦㤵㉣捥㔰㘲㠶㔱っ㠷㜰ㄵ㘷〴㜵敢㄰ㄵ挵㔹㡣㌷㈹㑥㠰捡㈰㠴攲㝤㌸慢㌸㈱㌴㑢ㄶ㘷〹搳㙡㠵挸㉢㑥ㄴ㉥㍥戳ㅤ㥢㕡ちㄷ慦攲㍣㔱慡㌸敢㙤㐳搱捤挰攵㠸㔴㠵㤷戹㉦㜳ㅦ㐵㌱㥡㘲っ挵㔸〸昵㐸挹攲㡣㈳㘶㍣挵〴〸㔷㜱㈶㔱户づ㔱㔱㥣㘳昰㈶挵㤹㑣攵ㄴ〸㜵ㅣ㔴㔶㜱愶愲㔹戲㌸挷㌲慤㔶㠸扣攲㑣㠳㡢捦㙣挷愶㡥㠷㡢㔷㜱搶㤴㉡捥捤戶愱攸收收ち㐴慡挲换㍣㤸戹ㅦ㐲㜱㈸挵㙦㈹づ㠳㔰搷㤶㉣捥㕣㘲收㔱ㅣ〱攱㉡㑥つ㜵敢㄰ㄵ挵㌹ㄱ㙦㔲㥣っ㤵㔹〸戵ㄲ㉡慢㌸㌹㌴㑢ㄶ攷㈴愶搵ち㤱㔷㥣㕡戸昸捣㜶㙣敡㘴戸㜸ㄵ攷晣㔲挵㌹捦㌶ㄴ摤慣㍤ㄵ㤱慡昰㌲㥢戰㔲戳㤹愲㠵㠲攳挸收ㄲ〸㜵㐶挹攲㉣㈵㘶ㄹ挵㜲〸㔷㜱㡥愵㙥ㅤ愲愲㌸扣晦㉢挵㌹㥥捡ㄳ㈰ㄴ敦晢㕡挵㔹㠱㘶挹攲㥣捥戴㕡㈱昲㡡戳ㄲ㉥㍥戳ㅤ㥢㍡ㄳ㉥㕥挵㔹㔲慡㌸㡢㙤㐳搱捤攷戳ㄱ愹ち㉦昳㙣收㝥づ挵戹ㄴ攷㔱㥣て愱ㅡ㑢ㄶ㘷ㄵ㌱慢㈹㉥㠰㜰ㄵ攷㈲敡搶㈱㉡㡡㜳づ摥愴㌸㤷㔰㜹㈹㠴㍡て㉡慢㌸㤷愱㔹戲㌸攷㌲慤㔶㠸扣攲晣ㅥ㉥㍥戳ㅤ㥢㍡ㅦ㉥㕥挵㌹慣㔴㜱㝥㙢ㅢ㡡㙥愶慦㐲愴㉡扣捣ㅢ㤸晢㡤ㄴ㌷㔱摣㑣戱〶㐲捤㉥㔹㥣戵挴摣㑡㜱ㅢ㠴慢㌸㜷㔰户づ㔱㔱㥣搵㜸㤳攲摣㐵攵摤㄰㡡昷攵慤攲摣㠳㘶挹攲㕣挰戴㕡㈱昲㡡㜳㍦㕣㝣㘶㍢㌶㜵ㄱ㕣扣㡡㌳戶㔴㜱挶搸㠶愲挹〱㤷㈰㔲ㄵ㕥㘶㉢㜳㝦㥣㘲ㅤ挵㝡㡡㈷㈰搴㕥㈵㡢昳㈴㌱㑦㔱㙣㠰㜰ㄵ攷ㄹ敡搶㈱㉡㡡㜳㈹摥愴㌸捦㔲昹ㅣ㠴扡ㅣ㉡慢㌸捦愳㔹戲㌸㤷㐹㕡㄰㜹挵昹㉢㕣㝣㘶㍢㌶㜵〵㕣扣㡡㌳愴㔴㜱〶摢㠶愲挹づ㔷㈲㔲ㄵ㕥收㐶收晥㈶挵㕢ㄴ㙦㔳㙣㠲㔰晤㑢ㄶ攷㕤㘲晥㐶戱ㄹ挲㔵㥣昷搱㌴㍥㠰㈸扣ち扤ち㙢㤲㑡㝤㐸慦㡦㈰搴ㅦ愰戲㉡昵㌱㥡㈵㉢㜵㌵㜳㙣㠵挸慢搴愷㜰昱㤹敤搸搴㌵㜰昱慡㔴敦㔲㤵敡㘵ㅢ㡡㘶㜲㕣㠷㐸㔵㜸㤹㕦㘳愵收扦㈹扥愱昸㤶攲㍢〸搵慤㘴愵扥㈷收〷㡡ㅦ㈱㕣㤵晡㤹扡㜵㠸㡡㙥㜴㍤摥愴㌸㥣㤶㘱㉡〸挵㐹㈱㔶㜱捡搱㉣㔹㥣ㅢ㤸㔶㉢㐴㕥㜱㌸㕢搵㘷戶㘳㔳㌷挱挵慢㌸㕦晦㔸攲㜴昹㕦戶愱㘸㘶捡ㅡ㐴慡挲换散㡤㤵㥡㤵ㄴ㝥㡡㍥ㄴ㝤㈱搴㍦攰敡㝤扡扣㌵㌱摢㔰㙣ぢ攱㉡捥㜶搴搹挵攱㘴ㄷ㈹㑥㍦㉡㜷㠰㔰户㐲戵㉢㕥㘵收㡥㘸㤶㉣捥㕡㈲㕡㈱昲㡡戳ぢ㕣㝣㘶㍢㌶㜵ㅢ㕣扣㡡戳戱㔴㜱摥戰つ㐵㌳㙤敥㐰愴㉡扣捣㈱㔸愹戹㍢挵㔰㡡㘱ㄴ挳㈱搴㑢㈵㡢㌳㠲㤸㍤㈹〲㄰慥攲㠴愸戳㉦搱㌹㜹㐷㡡ㄳ愱㌲ち愱敥㠶㙡㔷扣㌰ㄵㄴ捤㤲挵戹㡢㠸㔶㠸扣攲㈴攱攲㌳摢戱愹㝢攰攲㔵㥣搶㔲挵㜹捣㌶ㄴ捥ㅣ慡攰㝤昸挲㥢愱㌲㝤搸㤹㔳攱㥡慤搱ㅢ㘰㈳㌷扢愱戶愵戹㐷㡥㌷捤㈷搴戶㡣㙢㙥改㤹㠳挰愲戸昴㤳改〷㉥愷㘱戹㌹戵搹愳㘷攱㜶攰㉥挵㈶捣慣慥㕥摣摣搲㈸昷㜹㜷㉥戶㡦㙢㍣愰戱㘵㕣㙤㌳敥收㉤ㅢ攸㘱戶㉣〷㉤挸㌶㘰㍥㑣ㄳ愶挵㙣〹搴戸㘸㔱㌶攳㤱攳捣挶挵㑤改散㝥攳晥ㄷ㘶搴㈸敢㠶㜵ㄹ敥㠹㉡㠵㌱㤲搲㌳㐸㕣㜵摦〹摣㤴攳㍥慡晡㤵ㄳ㌲㕡攱㕦㘶㔶愳敢㤵㘱㥤攸敡收㌸㜶㐳㕦㔹挵〳㔰戵摦㐵㕣㜳㜴㝡〰散换㠱㔶㑢搷换㥥〴戶㕦㐳㜳㙤㈶敢戳㕢晢搷㌶昴戶ㄷ愷㉤㙥挹戳愴㤶㙥㘵㕢㜰戳㜷㕡〳愸㑦愷㥡㌲晦ぢ慣㘰挳昰㘷㔱愲っ晣晢㜵㠵戶挲㤴㤵㝤愱㥦㠰昹攲〴散散攳敤㕡㍦〸戳攷扤㜷㘷㜷挴㠲㙢㡡㔳㈵昰扤㔸㙥㐷摤㥤慤晤戳愹〶㘱㘱㘶㑢㘶㕣㜶㐹㙦㐱㘴搱挱昱㐰㐳㕤㜶慢晣愶㑣挱㌰㜳㘳㙡㥡ㅢ敢ㄶ户㘴㝢㍢㑢戲愳㥢戹ㄹ㔹摣㑡挷㜴戵㥥捥搲昴㜴ぢ㈶昴㌹昱㌸ㄵ敤㝦㠷㈱㔴愴慢捤㤲ㄲ㥥㡣㜶㍡㙦晥㐶㜰ㅦ晡㤵慣慡戲戲㥣晣㝤㍥㑡㕤㜶㈹晦㙥ㅥ㔵愶ㄷ㝣晣㉢慢昸㈳挲㜷㝣㍥ㅡ昷愴慤昴㌴㐹敢〸㈷〷慦㥥㕡挷愹㘰扤㜲㜲摣挳㝣㑦㍥换㔲挹㕤愷づてㅡ戵搴愶㔳㜵㜵换㝡攷昶㙢㐸搷㉤捥㘴愷愶㙡戲㜵晡㤸摤搸㔴晦㍦挲㔷㔷㔴捤摥愳摡愹㡢㍤㌱㙢㍦㍣〰愶㘷扦晤敡挳㥣㌲㈷㘰㑦㌳㈶㐲㔴散㌳㘶㑥㤰㌷㠶㝤收㈴㝢敦攳〴戴晦昳ㄴ㐰ㅦ㥣晡戶㑤㘰㤵〷㠵㜰㠰㉢㔲昱挸挶ㄹ㔱捥㉣㐲搹敦㕣戰愹㡤㔳ㅢ㌱挳㌳攳㔲㑤慡戵㔴晦㌳㝢㤷散㔸㠶㘱晣摡㡦ㄹ搴ち㝦㕦搸ㄳ㌲㜰攸戳摡愳昸㐹挳㕤攴ㄱ戴ぢ攷㔲戹㑥㐷攴っ㐰づ㠵㝥〰㉢㜹ㅣ戳㑥ㅦ㘶搵戶搴㘵㝢攴挴㉥换摤戹㘳戰㥡摤㜲戳ㄶ㘰㕥搲戸㕥戹㠹㑤戵㤹扡摡㠶㉣㑦㐵㌰攳㤸て㘷㑤捤捥挷摣搸改㡤捤戵㝣收戰㔷㙥㔶㔳慡愱㜹ㄱ愷㥦愵㤷昵捤㙢〹㔹ㄵ戹戱戵つ搸㡤慣㜵㜲戹㌲㌷㜳㐱攳搱㜸㙣㜱㜱㝤挳挴搴愲收晦〹愲戸㔷㔹㝦搶㜱戰㕣㤵㤷慢敥攵摤㝦敤㈷㤶戱ㅦ昶㡦㥤慢ㅢ㥢㕢慡昴㠳㜵㔵㐷敦搹㔸㌵愳戶昹挸㉡敥㤶㈳慢㌰晢〴㙢つ㘱慤攵ㄴ㌶㥢㡦㘲愹㥤ㅤ㥢㐴摡㤳㤷戹㘳㌳敤扣愷昴㍣㈷㑦㍡㡦㠵昲㘰㙤㑥㐶㘶㍤愷㐰㑣㥥㌸㝢扦戶㈹敦晦㕦捦㔸㔶㍣㠶挸敤㝣㘶㐸捦㜱收搷㙥〳㜰㙦慢㌷㔱挷捥㘵㑡愷㘰慢戰㠷晡㜲㠲㘱㘷挵挷㉣攱㕣㥣㠰挹㡦㍤㜱㙣挰㌱ㅡ昵挵挱戹户搵攰㜹㕦㝤慡慥搹戶㔵㌷搶搷愷搸晢搸㜳㘷攲〰㥦敤㉥㈷攱㌸搸㤸㌹〸改愲戶㉡戵ㄴ慡搴㔲㔱攱㜳㥢㜳收㘵㤹戱ㅡ攷愷㥡㙡㕢ㄶ搴搷愶扢戳挱㜹敤晦ㄳ摤ㄶ㕤愸㉢㡡愹晦愴敦攲㡣戶㜰㠲慡㌵愷ㄲ㜴㡦挰㐵〶㑢㐷晡搱戹换攵挳㕥晤捡〹挹攸扥㜲㈱㘶敥㡦㘸ㄵㄸㄶ㈸挳㘷㡣㤵㡡敢㑣つㅡ㌹㑥愹挷〹挰换㍣〰㜰㉥昰搵㜵㍤㐴扢搳㐴扢〱攰㥢摡㤸捡㑣挰愳て㡤㑤摤散㘷㠲扢㠳㕡ㅥ㜵㥡晣㥣ㅡ㕣㡤㐹昵㤸慣扦〴㈷捣㑤摤愹㤸㠹㐹户㕤㌹愹搸戰㌸攴㘷㘶㔹㐵㐵㡦敥㕥敢摡㑦挷ㅡ㘸㑦愱㜴㍦㔳扤㕦㔱晣捦づ㑣昰ㅥ〹㌶ぢㅢ㔲㘶㑥㠳㌴愷㜳㥢㥥㐰㤳摢㔳〰㌸㤰㠰ㄹ㄰ㄵ㑦挲㔸戸㤷㤴㥣㐶ぢ㠷戲㡡㝡㑥敦敤㕥捦捤挱㜹㠹㠱㐹扦㤸㈶㡣㤲ㄸ㍤扡晦〹㜶㜳㈶㔰捦㍤晢散㍥㔸㉥㔳㥣愷扡ㅥ㉦慥㝦㐷扣晢㝣㝤㈰捤㔹挰㤸戳㈱搴㡢㘸捡㉣昲㔶㉣㘰挶て㜴㘰㐱慥㕣づ挶㌲㍥㑤搴㑢㔰昱敡㐵晦戹㤸挴愷晥㈱㌶敡㘵㤸㜹摥㑤づ户㜴づ愷㕥〱㡥攷㜱捡㍣ㄴ敥挶㙦㈱㜸㈲ㄱ㐹㐰攷㌳て戳㐳扥㡡ㄶ㑦㈶慣扦㤲ㅦ㜷敡㜵〰昸㤱㔷㘶昲㄰㉢ㄹㄴㅣ㐳搵ㅢ㔰昳㌸㙡捥〵㐲㙤挴ㄲて㑦挸搵敡慥㐷㌰㠱㉤㜶搷户挴〳㐱㔲っ㘲㌷搴㈶㉣慣挷慢㠰攲ㅡ㘰捣㌴㠱敦㜸〳㌲〴㘴〹㜸ㄷ〰昶〳㌳㠷㤶㐳摤㝢㉥㌷ㄳ换㍥ㅦ晢扤㌹㥦㙥ぢ攸昶ㄹ㥡㉥敡ㄶ㐲㠷慣㠴扡㈳戱㑣敡晥〱㔵㘹敡敡㙣搴攷㐰㜵㤸扡㝦〲㙣㔱㔷て㜷愳〱㠲搴㐵㘳搰晢捣㐶㍢攴ㄷ㘸㜵㠴扡慦㠰摢〲㜵晦〲㐴愸㍢ち戱搵搷㘸攵㔱搷捣〴戶㐸摤㌷㜰㈳㘳㈶扦〷挱愱敥㍢㘸搶攳㔵㐰摤㘲㘰捣㈵〴晥挷ㅢ㜰㌴〱㑢〹昸ㅥ〰愱㙥ㄹ㕡づ㜵㍦戹摣㕣搴㉤愷摢㌱㜴㌳㤰㠲㡢扡攳愰搳搴ㅤ㡦㘵㔲搷つ㤰搲搴㥤㘰愳扡〳搵㘱敡㌸㘵搶愲㙥〵摣㡤ㄳ㈱㉡昶ㄹ㕢ㅤ攳捥㠲摢㠳㜶㐸ㅦ㔰ㅤ愱㡥㤳㙢㠵㍡㥣扡㘳戱㜰㡦攳戴㕢愱㙤㈵攲慡摥㘸攵搱㜶ち㔷扥㐵摡晣㜰挳晦㌲昳㔴挰昵㥦攲摣摣昵㘸ㄵ搰㜶ㅡ㌰收改㄰㡡昳㜶㍤〰㘷㄰㜰㈶〱㕢〳㈰戴㥤㠵㤶㐳ㅢ㈷敢㙡㌷ㄷ㙤㘷搳敤ㅣ扡㔵〱攰愲敤㍣攸㌴㙤攷㘳㤹戴昵〷愴㌴㙤扦戳㔱〳㠰敡㌰㙤扢〲㙣搱戶ち敥挶㙡〸搲㘶敦㜱ㄷ搸㈱〷〲搵ㄱ摡〶〱搷づ㙤㠳㘱ㄶ摡㉥㐴㕣㌵〴慤㍣摡㉥收捡户㐸摢㔰戸攱㝦〱㙤㥣㌵扣扥㤸戶㑢ㄱ搲扣㡣㙢攳㡣㘲て挰攵〴㕣㐱挰〸〰㠴戶摦愳攵搰ㄶ㜴戹戹㘸扢㤲㙥㔷搱㙤㈴〰㉥摡晥〰㥤愶敤ㅡ㉣㤳㌶㑥〸㉥㑤摢戵㌶㙡㙦愰㍡㑣ㅢ㘷ㄶ㕢戴㕤〷㜷攳㝡〸昹㡣ぢ㘲敤戸愳㘱㠷摣ㄷ愸㡥搰㌶ㅡ戸㉤ㅣ㈸挷〰㈲搴摤㠴搸㙡㉣㕡㜹搴慤㘱〲㕢愴㙥ㅣ摣昰ㅦて收㌲㠸ㄴち敦ㄳ戰戴ㅥ㡤㠲㍤㙥㉤㌰收慤〴㑥昴〶摣㐶挰敤〴㑣〲㐰愸扢〳㉤㠷㍡㑥㜲㕥㙦挷㜵㔱㜷㈷摤敥愲摢㉣〰㕣搴摤〳㥤愶敥㕥㉣㤳㍡㑥㔷㉥㑤摤㝤㌶㙡づ㔰ㅤ愶㡥昳㥥㉤敡敥㠷扢昱〰㠴㔰ㄷ挰摡㝤收㠳㜶㐸㑥㡣敥〸㜵㠷〲户〵敡㌸㝦㕡愸㝢〸戱搵㘱㘸攵㔱昷〸ㄳ搸㈲㜵㜳攱㠶晦㤸㍡挹㈰㔲㈸扣ㅦ㠱愵昵㘸ㄴ㔰昷ㄸ㌰㘶㉢㠱㈹㙦挰攳〴慣㈳愰〶〰愱㙥㍤㕡づ㜵㥣㠲扤摥㡥敢愲敥〹扡晤㠹㙥つ〰戸愸㝢ち㍡㑤摤〶㉣㤳㍡㑥愶㉥㑤摤搳㌶㙡ㄱ㔰ㅤ愶敥㈸㠰㉤敡㥥㠱扢昱㘷〸愱捥晡㡣㝢搶づ挹㘹摢ㅤ愱㡥㔷搳㕢愰㡥戳扢㠵扡攷ㄱ㕢㉤㐱㉢㡦扡ㄷ㤸挰ㄶ愹攳㜴㜰晣㉦㌳晦捡㈰㔲㈸扣㉦挷搲㝡扢挴っ㘱㕦㕤扣〸㡣昹ㄲ㠱㥣㉢敥〱㜸㤹㠰㔷〸㌸ㄶ〰愱敥㔵戴ㅣ敡㌸㐱㕣扢戹愸㝢㡤㙥慦搳敤㜴〰㕣搴㙤㠴㑥㔳昷㈶㤶㐹ㅤ愷㝡㤷愶敥㉤ㅢ㜵㈶㔰ㅤ愶㡥㜳挶㉤敡摥㠶扢戱〹㠲㥦㜳挱〴㌷摤㝣挷づ挹㐹攵ㅤ愱敥㕣攰摡昹㥣攳扣㜳愱敤㕤挴㔵攷愳㤵㐷摢㘶慥㝣㡢戴㜱愲㍡晥㘳捥㉣攰晡㑦㕤〰搵㝡戴ち昶戸昷㠱㌱㍦㠰㔰㥣戸敥〱昸㤰㠰㡦〸戸〸〰愱敤㘳戴ㅣ摡㌸㕢㕤扢戹慥攵㍥愱摢摦改㜶つ〰㉥摡㍥㠳㑥搳昶て㉣㤳㌶捥㍢㉦㑤摢攷㌶敡㍡愰㍡㑣ㅢ㈷戰㕢戴晤ㄳ敥挶ㄷ㄰摣攳㘲ㄶ㙤㕦摡㈱㙦〰慡㈳戴摤〴摣ㄶ昶㌸㑥㠴ㄷ敡晥㠵搸㙡つ㕡㜹搴晤㥢〹㙣㤱㍡捥㥣挷㝦㑣㝦㘰㄰㈹ㄴ摥㙦挳搲晡㘲敡扥〵挶晣㡥㐰㑥慢昷〰晣㠷㠰敦〹戸〳〰愱敥〷戴ㅣ敡㌸㤷㕥扢戹昶戸ㅦ改昶ㄳ摤ㅥ〶挰㐵摤㉦搰㘹敡㜸ㅢ㤳搴㜱㔶㝣㘹敡㌸攸㐳搴愳㐰㜵㤸㍡㑥慦户愸㉢㠷扢搱〵㐲捥㉣慤㠳㈵扥㥡㑢㐲戶〲搵ㄱ敡搶〱搷捥ㅥ挷㈹晡㐲㕢〵攲慡㈷搰捡愳慤ㅢ㔷扥㐵摡㥥㠴ㅢ晥ㄷ㥣㔹㙥㠰㑡㤷搷㜵愰攴ㄷ搷㤹㍥慥㡤ㄳ晥㍤〰㍤〸攸㐹挰㌳〰〸㙤扤搰㜲㘸攳㉣㝦敤收愲慤㌷摤㉡改昶㉡〰㉥摡晡㐰愷㘹攳戳昳㈴㠴昳昵㑢搳戶㤵㡤攲㠴晥づ搳挶㠹晦ㄶ㙤㕢挳摤搸〶㐲昶戸㌸搶敥㌳户戵㐳㙥〴慡㈳戴扤〵摣ㄶ昶㌸㍥㐰㈰搴㙤㠷搸㙡ㄳ㕡㜹搴昵㘳〲㕢愴敥㕤戸攱㍦收扤㌰㠸ㄴち敦㥢戱愴㑢散愲㙥㐷㘰捣㥤〸攴攳〸ㅥ㠰㥤〹搸㠵㠰昷〱㄰敡慡搰㜲愸晢挸攵收愲慥㍦摤〶搰敤ぢ〰㕣搴つ㠴㑥㔳户ㅢ㤶㐹ㅤ㥦㈶㈸㑤摤㈰ㅢ挵挷つ㍡㑣ㅤㅦ㑢戰愸ㅢっ㜷㘳〸〴愹ぢ㕢〷换摤敤㤰㕦〳搵ㄱ敡扥〱㙥ぢ搴昱昱〶愱㙥ㄸ㘲㉢㍥攷㤰㐷摤ㅥ㑣㘰㡢搴㝤て㌷晣㉦㌳㐷㌰㠸愶敥㐷㉣㜹㌰戳㈷㌰㘶㠰㐰㍥㉣攱〱〸ㄲ㄰㈲攰㘷〰㠴扡㌰㕡づ㜵㝣㐲㐲扢戹愸㡢搰㉤㑡㌷ㅦ〰㉥敡攲搰㘹敡ㄲ㔸㈶㜵㝣搶愱㌴㜵㐹ㅢ搵ㄳ愸づ㔳搷ぢ㘰㡢扡㤱㜰㌷昶㠲㤰㠳㘵ㄲ㙢昷㤹㝢摢㈱㝢〳搵ㄱ敡昸㜸㐵㍢〷㑢㍥㜸㈱戴敤㠳戸慡㉦㕡㜹戴㡤攲捡愱㙣㝦㜸㝤㙢㈰挸㔶晥攸〹ㅦ搵搰攵㘵〸晢慣㜲っ㐲㥡㘳戹㌶㍥挶攱〱愸㈶㘰ㅣ〱摢〱㈰戴㡤㐷换愱㡤捦㙥㘸㌷ㄷ㙤ㄳ攸㌶㤱㙥〳〱㜰搱戶ㅦ㜴㥡戶挹㔸㈶㙤扢〱㔲㥡戶㈹㌶㙡㄰㔰ㅤ愶㡤㡦㜳㔸戴㑤㠵扢戱㍦㠴㕣㄰㔸攳㤵〷搸㈱㠷〰搵ㄱ摡㠶〲户㠵㍤㡥㡦㠵〸㜵搳ㄱ㕢つ㐷㉢㡦扡ㄹ㑣〰捡昶愹ㅢ〱㠴㔰㌷㤳㐱愴㔰㜸攷㠳㈴扡挴っ㘱㔳㌷ぢㄸ㜳㌶㠱㝣挸挴〳㌰㠷㠰㠳〸〸〱㈰搴ㅤ㡣㤶㐳ㅤ㥦㉣搱㙥㉥敡づ愱摢愱㜴摢ㄷ〰ㄷ㜵㠷㐱愷愹㍢ㅣ换愴㡥昷㍦㑡㔳㌷搷㐶㡤〶慡挳搴昱㘱ㄳ㡢扡㜹㜰㌷㡥㠰㤰捦戹㈸㌷摤㑣搹㈱昹㌴㑡㐷愸ㅢ〷摣ㄶ愸ㅢて㠸㔰㤷㐶㙣㌵〱慤㍣敡戲㑣〰捡昶愹㥢〴㠴㔰㤷㘳㄰㈹ㄴ摥㈷㐳慢㑢捣㄰㌶㜵昳㠱㌱ㄷ㄰挸㐷㘰㍣〰戵〴㉣㈴㘰㉡〰㐲摤㤱㘸㌹搴㑤㜳戹戹愸慢愳㕢㍤摤づ〶挰㐵㕤㈳㜴㥡扡㐵㔸㈶㜵㝣㠲愵㌴㜵㐷搹愸㐳㠱敡㌰㜵㝣ㄴ挶愲慥〹敥㐶㌳〴愹㡢㕡〷换ㄶ㍢㈴㥦㤵改〸㜵㜳㠱摢〲㜵㝣愴㐶愸㕢㠲搸敡〸戴昲愸㕢捡〴愰㙣㥦㍡㍥㠳㈳搴㉤㘳㄰㑤㕤〶㕡て㘶㤶〳㘳ㅥ㐳㘰搶ㅢ㜰㉣〱挷ㄱ㤰〳㐰愸㍢ㅥ㉤㠷㍡㍥㤵愳攳扡愸㍢㠱㙥㉢攸搶〴㠰㡢扡㤳愰搳搴慤挴㌲愹攳昳㌵愵愹㍢搹㐶戵〰搵㘱敡昸愰㡥㐵摤㈹㜰㌷㑥㠵㤰扤捥ㅡ晣㍡捤づ挹㈷㜹㍡㐲摤㔲攰戶㐰ㅤㅦ昸ㄱ敡捥㐰㙣戵ㅣ慤㍣敡捥㘲〲㔰戶㑦ㅤ㥦㄰ㄲ敡捥㘶㄰㑤摤昱搰敡ㄲ㌳㠴扤搷㥤〳㡣㜹㉥㠱㝣㝣挸〳㜰ㅥ〱攷ㄳ戰〲〰愱敥㜷㘸㌹搴昱㤹㈱敤收愲㙥ㄵ摤㔶搳敤㙣〰㕣搴㕤〸㥤愶敥㈲㉣㤳㍡㍥晤㔳㥡扡㡢㙤搴戹㐰㜵㤸扡昳〰戶愸扢〴敥挶愵㄰戲搷㈵戸改收㘵㜶㐸㍥㘷搴ㄱ敡㔶〱户〵敡昸㌸㤲㔰㜷〵㘲慢ぢ搰捡愳敥㑡㈶〰㘵晢搴昱昹㈵愱敥㉡〶㤱㐲攱晤ㄲ㘸㜵㠹ㄹ挲愶敥㙡㘰捣㍦㄰挸㠷㥢㍣〰搷㄰㜰㉤〱㤷〱㈰搴㕤㠷㤶㐳ㅤ㥦㘸搲㙥㉥敡慥愷摢つ㜴扢〱〰ㄷ㜵㌷㐱愷愹扢ㄹ换愴㡥捦㈶㤵愶㙥㡤㡤扡〹愸づ㔳挷㠷㥣㉣敡㙥㠱扢戱ㄶ㠲搴㐵㈲摣㜴昳㔶㍢攴ㅡ愰㍡㐲摤㕡攰戶㐰ㅤㅦ㤶ㄲ敡㙥㐷㙣㜵ㅢ㕡㜹搴摤挹〴愰㙣㥦㍡㍥㕤㈵搴摤挵㈰㔲㈸扣摦〵慤㉥㌱㐳搸搴摤つ㡣㜹て㠱㝣昴捡〳㜰㉦〱昷ㄱ㜰て〰㐲摤晤㘸㌹搴昱㜹㉢敤收愲敥〱扡㍤㐸户㔶〰㕣搴㍤〴㥤愶敥㘱㉣㤳㍡㍥㌹㔵㥡扡㐷㙣ㄴㅦ慤敡㌰㜵㝣〴换愲敥㔱戸ㅢ㡦㐱挸〱搳ㅡ㐵㘹戵㐳㍥〱㔴㐷愸㝢ㄲ戸㉤㔰挷㐷戹㠴扡㜵㠸慤㌶愰㤵㐷摤ㄳ㑣〰捡昶愹㝢〶〸愱敥㑦っ愲愹㝢ㄶ㕡㕤㘲㠶戰愹㝢ㄲㄸ昳㈹〲昹㘰㤸〷㘰〳〱㑦ㄳ昰㍣〰㐲摤㌳㘸㌹搴昱㘹㌰敤收愲敥捦㜴㝢㤶㙥ㅢ〱㜰㔱昷㍣㜴㥡扡扦㘰㤹搴昱戹慥搲搴扤㘰愳昸攰㔷㠷愹攳〳㘲ㄶ㜵㝦㠵扢昱㈲㠴散㜵搶ㄹ收㑢㜶挸㑤㐰㜵㠴扡㜷㠱ㄳ敡㡣㤷攱昹㉢愶晡㈹㍥㠷㈶捣扥㠲〰㡡て愴攵㌱晢ㅡ昳㠳戲㝤㘶摦〷㐲㤸㝤㥤㐱㌴戳ㅦ㐲慢ㄹ㘰〸㥢搹㌷㠰㌱㌷ㄲ挸〷搹㍣〰㙦ㄲ昰ㄶ〱ㅦ〳㈰捣扥㡤㤶挳㉣㥦㕥搳㙥㉥㘶㌷搱敤ㅤ扡㝤つ㠰㡢搹扦㐱愷㤹摤㡣㘵㌲换攷搰㑡㌳晢㥥㡤攲㠳㙡ㅤ㘶㤶て戴㔹捣扥て㜷攳〳〸㌲ㅢ㑥㜲搳捤て敤㤰摦〱搵ㄱ㘶扦〷㙥ぢ㍢㈵ㅦ㡣ㄳ敡㍥㐶㙣挵㈷攴昲愸晢㍢ㄳ㠰戲㝤敡㝥〶㐲愸晢㤴㐱愴㔰㝣敦搲㔶㘲㠶戰愹晢っㄸ昳ㅦ〴㉡㙦挰攷〴晣㤳㠰㜲〰㠴扡㉦搰㜲愸慢㜰戹戹愸晢㤲㙥㕦搱慤㌷〰㉥敡扥㠶㑥㔳昷㙦㉣㤳扡㑡㐰㑡㔳昷㡤㡤昲〳搵㘱敡晡〰㙣㔱昷㉤摣㡤敦㈰攴㜸㙡摤㌸晦㡦ㅤ戲㉦㔰ㅤ愱㙥㙢攰戶㐰摤㌶㠰〸㜵㍦㈰戶摡ㄶ慤㍣敡㝥㘲〲㕢愴㙥㍢戸〹㜵㍦㌳㠸愶慥ㅦ戴敢搱㈸戸ㄷ昴ぢ㌰㘶㔹〵㠰㍢㜸〳昸戳ぢ㘶㌹〱㍢〲㈰搴㜵㐱换愱㙥ㄷ㤷㥢㡢扡慥㜴慢愰摢㄰〰㕣搴㜵㠳㑥㔳搷ㅤ换愴㙥㜷㐰㑡㔳挷ㅦ㝣㈱㙡㈸㔰ㅤ愶㙥ㄸ挰ㄶ㜵㍥戸ㅢ㍤㈰㌸㐶ㄶ戳愸敢㘹㠷ㅣづ㔴㐷愸ㅢ〱㥣㔰攷㍤挳㘸㑦㤸㠵戶㕥㠸慢〲㘸攵搱㔶挹㤵㙦㤱戶㄰摣㠴戶㔳戱愰晦㔴〴㡤昵㘸ㄵ搰搶〷㈱捤扥㕣㕢搴ㅢ戰ㄵ〱㕢ㄳ㄰〳㐰㘸摢〶㉤㠷戶愴换捤㐵摢戶㜴晢つ㐴㐵㌵〰ㅤ㝢㔲㡤㤳〱晤慥挷〷㌹㘵扡戹㑦敥挰挵愹㍡晣摡捡㌴㍣挳搲㐲搵晦挲㥣攴慥搶㤳㐴㠵摦㠱㥥晦㈳㉣㜸〸㑦㌶攱户㠷敦㡣㉤㉢慣㐱㍥搶摥戶㘶㈲㝦摤㤳㐶扥㡡㡦扦晦攵㤷㡥慤㠵摤愳摢ㄲ㝥挳敥扣㜹㘵摤戹㑥㤰㠴て㤱敤㐱ㄸ昷㤰㜱㘸㑡ㄷ敡〷㠵晥㔳攳扤戴ㄵㄳ愰㙤㘷㉥㝦挱㐳㍡㡣扡㔵摢捣㘳捥㌱ㅦ㔶挷摦㜲昲㥡戲㥣㍦愵㝦〷攴愲㈶㜹攵愰㈶㙢敤㑥挴㘰ㄵ㝣㔵散て敤ㄶ㈷㠹攳戰㠵攷ㄲ㌹㕤㝣㘶换戲㍡㑣搱攷㈲扦㤵搶㕡攲㥣㘴换㡣愴ㅢ㥢扡攲ㄱ捣挲㉦愱㜶㝣敦㐳愸ㅥ㕢ㄷ㝣改户戸搱㌲〵搹㔴㙣〶㐵㈵晤㤹㜴ㅢ㉢昴攱㥦戱ぢ戶㘹敢晤㙢搳㑤㡤捤㡤戹㤶慡㤹㜸ㄲ愵㡡㕦〳㥦挳㌳㐹㘳㉡摥㐵㐴捦㜵㜲挳扡㌶昰㠷㠹㠴㘸摦㤱つ㡤㐷㌷㐸㌶ㄵ捤晣㌶㝣慥捤散搶㡤慢攱㤳㑡昲户㉢ち攷㍦〰㠹搲搹散㡦ㄵ昷敡攲㥦㠶㌶て㍡挶〰戴㜷慢ㅥ㕢㍤㘳㕥㌲ㄶ㠸〵攲改㐸㈶㥢㠸㐷戲攱㐰㑤㈲㤹㑣㠵戲戹㘴㍡ㄹ㑦㘴㐲㈹㘳㔷〷ㅡ㡡攴㘲挱㘰㌸ㄴ㑡愵ㄲ㤱㑣㍡㤷捣㈴㙢搲挱㘸慡㈶ㄴ捡搵㘴㘳〹晦㜴㍢扣㌹㄰㍥收㙥㄰晥〳戵㙡㄰㔵㠳愹㥡愱㔵づ慡㜲㈶㔴捣摣㤰搴晦㡢挲㍦ぢ㤱昱扦捣ㄸ㡡㔵昷慣ㅥ㍢㑦愶搷捦挰户搴ㅢ挳愰改つ㡤敢ㄱㄵ㘳㌸㜴㝤愰换晦㜵㈸晦㙣㍢㡡搹ㅦ愱捣㉡㡡㍤㠱㔴〷㐱捦㠳愲㑦扤〰敥戸搳㜲㕤㍥㌳〸㈳㜷扥㠳搱ㄴ㜲㐲㔰攸㍦㜵㠸愷昶㔰㘸戹〳㥡㘱㐶㍥捣ㄳ㌳㔷㙢愳挴㈰愰扣㡥㠰㤶㍢㠸㝡〶〹戰㕢㜲㑤㈶晢ㅡ扢㤵摡〰つ扢㔶㝥搷㐸挱㐱扡㐶ㄲ㌸㜴㡤ㅡ戴愵㙢㡣㐴摢敡ㅡ昱㐴㌰㤵㡥㘵㈳挹㥡〰昸㑥〵㤳戱㔴㈶ㄹ㑢搷㠴愲㠹㘰㍣ㄶちㄸ㝢戵㐱挳昸㍤㠹㔸愸愶㈶㥡挸㐵㠲搱㜰㑤㑤愶㈶㤳㠹㐴㤳㌵㤹㘸㈲ㄱ捦昹搳㜶㜸㜳㙦昸㤸晢㐰昸㌳㕡戵㉦㔵愳愸捡㙡ㄵ〱〲慤捣㐱搵㌹㕤㠳㜳搵昱扦捣ㄸ㡢㤵ㄵ㜶㠴㙡攸昲扢换㌸㘸㍣扡挶〲㍢㡡㌹㠸㐵ㅦ㑣㌱ㄱ㐸戵㄰㝡慢㙢㍣㠰摡户㜵㡤晤㘰㘴搷㌸ㄲ昶攲慥㔱攷愹慤㠷㔶扡挶ㄴ㐶㙥昴挴ㅣ愵戵晢ㄳ㠳㌴攴搵っ慤㜴㡤扢㤰㐴㜱搷戸挳戳㙢戴挰㐹扡挶㠱〸㠵慥戱ㄸ㙤改ㅡ㌳搰戶扡㐶㉥㤴捡挶挳愹㕣㍣㡣愳㐶㍡㤸㑢㈶挲㠹㥡㔰㌰ㄹ挹攴㤲㠱㘰㈲㘰捣㜴愰㌵搱㐸戴〶㍦㍢ㄲ㑢挴ㄲ㤱㙣㈰㤱愸㠹愴戲㤹㐴㉣㤴㠸〷㈳㤹㐴挴扦挴づ㙦捥㠲㡦㌹ㅢ挲㝦戴㔶戵㜵㡤愵㕡攵愰㉡㤷㐱搵㌹㕤㘳㌹㈲攳㍦㙥㌹㌲㈵昶〵㤳昴晢㡦搱晡攱㌴敥㐱㌱て㝡㜵ㅣ昴ㄶ搹㔷攷㤱㥤㠲㤱㘴ㅦて扢㤰㝤㉡愳摡㝦敡〴㑦敤ち㘸㠵散㌴㈳㥦攴㠹㔹愹戵㔹㘲㄰㑦㕥愷㐰㉢㘴㕦收㈲摢㤸て㐸挹捦ㅣ㜵㠹㘷て搰㘹晡㌹㙢㕤愸慦㐵ㄴ晢〳㈳㤸㑥㠴戲挹㔸㌸ㄷ捦㐶㈲挱㐰㉡㤳㠹㘵㘲挱㙣㑤㌸ㄱ慡㠹愷㐲挶㐲〷ㅡ㑤攳搳㈴㤵っ攴㔲戹㘸㈴ㄵ捥㈶㠲戱㜴㈶㤹っ㠷㌲昱㔰㈸ㄹ〹晡㑦户挳㥢㐷挲挷慣㠳昰㜳ㅡ㍣搷㘸搶㔳挵㥦㝦昴㥦愹㔵〴〸戴昲㉣愸㍡㠷晡戳ㄱㄹ晦换㡣愳戰戲挲愳㐲ㄳ㜴昹㐷㠵㘶㘸㍣㡥ち攷搸㔱㑣づ戳挹㑦挹㤹㑢㠰㔴攷㐱㙦㜵㤴㌳昲㍡捡㔲ㄸ搹㔱捥㠷扤戸愳晣捥㔳扢ち㕡改㈸换ㄹ昹〲㑦捣㠵㕡㝢㉣㌱扡愳㕣っ慤㜴㤴㤵慥㡥㘲戲愳挸〷挶㠹㥥㝤攲㔲㌸㐹㔷㔸〱㥣搵ㄵ挰㘳㈶ㄸ㡤㘴昱戱㤰㠸㐴搲愱㈴㝡〵㑥㈵㤲戹㜴㍡ㅡ㐹挶㘳挶㠹づ戴㈶㤴挳挱㈱ㄹ〸㈴〳愱㐸㈲㤲㑢愵㌲攸㉣戱㙣㉡㠰慥ㄴ㑦〵晣㤷搹攱捤㤳攰㘳慥㠴昰㕦慥㔵㙤㕤攱ち慤㈲㐰愰㤵扦㠷慡㜳扡挲㤵㠸㡣晦昸㌲㘵慥㡣摣㥢愴摢㝦㤵搶㈷㘸攴㤸㡤㜹づ昴㡡㔳昷㉤㜲㥢昲挸㍤て㐶㤲㝢つ散㐲㙥摥搹挰戵㥥摡敢愰ㄵ㜲㝦挷挸㌷㜸㘲㙥搲摡搵挴㈰つ㜹慤㠱㔶挸慤㜳㤳敢㥣つ㉣昴㈴昷ㄶ㌸挹㈱晦㘲㠴挲㈱㝦㉤摡㐲昶㈵㘸摢㠷晣㘴ㄶ㈷㠹挱㕣㑤㍡㤵㡤㐴㔳改㘴㉡ㅥ捥挶㤲㘹㄰ㄸ㡤搴〴搲挶愵づ㌴㄰㡢攰㑣㈰ㄹ㡣㐷ㄳ戱㐸㌸㄰㑡攱㌸〱㜰㌶㤱ぢ〴㘲戹㕣摣㝦慢ㅤ摥扣っ㍥收攵㄰晥摢戴慡敤㤰㝦扢㔶ㄱ㈰搰捡㍢愰敡ㅣ戲敦㐴㘴晣㉦㍡攴摦愵昵晢搲㌸㡡攲㝡愴愳敥㠱摥㈲晢搰㍣戲㙦㠴㤱㘴摦ぢ㝢㌱搹昷㜹㙡敦㠷㔶挸扥㤹㤱ㅦ昴挴㍣愴戵户㄰愳挹㝥〴㕡㈱㝢㤶㈷搹㌳㍣挹㝥ㄴ㑥㐲昶敤〸〵戲ㅦ㐳㕢挸扥〳㙤㡢散㜰扣㈶㄰㡦攳昴㉦ㄴ捡㐴㜲攱㘸㈲ㄹ㡢㠶㙡挲㤹㔴㌲㤱っ㘵〲〹攳㑥〷ㅡ㐹㈶㠲戹㕣㈲ㅣ㑢攷㔲㤱㔴㉥㔵㠳㌳挳㜴㈴㥡㡢㠶昸㈱㥦㡥晡㕢敤昰收㕤昰㌱敦㠶昰㜳晡扥ㅣ攴摢挸㕥愷㔵づ慡㜲㍤㔴㥤㐳昶ㄳ㠸㡣晦㐵㘴晦㐹敢挷搱㌸㥥攲ㄱ攴慢昸㜸㠰㐵昶搸㍣戲ㅦ㠳㤱㘴㙦㠰扤㤸㙣㍥㈲㔰慣㝤〶㕡㈱晢㜱㐶㝥搶ㄳ昳扣搶慥㈷㐶㤳晤〲戴㐲昶摥㥥㘴㡦昴㈴晢慦㜰ㄲ戲㥦㐲㈸㤰晤㈲摡㐲昶〶戴㉤戲戳昱㥡㕣㌸㤵っ〷搳愱㜰㈴㄰ぢ昳㐴㉤㥣挲㍥ㅤづ㠵㐳戱㐴挲㜸摡㠱挶㈳㠹㔴戲㈶ㄱ挲挹㕥㉣ㄲ㑢㠶㙡㌲搹㜰㌴㄰捡挶㔳搹㜰㍡ㅣ㑣昸㌹昳㕦㤸㝤〶㍥收㥦㈱晣㉦㙢㔵ㅢ搹慦㘸㤵㠳慡㝣ㄵ慡捥㈱晢㌵㐴挶晦㈲戲㕦搷晡挹㌴㑥愱㜸〵昹慡㡤搰㕢㘴て捤㈳晢㌵ㄸ㐹昶㥢戰ぢ慤敦㌱慡晤愷摥昲搴扥つ慤㤰晤〶㈳扦攳㠹㜹㔷㙢摦㈴〶昱攴戵ㄹ㕡㈱㝢愰㡢㙣攳㙤㐰㑡㥦捣つ昰散〱㍡㑤晦晢〸㈹搴扦㠳㈸ㄶ昵㘹㝣ㄶ〷㌳戹㜰㌲ㄲ㐹㐵戲㠹㙣㌲ㄵ挸攵㜰㐹ㅦ挵㠹㕤㍣ㄴ〸ㄸ敦㍡搰ㅣ㡥昷㠱㐰㌸ㅣ㡢㈵㌳㤱㙣㑤㈲ㄱ㠸㐶〳昱㕣㉡ㄶ㑡搶愰扢愴晤ㅦ搸攱捤扦挱挷摣っ攱晦㔰慢摥愳敡㝤慡昸〸㠱㜴㄰〲〴㕡昹㌱㔴㥤㐳㍤㥦㍥挰晦㌲攳㈳慣㉣晦挴敤㘳㘸ち㑦敦㍥㠱捥攳㘴敥敦㜶ㄴ昹㐵㕡㜳㍡攲㤹㥦〱愹㍥㠳摥敡㈸㕢攵㜵㤴捦㘱㘴㐷昹〷散搲㔱昲㍥敦㍦昷搴晥ㄳ㕡改㈸㕦㌰昲㤷㥥ㄸ㜹愲㠰㙢晦㡡ㄸ摤㔱晥つ慣㜴㤴㕥慥㡥搲㜶昵摦挳戳㑦㝣〳㈷㌹㉡㝣㠳㔰㌸㉡㝣㡢戶㜴㡤㙦搱戶扡㐶㌰ㄱ㡢愵攳挱㙣ㅣㅦ昱㤱㘴㈰挳〳㝦㉥㥢㑢攰㉣㉦㥥っ㈷㜳挶㜷づ㌴㠳㡥㤳〴ㄶ㕤〱搰㔰扣㈶ㄵ挵㠷〲㡥つ搹㜰㌲㤰つ挶晣摦搹攱捤晦挰挷晣ㅥ挲晦ㅦ慤㙡㍢㉡㝣慦㔵づ慡昲〷愸㍡愷㙢晣㠸挸昸㕦㜴㔴昸㐹敢攷搰㜸㄰㐵㔷っ㑢愹㕦愰户挸晥攱㍦敥敢㜹〳㐶㤲捤㜲ち搹愷㌲慡晤愷㤴愷戶ㅣ㕡㈱扢㍢㈳㜷昵挴㔴㘸慤㡦ㄸ挴㤳㔷㌷㘸㠵散㝦㈳〹攷㝡摥㌹㜳晦ㄷ戴挵㐳㍤㈶㥣㠴摣摥〸㘵敦昷挱㔰ㄲㅦ敢昱㘴㈸ㅣ㡢愴昰戹捤ぢ㜴㝥收愷㜱㈱ㄷ捣㈵㡣㑡〷ㅡ㡡㐴〲愹㔰㌲㤶㠹㘷ㄳ㤱㘴〶愳㐰搱㔸㌲㠵㡦㠶㘴㈰㠵慢戹慣摦㘷㠷㌷晤昰㌱晢㐰昸㝢㘸㔵摢㤹㝢㑦慤㜲㔰㤵扤愰敡ㅣ㜲㝢㈳戲㤰㕢㜰收㕥愹昵㠷愱愰昲㌳捥收づ挸㔷昵㠱摥㈲昷晤㍣㜲㜷㠲㤱攴昶㠵㕤挸捤摢㤳户昲搴㙥つ慤㤰扢ぢ㈳㙦敢㠹搹㑥㙢晢ㄳ愳挹敤〷慤㤰扢挹㑤慥㜳收晥㤶㈷戹㍢挰〹晦㌱摣㡡㔰搸㤳㜷㐴㐳挸ㅥ㠴戶㐵㜶㑤㉣ㅣ㡤㘵〲戱㙣㈶ㄳ㡦〴戳ㄸ戶挱㐹㌸㍥挷㌳ㄸ慢攳〰㥦㌱搸㠱㘶㜲㔱㜴〶㡣收愴㤳挹㐸㈲ㄶ㑣㈶㤳㤹㔰㈰ㄱ捡愴㜱晥㤷㐹〴晤㍢搹攱捤㈱昰㌱㜷㠷昰敦慣㔵㙤㝢昲㉥㕡㐵㠰㐰㉢慢愰敡ㅣ戲晢㈳戲㤰㕤㌰㔸㌳㐰敢㙢㔸㥥㌴㐵ㄸ改愸㠱搰㕢㘴㍦㥢㐷㜶ㄴ㐶㤲扤ㅢ散挵㘴て昲搴づ㠶㔶挸㡥㌳昲敥㥥㤸㘱㕡㥢㈴㐶㤳扤〷戴㐲昶㤳㥥㘴㍦攱㐹昶〸㌸攱㍦〶㔰ㄱち㘴敦㠹㠶㤰扤㉦摡ㄶ搹搹㔰㍡ㄳ〸㠳㔵っ挷㐶愲㤹〴㍦搳戳ㄸ㜶挱晥㥢〸㘶㘲㈹㘳㤴〳㡤㘵㐳㌵搱㐰㌶㤶㡡愷㜱昹㥥㡣搷㠴㈳昱㘴㍣ㅤ挵㡥㡤摤㍣㥤昲〷散昰收㘸昸㤸㘳㈰晣㐱慤㙡㈳㍢愴㔵〴〸戴㌲っ㔵攷㤰ㅤ㐱㘴㉦戲愳㕡扦㠰攵愹愵㤸㠲㜴㔴ㅣ㝡㡢散㝢昲挸摥ㅦ㐶㤲㥤㠰㕤挸捥㍢㙣㈷㍤戵㈳愱ㄵ戲愷㌱昲摥㥥㤸㝤戴昶㐰㘲㌴搹愳愰ㄵ戲㙦㜳㤳敤ㅣ戶搷㝡㤲㍤〶㑥㐲敥㙣㠴戲挸捤㈵㠲〹㝣〲㐷㈳戹㐰㌲㤲挶扤㥡㔴㈰㤳㑢㠵㘳攱㥡㐰㌲㠷摦㜳㌶收㌸搰㘰〴〳慤㘱㕣㤹〷㌱㉡ㅢ㠹挵ㄳ攱㐰㈶㤰㡤攲慥㑤㍡㄰㡥㐷㐳晥戱㜶㜸昳㈰昸㤸〷㐳昸慢戵慡敤戰㍤㑥慢ㅣ㔴攵㜸愸㍡㠷摣〹㠸散㜵搸㥥愸昵つ攴戵㤱愲〶昹慡晤愰户挸晤㝤ㅥ戹ㄹㄸ㐹敥㘴搸㡢昷攴㈹㥥摡愹搰ち戹㌹㐶㍥挰ㄳ㌳㕤㙢ㄷ㄰愳挹㥤〱慤㤰㝢戱㥢㕣攷戰㝤愱㈷戹㌳攱㠴晦ㄸ昴㐴㈸散挹戳搰㄰戲敢搱戶挸挶愷㉣㠶换㜳挹㜸㌴ㄲ挶挰㜹愰㈶ㅣ㡣〵㜲ㄱ㡣㥤㐷㙡㤲搱㔰捥㘸㜰愰改㐰㌲㤱〸㈷愳㐹㥣㤱㐷〲攱㑣㈲ㄵ㡦㈵挰㍢〶收戱敦愷攳晥搹㜶㜸戳ㄱ㍥收㈲〸晦ㅣ慤㙡摢㤳て搲㉡〷㔵㜹㌰㔴㥤㐳昶㈱㠸散戵㈷ㅦ慡昵㉤㉣捦㘲㡡攵挸㔷ㅤ〶扤㐵昶㈹㜹㘴ㅦぢ㈳挹㍥ㅣ昶㘲戲攷㝡㙡攷㐱㉢㘴ㅦ捦挸㈹㑦㑣㕡㙢㔷㄰愳挹捥㐲㉢㘴㥦攰㐹昶㜱㥥㘴攷攰㠴晦㘵收挹〸〵戲攷愳㈱㘴㥦㠲戶㐵㌶昶换㘸㌲㥥挵づㅡ挲㠷㜲㈶㥥㡣挶㙢㤲挱㜰㍡ㄵ〹㘳戴㌴㤳㌰㑥㜵愰戸攸挲㘰㍡〰攱㕣㍡ㄲ换〵㙢㔲㌹㈰㘲愹㘸㌶㠷ㄳ戲㐸摣捦㈷㌶ㄸ摥㍣つ㍥收改㄰晥㕡慤㙡㈳㝢愱㔶㌹愸捡㈳愱敡ㅣ戲敢㄰搹㡢散㝡慤㕦捥㝣㡦愱㔸㠵㝣㔵㈳昴ㄶ搹昵㜹㘴㕦〰㈳挹㕥〴㝢㌱搹㐷㜹㙡㥢愰ㄵ戲㉦㘲攴ㄶ㑦捣ㄲ慤扤㠴ㄸ愴㈱慦愵搰ち搹昳㍤挹捥㝡㤲扤っ㑥昸㡦㉦㠵㐱㈸㤰扤ㅣつ㈱晢昷㘸㕢㘴㘳㄰㌵㠳㉢㙦㝣昶㘶㙡㈲㌵搱㥡㈴㙥愹〷戲愹㔴㑤㍣㡡扢㈹搱慣㜱愵〳挵㉤㔸㙢扣㍣㠴㈱昶㌰敥㤷㘱摣㈵㡣㔳昰㜰㈶ㅥ挶㐰㑣搰㝦㡣ㅤ摥扣ち㍥收搵㄰晥㘳戵慡㡤散攳戴捡㐱㔵ㅥて㔵攷㤰㝤〲㈲㝢㤱扤㐲敢㔷戰㍣㈷㔲慣㐱扥敡㈴攸㉤戲㘷攷㤱扤ㄶ㐶㤲扤ㄲ昶㘲戲㑦昶搴㥥〲慤㤰㝤ㅢ㈳㥦收㠹㌹㐳㙢敦㈰〶㘹挸敢㉣㘸㠵散㘹㥥㘴敦敦㐹昶搹㜰挲㝦捣ㅣ㐷㈸㤰㝤づㅡ㐲昶扤㘸㕢㘴㘷㔳昱㔴㌸㤷ぢ挴愲ㄹ㥣㔲㠷戲ㅣ㘷㠹攱㠲㉡㔵㠳扢㘳挱㜸挶戸捦㠱㈶㌸㡤㈲ㅣ挱搹㔸㌰ㅤ〹愱㕦攴戲愱㘰㈸ㄲづ〵ㄳ愹〸收㘳昸捦戵挳㥢昷挳挷㝣〰挲㝦㥥㔶戵㤱㝤扥㔶ㄱ㈰搰捡摦㐱搵㌹㘴慦㐲㘴㉦戲㔷㙢晤愹㉣捦㘹ㄴ敢㤰㡥扡㄰㝡㡢散㝤昲挸㝥〲㐶㤲㝤ㄱ散挵㘴㕦散愹扤〴㕡㈱晢㐹㐶扥捣ㄳ㜳㠵搶㙥㈰㐶㤳㝤㈵戴㐲㜶摣㤳散愸㈷搹㔷挱〹晦㌱㈷ㅣ愱㐰昶搵㘸〸搹捦愱㙤㤱ㅤ捦挶愲改㘰㍣㥢㑢〷㘳ㄱっ㥤搴挴㈲改㙣㍡㄰〸㐲ㄷ㡡〵挳挶昳づㄴ㠳㈶㤹〴捥挴㙡㘲愴㌸㡥攱㤶㐰㑤㈸㕤㔳㤳挳㝤昱㔸㍡ㄵ昳晦挱づ㙦晥〵㍥收ぢ㄰晥㙢戴慡㡤散㙢戵㡡〰㠱㔶㕥〷㔵攷㤰㝤㍤㈲㝢㤱㝤㠳搶㥦捤昲昰㘷㝥捣㡤㐸㐷昱昱ㄴ㡢散摤昲挸㝥ぢ㐶㤲㝤㌳散挵㘴慦昱搴摥〲慤㤰扤㠹㤱㙦昵挴摣慥戵敦ㄲ愳挹扥ㄳ㕡㈱㝢ㄷ㑦戲㜷昲㈴晢㉥㌸攱㍦㐶㉤ㄱち㘴摦㡤㠶㤰晤〱摡㌶搹ㄸ㌶㐹攰㌳㍡㡤㕤㤹㜷㍦㙢挲戹っ慥㥥㌰㜷㉡ㄸ〹㘴挲ㄱ攳㐳〷㡡㕢㕦戹㙣㌴㥣㑣〴㌲㔹ㅣ〴搲㈰㍢㠲㜱搶㘸㍡㡥㌱㌵散敤晥㝢散昰收㐷昰㌱㍦㠶昰摦慢㔵㙤㘴摦愷㔵づ慡昲㝥愸㍡㠷散〷㄰搹㡢散〷戵㝥ㄵ换戳㥡攲㉢攴慢ㅥ㠲摥㈲扢㔷ㅥ搹㕦挳㐸戲ㅦ㠶扤㤸散㐷㍣戵㡦㐲㉢㘴㝦挳挸慤㥥㤸㜵㕡晢ㅤ㌱㥡散㈷愰ㄵ戲扢㜹㤲㕤攱㐹昶㥦攰㠴晦昸敤ㄸ㠴〲搹㑦愲㈱㘴晦㠴戶㐵㜶〰㌳摥ㄲ㤹〰捥挷㜸昹ㄵっ搴〴戳㌹摣挰㡥挷㈲㤹㐰㈶㕤㤳㌵㝥㜶愰㔹㑣㜰挰搰㘷㉥㤱㡤㘶㈳戱㐴㍡㠹㡦〰㡣戲挷㌳㤹ㅣ敥㤷挶㤲晥愷散昰收㉦昰㌱换㌰㔹搶捦㐷㔴戸㐶戳㡤散愷戵捡㐱㔵㍥〳㔵攷㤰晤㘷㐴昶㈲晢㔹慤扦㠴挹㕤㑡挱㙦晡㔴捦㐳㙦㤱晤敦敦摣挳愱㍤㘱㈴搹㝦㠱㕤挸㍥㤵㔱敤㍦昵㠲愷昶慦搰ち搹扤ㄹ昹㈵㑦捣㉢㕡敢㈷〶昱攴昵ㅡ戴㐲昶㍦㤱㠴ㅥづ㌵晡〲㔲晡㈶挹㍦〰㉤ㅥ㈳㝤ㅤ㤱昰ㅦ昳愳攱㡣ㅥ昰〶ㅡ搲〳戶㐱摢敡〱ㄸㄷ㐹㘰㘴㈴ㄷ捥㘱㈰㌴ㅥ挶愷㜳戴㈶㠵㈹㉤㤸挳㤰〹挷㙡〲挶戶づ㌴㠷㍢攳㤹㔸㈲ㄴ㡥㠷㜱改㠶换昳㑣っ㔳㈴㠳㠹㜸っ㐳慥〹摣㉢搹㘸㠷㌷㝦〳ㅦ㜳㍢〸晦㥢㕡戵㍤㔵晤愸㝡㑢慢〸㄰㘸攵摢㔰㜵㑥て搸㠴挸搲〳ち挶㑣摦搱晡㉢㔹㥥慢㈸〶㈰ㅤ昵㌷攸慤ㅥ昰㜶㕥てㄸ〸㈳㝢挰㘶搸愵〷攴㡤㤹扥攷愹㝤ㅦ㕡改〱㠳ㄸ昹㐳㑦㡣㍣戹挲戵て㈱〶ぢ昲晡㍢戰搲〳㕥㜳昵㠰戶扢ㅦ慦㜸㤲晤㈹㥣昰ㅦ扦っ㠴㔰㈰晢㌳㌴㠴散㍤搰戶挸㑥挵愲搱㘰づ户扣挳ㄸ㄰つ攱〸ㅦ挲㜰㑢ち㘳收㐱ㅣ挳搳挹愸㌱挲㠱愶戳愱㐰㌰ㅡ挳㈷㍦㈶㐴㐵㠳㤱ㅡ捣㜷挴㉣愷㌸㍥捡㌳昱㐰戲挶晦て㍢扣戹㈷㝣捣〰㠴晦㜳慤㙡摢摤晦愹㔵づ慡昲ぢ愸㍡㠷散㉦ㄱ搹㙢㜷晦㑡敢慦㘳㜹慥愷ㄸ㠹㝣搵搷搰㕢㘴晦㈹㡦散扤㘱㈴搹晦㠶扤㤸散㙦㍣戵摦㐲㉢㘴敦换挸晦昱挴晣愰戵愳㠹搱㘴晦〴慤㤰晤㤸㈷搹㡦㜸㤲晤㌳㥣昰ㅦ㌳昸㄰ち㘴晦㠲㠶㤰㍤ㅥ㙤㡢㙣摣敢攴㌰㔹㌴㠶改慢㍣扥㘳昲㙡㌲ㄴ挸挴戲挱〸㉥慢搳㈹㘳㠲〳㑤攲㑣㉤㤹㠹〵㠲㘱散搹㠱㕣㍡ㄵ㡦㠶㌱㘹ㅡ㘷㜸搱㔸㍡㄰て晢昹摣㡣ㅣ挸㈷挲挷㥣〴攱㔷㕡搵㐶㜶戹㔶ㄱ㘰ㄲ㕡搹〵慡捥㈱扢㉢㈲㝢㤱捤㐷㜱㐴扦㠶攵攱捦㝦㤹㌳㤰㠹敡〶扤㐵昶慤㜹㘴捦㠲㤱㘴昳ㄱㅤ㈱㍢敦搸㙥㝡㙡㝤搰ち搹㜳ㄸ戹愷㈷愶㤷搶ㅥ㑣㡣㈶㥢㑦挸〸搹㌷扡挹㜶挶㑣慦昷㈴扢て㥣㠴摣挳㄰捡㈲ㄷ㔳㤶㈲㤹㔸㈴捥晢ㅡ㤱㜸㈰㥥㑣㈶㌲㌵愱㐴㉡㤵㑥㈵攳挱㜴搰㌸摣㠱㐶㠲〹っ㥦攳㌶㜸㉥㔰㠳㥤㍥㠳㘹敥挹ㅡ㡣慦㠶㈳㤸㈴㥦つ㠶晤㝤敤昰收㕣昸㤸昳㈰晣㕢㘹㔵摢㤸㈹ㅦ戱㤱㉥㐰㠰㐰㉢昹㥣㑤攷㤰换愷㜳扣づ摢㝣㘰㐷昴㜷㤰搷㍢㈹㙡㤱㡥摡ㅥ㝡㈱㙦㈱㕡〴昰攵敦〷㉤晦搴づ摡㝣㈴挱搴攰攵摦〹㕡搹㠷敡愰敤搵愵愲㍦摡㝢㤵晥挹㉡搷㡣晡㘱㜸㘸〴㍦扦㤱捤攰摢敥ㄷ攱㐷㙢㤶㡤㙦㘸㘹攲㜷㉡㤴㜵挱户摤㔷挸㙣晣慥攵㈳㝦㕤㉣㍥㤲戳ㄳ㐲昱㔵戱ㅡㅤ攲晦㈳づ户戳敤㠹つ㐶摣〵㉦戳〱ㅢ㕣㌱㄰㥢敢昹㥢㌱搶㘳〲㌳昱㌵晦搹ㄱ搵㘳攳㈳挶㉦㑤㘷敢昸㉢㍤㜸挰〰愷㜶㘵摢搴敦搷㡣挵㙣㔳昳慣挶㌱昲慢㌱㝣ㅣ愵㡦㝥〶㘱㔸晤挴挵戵ㄹ搴㘱户㌶㡤晥㠹㈶敤㌶慤挹昱敢搵㠶挲㙦㐸㙣搳搶慡挶㜳㉥搹愵㉤晣敡晤ㅤ摡戴昸㍤㉥ㄴ㍣㥢搱ㄱ㥢昱㈸㘶搷昲㉥㙡㡦搲挵㥥搰㤴戶ㅦ昲搱㘱㥡㔹㠹ㅤ㍣㝥㘶㘰㙣㙤㡢㍣搳挳敦㝡㔴收〰㔴挸㔸㠴㕡㜵摢㘷攰㤸㌹〳㠳挹㡡昳㐰挷晦㙤㑤挵っ㈰㌴ㅥ愶㘸㘲㑦攴挳㈴愴㐱㤹扢㜲㔵晣㐹㠱扥㔸搵散㠱挱昸愰〱㈳慢〶っㅡ㌸㠶㙢㍤ぢ㙢ㅤ敡戵㝤攳ㅡ敢㔳戵つ㈳戰㠱㝡换挶㌷㉣慥捦㕦㈵〹攷ㅦ㝥挶㥡慢攴ㄳ㉢摣ち慡搴㘰㌴ㄸ㕣ㅡ㝣昶㘳㈰㤶捣攷㈸㥥愷昸ぢ㠴㍡ㄵ㠰㌷昱㌳㝦敢㉡㤶㕤㤳㌸戵㙣昴㠳ㅦ㍣搲户摢搳捦㠵搵㈹戶攱挴敡㜱搷ㅥ扦慡㝣昲㑤て㌴㈶㘷摥昵昵ㄷ㉡㠸㐸㑣挲㍣ㄶ㙢㜴昶㐶㝤挶愴挲摡㝣ㅣㄳ攲㉡昰昲昳攱て搹ㅢ㡦㠷戶㔷ㄷ㤵㐴㥢㝢愴㍡ㄱ慢攱㙥㈰㍤㜷〵㕤昸戴㠵㔵戶㤱㔸㌲㑥㠲捥㘲㈸㤲㔰挷〱愹户捦㘷㥥㑣㌸ㅦ扢戰攰㝢ㄱ㝥㉡㜴㐵㔵㠶攷㌲㜸敡㘲攰挷㠹改挹㡦㌶慤㔲愳搰搰㤱搵㐴挶攴㈶ㄶㄴ慢〵㐱㍣㡢搵㙣ㅢづ晥晤昱昱搸昵攳慢慦昸晥攸ㅤ㕡㈲挳㕥㔵晢㈱㤲ㄴ敢㕣慣㔱ㄷ㑢㑤搱摡昳㤸㠷慥搱晥搰㑡㡤捥㠷ㄶ㌵㍡㄰㙤愹㔱㈳愲㍢㌵㕡㐵ㄷ㍥㔰㘰㙤昴っ㉣ㄹㄷ㐰㔷戴搱搱㤸㍡㌲㙦愳㉦愲㈷㥦㔵戰㍣㘷搲昳ㄲ攸慣敡〲㍥ㅦ㜰㕤〳㝣扢〹攱昳〸昷愸㐴㡤扤挱㐵摤㈶㘵ㅢ晡っ摦晡换〱慢摥搹㝦捤昳攳㥦扢昳攳摤收慢ㄴ㈲㐹㈵慥㐶㕣愷ㄲ㘹慤晤〳搷愶㉢挱㐷〴愴ㄲ搷㐰㡢㑡ㅣ挹㉣㠸㌴㙢㈱㡤敢愰㐵搲㘳慢〷挶㐲敡户㜹㐹摦挰㌰㥣㜳㙦挱㌹慦摦戸〹㍡㔴㘷散㔸昷㡥〷捦㠳攰愹昹昷㤹㙢攸挹て㐴慤㔲㥣挸慦换愱㌸ㄵ摥慢㄰㌳㑡ㄵ攲㐰摢㌰昹挶㤵敦ㅣ㌶晢换〹㡦㝣㜴晢ㄹ攱㑦㑥戹㔸㜱摥扣ㄴ攲づ慣搱㈹挴㜲慤扤㤳㜹攸㐲㜰ち扣ㄴ攲㉥㘸㔱㠸㤳㤸〵㤱㈶㘷戴ㅢ昷㐰㙢ㄵ〲散㑤挹㉢挴㝤っ戳搲㠱㥦㐸昸〳搰ㄵㄵ〲㥥ㄳ昳ち昱㐷㝡㥥㐳㑦て摥挷㤶摡摣㌱戶㘱昱㘹つ敦摣㌹改攲挹㤷戶㍣戲㌰昱㤷愵愳ㄴ㘷㤲换收戶㈲慥戳戹扦搳摡挷戹㌶扤戹慢愱㤵捤㕤〷㉤㌶㤷㌳扢㘵て搸〷搱㥤㍤攰〹扡㕣〶㤳㔵〹㑥昷㌶㥥㠴捥㍥㑡〴㔵ㄲ㘸㑤㥣捦摣㐰㌸愷㘳㕢昰㑢〹㝦〶扡愲ㅤ㈶ㄲ㔴㔱㜸㙡晥㝤收戳昴攴捣㘹慦㑡〴散つ㉥摡〳昶戴つ摦㠷㕦扦㜳㝡㘶㙡昵㉤慦昴㥦扤敡挱昰㐲㜵㈳㈲㐹㈵㕥㐴㕣愷ㄲ㌷㙢敤㑢㕣㥢慥挴㉤搰㑡㈵㕥㠶ㄶ㤵攰戴㘷愹挴㌰㐴㜷㉡昱㉡㕤敥㠲挹摡㌴捥㠵㌶㕥㠷慥㜸搳〲㙡㜰摥愶㙤愴攷摤㡥攷㥤昴㝣ぢ㍡扢㠶〱戵㉢攰㙤㌵摣㐴㌸愷ㄵ㝢㔵㘲㘷㝢㠳㡢㉡戱㤳㙤㜸㜳昹㜱㌳㔶捥㌹㘷捣〳改㌵扦捣摣㌸昷㉥昵ㄸ㈲㐹㈵摥㐷㕣愷ㄲ㡦㙢敤〷㕣㥢慥挴㝡㘸愵ㄲㅦ㐲㡢㑡㍣㠵戶㔴㘲㝢㐴㜷㉡昱㌱㕤㌸㌳搷慡〴㈷ちㅢ㝦㠷慥戸ㄲ㈱戵つㅣ摢㐸晥㡣㥥㥣昴㙢㜹㍥㑤捦捦愱戳㉢ㄱ㔲㝤〰㙦慢挴ㄷ㠴㜳捥慤㔷㈵㝡摡ㅢ㕣㔴㠹ㅥ戶㘱挲㈱㠳慥晣改㥥敢愷㕣㜰摡敥㑢晦㌶㝤搰㌷㡡ㄳ㜴愵ㄲ摦㈰慥㔳㠹㌷戴昶㕢慥㑤㔷㠲㜳㙤愵ㄲ摦㐱㡢㑡晣㡤㔹㄰㘹扥〳㘹㝣て慤㜵㌰〸㈶㔴㐵㕥搲㍦㌲捣㘶〷捥〹戲挶捦搰ㄵㅤっ攰愹攰搹㔶㥤戲敥昰㝣て㜸慤㔲敦愳愱换愱㌸愷搴慢㄰㍦㝥㕢攲㠳昲〷摢昰搴戴昵换ㄷ扥㜲晥搸扢㑦㍥㜱收挲㔹㉦昷㔲㥣㠰㉡㠵㌰戰㐶愷㄰㌲戳ㄴ摢㙦㜶㘳ㅥ扡㄰㕦〱㉢㠵攸づ㉤ち挱〹愱搲㈵扥㐵㜴愷㑢昸攸昲ㅦ㈶挸搰㈶㘷㠹ㅡ㍤愱㉢敡ㄲ戱㠴晡ㄷㅣ昵ㄶ晡捣摥昴晣摥昱攴愴㔱挳て㥤搵㈵〰晦㈷攰扡〶㍥戳㉦攱㕤㜱敥散㔵㠹扦摢ㅢ㕣搴㈵㍥戱つ挹ㄳㅥ㡦扦㝤㝣㘶捣㙤捦晤㘹搳挸㝥ㄷ㍦愸っ㐴㤲㑡㙣㠷戸㑥㈵扡㙢敤昶㕣㥢慥〴㈷㕡㑡㈵晡㐱㡢㑡昸㤹㠵㙣㉥攷㑤ㅡ㍢㐲㕢挴㜱㌴愴摥换摢摣㥤ㄹ㤱㜳㈰㉤捦㑡㝡㔶㐱㘷㜵㈶挰摦挹摢摣〱㠴㜳ち愲搷收㙥㉣戵戹㙦搸㠶㠳㘶㍤㜱昹㐷㤵㈷㑥戹攰昵㍤㝥㥥扣敤㤸㌷ㄵ攷㉢捡收づ㐱㕣㘷㜳㜷搱摡摤戹㌶扤戹㥣㝡㈸㥢㍢ㄴ㕡㙣㉥攷てち昱慦㈰扡㐳晣㜰扡っ㠱挹摡㥥㐱㔸㌲㐶㐰㘷搳ㄷ㔷㝦捤摢㥥〰攱㥣昴㘷挱〷ㄳㅥ㠲慥戸㥦挴搵㜳昰㙣敢㈷ㄱ㝡㜲㝥㥥㔷㈵㌶搸ㅢ㕣㐴晣㔳戶攱挵搵ぢ挶㉤㙤㍥㜳散ㄹ㘷㐴㍦晢攴㤲昸㘴挵挹㝣㔲㠹㤱㠸敢㔴㐲㘶改㜱ㄷ搸㡢㙢搳㤵攰扣㍣愹挴摥搰愲ㄲ㥣㕣㈷㤵㔸㡦攸㑥㈵昶愵ぢ㈷挲㔹㥢戶㉦㤶㡣搱搰㔹㤵〸㈷搴㘳㐰户㜵攴戱㠴㜳㐶㥣〵ㅦ㐵昸㌸攸㡡㉡〱捦㠷攰搹㔶㠹〹昴攴攴㌵慦㑡摣㘷㙦㜰㔱㈵敥戵つ愳愳攷扦户晦㠶捤愳㙦㙡ㄸ昳搷攷㝥㡡敤愸㌸搳㑤㉡㌱ㄵ㜱㥤㑡㑣搳摡晤戹㌶㕤〹㑥㕡㤳㑡ㅣ〰㉤㉡挱㐹㕦㔶晥㥣㠳㘶㑣㠷戶㜸ㄷ㐸慡摢昳昲㥦挱㠸〷㍢㥥㥣㤲㘶捣㠲捥摥〵㤲敡ㄶ挰摢ち㌵㠷㜰㑥攷昲摡摣ㅢ㑡㙤敥昵戶攱挷㌷愶㡦敦户敥挶敡㌳搲晥㌷㔵晦敤㙥㔳ㄹ㐴㤲捤㍤っ㜱㥤捤攵搵戸㘸て攷摡昴收㉥㠰㔶㌶㜷㉥戴搸㕣捥挵ㄲ攲晦㠰攸づ昱㐷搰㠵㌳愲慣㑡㜰㠲㤶㔱〳㕤ㄱ㤳㤱㤸晡㍤ㅣ摢㤸捣搰㜳㤱攳挹昹㕡㐶づ㍡慢换〰㝥㈹攰㙤㤵㔸㐰㌸攷㍡㜹㔵攲〲㝢㠳㡢㠸㕦㙤ㅢㄶ㉤摦㙢摣捤摢扣扢摦愳ㅦ㝣昰昰晣㥦㉦㑥慡㘳ㄱ㐹戶戹〱㜱㥤㑡ㅣ慦戵㡤㕣㥢慥〴攷㌸㐹㈵ㄶ㐱㡢㑡㥣㡣戶㔴攲㍣㐴㜷㉡搱㐴ㄷ㑥ㄷ戲㉡挱搹㑢㐶ぢ㜴㐵㤵㠸㐵搵㔹㜰㙣慢挴ㄲ㝡㥥敥㜸㥥㑡捦愵搰搹㠷㤱愸㍡つ昰戶㑡㉣㈷㥣ㄳ㠱扣㉡㜱㤲扤挱㐵㤵㌸搱㌶っ敤晤扢㑦㐷つ戸㜶敡挳晢慥㡤搶㔶㍥㜵㥥攲慣㈱愹挴ち挴㜵㉡㈱搳㠱㔰〰昳㐴慥㑤㔷攲ㄲ㘰愵ㄲ㈷㐱㡢㑡㕣㠱戶㔴攲㌸㐴㜷㉡㜱㌲㕤慥㘲㠲昲〱挱愹㍤挶愹搰ㄵ㔵㈲㥡㔴换攰搸㔶㠹搳改挹㘹㍡㤶攷㤵昴㍣ㄳ㍡慢ㄲ㠰㉦〶扣慤ㄲ㘷ㄳ捥㔹㌲㕥㤵㔸㘴㙦㜰㔱㈵ㅡ㙤㐳㜵昹づ㈷捣扤昰摣敡搵㍤㥡㕥扢昷敤戳搶㈸㑥愹㤱㑡慣㐲㕣愷ㄲ㌲㔷㠶㤵㔸捤戵改㑡摣〱慣㔴攲〲㘸㔱〹㑥㜱㤱㑡ㅣ㠹攸㑥㈵㉥愲ぢ愷愳㔸摢挳㜹㉦挶㈵搰搹捣〶搴晣扣敤戹㡣㜰捥㑢戱攰㥣晢㘲㕣〱㕤㔱攱㘲〱㤵㠶㘷㕢攱慥愴㈷愷㤰㜸㔵㘲慥扤挱㐵㤵㌸摣㌶攴㍥㕤㕦昹㙣昳晥ㄳ㙦㙥ㄹ晤摢㔷㑥㜸改㜵昵〴㈲㐹㈵慥㐳㕣愷ㄲ㑦㙡敤昵㕣㥢慥挴〶㘸愵ㄲ㌷㐰㡢㑡㜰晥㠷㔴攲㄰㐴㜷㉡㜱ㄳ㕤㌸㔷挳摡㌴㑥ち㌱搶㐰㘷㌳㥢㔰戳㠱㙥㘳㜶㉤攱㥣戴㘱挱㌹㌱挴戸つ扡愲㑡㐴ㄳ敡㐰㜸戶㔵攲づ㝡㜲㝥㠵㔷㈵愶摡ㅢ㕣㔴㠹㈹戶挱晦㐹㜸改ㅦ㉥扤㜷搲㕡㜵捡敡㤳㥥㡤㍤愲摥㐲㈴愹挴㝤㠸敢㔴㘲㤳搶摥捦戵改㑡㜰㕥㠵㔴攲〱㘸㔱㠹昷搱㤶㑡㑣㐴㜴愷ㄲ㝦愴ぢ愷㈸㔸㥢挶ㄹㄳ挶挳搰ㄵ㙤㕡㈴愲慡昳㌶敤㔱㝡㝥散㜸㝥㐸捦㔶攸慣ㅡ〲㍥ち昰戶ㅡ慥㈳㥣㤳て扣㉡㌱搲摥攰愲㑡㈴㙤挳㑦㤹敡捦㌶づ㕣㔰㝤挳㉤昳㕥戸㌰戱㘲㤵攲㑣〵愹挴〶挴㜵㉡㈱㔳㄰㔰〰昳㘹慥㑤㔷㠲㤳づ愴ㄲ捦㐰㡢㑡晣㠸戶㔴㈲㡡攸㑥㈵㥥愵ぢ敦摦㕢㤵攰㜴〲攳㜹攸㡡㉡㠱㈱㤴㈰ㅣ摢㐸㝥㐱㔶㠶敢ち换昳㘷㝡扥〸㥤扤㕦㠵搴ㅥ㠰户㔵攲㘵挲㝤㠴㌳搳㠲愱戶㈱昶〶ㄷ㔵㘲戰㙤㜸㙡捦㌳㡥㝤㘶搲挳㘳慦搹改㌳摦〵㙢〷昷㔳㍤㜹㤱挳㐸ㅢㄱ搷愹㐴㙦慤㝤㔳㤲戳㈰㝥㍦戴㔲㠹户愰㐵㈵戶㐶㕢㉡戱㉢愲㍢㤵搸㐴ㄷ摥敤戶戶㠷户搵㡤㜷愱戳㤹㡤慡㕤昲戶㘷㌳攱摢㌹昰㙤〹㝦ㅦ扡愲挲㐵愲㙡〷㜸戶ㄵ敥㐳㝡昲ㅥ扡㔶愹㝥㘸攸㑡㈹摥扢昶慡搱戶㜶㈹㡡㙡戴㡤㙤戸昱攲㤵㈷扥㝦敤㙥愳㉦㝡攰慢愷㘶散㌶敢㐱㌵㄰㤱愴㐶㥦㘱㡤㑥㡤〶㘹敤㍦㤸㠷敥㉤㐳愰㤵ㅡ㝤づ㉤㙡㌴ㅣ㙤愹㔱ㅦ㐴㜷㙡昴〵㕤㜸晢搷慡ㄱ敦㐶ㅢ㕦㐱㔷戴搱攱愴敡㤵户搱㕦搳㌳攰㜸㡥愰攷㌷搰㔹搵〵摣〴㕣搷挰㘷㝥㐷昸㐸挲㍤㝡㑢㔷㝢㠳㡢㉡搱挵㌶㡣扢㝦敥搰㕤摥扦㝤晣捤愷㌴㍦㜳敢摦㕦ㅣ愰昶㐶㈴愹挴捦㠸敢㔴㘲㕦慤晤㠵㙢搳㤵ㄸつ慤㔴〲ㄳ㕦㔸㠹㜱㘸㑢㈵㝥昹挶㔵㠹㜲ㄸㄵ㙦㡢㕡㤵攰慤㕡愳㉢㜴㜶敦て慡ㅦ㠰㙥摢ㅥ㠳昰㐹づ㝣〲攱摤愱㉢㉡㕣㉣愸扥㠵愷敥ㅡ㍥搳㐷捦ㄹ昴昴愸挴㔷㠰㝡づ㔱㝦㘹ㅢ㉡挷晤㘶搶昰て昷㥤㜴挵㡡换扢敤㍡㘶昳っ㌵ぢ㤱愴ㄲ㝥挴㜵㉡㌱㐷㙢晢㜰㙤扡ㄲ〷㐳㉢㤵攸ぢ㉤㉡㌱㤷㔹挸改挴㘱㔸㌲戶㠶ㄶ㥢换㠱搹愰晡㌴㙦㜳户㘵ㄸ摥㕣戴攰扣㠱㘹㙣〷ㅤ㌶户㘰㘰㌶愸㍥捡摢摣㝥昴攴㝤㐰慦捤摤㕣㙡㜳晦㘶ㅢ扥慢扣㜷挲捡ぢ愷㑣㕥ㄱ㝤昴戸㔳捥晢收㔱晦㐲㐴㤲㑤愸㐲㕣戳㍦挵〰〸㥦㥦㜷て挵戰㉢㥡戸㘱㔸㠷戶攷㝤ㄹ摥㉡㙣ㅥ㘱晤摣㌹扥〸㉤摢㉣㡡㑡搴愸㈲挷㝢㘵㍤㜲晣㝥戴慣晣收㍡扥扣慤戶慥㑥扥昷慣㈷㝥昹扣改挸㙣搳搴摡㠶㉣㝥敦㝣㘶㙤扤晤㡤㕤攳㝡攵㜸ㅢ㑣晦戶戶㈹㉤摥㈷㌴㜲搳㥡昰㘳摢摤㜲晢㌵捦㙥捥㘶扡搷㑦㑦戵戴㘴㥢ㅡ晥ㄷ扥㠲㄰て㡦㜶攵㉤㔱㜴㤹㉥昸㐵昲㜲捦㉦㠱攳户扢ㄵ晥ㄶ㜷昵㔸摣㜶戴㑡搸㔶㡦愹昸づ㍥摥戵㉢攷て愶晦扡㉦㈰㌴〶㠲戶㑡摣㘴捣愶㔳捤㉤㔵㑢昸昵㠲捤攵敡㑤昴〳㤹㍡昵㘹㘸㝢戹ㄳ挶晢摣收㈰㘰㡤挱㄰㕤㜰㜷㑤挹㜶攰㘷㥥捤㈱搰㤸慤挸㐳㐴㔹㐵〳扡㐰攱㠶昱㉢昹㈶搰愳攲攸摡㑣换〲㘳㐱戶㜶晥〲㍣昷搱愳〷户昶收㔱㥦㡣㍥㝥昴㤹㘳扡㌶挱戵扤㝢㤰摣搱扡搵捦㑢㌵㌵愵㤶㜵慦㥦㔷㤷㙤㤸摦戲愰晢扣㈵戸敦㕡摢挸昵㜶敦摥摤ㅣ㡡㝣戸㉡扥搴ㄲ㈸ㄹ搵ㅣ〶㉤㍢㉡戵晥㘳愱㤱㕥㍢㥣戹敦㐱㌱〲挲攷攷敤㌷㌱散㠹㈶㜶搵攳搱㘶㤷㌶㔹愷㜲昵ㄷ捦扡㠴攸捦扡戴搵㈴㐲㔵㉢㔶㘵搵㐴慤㐰っ收愷晦搴挹㘸㐸㕥㌱〶㠶㕡戲㍤㕤㙢攳搰㍡搹㥥ぢ慤㈴㤵㘰搴㈴挵㐸〸㥦㥦㌷挲挴戰ㄷ㥡挸昶㝣戴㕤搹慥昷捣㜶㕦晡攷㘷㍢㥡慡㔶㈴㘱㘷扢ち㜱昲戲扤〸ち挹㜶㉣㤰㍡㉦㜵㤹搶㔶㐳慢户挱㝦㌵戴㤲搴㌸㐶ㅤ㑦㌱〱挲攷攷捤㉡㌱㑣㐴ㄳ搹昲㌶ㄵ戳㌵㈶愱㕤摣〷敦昷捣㝥㌲戰挶ㄴ㠸晣㍥㌸ㄵㅡ昷ㄶ摣㠰戸㤲昰〱㌰攸搴搴ㅡ慤㥤〶慤摥っ晦ㅤ搰㑡㕥搳ㄹ攴㐰㡡ㄹ㄰㍥㍦㙦㉡㠹㘱㈶㥡㐸昸㉥戴愵扣㑣戸㕣摤攲㤹攰ㅣ晡㌳挱戶捥㜰㌰㔵慥昲摥愷搳㌸㤴㜱㌴昷㝦搴摡摦㐲敢㈴搷慡㜳㌸㡣㐱づ愷㤸ぢ攱昳昳ㄶ㤰㈴㌷て㑤㈴挷㥢㍦㉥敥慦昲㑣慥㠶晥昹摣㘷愸㜲㈵昷〴攲攴㜱扦〱ち㈹㘵づ㐸㈷摢㘷戵㜶㍥戴㑥戶㉦㐲㉢㐹㉤㘰搴㕡㡡㠵㄰㍥㍦㙦搳㠸攱㐸㌴㤱㉤㙦搰戸戲㕤敤㤹㙤〳晤昳戳㕤㐴㤵㉢摢㔷ㄱ㈷㉦摢㡤㔰㐸戶㑤㐰敡扣搴㈶慤㙤㠶㔶㙦㠳晦㝤㘸㈵愹ㄶ㐶㕤㑣戱〴挲攷攷慤ㄴ㌱ㅣ㡤㈶戲攵㑤ㄴ㔷戶愷㜹㘶扢㥣晥昹搹ㅥ㑢㤵㉢摢㡦ㄱ㈷㉦摢捦愰㤰㙣㡦〷搲挹昶ぢ慤㍤〱㕡㈷摢㙦愰㤵愴㔶㌰敡㠹ㄴ㈷㐱昸晣扣摤㈱㠶㤵㘸㈲㕢摥攸㘰戶挶挹㘸ㄷ敦㔷挷㜸㘶㝦㉡戰挶㘹㄰昹晢搵改搰戸户㠰昷㐴㈴攱㌳㘱搰愹愹㌲㥣昷㠹昶㉣㘸昵㘶昸つ㘸㈵慦戳ㄹ攴ㅣ㡡㜳㈱㝣㝥摥㤶㄰挳㜹㘸㈲攱敥㘸扢捡摢攸㤹攰㉡晡攷㤷昷〲慡㕣攵昵㈱㑥㕥㜹㝢㐳㈱㜹㕤〴愴捥㑢昵搵摡㡢愱搵摢攰摦づ㕡㐹敡ㄲ㐶扤㤴攲㌲〸㥦㥦户づ挴㜰㌹㥡挸戶ㅦ摡㤲慤㜵ㄴ㐸㝢㘶㝢㈵晤昳㡦〲㔷㔳攵捡㜶㘷㥤挶㌵㌰㌸挹つ搰摡㙢愱㜵㤲ㅢ愲㜳戸㡥㐱慥愷戸〱挲攷攷㐰扦㈴㜷㈳㥡㐸㙥㈸摡慥㔲ㅥ攴㤹摣ㅡ晡攷㤷㜲㉤㔵慥攴㠶㈳㑥㕥㈹〳㔰㐸㈹㙦〳㔲攷愵㈲㕡㝢㍢戴㝡ㅢ晣㈳愱㤵愴敥㘰搴㍢㈹敥㠲昰昹㌹ㄸ㉦㠶扢搱㐴戶㝢愳敤捡㜶㡡㘷戶昷搱㍦㍦摢〷愸㜲㘵扢㉦攲攴㘵㍢ㄶち挹昶㡦㐰㍡搹㑥搰摡㠷愰㜵戲㥤ち慤㈴昵㌰愳㍥㐲昱㈸㠴捦捦〱㜳㌱㍣㠶㈶戲㍤〰㙤ㄷ昱愳㍣戳㕤㐷晦㝣攲㥦愰捡㤵敤っ㥤挶㤳㌰攸㌴搴ㅣ慤㝤ち㕡㥤戲晦㌰㥤挳〶〶㜹㥡攲ㄹ〸㥦㥦挳摢㤲摣㥦搱㐴㜲㜳搱㜶㤵㌲散㤹摣昳昴捦㉦攵ぢ㔴戹㤲㍢〲㜱昲㑡挹愱㙤㈹攵㡢㐰㍡搹㉥搰摡㤷愰㜵戲㙤㠰㔶㤲㝡㤹㔱㕦愱㜸ㄵ挲攷攷㄰戴ㄸ㕥㐳ㄳ搹㉥㐲摢㤵敤㘰捦㙣㌷搲㍦㍦摢户愸㜲㘵摢㠴㌸㜹搹㉥㠱㐲戲摤〴愴㤳敤㜲慤㝤〷㕡㈷摢ㄵ搰㑡㔲敦㌲敡摦㈸㌶㐳昸晣ㅣ㈶ㄶ挳㝢㘸㈲摢㤳搰㜶㘵扢㠳㘷戶ㅦ搲㍦㍦摢㡦愹㜲㘵换戱攴扣㙣㑦㠷㐲戲晤㍢㤰㑥戶㘷㙢敤愷搰㍡搹慥㠲㔶㤲晡㡣㔱晦㐱昱㌹㠴捦捦愱㕣㌱晣ㄳ㑤㘴换㐱㕣㔷戶㤵㥥搹㝥㐵晦晣㙣扦愶捡㤵敤㐵㠸㤳㤷敤㘵㔰㐸戶摦〰愹昳㔲㔷㙡敤户搰敡㙤昰㜳慣㔵㤲晡㡥㔱晦㐳昱㍤㠴捦捦攱㔶㌱晣㠰㈶戲攵㐰慢㉢摢㉥㥥搹晥㑣晦晣㙣㌹挹搶㥤敤㑤㠸㤳㤷敤㕡㈸㈴摢㜲㈰㥤㙣敦搰摡㉥搰㍡搹摥〷慤㈴搵㤵㔱㉢㈸っ〸㥦㥦㐳愲㘲攸㠶㈶戲攵㘰愸㉢摢㙦晦敤㜵㤹㠴㤹搳㠵搹昶愴捡㔵摢㍦㈲㑥㕥戶㡦㐲㈱搹昶〶㔲攷愵搶㘹㙤㈵戴㝡ㅢ晣ㅢ愰㤵愴晣㡣摡㠷愲㉦㠴捦捦㘱㑢㌱㙣㠵㈶戲攵㠰愵㉢摢㑦㍤戳摤㤶晥昹戵摤㡥㉡㔷戶捦㈲㑥㕥戶㉦㐰㈱搹昶〳搲挹㤶㈳㤳愲摤〱㕡㈷摢㡤搰㑡㔲㍢㌲敡㑥ㄴ㍢㐳昸晣ㅣ㕡ㄴ挳㉥㘸㈲㕢づ㉡㌲㕢愳ち敤攲搳㤶㜷㍣戳ㅦ〰慣戱㉢㐴晥㘹换㐰㘸摣㕢戰〹戱昳戶㘰㌳ㄴ㤲敢㈰㈰㜵慥㡡㈳㡡愲ㅤっ慤摥㉥晦㘷搰㑡愲㐳ㄸ㜵㜷㡡愱㄰㍥㍦〷晥挴㌰っ㑤㙣〱㠷晣㕣昵㝥挹㌳攳ㄱ昴捦慦㜷㠰㉡㔷扤扦㐰㥣扣㙣㌹攸㈷㜹㠵㠰搴㜹㈹㡥敤㠹㌶っ慤摥〶晦捦搰㑡㔲ㄱ㐶㡤㔲挴㈰㝣㝥づ捥㠹㈱㡥㈶戲㉤挳㑥攵捡昶㈹捦㙣㐷搲㍦㍦摢扤愹㜲㘵㕢㡥㌸㜹搹ㅡ㔰㐸㕥晢〲愹昳㔲㍥慤ㅤ〵慤摥〶扦ㅦ㕡㐹㙡㌴愳㡥愱ㄸぢ攱昳㜳〰㑤っ搵㘸㈲摢扥㘸㑢戶搶㔹搷㐳㥥搹㑥愰㝦晥㠷敦㈴慡㕣搹㙥慢搳㤸っ㠳㤳㕣㍦慤㥤〲慤㑥㑥㔵㐱㉢㈳㤶昷㘰㙤ㅣ扢摤扢っ㈳っ攵㠶攲昸㤷ㄸ敥戶つ晢㠸㐱愹〱摡㜰㤷㙤ㄸ〵㠳㌹つ㐱㉢㜶㠵愹昰㠷ㅥ㕣愳㍡慥㥦㕣〰㑦昸㔲攴㤹昸扥㝦づ昰昸敡㌹㝦㔹收㌲ㅢ昵㌳ㄷ攰昷〰晡搸搸㘱づ愶慦愳㜱戰扤ㅤ㤵昸㙣㕦摤㔸扦㈸搵㤴慡愹换ㄲ㌲慣㉤攸㌶㠵ㄶ挱愳〶㉣㐳搹〰慦㈹搶搶㌸㤴㑥㤰㈳㔰摤㔵㠷㠱摤ㄵㅤ捣改愸㐹㉦㉣愸戶㈵㘹㔶っ㐲㥤㍡㍣晡挵㈱搶㕦昹换ㄴ〷㈲〱㌵〴㉢㤳㔱摣ㄹ㙣㌱ㅤ扣㉡㠷摡摡敥ㅣ㙥慡ㅣ愶㕢㜸㉦㔳挳㈱㠵晡㕢ぢ晡〴〷㤱挴戰戶愰㑦㡣搰㠶㕢摣㝤㘲づ㔷戸㈷㑣散ㄷ㙤㌵㘸㕢㤲㙡愸㄰慣慣㠸㜹㌰昱ㄱ㉣㐹扡㠷戸搳㡤搹㕡㉢摤戸㙥攱ㅤ摦㝡〴㈹㔹摤㔰㤰㉥㐷㤱挴㜰㝤㐱扡㈳戵攱㍡㜷扡㠷㜳㠵㝢挱搴㝥扡晢〲㈱改捥㈳㝥㌴㕡㤲敥ㄱ敥㜴挷摡摡敥㜸㉦慢慣搶㉤搶㕡㡤㐳㑢戲扡慡㈰㕤づ㈳㠹攱捡㠲㜴㈷㘸挳敦摤改㘶戸挲㠹㌰㐹扡㔹戴慣扥收㉣㔹搵㥤っ㠴愴㥢㈳㝥㉡㕡㤲敥㝣㜷扡〷搸㕡慢扡搳㜴ぢ敦㘵㙡㍡愴㘴㜵㐹㐱扡ㅣ㐴ㄲ挳挵〵改捥搰㠶㡢摣改ㅥ挹ㄵ㜲㤰愹晤㜴攷〰㈱改搶ㄳ㝦㌰㕡㤲㙥㠳㍢摤㐳㙤慤㤵敥㙦㜵ぢ敦昸㘲ㅤ㐸挹敡㜷〵改㜲㔸㐹っ攷ㄷ愴㍢㔷ㅢ捥㜳愷摢挴ㄵ㜲搸愹晤捥㔰〳㠴愴摢㐲㝣〶㉤㐹㜷戱㍢摤㥣慤戵搲㥤慦㕢㜸㉦㔳ぢ㈰㈵慢㌳ぢ搲攵戸㤲ㄸ捥㈸㐸㜷愱㌶㥣敥㑥㜷ㄹ㔷㜸㈴㑣敤愷摢〰㠴愴㝢っ昱㡢搰㤲㜴㡦㜵愷摢㘴㙢慤扥换挱㈴㘲㈴㜹搵㠲㤶㘴戵戲㈰㕤づ㉣㠹攱愴㠲㜴㤷㘸挳㠹敥㜴㔷㜰㠵㐷挳搴㝥扡换㠱㤰㜴㑦㈲㥥㈳㑤㤲敥㑡㜷扡挷摢㕡㉢㕤㡥㈶戵愵扢〲㉤挹敡搸㠲㜴㌹戲㈴㠶㘳ち搲㍤㐹ㅢ㤶扢搳㍤㡤㉢㕣〹㤳愴㝢㍡㕡搶慥收㉣㔹扢摡愹㐰㐸扡㘷㄰㝦㍡㕡㤲敥㤹敥㜴捦戴戵㔶㘷㌸㑢户昰㡥㕦戲㠵㤴慣ㄶㄷ愴换㜱㈵㌱戴ㄴ愴㝢慥㌶㌴扢搳㍤㤷㉢㍣て愶昶慢扢ち〸㐹昷㝣攲㉦㐰㑢搲晤㥤㍢摤㡢㙣慤㔵摤㡢㜵㑢づ㘴㤷愰㈵㔹㌵ㄴ愴换㠱㈵㌱搴ㄷ愴㝢㤹㌶搴戹搳扤㤰㉢扣ㅣ㈶㐹搷㌹㝣㤹捥㤲㔵摤㉢㠱㤰㜴㉦㈶晥㙡戴㈴摤㑢摣改㕥㘳㙢慤㜴慦搵㉤㐹㤷挳㑡㤲搵晣㠲㜴㌹搴㈴㠶㕣㐱扡㌷㘸㐳搶㥤敥ㄵ㕣攱㡤㌰戵㕦摤㌵㐰㐸扡㔷ㄲ扦ㄶ㉤㐹昷㉡㜷扡户搹㕡慢㌳摣慥㕢㜸㉦㔳㜷㐰㑡㔶㐷ㄴ愴换戱㈶㌱捣㉢㐸昷㉥㙤㤸敢㑥昷㕡慥㤰㘳㔱敤愷㝢ㅦ㄰㤲敥昵挴㍦㠰㤶愴㝢㠳㍢摤㍦摡㕡㉢摤㠷㜴ぢ敦昸㍥っ㐸挹敡㤰㠲㜴㌹搸㈴㠶㠳ぢ搲㝤㔴ㅢづ㜲愷扢㠶㉢攴㘰㔴晢㥤㘱ㅤ㄰㤲敥㕡攲㌹晡㈴改摥敡㑥昷㐹㕢㙢㜵㠶愷㜴㑢㍡挳〶戴㈴慢ㄹ〵改㜲昸㐹っ〷ㄶ愴晢㡣㌶㑣㜷愷㝢㈷㔷昸㘷㤸摡慦敥昳㐰㐸扡㜷ㄳ晦〲㕡㤲敥㍤敥㜴㕦戴戵㔶扡ㅣ㜳㈲挶㍡敥扥㡣㤶㘴㌵愵㈰㕤㡥㍦㠹㘱㜲㐱扡慦㙡挳㝥敥㜴ㅦ攰ち㕦㠳愹晤㜴㌷〲㈱改晥㤱㜸づ㐸㐹扡て戹搳摤㘴㙢慤㜴㌹攸搴㤶敥扢㘸㐹㔶攳ち搲攵〰㤴ㄸ慡ぢ搲摤慣つ㘳摤改㍥挶ㄵ扥〷㔳晢改㝥〸㠴愴晢㌸昱ㅦ愳㈵改慥㜳愷晢㜷㕢㙢愵晢愹㙥㐹㘷昸っ㉤挹㙡㥦㠲㜴㌹〲㈵㠶扤ぢ搲晤㕣ㅢ昶㜲愷晢㈴㔷昸㑦㤸摡㑦昷㉢㈰㈴摤つ挴㝦㡤㤶愴晢戴㍢摤㙦㙣慤戵慢㝤慢㕢㜸㉦㔳摦㐱㑡㔶戱㠲㜴㌹〴㈵㠶㘸㐱扡摦㙢㐳挴㥤敥㜳㕣攱て㌰戵㥦敥捦㐰㐸扡㝦㤱〴敤㉣捤ㄷ摣改㤶摢つ㉢摤㉥扡〵捦㌲挵昱㈶挹㙡捦㠲㜴㉢戴㘱㐴㐱扡㠶㌶散攱㑥昷㘵㐶攵ㄸ㔵晢改晡㠰㤰㜴㕦㈵㥥㠳㔲㔲摤搷散〵㌶㉡㌹〰挵〵慢㌳㜰攰㐹㕡搲ㄹ晣㘸㐹扡㐳ち搲攵㈰㤴ㄸ〶ㄷ愴换㠱㈹㌱っ㜲愷晢㈶愳㜲㤰慡晤㜴㌹㌴㈵改扥㑤㍣㐷愵㈴摤㑤昶㠲愴换ㄱ愸戶㜴㌹昲搴㤶㉥㐷㥣㘴攵晤ぢ搲攵㈸㤴ㄸ慡ち搲攵挸㤴ㄸ㜶㜱愷扢㤹㔱㜷㠱㤰㜴摦挳㠲㜵㡡攳㉣㔹ㅦ挲〳㘰㤰㜴摦㈷㥥㐳㔰㤲敥〷昶㠲愴㍢挸㙥㔸㥤㠱挳㑣㑥昲㙡〸㕡戲昲㝥〵改㜲挸㐹っ摢ㄷ愴㍢㔴ㅢ戶㜳愷晢〹愳㜲㐸慡晤敡㜲㈰㑡搲晤㤴昸〰〵㘸㌷㍦戳ㄷ㈴㕤㡥㌷㌹〹㔶㜲㥣㐹㕡搲ㄹ㌸扥㈴㔹㙤㔵㤰㉥挷㥣挴搰户㈰㕤㡥㐳㠹愱㡦㍢摤㉦ㄸ㤵㘳㔲敤愷换㤱㈸㐹昷㉢攲㌹〸㈵改晥换㕥㤰㜴㌹攰攴㈴㔸㌹㑡户㘴㔷攳〰㤳慣扣㘷㐱扡ㅣ㜴ㄲ㐳㡦㠲㜴挷㙡㠳捦㥤敥户㡣㕡つ㈱改㍡攷㘱㠵㘷㘴ㄳ㠰㤰㜴晦㐳晣㈴ち㔶昷㝢㝢㐱搲㥤㙣㌷慣捥挰愱㈷㐹㥥改㔶㜲捣㠸摦㐹㕦扥㔴愵㡦挸ㅣ㜱挴㜷㤵㕤慢晡㜵㍤㜸㜴捦㑢摦㝤㘶昳慡㤷て摢攷愳ㅦ慦戸攲攵昷㔷㍤晢攳挳㌵晢㍣㜵捤㌵㑦㑣扥敡搹捤㝤㜳㔷㤷摦昷摤搴慢㡦つㅥ㜹散㔱戹搹㐳㈷ㅥ㝢挸挲〳㠳搳晢っ敢搲愵㕢户挱㕢㙤搸㙥㠸㝦挵㔱て愸挷摦昸㑤㐳挵㜴慣愰〳㠳㌶捣攸㔷㡥戰晣挰つ㤲㘱ㄶ㙥㜹㍦㑣㜸搳㝦晥ㄹ㌰挹攸摥㑦㔸攸搵愵㤲愳㈱㥤戹戵㑡㠶㑦㤸㠶㝥攲㥥愹昸㌹㡣㈲㘹晣㘲愵挱㔱㡥㑥㑤㘳ㅥ㔶㈰晤㈰㉦つづ㡦㐸ㅡ慡㠷㔴㠳愳ㄷ㥤㥡〶㝢㉤昹㌷换戱㐲㤵挳㤲㈴攵晥㤶ㄷ㍦〷㐱㈴愹慥㔶㔲ㅣ愳攸搴愴㘴㔰㠳ㄴ攵愵挱挱つ㐹挳戰搲㘸敡散㌴㘴戰愲愸愷㜰搰㐲搲攸㙥愵挱㌱㠵㑥慤挶㌱㔸㐱㜱㑦攱㘰㠴愴攱戳搲攰㔸㐱愷愶㜱㤲㘷ㅡ㉢㜵ㅡ㍤慤㌴㌸〶搰愹㘹㜰㌰㐱㍡㙣㉦慣㔰挹㄰〲㈹㝡㡦ㅦ㐴昶㥦晦㑣㥤㔴愵㤵ㄴ慦昴㍢㌵愹昳戱㠲㘲㡡㌸㐴㈰ㄴ昵戱搲攰ㄵ㝣愷愶㈱㤷晣㈸㐲晥㝥挳㑢㝦㐹㘳㉢㉢つ㕥㤹㜷㙡ㅡ㜲㈹捦㌴昲づ㙤㔷改㌴戶戱搲戸戶戳搳戸ㅥ㉢㈸㈶攵〶㥤挶㙦慣㌴搶㜴㜶ㅡ㜲改㕤㐴ち㉦挱㠵㤴敤慤㌴㜸㠵摣愹愴挸㈵㜵ㄱ㈹扣戴㤶㌴㜶戰搲攰㤵㙦愷愶㈱㤷捡㐵㘹㍣愴搳搸挹㑡攳戱捥㑥㐳㉥㠱㡢搲㔸愷搳搸挵㑡攳挹捥㑥㐳㉥㙤㡢搲攰㈵慥㤰搲摦㑡㠳㔷愰㥤㑡㡡㜵挹㕡戸挳扥愰搳搸搵㑡㠳㔷㤶㥤㥡㠶㕣㡡ㄶ㔵㠳㤷愴㔲㡤摤慣㌴摥散散㌴攴ㄲ戳㈸つ㕥㙡㑡ㅡ㠳慤㌴㌶㜷㜶ㅡ扣愴㤴て扡㈱㔸愱㤲ぢ㐹㈶㤵㜷㑡挴ぢ㑡㐹㙡愸㤵ㄴ慦昷㍡㤵㈲戹㐰㉣慡つ㉦ㄴ㈵㡤攱㔶ㅡ㕦㜴㜶ㅡ㜲攱㔷㤴〶㉦〰㈵㡤ㄱ㔶ㅡ扣㍥敢搴㙡挸〵㕤ㄱ㈹扣戰㤳㌴〲㤲㠶㤲㡢ㅦ愲㠲㘸昳〳㐹㕥扣摣㤱㙢捤攷扦戶㘶ㄴ㡣㠵愵扢挲㤳㠳摡昰㕣㠱㠱㤷〴攲昱㙣㠱㐱㑥摤戹㠲愸㝢〵㍣㔹ㄷ昸㌳〵㜰㥥㍥㡢攱改〲〳㑦㘸挵戰愱挰挰㔳㑣㌱㍣㔵㘰攰㐹㥦ㄸ㥥㉣㌰挸挹ㄹ㔳摡ぢ〸㘷㥢㜹㍡㈶昰㈷ち攰㍣㐱ㄲ挳晡〲〳㑦㔹挴戰慥挰挰㤳〸㌱㍣㕥㘰攰挷扡ㄸ㕡ぢっ晣愰ㄵ挳㘳〵〶㝥昴㠹攱搱〲〳㍦㡣挴昰㐸㠱㠱ㅦて㘲㜸戸挰挰〳戶ㄸㅥ㉡㌰昰㄰㉡㠶㍦ㄶㄸ㜸㔰ㄳ挳㠳〵〶ㅥ㘶挴昰㐰㠱㐱づ〷㉣敤㝥㐰㌸愵攵〱㐰攰昷ㄵ挰戹㑢㡡攱摥〲〳㜷ㄲ㌱摣㔳㘰㘰户ㄵ挳摤昹〶㍦晢慦㜴散〳戰㠰㙦㔵㘵㜷㤳昶㌴慢㑤慥愵㍤摤㙡㌳㐱㘹ㅦ㈸敤ち扡戵㌳㥦㘳㝡戶㈹㥤㙤㘸愹慤换㜲㍥〹昶㠲戲㕥昵搵㡢㥢㕢ㅡ慤㈹㉦捤ㄵ㌲挹愵㜸ㄲ㑣㕦挲㠷攵㐱㝤㤶㡡戲搲㕡㜴㘶挳昴戰㑤㥣㍥昳㝦㥤ち搳つ㕢挳ㄷ㈶㥡敤摣晥㙣ㄸ㙢㈶㑣挷㔰昶㌴㤸ㄹ愸づ扦㡥〶昳㘰摡ㄶ愵慤㔸㕦ㄶ捦㥣搹㠶㘹㕢戴㌰慣戹㘰㘶戵㘱摡ㄶ㉤っ㜹㄰捣散㌶㑣摢愲㘰㉡戹㙥㕥㑢戱㠵扦㜷㐷㕤㜶㈹晦㍥ㄹ昵摣戳晣晢㙣㔴㈵搷摣㍥㠲敢㙤ㅦ挱戵戶㡢攸昱晦〰捦搳愹㥥</t>
  </si>
  <si>
    <t>㜸〱捤㝤〷㤸ㄴ㔵搶昶摣㠱㈹愶㥡㌰㑤㄰㌳づ㐱っ攰搸㌹愸㐸ㅥ㠲㈸㐸㔲㔱㠱づ搵㌲㌲〱㘷㠶愸㙢㕣㌱㈱扡捡愲㘰㕣㔴㘴㔱㔹挵散㈲㡥愰㤸㕤〳戸愶㐵搶㠰〹挳ㅡ㔰㔱昱㝦摦㕢㜵㝢慡扢慢㥢昹晣㜷㥥㘷〷晡㜴摤㤳敥戹攷扤㔵㕤㜵敢㔴㜷㤱㈸㉡㉡晡つ㝦㝣攷㕦㕢㙥ㅣ㌰㘱㝥㐳愳㔱㔳㌱戴慥扡摡㐸㌴㔶搵搵㌶㔴っ慥慦㡦捤ㅦ㔳搵搰搸〶ち摡戴㉡挸ㅢ㑡愶㌵㔴㉤㌰㑡愷捤㌱敡ㅢ愰㔴㔲㔴㔴㕡慡ㄷ㐳扥慦昵㜲慢㠶㑥㉢扤㉤〹戴㡡㜴㡤愴ㅤ㐹㈹㠹㑥攲㈲㘹㑦搲㠱愴㈳㐹㈷㤲㌲ㄲ㌷㐹㘷㤲㉥㈴㕤㐹扡㤱散㐵搲㥤㘴㙦㤲㝤㐸搸扦扥ㅦ挹晥㈰ㅤづ〰㤹㌸㜴挸搸昸㤹ㄸ捤㠴挶扡㝡愳㝦昹㘴㌳收〱㕥㙦㠵户㈲㄰昴晡㉡㍣晤换㠷捥慥㙥㥣㕤㙦っ愸㌵㘶㌷搶挷慡晢㤷㡦㥢ㅤ慦慥㑡ㅣ㘷捣㥦㔸㌷搳愸ㅤ㘰挴㍤晥㜸㉣㄰昱〶㠲挱㔴㌴ㅡ改㜰㈰㍣㥦㌰㜴挸戸㝡㈳搵昰摦昲搹㠳㍥挷づㅤ㔲㜱㠲搱昸摦昲㜹㄰㝣挲攵戰扡㥡㔸㔵敤㝦挹㘹〹㌱昵て㌳ㄲ㔵〴摦㌰敡慢㙡捦愸㐰搸ㄹ㠹㐶㉢㕣㔱㠹㡣㈷㘲つ㡤㐳㡤敡敡昱㐶㡡戸㜷愸㘱捥㡣㝡愳㌶㘱㌴㜴慡ㄹ㍥㉦㘱㔴㕢攲㠶搲㥡挹戱晡ㄳ㘲㌵㐶㕢㙥㤴搵㤸戸㡤㑡ㅡ戵㡤㔵㡤昳㍢搶㑣㙡㌰挶挷㙡捦㌰愸㔲㔲㌳㘲㜶㔵戲㙤㕢搱戶㙤㔱㥢㐳㥣㠲㤱搸㔴㔴搶㈷㠶捥㠸搵㌷捡ㄶ㔱昳㍡改摡㘶㠸っ㍣㈳㉣捥愲昲㉣㉢挲㌴愱慡收㌸愳扥搶愸㘶㈷〴慦㕦㤶㤲捣㠹㤹晡㜴㜲搴㘸〸㡣㘸㙦敤㙦ㅣち㝢搱换㐹㝡㠲㘸扤㐰摣〳㠶っ改攳つ昷敤㜵㔴㜹慦扥㝤〶㠷〲㝡㙦捡晢㠰㠸戶敦㘰攷戵摢㜳〷㉡㥥ㄶ㉢㥥ㄶ㉦㥥㤶㈸㥥㤶㉣㥥㘶ㄴ㑦㑢ㄵ㑦㍢愳㜸摡㡣攲㘹㔵挵搳捥㉣㥥㌶ㄳ㍡敡慦戴㕤扢㘲敢敦挴㥢㐷慤㕢晤敢㠸挱㙢扦㍡昱㠱㑢㍡散戸㑦㜰㝦㤵㍢㙥㕦㙣攸㠷㠰㘸㠷㠲㘴挵ㄳっ攸㠷㔱㝥㌸㠸㄰㕢㄰て㘳摡㝤㐰㙡攱挹㡤扦㔴㍥㔶扥㝡敦㤲㔰挵㑣挱晤㕥㍡敢㑦攵㈳㐰戴ち㄰昷㠰挱㤳㙣㠳ぢ㝡昴㈳㈹昷㠰〸昱て换㔹㙡昲扤㕤㠷敤㍥晥昸攵搳㝤㡢扡ㅥ愵扤㈹㜸晣㤰捥㝣㔴昶㠳㘸〱㤰慣挸〲㕥㍤㐸㜹〸㐴㠸攷㉣㘷㉦㑦㝥攵愳㍥昷㕦㌹㘴搹〹㑦㕦扢捦捤㤷㝤㉡㌸ㅦ愵戳〸㤵愳㈰摡㔱㈰㔹捥㐲ㅥ晤㘸捡㡦〱ㄱ㘲愳攵散搱搲敦㐶㉦㕡晦昹攰㡢㘶㔴㕥戰㘲㔰挵㐰挱攳㤹㜴㜶㉣㤵〷㠲㘸㠳㐰戲㠶改て敢㠳㈹ㅦ〲㈲挴攳㤶戳摡愶つ㙢愷㝥晤昹㠸㍦㕦昵戳晦搶攳扦摡㔷昰戸㈸㥤つ愳昲㜰㄰慤ㄲ㈴㉢戲㘰㔸ㅦ㐱昹㐸㄰㈱ㅥ戶㥣㑤㍣㙣㑢挵㑣敦挷㐳敦㔸戳㘹昹〷㥥搷づㄲ㍣扥㑡㘷愳愹㝣ㅣ㠸㌶〶㈴㉢㌲㌸㍢㥥昲ㄳ㐰㠴戸捦㜲昶挹㜳㠳て敥搸㘶晡㜱㡢㙦㍡慡昳ㅢ昳〷扤㈸㌸捤愴戳㜱㔴㍥ㄱ㐴ㅢて㤲敤㉣愸㑦愰㝣㈲㠸㄰㜷㔹捥㉥㕣㕡㜵挷愴㉢㝡っ扥慤慥扥晦摥ㅢ户〴〴㡦昷搲搹㘴㉡㥦〴愲㥤っ㤲㌵㑣扦㕦㍦㠵昲㈹㈰㐲摣㘱㌹搳晢㉦晤㔷㠷挷㉢㠷㕣㝡捥搳㡦晣㜴攰㠲㠵㠲㥦ㅢ搲搹㘹㔴㍥ㅤ㐴㥢ち㤲攵㉣㄰搲愷㔱㍥ㅤ㐴㠸㕢㉣㘷㡤搱戱㤱㐷㔶㝦㌴收戲捥愷㤶扤戰敤愷〵㠲㥦㍦搲㔹㥣捡〹㄰㉤〹㤲敤㉣愸ㅢ㤴愷㐰㠴㔸㘶㌹ㅢ户散搵挳敢づ㜹㘳散昵㕤㑦㜱〵㤶㉣慤ㄷ晣ㅣ㤳捥㘶㔰戹ち㐴㍢ㄳ㈴摢㔹㔴攷晥愹㔷㠳〸㜱慤攵慣昳慡扡㜷扡捦攸㌶敡敡㤷㍦扣㝣㙢㝣敤㜹㠲㥦㠷搲㔹㉤㤵敢㐰戴㔹㈰㔹〰〴挲晡㔹㤴搷㠳〸㜱愵攵㙣搹〱ㅦ戴㝦愱敢㜱㐳ㄷ敦搸扡敥㠰㑤敢敦ㄷ晣㕣㤵捥ㅡ愹㍣ㅢ㐴㥢〳㤲攵㉣攸搵攷㔲㍥て㐴㠸㑢㉣㘷晤摡慤搹昸㑡㤷㜹愳㤷㕣搷愹挳㐹㔳扢㕥㈵昸昹㉣㥤㉤愰昲搹㈰摡㌹㈰㔹挳っ晡昵㍦㔰㝥㉥㠸㄰ㄷ㔸捥㍥敤搴昳晣ㄵ昳㑥ㅣ㝥挱愳慦扦昶攰㤵扦昶ㄶ晣㥣㤷捥捥愷昲〵㈰摡㠵㈰搹捥㠲晡㐵㤴晦ㄱ㐴㠸戳㉤㘷㔳㉥搸㜵捣ㄹ摢慦ㅢ㜶敢㤲㙥摡㜳挷㙣摡㈰㜸扥㈰㥤㉤愴昲㈵㈰摡愵㈰搹挳昴改㤷㔱㝥㌹㠸㄰戳㉤㘷愷扦户摡昷㠷扢摦ㅢ戹愴㝢戸摦愰慥昷㕦㉤㜸摥㈱㥤㉤愲昲㤵㈰摡㘲㤰慣挸晣ㄱ晤㉡捡慦〶ㄱ愲㑥つ昳昱㉤愷捣㍡慡昲昸㔵㌳扦散ㄱ㝦户捤㈷㠲攷㉦搲搹㌵㔴扥ㄶ㐴㕢〲㤲ㄵㄹ㡥晣㝦愶㝣㈹㠸㄰㔵㤶戳戲晥㡤捦ㅢ捦㙣ㅡ扢愶摤ㄳ㍦㝤㍡愹捦ㄵ㠲攷㐱搲搹昵㔴㕥〶愲㉤〷挹㡡っ㐷摡ㅢ㈸扦ㄱ㐴㠸㠴攵散㤶ㄹ㡢戴挹㌳㕦ㅤ㜶搳㠳㜳㝢㉦愸㍦㙣愹搸〷㘲改散㘶㉡摦〲愲摤ち㤲攵捣ㄷ搶晦㐲昹ち㄰㈱㑥户㥣扤㜴摢㝢㔷㥣戲敤㡢搱㉢戶晦摡㘵㘱㥦戳愶〹㥥㤷㐹㘷户㔳昹づ㄰㙤㈵㐸㤶㌳捣戳㍢㈹㕦〵㈲挴㐹㤶㌳捦㌱てㅥ㜴㜹㜴换挸㡢扢昷扤敦摢㥢㍡㍥㈹昶㠳㔸㍡㕢㑤攵扢㐰戴扢㐱戲㥣㘱て戸㠷昲㌵㈰㐲㥣㘸㌹晢昶捥改户㌶㝤㍢㝡搰搲㕥㜷慦㕥晥㐰慦晥㠲攷㠹搲搹扤㔴扥て㐴㕢ぢ㤲攵㉣ㄴ搴敦愷晣〱㄰㈱㡥戳㥣摤扦㙥搲〵㍢㤶㑣ㅡ㝢挵戰晦散㝣昸攸㥦〷㜴㜸〸攲ㄳ慤捦昴㘱昵戱戹㌸㌱㙡㍥攷挲㠹㈶晦敤昹㘴ㄳ攷㥡愹㘰㉡㥣昲㝡㤳㐱㑦捣ㅦ㉢㈹㠷摢㤶㥥攲㜰慡㜷㐸㥤㔴㔵㥢慣㥢㉢捦㜹㍡愴㉡慢慡ㅢ㡤㝡搹㈸㑢攱捤㍣㙦㤳敤㡥愹攱昳㜰挲㥢㌰㑦㡦扡愵㠶ㅡ昵㡤㌸㔱㙣㥣摦㝣捥㜴挰㤰㔸㠳搱摣散㘷昹ㅥ㔲㌷扢㌶搹戰扦戳㜰㐲㘳慣搱搸㉦㕢搶散㈴挷㙣〲㑥㈲㡤〶ㄹ㔲㡦㙣戳挹戱敡搹挶攰㜹㔵愶昸挰㉣㌱㑥㈷敢攲昹愵㤵昵挶㔹㘹㘹㑥㐴㠳㜱㡤㌳㐷晡捥ㄹ愵㈹㌲攳㉡ㅦ㍡愳慥挱愸㤵攱昵慢ㄹ㔷㤵㤸㘹搴㑦㌰㜸㠵㘴㈴攵㔰昷愲挸㍡愷敤㌷戶ㄶ〳挵㔹㙡戲㤷㥤换㐴ㅢ戵㐹㈳㠹㜸㘷㈱换昳㈷挶攲搵㐶昷っㄵ戳㑦〸昶捤㘰㔷搶㈵㘶㌷っ慤慢㙤慣慦慢捥㤴っ㑥捥㠹攱㍣㍡㜹㝣㕤搲㘸㉢晦㡡㑣㉡㡡摡戴ㄱ愲攸㔰愷ㄳ㔲晡㙥攰㈹慢㙤㤲昰挴戸戰戲㙤ㄲ㔱搹昱㔴㌷敤ㄹㅢ戶㐹㐶晤挳ち㐶㘲㥦㠴搴昶ㄴ搴㜶㤸愴㌴摡㈷㜳挷慢ㄸて㝣㠰㐳戵挱扤戲戸㑦㝥㤷捤昳㜲て㤱摡㔰攱〵㌱戵ぢ㈴㑤扡㑤捦扤搶㔵㉥㉥敥㙡㡤㝥昸ㅣ㕣㉤㡤㡣搵㈶慢㡤晡㠲㤷昳㠲ㄱ改て㤳㍣㐲昲㈸挹㘳㈴㝦〷㈹ㄹ㠶㘳㕣摥㡣戶㠵㠶㤸㈷收㤷捣慤㑡㌶捥搰㘶ㄸ㔵㘷捣㘸〴て换〰愵愵㑣㜷捥㥦晥㌸㔸晡㝡㤲㈷㐰㕣慥㈲慤〹敦㐵㥡㑢㝦㤲㙦ㅢ㐰㍡っ㥥摤㔸㔷㙥捤〵㤷㈸改〹摥晦晤㙡慤ㄸ㔶扡扣㌸挴搵㝢㐳㐹つ慥㐱ㅢ摡戴㜱㑡挵挸㔸挳㡣㐶敥㠵㠵㠵昴户㤱攴㈹㤰づ㑦㠳㥣㌰搲愸挶㍥晣摦扡昰㉦改つ㥦㝢扣挰攴搹㔵昷㥡〹昳㙢ㄳ㌳敡敢㙡戱晣㌲㉣搶ㄸㅢ㥣挰㔵㜴㠳㠸㘹㌵㘳敡㠶捥㙥搴㙡㐶㔶攱慤㐳捤㜸㘳㤶ㄱ㙢ㅣ㡡㘳㜴㘳挷㥡㌱戸〲㤷〷搱㔱挹㜹㈵㌵收挵昳㌰愳㈱愱昳㉡㝢ㄴ㡥㐹昳㌴㙣攱㈰摢愱㠶㐷ㄹ㘳㕥㈳㕤户慢ㄹㄷ挳㔵㝡愳づ愵㝥搲捡摣愲㘵㐷挹㔳搶㉥慢〵て㙥戹㘹昳搲㕥㌲㑣㑦㐵㥣㌶昸昸挴〷㙥㕢㡢㘶敦㍥㤳ㅡ慢慡ㅢ㉡慣昴㔶っ慢挳㉡㡣㈱ㄷ愰㤸㜶㑤挳散搲ち㠲㤵扤㤷昳㌲㝤㙣㈲㙥扡㐵㈸㈳敡敢㘶捦敡〱㕦晦㉤㍦昴㔵愴㙦〲戹攵㍦慢㡦㍥昸愶扦晤㘶扤㥦㠷晤㐷晥改扤愸搱〴挲㈶摥攴㥦晥ㅣ摥㕣㠵㘴㈵㝤愰攱㜸㤸捤戳愲㔰〲晤づ㌵ㄸ敤挴㝡㐳㉥㤱㤴捡挶晣㔹㐶挷㥡㤳敡敡㘷挶敢敡㘶ㄲ晣㑥戲搵㌰挳㌰ㅡ戹敥搰摥㕡㘶攱戶㄰愲㑤㥢㡣㐵〵摢〲挵㐱昰慦扤〴搲㜱㜰㜵㜵戹昲搸愰扤っ㔶ㅢ㝣㥣㘸晦挰挶挱ㅥ㥣收㜸㡦㌸攲㠸愱ㄳ挶て㉥㥦㘸搴捣慡挶愹㐰㜹攵㈹㍥㝦昹戰昱㠳㉢㈷㔶捣慢㙥㤸㈷㍣㐸〵ㄷぢ㌶㤴捣㕦ㄱ㔹㔸㌴攸搱㡦ㅥ敦搲敥戹㤷晣攲㐸㑢㤰戳㈴搱ㄷ捥换昱搲㕦㈳㜹㥤㘴㌳挹ㄶ㤲㌷㐰挴㘱㌰攵㔱ぢ摢㤹㝦晡㥢㘸敢㙦㤱扣つ㠲㘳㡦㠴〳㠷㥥㜷挹攳愱挷㈵挴㈱㜸攳ㄱ㐷摦㑡昲ㅥ㠸㌸っ㠴晢㘶㤱扥つ㈴㉦挰㠷㔲愳〹〴㥤愷㝢搷㍦〰挳愵ㄷ㤰㠹挳愱㐱㤰㜵㈶㔵㘷ㅡ㜵愶㔰㜴㠷ㅢ挷攴散㘵〹㜲㤶㔸晡挳慣㥣昶㍢㐸扥㈰昹㤲攴㉢㤲慦㐱㐴ㄹ㑣㥤㤳昳つ㜵扥㈵昹づ挴㤶㥣㥤㘸㙡㍦㠰㘴ㅤ㤷挵ㄱ攰挹㑣晤㠸つ晤㈷㄰㜱㈴㠸㤹愹㕤搸捡㥢愹ちㅡ㌴㠱㈰㥡收㑣晤ち㠶㑢㉦㈰ㄳㅥ㘸㌸㘵敡㤷摤㜹㌲昵戳㈵挸㔹㍦昲挱㔳㌹㕥扡㈶㐰摡㤱㤴㤲攸㈴㉥㄰昱㍤㑣㥤㌳搵㠱㍡ㅤ㐹㍡㠱搸㌲攵㐶㔳敢っ㤲㥤㈹㍦㝡敡挹摥扡㐰愸㜷〵ㄱ㐱㌴捤㑣㜵㐳㌳㙦愶〲戴㙡〲挹挸搴摥㌰㜱改〵㘴㈲〴ㄳ愷㑣扤㥦㉦㔳晦戶〴㌹㡢㘳ㄱ㜸㉡挷㑢㉦㐷愷㝡㑦㤲㕥㈴扤㐹晡㠰㠸㜷昲㘶慡㉦㜵づ㈱㌹ㄴ挴㤶愹挳挹戳㜶戸㈸㥣昷㘴〷晤挹㍣〲㐴ㅣ㡤愶㤹㥣ち㌴昳㈶攷㈸㕡㌵㠱㘴㈴挷ぢㄳ㤷㕥㐰㈶㡥㠱㠹㔳㜲㥥捤㤷㥣㘷㉣㐱捥㘲摦戱昰㔴㡥㤷㝥ㄴ㍡搵㡦㈶㌹㠶㘴〰挹戱㈰攲挹扣挹ㄹ㐴㥤挱㈴㐳㐰㙣挹ㄹ㐶ㅥ㜷㌸ㅣ㡤〶攲慤㈷㍢愸㈴㜳〴㠸ㄸ㡣愶㤹㥣㤱㘸收㑤捥㈰㕡㌵㠱㘴㈴攷㌸㤸戸昴〲㌲㌱〴㈶㑥挹㔹㤳㉦㌹昷㔸㠲㥣挵换㘱昰㔴㡥㤷㍥ㄱ㥤敡㤳㐸㈶㤳㥣㐴㜲㌲㠸戸㌳㙦㜲愶㔰攷㔴㤲搳㐰㙣挹㤹㑡㥥㌵㜳㠶挳㜹㑦㜶㌰㥤捣ㄸ㠸攰㍡愸㤹㥣㌸㥡㜹㤳㔳㐹慢㈶㤰㡣攴ㄸ㌰㜱改〵㘴㘲㈴㑣㥣㤲戳㈴㕦㜲慥戵〴㌹㡢戱愳攱愹ㅣ㉦扤ㄶ㥤敡㜵㈴戳㐸捥㈲愹〷ㄱ㔷收㑤㑥㈳㜵㘶㤳捣〱戱㈵㘷ㅥ㥡摡㝣㤰散〳搰㜱攸愹㈷㝢㕢〰愱㝥㌶㠸㌸ㅥ㑤㌳㔳攷愰㤹㌷㔳㘳㘸搵〴㤲㤱愹昳㘰攲搲ぢ挸挴〹㌰㜱捡搴㠲㝣㤹㥡㙦〹㜲㔶㥡挷挱㔳㌹㕥晡愵攸㔴扦㡣攴㜲㤲㉢㐸ㄶ㠱㠸㠶扣㤹㕡㑣㥤慢㐸慥〶戱㘵敡ㅡ昲慣㝤㡣㡢搷㍤搹挱ㄲ㌲晦っ㈲㈶愰㘹㈶㘷㈹㥡㜹㤳㌳㥥㔶㑤㈰ㄹ挹㔹〶ㄳ㤷㕥㐰㈶㈶挲挴㈹㌹搳昳㈵㘷㥡㈵挸㔹㌹㥦っ㑦攵㜸改㉢搰愹㝥ㅢ挹敤㈴㜷㤰慣〴ㄱ愷攴㑤捥㉡敡晣㤵㘴㌵㠸㉤㌹㜷㤳挷捦㌱ㅣ㠰㑥㠲昳㥥散㘰つ㤹㝦〳ㄱ愷愰㘹㈶攷㕥㌴昳㈶攷㘴㕡㌵㠱㘴㈴攷㝥㤸戸昴〲㌲㌱〵㈶㑥挹愹捣㤷㥣攱㤶㈰攷㑥挰㘹昰㔴㡥㤷扥づ㥤敡㡦㤳慣㈷㜹㠲愴〹㐴っ捣㥢㥣つ搴搹㐸昲ㄴ㠸㉤㌹㥢挸戳づ㐰愷挳㜹㑦㜶昰㉣㤹捦㠱㠸㘹㘸㥡挹㜹ㅥ捤扣挹㤹㑡慢㈶㤰㡣攴扣〴ㄳ㤷㕥㐰㈶愶挳挴㈹㌹晤昳㈵愷㥦㈵挸戹戳ㄱ㠷愷㜲扣昴㌷搰愹晥㑦㤲㌷㐹摥㈲㜹ㅢ㐴ㅣ㥣㌷㌹敦㔲攷㕦㈴㕢㐱㙣挹搹㐶㥥㤵㥣〴㥣昷㘴〷敦㤳昹〱㠸㌰搰㌴㤳昳㈱㥡㜹㤳㤳愴㔵ㄳ㐸㐶㜲㍥㠶㠹㑢㉦㈰ㄳ㈹㤸㌸㈵愷㑢扥攴㜴戶〴㌹㜷㙡㘶挰㔳㌹㕥晡搷攸㔴晦て挹㌷㈴摦㤲㝣〷㈲摡攷㑤捥㑥敡晣㐰昲㈳㠸㉤㌹扢挸戳㤲挳㥢㍦㍤搹挱㉦㘴晥ち㈲㜸搳挷㑣捥㙥㌴昳㈶攷㑣㕡㌵㠱㘴㈴㐷ㄴ㌳㌹〵㘴愲ㅡ㈶㑥挹昹昱搷㍣攷捥㍦㔸㠲㥣㍢㑦戵昰㔴㡥㤷敥㐲愷㝡㝢㤲づ㈴ㅤ㐹㍡㠱㠸晦挰搴昹摣㤹〵㈱㝡㘷㤲㉥㈰戶攴㜴㈳捦㍡㈰搷挱㜹㑦㜶搰㥤捣扤㐱〴㙦㘲㤹挹搹〷捤扣挹㤹㐵慢㈶㤰㡣攴散てㄳ㤷㕥㐰㈶敡㘱攲㤴㥣慤昹㤲昳㉦㑢㤰㜳㈷慤ㄱ㥥捡昱搲晢㌰昶㠳㐹晡㤲ㅣ㐲㜲㈸㠸昸㘷摥攴ㅣ㑥㥤㝥㈴晤㐱㙣挹愹㈰捦㑡捥㙣㌸㤷挹昱㤰改〵ㄱ㜳挱㌲㤳攳㐳㌳㙦㜲收㌰慣㈶㤰㡣攴〴㘱攲搲ぢ挸挴㍣㤸㌸㈵攷愹㝣挹搹㘸〹㜲敥っ㉥㠰愷㜲扣昴㘳ㄹ晢㐰㤲㐱㈴㠳㐹㠶㠰㠸挷昳㈶㘷ㄸ㜵㠶㤳㔴㠲搸㤲㌳㤲㍣敢搳敡㙣㌸㤷挹ㄹ㑤收㜱㈰攲て㘰㤹挹ㄹ㠳㘶摥攴㥣挳戰㥡㐰㌲㤲㌳ㄶ㈶㉥扤㠰㑣㥣ぢㄳ愷攴慣捥㤷㥣扦㕡㠲㥣㍢㥤攷挳㔳㌹㕥晡挹㡣晤ㄴ㤲㈹㈴愷㤲㥣〶㈲㙥换㥢㥣愹搴㤹㐶㌲ㅤ挴㤶㥣㌸㜹ㅢ攰ㄵㅦ攵ㄷ攰㑤㈶㈷㐹愶〱㈲㉥〲换㑣㑥ち捤扣挹戹㤰㘱㌵㠱㘴㈴愷ち㈶㉥扤㠰㑣晣ㄱ㈶㑥挹戹㍡㕦㜲慥戲〴㌹㜷㙥ㄷ挲㔳㌹㕥㝡㍤㍡搵ㅢ㐸ㅡ㐹㘶㤳捣〱ㄱ㤷攵㑤捥㍣敡捣㈷㔹〰㘲㑢捥㌹攴㔹扢ㄵ㙦〶换攴㥣㑢收㜹㈰㠲㌷㠱捤攴㥣㡦㘶摥攴㕣捡戰㥡㐰㌲㤲㜳ㄱ㑣㕣㝡〱㤹戸ㅣ㈶㑥挹㤹㤳㉦㌹戳㉤㐱捥㥤攸㐵昰㔴㡥㤷扥㠸戱㕦㐹戲㤸攴㉡㤲慢㐱㐴㕤摥攴㕣㐳㥤㙢㐹㤶㠰搸㤲戳㤴㍣㙢户扡ㄲ捥㘵㜲慥㈷㜳ㄹ㠸戸ち㉣㌳㌹换搱捣㥢㥣挵っ慢〹㈴㈳㌹㌷挱挴愵ㄷ㤰㠹慢㘱攲㤴㥣搳昲㈵攷㔴㑢昰㘹昶㥤昵㙢攰愹ㅣ㉦㝤㈵㘳扦㤳㘴ㄵ挹㕦㐹㔶㠳㠸㐹㜹㤳㜳㌷㜵敥㈱㔹〳㘲㑢捥扤攴㔹㌳攷㕡㌸㤷挹㔹㑢收晤㈰㠲㌷改捤攴㍣㠰㘶摥攴㉣㘱㔸㑤㈰ㄹ挹㜹ㄸ㈶㉥扤㠰㑣㉣㠵㠹㔳㜲㠶攴㑢捥㘰㑢㤰㔳㈹㜰㍤㍣㤵攳愵㌷㌱昶㈷㐹㌶㤰㙣㈴㜹ち㐴ㅣ㥤㌷㌹㥢愸昳っ挹戳㈰戶攴㍣㑦摥〶㜸挵㌱㘷ㄹ摥㘴㜲㕥㈴昳㈵㄰㜱〳㔸㘶㜲㕥㐶㌳㙦㜲㤶换戰㐰㌲㤲昳㉡㑣㕣㝡〱㤹戸ㄱ㈶㑥挹㌹㌴㕦㜲づ戱〴㌹㤵て㌷挳㔳㌹㕥晡摢㡣晤ㅤ㤲㜷㐹晥㐵戲ㄵ㐴昴捣㥢㥣㙤搴昹㌷挹晢㈰戶攴㝣㐸㥥戵㕢摤〲攷㌲㌹摢挹晣ㄸ㐴晣〵㉣㌳㌹㥦愰㤹㌷㌹户㌲慣㈶㤰㡣攴㝣づㄳ㤷㕥㐰㈶㔶挰挴㈹㌹㥤昲㈵愷愳㈵挸愹攴戸ㅤ㥥捡昱搲扦㐳愷晡昷㈴㍢㐹㝥㈰昹ㄱ㐴戴换㥢㥣㕤搴昹㤹攴ㄷ㄰㕢㜲㜶㤳户〱㕥㌱㜳敥挰㥢㑣づ换㌲㜴〱㈲㔸ㄴ㘲㈶愷ㄸ捤扣挹㔹挹戰㥡㐰㌲㤲挳㙡㔵㤷㕥㐰㈶㔶挱挴㈹㌹摦晤㤲攷っ昹㕢㑢㤰㔳㤹戲ㅡ㥥捡昱搲㍢愱㔳扤㡣挴㑤搲㤹愴ぢ㠸昸〲愶捥㘷挸摤愸戳ㄷ㐹㜷㄰㕢㜲昶㈱捦㑡づ㡢㕤㘴㜲昶㈳㜳㝦㄰㜱て㔸扤昱㉡搲て㐰㌳㙦㜲敥愶㐶ㄳ㐸㐶㜲づ㠲㠹㑢㉦㈰ㄳ㙢㘰攲㤴㥣户昳㈵攷㉤㑢㤰㔳㘹㜳㉦㍣㤵攳愵ㅦ㡡㑥昵挳㐸づ㈷改㐷搲ㅦ㐴扣㥥㌷㌹ㄵ搴㌹㤲挴〳㘲㑢㡥㡦㍣㉢㌹㉣摥㤱挹〹㤰ㄹ〴ㄱ昷㠳搵ㅢ㉦㤴㠲愲㤹㌷㌹㙢愹搱〴㤲㤱㥣㈸㑣㕣㝡〱㤹㜸〰㈶㑥挹㘹捡㤷㥣㈷㉣㐱㜶攵㔰挹挳昰㤴㝤㌳㔴㤶て愷㙢㉡㙣搵ㅡ㥤愰慣愵㈶搵㔶㌵㌶戴㑦昱愶㜹㘵㔵攳戰㠶挶づ㈹㄰㙣㑡㤳晤㘴昹㠱捤愸㕦㙡㜲㤵㌱㜷㈲㙥〷ㅥ㤴㉢㐲㘵昵搰搹つ㡤㜵昲㍥㙦㡦㕣昹戰扡ㄳ敡ㅡ㠷㔵㌵攰㙥摥晣㍥づ㘲㔳㜲搲っ愳ㄶ昵㌰昵㈸㡢搹㤳㔲摤慣㔹㐶搲㈱挶〹㜵戳敢ㄳ挶愸㘱晦ぢㄵ㌵挲扣㘱㕤㠴㝢愲㐲㘰㔹㈴㝦〵㠹㉤敦〷〲㥢㘲摣㐷ㄵ扦戳㈰愳〹昶㐵晡㔰㑣扤㈲昴㠹愹慥て攳㌴㜴ㄵ㤵㍣〲㔶攱㈹㘲慢搱㘹て㘵㔷ち戰㥡扣㡥㔶ㄱ搸愸摡㠶慡愴攱戲㕡挷㔷搵㜶戲㌶挷捥㙥捣㤰挴收㜵戵㈴戸搹㍢戶ㄶ搰㈷㘲昵挹晦〵㔴㌰㌰晣㤹㤰〸つ晦㝥㕦愲㑤㌷㐵㐵㕦慢㈷㘰扥㍥て㍢晢㜰㉢搷㡦㐲散㜸敦㍤扤㍢㘲挳㔶攲㔴〶晤㡥㑣㜷㥡㕤捡搶昱㐶慣㔶愲㌰愱㌱㌹捣㤸搳㐹㙡ㄸ㤸攰㜸愰愱摡攸㥡搹㤴㈵ㄸ㝡㙡㜰扣愱慥㝡㜶愳搱㈹扤㈵㜷㜴㍤㌵摥挰慤㜴㤴慢㜵㐸㙦㡤㑢㌴愲愰㉦敤㡦愵㘸晦㍢〸㈱㈳㙤㉤㤴㠴挴㐹㉢㌰㜹㌳〷挱㝤攸㜷愲㉡㡡㡡㔲昲敦换㠱㘲昹㌲晥晤㜵㘰㤱摡㜰昱慦愸攴㌱戸㙦㜹㍤ㅡ昷愴慥慡㑣搲㍣挲挹㠳㔷〷挵㘳㈹㔸挷㤴㍣敥愱摥㤳捦戲㤴㜱搷愹挶㠳㐶㡤㔵㠹㔸㜵昵晣㑥愹㔱戵㠹敡搹㐹㘳㑣㉣㙥㔴慢㘳㜶㕤㝤捤晦〸㕥㙤㤱㌵㙢㡦㉡㤰ㄷ慢㌰㙢ㄴㅥ〰㔳搵㙦扦晢㌰㈷昴㑡散㘹摡〸㤰㤲〱㐳㠶㠶〲〸挰愵㡦戴昶㍥ㄶ愰晤㥦㑢〰㕤㌰敡搲㕣挰㉡ㅦㄴ挲〱㉥㠷挵㈳ㅢ㉢愲搲㔵㠴㜲扦戳愹㡤愹ㅢ㔳㠷ち捦愴㡤㌵戲捡㘴晤捦散㕤㜲挷搲㌴敤昷㝥捣㈰㔷昸晢摡慡挱挰愱捦㙣て攴㈷つ㜷㤱挷搱捥慥愵戲㥤㡥挸㌳〰㜹㈸㜴㐳戱㡣挷㌱昳昴㘱㘲㔵㘳戵搱㍥㈵攵㜲扢㤴㍢〶戳搹㉥㌵㜱〶敡㤲㠶㜵㑣㡤愸慦㑡㔶㔷搵ㅡ㍣ㄵ㐱挵㌱ㅦ捥ㅡ㘳㥣㠱摡搸㜱㜵つ㔵㝣收戰㘳㙡㘲㝤慣戶㘱ㄶ换捦ㄲ昳扢㘴戴㈴㔸㈵愹㈱㔵戵搸㡤捣㍥戹㕤㤶㥡㌰愳㙥㉥ㅥ㕢㥣㕤㔳㍢㈲㌶慢攱㝦〲㈸敥㔵收㥦㜹ㅣ㉣ㄶ挵挵愲戴戸昴昷㝥㘲㘱㠶挳愵て㉥㡢㐹㉣愸搶㘳慢挰㕥㑢㤴慣捡㘴敥戵㡣㈹攳ㄱ㍣挷捡挸昴㌳㥦㍣ㄲ敢愳戰㕢㜶ㄸつ㌲㝡挴愴㔱捤昵散晦㕦て㔰㤶㍣〱捦〵㍥㄰攴戴㐸ㄷ捦敥〵攵㑥收㔴㈱㡦㌳㐷㤷㠸戳㤵㍤晤㕣㈹愹挳㤹㠸捦㔰慡㜳戳ㄲ㤵㡤ㅤ戰攳攳〰㡣㡡㔰ㅣ㜹㍢㤹つ㥥搴搵挴慡ㅢ㉣搹搰扡㥡㥡ㄸ愷ㄶ愷攵〴ㅣ扤㡤㔲㜹㠶㡤㈳㠹㥥〲㤱昳捦㘲挵收㠱ㄵ㥢㈷㔹昸㔰㘶㐱扣摣愶慦扡㌳㘲昵㔵㡤㌳㙡慡ㄲ愵㙣戰㘸晤㝦㘲㑥㘲ち戵㐵㌲搵㥦㥣㤸㌸㕤捤慥㍥㌵ぢ㈶〱㜷〵慥㈰㤸㍡挲㡦㤹㕢㉣㍦挹挵敦慣㌶挶昴㤵㔷㔹晡ㄸ㜸㉢挱㌵㝦ㄱ㍥㐰捣㔰㙣愷㘱攰挸㠳㤰㜸㤲ち㜸改挷㐳㕤晤戵摤㠸慤㠲㌵愰敤愰攰ㅡ㔳ㄷ㑢㔶攲戹㠶扡晡㜶搶〳扦愵㠰㤶㠷㤴㝡㌷敢㝥㠷愲㘲ㅥ㤵昸㜳㜰㌶㕣㕦㑡挶〴㔴搴戶㘵挵戰㘶㘲挸て挴愲㤲㤲昶愵㑥㝤㡤㔲扥晡㔸昵㤱昶〷愶㐷攵昸摦㜱㘲㠴昷㍣㌰㉣づ㐴㍦〱㔴ㅦぢ㈲㥥㐲㤳攳挹㔲ㄸ㐷㠵ㄳ㐱㑡㌶㐱㤸扤㤷攴慤㤱㠵㐱㔱㐹つ㙢㜷㑢㙢㌸ㅣ㥣㜴㘸愸攸㐵つ㌰㔲愲戵㉦㝤ㅡ㜲㝤㍣戴㕥㝡昱挵〱搸㉥ㄲ㉣㐲摤㠸ㄷ晢搷昱敥㜲㌱㜹晡〴攸攸ㄳ㐱挴㙢㘸昲搲㔴挲㠶㌲ㅥ昰〰㠹扣㉣㌹〹摢昸愸㄰慦㠳挵㑢ㄳ昵㘷㐳ㄲㅦ改㈷㕢㕡㥢㈱收㐹㌵〱摤搳〹㥡搸〲㍤㥥愴〹晤ㄴ㤸㙢㔳㐰㜸㤶㄰㌴捦ㄲ㑥戵㕣扥〱つ㥥㈹㤸㝦㜹㍦换挴㥢㔰攰攷㔹㤱攳昱㔳扣〵〹㡦愱晡㘹昰㉢摥挶ㄶて㑤㠸搳㥣慡㔳搹昹ㅥ愷敡扢搲〲㑥散㔳㔵㙣〵㜷㈳㕥㔹昰㑥㠷㑢㍤挶摥摥㜳㔶㠸㔳㈱㐱㠵㙤㔰攰ㅣ搰㤳㘸愵㘱晢挰㘶㘶㠳捤愰㔹㡡㘶㍢愰㘰㠳㙤〶㜸ち戶㉡㙣ㄳ戶㉦挰捡て摢㤹㤶搶㤷搰㙡㌱㙣㕦㐱搹㠴㙤㈶捣戵㙡㤰㤲〱㠳㈷〷㍤攰扢昴ㅡ换攵搷㘸戵〴戶㙦愰㈷㘱搳㙡㘱搹㘳㘸㕤㐳㘳戹㝡㥥扣㝣敥㤱㜵攵攳慢ㅡ㘶㤶昳㙣昴愸㜲㍦㠷㤷晤挹㈸扥㠵〷㠹㙣ㅤㅣ㠸敦搰捡㐰昶㉣挶户㐷㘴㜷挲㑣ㅥ㠴敡改挴㙡㠸ㅦ戱戱ㄱ慦㉣㘴ㅢ愰愳昳㡢ㄲ挴㑦捥ち戳愹㌰㠷ち扢愰㈰㤱㥤㡢㔶ㅡ搹㕦㙤㘶㌶㘴攷搱㙣㍥捤㌴㠴㘰㐳昶㙣昰ㄴ戲攷㘰㥢挸戶㠳㑡㝥㘴晦㘰㘹㤵㐲慢挵挸戲㍡搶㐴昶㕣㤸㙢攷㠱㜰㠷っ㜸搱扢㑢㍦摦㜲改㠲㔶㑢㤰㘵ㅤ㙤㠱ㅤ㤲ㄵ戶ㄲ戶ぢ攰㔷㜴㐲㉢〳戶㡢搸昹ㅥ㘱㜳挳っ晦昱㘴㈸搴搵㥦㘰ㄹ敥㐶戴戲㘰扢ㄸ㍡晡㐲㄰挱ㄲ㕤〷㠵㑢愸㜰㈹ㄵ扡㐱㐱挲㜶ㄹ㕡㘹搸㔸㤷慢捣㙣戰㕤㑥戳㉢㘸㔶づ〵ㅢ㙣㔷㠲愷㘰㕢㡣㙤挲搶ㄳ㉡昹㘱扢捡搲敡〵慤ㄶ挳搶ㅢ捡㈶㙣㔷挳㕣晢ㄳ㠸扣摡㌲㜷挸㙢㉣㤷㝤愰搵ㄲ搸晡㐲慦〰㙣㠷㐰㉣㘱扢ㄶ㝥挵愱㘸㘵挰昶㘷㜶扥㐷搸づ㠷ㄹ晥㘷ㅤ㐷㔹㈰扣㌱ㄷ戶敢攰㔲扦㥥扤戱㜸搸㐱㘱ㄹㄵ㤶㔳愱〲ちㄲ戶ㅢ搰㑡挳收戵㤹搹㘰扢㤱㘶㌷搱散㈸㈸搸㘰扢〵㍣〵摢慤搸㈶㙣慣晤捤て摢㕦㉣慤㘳愰搵㘲搸㔸㐴㙣挲戶〲收摡㙤㈰㍣㡥晡挳攸摤愵摦㙥戹㍣ㄶ㕡㉤㠱㙤㄰昴㈴㙣㍡㡦愳㡣㍦攷㐰㌹ㄸ㍣〹摤㑡㘸㠸㈱㘸㘵㐰户㡡〱散ㄱ扡㘱㌰挳㝦摣㘰愵ㄳ戳愳㈲㔱㠹慤㡤㘸㘴敤㜱慢愱愳摦㐵挵ㄱ捥ち㜷㔳攱ㅥ㉡㡣㠴㠲㠴㙥つ㕡㘹攸㔸捦扣搱昲㙢㠳敥㙦㌴扢㤷㘶ㄳ愱㘰㠳㙥㉤㜸㠸㑡㥥戹摣㡦㙤㐲挷捡攴晣搰㍤㘰㘹㑤㠶㔶㡢愱㘳㠹戳〹摤㠳㌰搷ㅥ〲㤱㘷㉥㈶㜴て㕢㉥㔹〳摤ㄲ攸愶㐰慦挰ㅥ挷㌲㘹〹摢㈳昰㉢㑥㐳㉢〳戶挷搸昹ㅥ㘱㥢ち㌳晣捦摡攳愶㠳戵㌱ㄷ戶㜵㜰愹㍦捥摥㘲捥ち敢愹昰〴ㄵ攲㔰㤰戰㌵愱㤵㠶㡤㤵搶ㅢ㜳㘱㝢㤲㘶ㅢ㘸㔶ぢ〵ㅢ㙣㑦㠱愷㘰㝢ㅡ摢㠴㡤㌵搳昹㘱摢㘴㘹捤㠲㔶㡢㘱㍢ぢ捡㈶㙣捦挰㕣㝢ㄶ㐴㥥戹㤸戰㍤㘷戹㘴㜵㜶㑢㘰攳㐵戶㠴㑤㝢ㅥ㤶扦攷捣㠵㌵摥ㄲ搹ㄷ攰㐰捣㐱㉢〳搹㤷ㄸ摦ㅥ㤱㘵㔱㌸晥攳挹㈲㍡㤱㜹挴晢〲㙣㙤戴㄰愰ぢ敢㥡攴ㅦ搰搱㕦愱㈲㡢挴ㅤㄴ㕥愵挲㙢㔴㌸〷ちㄲ搹搷搱㑡㈳换捡㜰㘵㘶摢㈱㌷搳㙣ぢ捤㉥㠵㠲つ搹㝦㠲愷㤰㝤ㄳ摢㐴㤶㌵摥昹㤱㝤换搲扡ㅣ㕡㉤㐶㤶挵攲㈶戲㙦挳㕣㝢〷㐴㈲ㅢ攴搰昵㜷㉤㤷慣㈶㙦〹戲㡢愱户㠷㘳㈹㡢捥㈵㜴㕢攱㕢㕣㡤㔶〶㜴摢ㄸ挰ㅥ愱㘳㤵㍡晥愳㤲㠰㑥㘴愲昰扥〴㕢ㅢ搱挸㍡㤶扥てㅤ晤〳㉡戲㠴摤㐱攱㐳㉡㝣㐴㠵愵㔰㤰搰㙤㐷㉢つㅤ敢搶㤵㤹つ扡㡦㘹昶〹捤㔶㐰挱〶摤㘷攰㈹攸㍥挷㌶愱㘳〵㝡㝥攸㜶㔸㕡户㐳慢挵搰戱㤴摤㠴敥ぢ㤸㙢㕦㠲昰㔸敡挷挹㍥愰晢捡㜲戹ㄲ㕡㉤㠱㙥ㄵ昴ちㅣ㑢㔹づ㉦㘱晢ㅡ㝥挵㙡戴㌲㘰晢㠶㥤敦ㄱ㌶搶捦攳㝦搶㐹攷ㅡ戰㌶收挲昶ㅤ㕣敡摦戳㌷ㄶ搷㍢㈸散愴挲て㔴戸ㄷちㄲ戶ㅦ搱㑡挳挶㡡㝡㘵㘶㠳敤㈷㥡敤愲搹㍡㈸搸㘰晢〵㍣〵摢慦搸㈶㙣慣㡤捦て摢㙥㑢㙢㍤戴㕡っㅢ㡢散㑤搸㝥㠳戹挶㝢愸昲㕡㈱㈴㘱攳敡ㄳ㍢㙥㠲㔶㑢㘰摢〰扤〲戰戱㔰㕦挲㔶っ扦攲㈹戴㌲㘰挳㜷㠳戵〰戶㑤㌰挳晦慣㡦挰㘷挱摡㤸ぢ㥢〶㤷㝡㍢昶挶戲㝦〷㠵㔲㉡昰ㅢ敦挴昳㔰㤰戰戹搰㑡挳挶㕡㝦㘵㘶㠳慤㍤捤㍡搰散つ㈸搸㘰敢〴㥥㠲慤っ摢捣ㅥ慢昶昳挳收戶戴㔸搶摦㘲搸㔸晥㙦挲搶ㄹ收㕡ㄷ㄰〹㥢㜹愰散㙡戹㝣ㅢ㕡㉤㠱敤㕤攸ㄵ㠰㡤㡦㄰㐸搸扡挱慦搸㡡㔶〶㙣摤搹昹ㅥ昷戶㙤㌰挳晦㉣搸摥〷㑢愵搷昶昹戶て㕣敡晢戲㌷㍥㤰攰愰戰ㅦㄵ昶愷挲㠷㔰㤰戰ㅤ㠰㔶ㅡ戶㡦㙤㘶㌶搸づ愴㔹て㥡㝤つ〵ㅢ㙣攵攰㈹搸㝡㘲㥢戰晤〷㉡昹㘱敢㘵㘹昱㠱㠳ㄶ挳挶〷ㄳ㑣搸㝡挳㕣敢〳㈲㘱㡢愲㜷㤷㝥戰攵昲㍢㘸戵〴戶㥤搰㉢〰ㅢㅦ㙥㤰戰昵㠵㕦挱愷ㅣ㌲㘰㍢㤴㥤敦ㄱ戶㕤㌰挳晦㉣搸㝥〱换〱㤵挳攱㔲敦挷摥昸愸㠴㠳㐲㝦㉡ㅣ㐱㠵摤㔰㤰戰㔵愰㤵㠶㡤捦㐷㈸㌳ㅢ㙣㐷搲捣㐳㌳ㄷㄴ㙣戰昹挰㔳戰昹戱㑤搸昸愴㐳㝥搸〲㤶㔶〷㘸戵ㄸ戶㡥㔰㌶㘱ぢ挲㕣ぢ㠱昰戴㈴㄰㤶戰㠵㉤㤷㥤愰搵ㄲ搸昸㜰㠵㠴㉤晦㈵ㅥㅦ扤㤰搰㐵攱㕢㜴㐱㉢〳扡愳ㄹ〰㤸㠵ㄷ攴扢㐱㐳㐲㜷っ㥤挸㐴攱㥤て㙢愸ㄴ搳㠵㜵㐶㌹〰㍡晡戱㔴攴㠳ㅣづち〳愹㌰㠸ち晢㐰㐱㐲㌷ㄸ慤㌴㜴㝣㝡㐳㤹搹愰ㅢ㐲戳愱㌴敢〳〵ㅢ㜴挳挱㔳搰㔵㘲㥢搰ㅤっ㤵晣搰㡤戰戴晡㐲慢挵搰昱㠱づㄳ扡㤱㌰搷㐶㠱挸㌳㑡㜳㉤㙣戴攵昲㔰㘸戵〴扡挳愱户〷攸昸㘰㠸㠴㙥っ㝣㡢晥㘸㘵㐰㜷〲〳〰戳㌰㜴ㄵ搰㤰搰㡤愵ㄳ〵ㅤㅦ㈵㔱㈹愶ぢぢ扡㜱搰搱㑦愴㈲ㅦ㌳㜱㔰ㄸ㑦㠵〹㔴昰㐱㐱㐲㌷ㄱ慤㌴㜴㝣戶㐴㤹搹愰㥢㐴戳挹㌴㍢ㄶち㌶攸㑥〶㑦㐱㜷ち戶〹ㅤ敦㤸攴㠷㙥㡡愵㌵〸㕡㉤㠶㡥㡦㥢㤸搰㥤ち㜳敤㌴㄰ㅥ㉣㠳收ㄹ攵改㤶㑢㍥㡦搲ㄲ攸㠶㐱慦挰挱㜲㌸挴ㄲ戶愹昰㉢㉡搱捡㠰㙤㍡㍢〷戳㌰㙣㈳愱㈱㘱换㔸挶ㅣつ慥㑡㉦㕤㔸戰挵攱㔲㑦戰㌷㍥〰攳愰㤰愴㠲㐱㠵㌱㔰㤰戰愵搰㑡挳㌶搶㘶㘶㠳敤っ㥡捤愰搹挹㔰戰挱㜶㈶㜸ち戶㤹搸㈶㙣㝣㝥㈵㍦㙣搵㤶搶ㄴ㘸戵ㄸ㌶㍥〸㘳挲㔶〳㜳慤ㄶ㐴挲㘶㥥㥡搴㔹㉥昹愴㑣㑢㘰㥢ち扤〲戰昱㘱ㅡ〹摢㉣昸ㄵ搳搱捡㠰慤㥥㥤㠳㔹ㄸ㌶㍥㝤㈳㘱㍢扥つ㔴慤㍦㤱〴搷〱㤵㐶戸搴㘷戳㌷挳㔹㘱づㄵ收㔲㈱〵〵〹摢㍣戴搲戰昱㜹ㅣ攵搷〶摢㝣㥡㉤愰㔹㍤ㄴ㙣戰㥤〳㥥㠲敤て搸㈶㙣㝣戲㈶㍦㙣攷㕡㕡㡤搰㙡㌱㙣㝣㐴挷㠴敤㍣㤸㙢攷㠳挸〳㈵㙢ㄷ㕣晡〵㤶㑢㍥挳搳ㄲ搸收㐱㙦て〷㑡㍥敡㈳愱扢〸扥挵〲戴㌲愰扢㤸〱㠰㔹ㄸ㍡㍥ㅢ㈴愱㕢㐸㈷㌲㔱㜸㍦ㄷ㕣㤵㘲扡戰昶戸㑢愰愳㕦㑡㐵㍥㌸攴愰㜰ㄹㄵ㉥愷挲昹㔰㤰搰㕤㠱㔶ㅡ㍡㍥㉤愴捣㙣搰㉤愲搹㤵㌴㕢〴〵ㅢ㜴㔷㠱愷愰扢ㅡ摢㠴㡥捦晤攴㠷敥㑦㤶搶㘲㘸戵ㄸ扡慢愰㙣㐲㜷つ捣戵㙢㐱戸挷昹㈳ㅣ扡扥挴㜲挹㈷㡣㕡〲摤㌵搰㉢戰挷昱㈱㈴〹摢㥦攱㔷㉣㐱㉢〳戶敢搸㌹㤸㠵㘱攳㔳㑢戹〷捡敢挱㔵改愵ぢぢ戶㘵㜰愹㉦㘷㙦㝣愴挹㐱攱〶㉡摣㐸㠵攵㔰㤰戰摤㠴㔶ㅡ㌶㍥挷愴捣㙣戰摤㑣戳㕢㘸戶ㄲち㌶搸晥〲㥥㠲㙤〵戶〹ㅢ㥦㐸捡て摢㙤㤶搶㉡㘸戵ㄸ㌶㍥摡㘴挲㜶㍢捣戵㍢㐰戸挷㔹搵㜵㉢㉤㤷慢愱搵ㄲ搸敥㠶摥ㅥ昶㌸㍥㈲㈵愱㕢〵摦㘲つ㕡ㄹ搰慤㘶〰㘰ㄶ㠶㡥捦㔴㐹攸敥愲ㄳ㤹㈸扣慦〵㔷愵㤸㉥㉣攸敥㠶㡥㝥てㄵ昹挰㤵㠳挲ㅡ㉡晣㡤ちて㐰㐱㐲㜷㉦㕡㘹攸昸㤴㤵㌲戳㐱㜷ㅦ捤搶搲慣〹ち㌶攸ㅥ〰㑦㐱昷㈰戶〹ㅤ㥦㤷捡て摤㐳㤶ㄶㅦ愸㙡㌱㜴㝣昰捡㠴敥㘱㤸㙢㡦㠰挸捦㌸昳㔶摤愳㤶换愷愰搵ㄲ攸㌶㐱慦挰ㅥ挷㠷户㈴㙣㡦挱慦㜸ㄶ慤っ搸搶戱㜳㌰ぢ挳昶㍣㌴㈴㙣ㄹ㥦㜱㉦㠲慢搲㑢ㄷㄶ㙣敢攱㔲㝦㠲扤昱㔱㌰〷㠵㈶㉡㍣㐹㠵㤷愱㈰㘱摢㠰㔶ㅡ㌶㍥晦愵捣㙣戰㙤愴搹㔳㌴㝢ㅢち㌶搸㌶㠱愷㘰㝢〶摢㠴㡤㑦㜲攵㠷敤㔹㑢㡢㡦㝡戵ㄸ㌶㍥ㄲ㘶挲昶ㅣ捣戵攷㐱〸㥢㉦捣愱敢㉦㔸㉥户㐲慢㈵戰㙤㠳㕥〱搸昸㔸㤹㠴敤㐵昸ㄵ㝣扥㉣〳戶㤷搹㌹㤸㠵㘱晢㄰ㅡ戹〷捡敤攰慡昴搲㠵〵摢㉢㜰愹扦捡摥昸㤰㥡㠳挲㙢㔴㜸㥤ち㥦㐰㐱挲戶ㄹ慤㌴㙣㝣㌲㑤㤹搹㘰摢㐲戳㌷㘸昶ㅤㄴ㙣戰扤〹㥥㠲敤㉤㙣ㄳ㌶㍥㘳㤶ㅦ戶户㉤㉤㍥㠴搶㘲搸昸戰㥡〹摢㍢㌰搷摥〵㤱㝢㥢㜹つ昷㉦换攵㡦搰㙡〹㙣扢愰㔷〰㌶㍥昰㈶㘱摢ち扦㠲㑦扥㘵挰戶㡤㥤㠳㔹ㄸ戶摤搰挸摤摢㡡摡㌴愷㤷㉥㉣搸摥㠷㑢晤〳昶㈶㥣ㄵ㍥愴挲㐷㔴㈸㠶㠲㠴㙤㍢㕡㘹搸㑡㙣㘶㌶搸㍥愶搹㈷㌴敢〴〵ㅢ㙣㥦㠱愷㘰晢ㅣ摢㠴慤っ㉡昹㘱摢㘱㘹戹愱搵㘲搸㍡㐳搹㠴敤ぢ㤸㙢㕦㠲㄰㌶㙢搵攴㉢换㘵ㄷ㘸戵〴戶㙥搰㉢〰摢㕥㄰㑢搸扥㠶㕦搱ㅤ慤っ搸扥㘱攷㝢㠴㙤ㅦ㤸攵挲戶ㅦ戸ㅢ㤱戱慣ㅢ㌹摦挱愵晥㍤㝢摢摦㔹㘱㈷ㄵ㝥愰挲〱㔰㤰戰晤㠸㔶ㅡ戶㠳㙣㘶㌶搸㝥愲搹㉥㥡ㅤち〵ㅢ㙣扦㠰愷㘰晢ㄵ摢㠴敤㌰愸攴㠷㙤户愵㜵㌸戴㕡っ㕢㍦㈸㥢戰晤〶㜳慤愸挴㠴㉤㘴㕥扦昱昷㈱搸㜱㝦㘸戵〴戶ち攸ㄵ㠰敤㐸㠸㈵㙣挵昰㉢㍣㘸㘵挰搶㤶㥤敦ㄱ㌶ㅦ捣㜲㘱ぢ㠰扢㌱ㄷ㌶つ㉥昵㜶散㉤攸慣㔰㑡〵晥晣㡤〸㐱㐱挲收㐲㉢つ㕢搴㘶㘶㠳慤㍤捤㍡㠰㤴っ㠵㐲换㥥㍥㘳昹愶摢昶㐸㈰㉢愵ㅢ㍡愷㑥㥣ㅤ慢挶㉦愸㡣挵㜳㈹㡤㘴晤㉦㤴㈲户㌵㥦づ捡晥㕥昳捣ㅦ㔶挱㠳㜵㜲〸愷㥥摥〳㈳换捥㐱愶慥㌵戶〶㙡晥扥愷㠷㕣㈵摦敥晡敤户㤶昵挲改搱㙥づ扦㌵㜷摡戴愲㔲昶〹㤰昰㤹摦〹㠰㜱㍡て㐳㌳㜷ちつ㜷攲㤶㔴㠲㕢愰㠴㍦敢挱ㅢ㝡敤摡㕣㜰捣搲昲㝥搵晣㝤㈶愷㑡攵捣㑡㝥㌷㠲ㄳ㈳㥤㘲㄰愳ㄴ户ぢ㜵搰〵㕦㈵㘳挰摤㘳㙤㌸㡦㈲㜸愴㄰㔵攲ㄳㅡ攷㔷愳㌲㥦㥢晣愶㔹㜳㡢愵挸愶ㄸ㐱搷搵户挵㘳㤵搹㕦㉣㥤戶㝤〸慥摡㜷换晡㈲㙦㘹㐶挹㘸㐴㔳昲〵㈰捡㙢捦愰㥢㔱愱つ晦戴㙥ㄸ㔳户攳慢ㄲ昵㜵つ㜵愹挶昲〹㜸扡愴㥣㕦敤㥥挲㜳㐶㠳㑢㍥㠷㐷挷㍥㌹戰戶戵晣戱㈱〹戴㙢㘶㙤摤摣㕡ㄹ㑤㐹〳扦攱㥥扤改敤摡戱ㅢ㍥㝤㈴晦㝡㈳㜱㙥㜵㑡散㍥〱ㄱ昳㘸愳㜵㐷〴〷てㅤ㌲㜴晣戴㜰㌴㘵愴㤲挹㘰㌰㤱昲〴㝣晥㜰㈴ㄵ㡦ㅢ㐶㈸ㅡ㡡㐶㝤扥㘸㈰愴敤㥤㔶㡤㐴愲搱㘰㉣㤰㐸㈵㐱㔳ㄱ㙦㉣ㄲ㌲㈲昱㘴㌰ㄲ㡡晡挳搱㠰摦㍤搶㜲慦敦〳ㅢ㝤㕦㄰昷㌸挵摡㡦慣晤挹㍡㔱戱愸㈰㔵换挶㠳挵㤰㌵㌳攸晦ㅥ㜵㑦㠰㘷晣㉦搲㝡愰戳㑥㐳㠷㑣戳㍤㠰愲ㅤ〴㕥〷昰㘴㠹晤㜸㝣つ扤㔶づ㑥㘷㜰㌲㝦敡挹㍤搱昲愲㤷挳㤵摥㤳愴㌷㌴挵㘴昰㜹㌴㜴㠹㜷〱ㅡ昷㔶昶㠵ㅢ㕤㄰㜲慦㍢〹㑤㠹㡡㐲〰㔲㉣㕢㍡㜲㑦〱㤷㝢㥥㝥〸㍤㥦敡愸㜳㥡攲ㅥ㐶ㅤ晡攲㙢㉡戸摣㌳挴ㅢ〸㠰昳㤱扤攸㥣㘴㥣㑦㘲㌳㌸㥣㔳㤹㜳㘲㍡っ攴㔴㌸〲㝡收㔴〸㝡㍣挹㘰㌲㤵昲㠶晤晥㐰㌸攲㠹昹〲戱㘴捣ㄳ㑤〵晤搸㠸㈷戵㡡戴㙡㉣㄰昴㐵攳愹㘰捣ㅦ㌲〲㥥㔰㌰ㄶづ昹㐲㕥㌴㔳㠱㘸㌲ㅥ昵扡㘳㤶㝢晤㐸搸攸ㅥ㄰㜷㕣戱㥡愷㐲㐲戱愸㈰㔵换㤲㘰戵捥㔴㌰攰ㄹ晦㜱㝦㤴㥤ㄱ㝢㥤㜰扢㔳㡡摦㤷挲㐳㐸㡥〲㕦捣〰摦〴昷㘹㘴慦ㄹ摣㘳㈰㈴戸㔵㤰攷㠲㝢愶㈳㜷㈶戸ㄲ摣㘳改戹挶㔱愷㑥㜱〷㔱〷㘱挸搷㔹攰㑡㜰㥦㐰㄰ち㕣㙤〸㔴昲ㅥ㐱挴攳㡥㠸搷挳ㄳて㈱晡㌰ㄸ㜷㙣攳㙥㐰㕢捥㠰攱㘸㥢㌳㈰攵て〷㠰㜸㈲攲㑦挵〲愱㠸㉦㘶㐴㐳㠱愴挷敦つ㘱㐶昸晣㈱慤㌲慤ㅡ〸㐵ㄳ㠹㔰挰敢て㝡㈳㠱㔴搴ㄷ〹㜸愲攱戸ㄱて㐴ㄲ㤸㐴攱㠸扢搱㜲慦㡦㠰㡤㍥ㄲ挴㍤㕢戱㐶㤱㌵㥡慣㌹㡡㤵搶㉡㥢ぢ㔶敢捣㠰㜹昰㡣晦㌹㌳㘰扥攲昷愷昰〸㤲昱〸㑥㥣つ扥㌹〳敥挹㤸〱ㄳ㈱攴っ㌸〷㜲㌹〳㌲㙥㠷戰愴㍤㤷㝢㉥戸㜲〶㑣愶攷昳ㅤ㜵㉥㔰摣㤳愹㠳㌰攴敢㈲㜰攵っ戸搳㍥〳愶㐰㈵晦っ戸挳㜱〶愸㌰摤ㄷ挳愵㠴晥㌴㜸㌱愱〷㤰戱㄰㜰㡦㝡ㄳ㐶挰ㅢ昴挷ㄲ摥㔴搴㡦㥦㝤㠹㈶㡣㤰捦ㄳ搰㑥㑦慢〶晣挹㠰㌷㘹㠴㠳㘱㝦㈲㘰ㄸ挰摤攳て㐵愲㥥愸㈷ㄸ昱㜸ㄲ㘱昷㐲换扤㍥ㄵ㌶晡㌴㄰㌷㑢搶搹愳㍥㥤慣ㄸ㔹㤷㉡ㄶㄵ愴㙡搹㘵㘰戵づ昴㤷挳㌳晥攳㘷戳搰㔹昶攷㠰〱㕥收攷㐰ちㅣ㠷捦㠱㉢㉣㉦㍡㙦ㅡ挸㥦㝢搳慢愰㈹慥〴摦㥣㈸㑢㌳㈶捡㑣〸㌹㔱ㄶ㐳㉥愷㐴挶攷挰㔵㡥摣慢挱㤵ㄳ愵㠶㥥慦㜱搴戹㔶㜱敢愸愳㈶捡㥦挱㤵ㄳ攵㙡摢㐴㘹晥ㅣ㔸散㌸㈷慥㠳㤱㥣ちつ㜰㘵㑥㠵㜸㌲ㄴ㠹㘱㉡昸㠳㥥㐴㈰㤸ち挵〳戱㐸ㄸ㝢扡摦攷挵㠷〲㍥〷ㅡ搳慡ㄱㅣ㉢㠲㤱㘰㌴㄰ぢ㈶〳㌱愸㈶㘲㘱挳㙢挴愲㌸㐷㠸㈷㝣㈱昷昵㤶㝢㝤㌶㙣昴㌹㈰敥㘵㡡搵晣㌹戰㕣戱搲㕡㘵㌷㠰搵㍡㔳攱㐶㜸挶晦㥣愳〰㑢散㈵㍦㐲㘱㤴攴㝣挴㉢㙥〱搳〴昷扣っ㜰㉦㠴㤰攰摥ち㜹㉥戸㝦㜱攴慥〰㔷㠲晢㐷㝡扥摤㔱㘷愵攲㉥愴㡥〲㜷ㄵ戸ㄲ摣昹㜶㜰昹㌹㈰㍦攴攷㍡㠲晢㔷ㄸ挹㐳晥攵搰挳㈱㝦㌵摡ㄲ散㉢搰㌶挱づ㜹晤攱㤴攱㐹㐵㤲搱㜰〰㐷晢㐸挲ㅢ㌶㍣扥㔸㈸攴昱㐵㍣愹愴戶㈸慤㥡挴づㅦ昳愵挲搱㐸㌸ㄸ昰㈶㈲㌱㑦㈸ㄹ㐸愵㠲㌸〵㑣ㄹ搱戸捦㝤㤷攵㕥扦ㄲ㌶晡㘲㄰昷摤㡡搵㝣挸扦㐷戱愸㈰㔵换搶㠰搵㍡㘰晦つ㥥昱㍦〷散㝢ㄵ晦㔸ち〷㤲㕣㡦㜰挴㕡昰㑤戰捦挸〰㝢㌹㠴〴晢㝥挸㜳挱㝥挰㤱晢㈰戸ㄲ散ㅢ改昹㘱㐷㥤㐷ㄴ昷㘶敡㈰っ昹㝡っ㕣〹㜶捣づ㜶晡㡣㙥㥡㈳搸敢㘰㈴挱㕤〱㔷㈶戸㠹㔸㈲ㄲ昷〶㔳戱㐴㈲ㄹ昰〷〲㌱㕦㌰ㄶつ〶㐳㕥㑦㉣ㄹち挵晤摡㙤㘹搵㔸っ㘷㝦㤱㜰㉡㄰づ挷〳晥㐴㌸收昳晡扤㤱愰㉦ㄴち昸っ㝦㈰改㘶㥤扤㍣㠲摦づㅢ晤づ㄰昷㝡挵㙡摥㤳㥦㔰慣戴㔶㔹ㄳ㔸慤〳敥㤳昰㡣晦㌹攰㙥㔰晣㘱ㄴづ㈷昹ㅢ攲ㄵ㑦㠱㙦㠲㍢㉥〳摣晢㈰㈴戸㑦㐳㉥挱㔵ㅦ㤴戰㉣ㄲ㥢ㅣ戹慣捣㤷攰摥㑦捦捦㌹敡扣愰戸て㔲㠷扥昸㝡〹㕣〹敥㘸ㅢ戸摡挳㔰挹晦㜹㍥搲ㄱ昱㤷攱㐹敥摥㡦挲ㄸ扢昷㍦搰㤶㌳攰㌱戴慤㡦昵㤸㍦ㅡづ〵愳〹㙦挴ㄷ挰㘵㕤摣ㄳ挶捦戸〵㠲〹㑦㈲ㄵ㐸〴㝤摡摦搳慡㔱㥣扣昹㈳愹㐸挴ㄷ㌷㜰戲㘷挴㠳㈱㈳㘹㐴〳摥㔴㌲ㄵ〹㝢㘳敥㔷㉣昷晡㍡搸攸㡦㠳戸㔹㠶㉦㈷挵㝡戲㥥㈰敢㌵挵愲㠲㔴㉤㝢ㅤ慣搶㤹〱㥢攱ㄹ晦昱㐰㉡㍢攳攷戸捥㡦㙥昷ㄶ挵ㅦ㑤攱㜱㈴捦㠰㉦晥〹扥㌹〳㈲ㄹ㌳攰㌹〸㌹〳摥㠴㕣捥㠰㡣て敡户ㅣ戹㙦㠳㉢㘷挰ぢ昴晣慥愳捥㔶挵㝤㠹㍡㐴㥦慦㙤攰捡ㄹ攰戳捤〰㍤㝤㉣昷㌸㠲晤㙦ㄸ㐹戰㕦㠵㉢㠰晤㍥摡ㄲ散搷搰㌶挱挶づㅢ昷㈶㤳昱㌸捥搶〳ㄱ㝦㈲收㌵㠲昱㐰㌰㤹っ攱㜴㍥ㄵち㘹慦愷㔵㐳搱㤸㉦ㅣ㐸挴攳㈱愰㙥㐴㘲戱㔴㌰ㄹ㠵㔹㌴ㅥ昶挷扤㠱㤴晢〳换扤扥ㄹ㌶晡ㄶ㄰昷㠷㡡搵㝣㉣晦㐸戱愸㈰㔵换戶㠳搵㍡㘰昳〹〰晣捦搹摤㍦㔱晣㜱ㄴ㥥㐸昲ㅥ挲ㄱ㥦㠱㙦㠲㕤㥥〱昶扦㈱㈴搸㥦㐳㉥挱捥搸摤㜷㌸㜲扦〰㔷㠲晤〱㍤㝦攵愸昳戵攲㝥㐴ㅤ〲捤搷㌷攰㑡戰昷戳㠳㍤〵㉡昲㠳㝢ㅦ㐷戰扦㠳㤱〴昷㔳攸㤹攰挶ㄲㅥ㠰ㅡ昶攲㠷扦㍤㠱㔰㌸ㄲ㡦〵㍤昱㐸㈰改挷慥ㅡ㌲晣㝥敤戳戴㙡挰ㅢ㌵㐲挱㔴㈲攴つ㐷㜰愶敥㠹㘳愷づ晡ㄲ㘱㝦㌲㙡昸㡤戰搷晤扤攵㕥晦ㅣ㌶晡づ㄰昷㑥挵㙡㍥㐱晦㐱戱愸㈰㔵换㝥〴慢㜵挰晤〹㥥昱㍦㘷㑦摥愵昸㤳㈹㍣㠹㘴㈷挲ㄱ扦㠰㙦㠲慢㘷㠰晢㈳㠴〴㤷㡦ㄴ㐸㜰㌳昶攴摤㡥㕣慥摡㐸㜰㜷搱戳挰㕥㤶㙢㔹慣戸扦㔰〷㘱挸㔷㕢㜰㈵戸㙤散攰愶㍦愸㠵㈳戸ㅡ㡣㈴戸㕣敦㌲挱㡤挶扣㐹散戱挱㜸っ㠷改㘴㈸挰搳慦㔸ㄲ㘷㘶㝥㑦㈸㄰昶〶昱挵㘲㑡㌵ㄱ㠸晡つ慣捤挵ㄲ挹㜰㈰ㄲ〹挷㐳挹㔰ㄴ㘷摦㠶挷㥢㐸㈴㠲〱㜷㍢换扤㕥っㅢ扤つ㠸扢㔴戱㥡㍦愸昹㐸㠰㍣㜲愷戵捡㕣㘰戵づ戸敤攱ㄹ㌹捥搹㜳㍢㈸晥㘹ㄴ㥥㑥搲ㄱ昱㡡㑥攰㥢攰㝥昳㤳㝤改愵っ㐲㠲㕢〶㜹㉥㐴㙥㐷㙥㘷㜰㈵戸㥤改戹慢愳㑥㌷挵敤㑡ㅤ〵㙥㜷㜰㈵戸㍢㄰㠴㕡㝡㘹扥㥥晡っ摣摣㜵戵㝤㘰㈴挱摤ㅢ慥㑣㜰挳㘱慦搷ㄷ挱搵㜴㉣㄰〸挴㔳㥥㌸慥㥦㡤㔰㈲攰㌵扣昱㐴㍣㘸㘸晢愴㔵戱散ㄶ昳ㄸ〰㌷㠸㥤㍣㡥㌳㙤㕣㠴㈷〱慡ㄱ㑦昹㜱㜵攵㜵敦㙢戹搷昷㠵㡤扥ㅦ㠸㝢㍦挵㙡〶㜷㝦挵㑡㙢㤵ㅤ〰㔶敢㠰㝢㈰㍣㍢㠱摢㐳昱攳挴㌵㐱搲〷昱㡡㜲昰㑤㜰摦挹〰户㉦㠴〴户㈷攴戹攰昶㜲攴昶〶㔷㠲㝢㈸㍤ㅦ散愸搳㔷㜱て愷㡥〲昷㔰㜰㈵戸㕢ㅣ挱㝤摤ㄱ摣挳㘱㈴挱慤㠰㉢ㄳ摣㠸ㄱ挶戹㜴㌸ㅣ昵愵愲㠱㐸㌲ㄲ昱晢㍤㍥㕦㈸ㄵつ㈷㡤㐸挸ㅦ搱㡥㑣慢㠶昰ㄹ㥢挲扡㠹㠱㘵㜶㕣㑥㝢愲挱㜸㌴ㅡ昳昸挲昸攰㑤攲㠷㜵摤晤㉣昷扡〷㌶扡ㄷ挴摤㕦戱㥡挱㍤㐲戱愸㈰㔵换㉡挰㙡ㅤ㜰㡦㠴㘷㈷㜰㍤㡡㍦㠳戸㔶㤱ㅣ㡤㜰㠴て㝣ㄳ摣愷㌲挰ㅤ〰㈱挱昵㐳㥥ぢ㙥挰㤱ㅢ〴㔷㠲㍢㤰㥥挳㡥㍡㔱挵ㅤ㑣ㅤ〵敥搱攰㑡㜰搷摢挱㑤㥦㘰慤㜳〴昷ㄸㄸ攱㍦㉥ㄸ攰ち㈷㔸〳搰㤰㘰㔷愲㙤ㅤ愶晤晥㜸挲ㅢ㡢㠷㍤扥〴昷攵㌸㡥捥愹㠰摦㤷㡡〷挲〹㕦㌴愶㡤㐸慢挶挲㔱慣㥥㐶挲戱㜰㌸㠰搳敤㘰ㅣ㐷昷㘴〲㡢㘴愹戸㌷ㅥ㑤㐵摤挷㕡敥昵㤱戰搱㐷㠱戸〷㉡㔶昳〹搶愰㌴㡢㕡㔴㉤ㅢっ㔶敢㠰㍤〴㥥㥤挰ㅥ慡昸戵㑣㑦ㅤ挹〴㐴㈲㠶㠳㙦㠲㝤㜷〶搸㤳㈰㈴搸㤵㤰攷㠲㍤挲㤱㍢ㄲ㕣〹昶㐹昴㍣摡㔱㘷㡣攲㥥㐲ㅤ〵昶〹攰㑡戰㔷㍡㠲㝤扢㈳搸㘳㘱㠴晦昸搰㠱㉢㠰㍤づつ〹昶㔴戴㑤戰晤愹㐴挲㡢晢ㅢ挹㔰㌰ㅣ㠸㜳㤹㉢㠸捦搷㜸㉡㤴ち㘱㙦㡤㠴戴㘹㘹搵㔴㌲㥣挰ㄹ㜶㍣㡥捦㘵㉣愰〷愳㔸〱挳㜵㔳挲㠸㈷戱㤰ㅡ㡣戸㑦戴摣敢搳㘱愳挷㐰摣攳ㄵ慢ㄹ散〹㡡㤵搶㉡㥢〸㔶敢㠰㍤〹㥥㥤挰㥥慣昸㡤㑣捦㙣㤲㤹㠸㔷㥣っ扥〹昶㤲っ戰㙢㈰㈴搸愷㐰㉥挱捥㌸㥢㥥攲挸㍤ㄵ㕣〹㜶ㅤ㍤㥦敥愸㌳㔵㜱捦愲㡥〲㝢㍡戸ㄲ散挵㜶戰愷攰㥣㑣㥥㑤㉦㜲〴㍢づ㈳〹敥㙣戸㔲攰㐶㐲㘱㈳攱㡦挶㠳㠱㠰ㄱ挰㤱ㄸ㌷㍢㜰㍥ㅤ昴㐴㐲㐹摣晤搰收愴㔵扤㈱㑦㈲ㄱ㑤㐶㠲㠱㘸㉣㘰㈴攳昱㐴挴ㄳ㑤〴㠱㜲㈴ㅥ㠹㈷㠲敥㠴攵㕥㥦ぢㅢ㝤ㅥ㠸㍢愹㔸捤㘷搳㠶㘲㔱㐱慡㤶愵挰㙡ㅤ㜰捦㠰㘷〹㙥搶㜵昱っ挵㕦㐰㕣捦㈶戹㄰攱㠸㌳挱㌷挱晤㐳〶戸㝦㠴㤰攰捥㠴㍣㜷㑦慥㜶攴搶㠰㉢挱㕤㐸捦㜵㡥㍡戳ㄴ昷㔲敡㈰っ昹慡〷㔷㠲㍢搷づ㙥晡㙣㝡戶㈳戸㡤㌰㤲攰㉥㠲㉢ㄳ㕣㡦搷㥢昲㈷㈳搸晦〲㌸昸挶㜰ぢ㈳ㄱ挱戵㔰㌲㙣〴っ㙦㉣㥡搴慥㑣慢攲戸散㐹攱㡡捡ㅢ昶㐴〳昸挴〶戸戸戱ㅤ昷㐵扤昱愰搷㤷昲戸㘷㕢敥昵挵戰搱慦〲㜱捦㔱慣收捦攴戹㡡㐵〵愹㕡㌶て慣搶〱㜷㍥㍣㍢敤戹ぢㄴ晦㝣攲㝡〱挹㌲㠴㈳捥〱摦〴㌷㤵〱敥つ㄰ㄲ摣㍦㐰㥥ぢ敥戹㡥摣昳挰㤵攰摥㐴捦ㄷ㌸敡㕣愴戸户㔰㐷㠱㝢㌱戸ㄲ摣改㜶㜰搳㥦挹㔳ㅤ挱㕤〸㈳晣挷㑦捡挱ㄵづ搳㤷愰㈱挱扥ㅤ㙤ㄳ散㌰慥㠶戱㕥ㄵ昲攲戳㌶攰㡦㝢攲㔸戸昴ㄹ昱㔰㈴攸て攳づ㐶㐴扢㈳慤㥡ち㝡愲戱㘴挲ㄷ挳捤捤㠰ㄱ挶㍡㔷㌰ㄱ㠸㈵攲㕥摣戳づㄹ㕥㥦晢㔲换扤扥ㄲ㌶晡㥤㈰㙥㍥㌲挱ㅥ昵收挳昴攵㡡㐵〵愹㕡㜶〵㔸慤〳昶㈲㜸㜶〲晢㑡挵㕦挸攰㉥㈱戹て攱㠸慢挰㌷挱㍥㈱〳散晢㈱㈴搸㔷㐳㉥挱捥㌸㑣晦挹㤱㝢つ戸ㄲ散〷改㜹㠹愳捥㥦ㄵ昷㘱敡㈰っ昹扡づ㕣〹昶㐸㍢搸改挳㜴愵㈳搸换㘰㈴挱晤㍢㕣㔹㝢戲攱挱㉤㐹㥣㘰挷戱〶㥤㑡㐶愲㐶㌰㄰て攱㔲㈸㥣〸〳摢㠴戶㉥慤㥡㐸攱㉡换㤷㡣攱㌳ㄷ㉢㥢㌱愸攲扥㐶㈸ㄸて㜹㠲㐶ㄴ㤷㔹敥攵㤶㝢晤㜱搸攸敢㐱摣㌷㈸㔶昳㘱晡㐶挵愲㠲㔴㉤扢〹慣搶〱昷㘶㜸㜶㍡㑣摦愲昸㡢㠸㉢㝦昶㐶㝦ㄶ攱㠸扦㠰㙦㠲ㅢ捥〰昷㜹〸〹敥ち挸㈵戸ㄹ㡢ㅥ户㌹㜲㙦〷㔷㠲晢㈲㍤慦㜴搴㔹愵戸㉦㔳㐷㠱扢ㅡ㕣〹慥搷づ㙥㝡㑦㍥搲ㄱ摣扢㘰㠴晦昸搲ㄶ戸挲㥥㝣㌷ㅡㄲ散搷搱㌶挱㡥㐶晣㠰ㄵ昵㈴㈹㡦㌷攰㐵挵㠹㍦ㄱ昷㜸㘲挱㐸搸ㄷ昰㠴㝤㈱㙤㜳㕡㌵㤱昲ㅢ㐶捡ㅦつ挵扣戸㌷ㄱ〸挷㘲戱㄰㉡ㄴㄲ戸晦ㄸ㑤晡㍣〹昷㍤㤶㝢㝤ぢ㙣昴㌷㐰摣㙢ㄴ慢㜹㑦晥㥢㘲㔱㐱慡㤶摤ぢ㔶敢㠰㝤ㅦ㍣㍢敤挹㙢ㄵ晦ㅡ愶攷㕡㤲㙤〸㐷㍣〰扥〹昶㐱ㄹ㘰扦て㈱挱㝥㄰昲㕣戰ㅦ㜲攴㍥っ慥〴晢㐳㝡㝥搴㔱攷㌱挵摤㑥ㅤ〵昶㍡㜰㈵搸晢摡挱㑥㝦㈶敦敤〸昶㝡ㄸ㐹㜰㍦㠳㉢ㄳ摣㌸搶㌴㡣㠸ㄱ昱㘰搵㈳㠰㝦愸㈴㡢晡晣㠱〴㑡挷扣戸㘶昶㙡㥦愷㔵扤㐹㕦㈰㤲昲〴㐳昸㘶捥〰慥㤷攲㠹㜰〲晢㜵挰㐸㘱㈵㉣ㄲ㑢扡㥦戰摣敢㍢㘰愳㝦〱攲㙥㔲慣收捦攴㈷ㄵ㡢ち㔲戵㙣〳㔸慤〳敥㐶㜸㜶〲昷㈹挵扦㥥戸㉥㈳昹〱攱㠸㑤攰㥢攰㤶㘶㠰晢ㄳ㠴〴昷ㄹ挸㈵戸ㄹ㠷改㘷ㅤ戹㝣搶㐳㠲晢㌳㍤扦攰愸昳愲攲晥㑡ㅤ〵敥换攰㑡㜰㡢敤攰愶て搳㐵㡥攰扥〲㈳〹慥㐰㜹慦〹㙥挰攷㐳攱〷㡡挲㜰攳㌰㄰っ㈵㈲〶ㄶ㐰㜰敤ㄳ㠸㠶愳挹㈰挰㉤㑥慢㠶㠳㤱㜸㌸㤸挲戲㐹㌴ㅥ㐸昸扣㔱搴㡣㜹扣㌱㈳ㄸ㠳㡤㠱㥢挸慦㕡敥昵㌶戰搱摢㠲戸㕦㔳慣收挳㌴ㅦ昲㘰㄰㔲㐱慡㤶㙤〶慢㜵挰摤〲捦㑥㠷改㌷ㄴ晦㘶㐶㜲ぢ㐹㈷挴㉢摥〴摦〴昷㍦㍦摡㤷㉦摤㄰ㄲ摣户㈰捦摤㜳摦㜶攴扥〳慥〴户ぢ㍤晦换㔱㘷慢攲㜶愳㡥〲㜷ㅢ戸ㄲ摣捦ㄱ㐴敥昲攵愷攰收㉥㕦扥て㈳〹敥㍥㜰㘵敤戹㠶㤱っ㝡㠳搱㈰㙥ㅥ愳㐲挰ㅦぢ㠶㤳ㅥ㥦㌷捣㉢㘳摣㐲㌲戴㝤搳慡搱㘰搸㤷㌰㘲㜱㤶〲〶㍣㜱慣㑢攳㕥㔴㈲ㄴ㡥攳㉥㔴ち㕣昷〷㤶㝢㝤㍦搸攸晢㠳戸㍦㑣戳㜰ㄱ㘷㔶㠸㝥愴㔸㔴㤰慡㘵摢挱㙡ㅤ㜰㍦㠶㘷愷㍤昷ㄳ挵扦㥤戸摥㐱㜲㌰挲ㄱ㥦㠱㙦㠲晢㜶〶戸㠷㐰㐸㜰㍦㠷㍣ㄷ摣ㅤ㡥摣㉦挰㤵攰ㅥ㐶捦㕦㌹敡㝣慤戸晤愸愳挰晤〶㕣〹敥㘶㐷㜰㕦㜳〴昷㍢ㄸ㐹㜰㡦㠴㉢ㄳ摣㐸㌸敡挵㐵㔲㈴㤹㡣㈵㜰愳ㅦ攷挷戱〰㡥挷㠹㜸搸㠷㌲㤰㘴㐲昳愴㔵㔱ㅣ攸つ愰搴ㄳ㌷ㅡ㜸敢㌸㠱ㅢて㈸ㅡ昱昹㔳㈹㑦㈲㤹㑣晡摣摦㕢敥㜵㉦㙣㜴ㅦ㠸㝢愷㘲㌵ㅦ㤶㝦㔰㉣㉡㐸搵戲ㅦ挱㙡ㅤ㜰㝦㠲㘷㈷㜰㜷㈹晥㙡攲捡㥦戱搲㡦㐱㌸攲ㄷ昰㑤㜰㌷㘶㠰㝢㉣㠴〴昷㔷挸㜳挱摤敤挸晤つ㕣〹敥㈰㝡收㜳㈵戹㤶挵㡡㍢㠴㍡ち摣戶攰㑡㜰ㅦ㜷〴昷敦㡥攰㙡㌰㤲攰㔶挲㤵〹㉥㙥ㄸ昸㔱愷ㄳ挱搵㉣㍥㘹㈳㐰搹㠳㘵挹㐴㌸敡挱挷㙦㉡攲搱㐶愴㔵㘳愸攰昲攳戶愲捦㠳㕢挵㌸て㡢㠶㜱㠷㌱ㄸ㐰㝤㕦搲敦㐹〴扤敥㜶㤶㝢㝤㈴㙣昴㔱㈰㙥㍥㐸㈲㡦挱捤攰敡㡡㤵搶㉡攳戳㈵慤〳㙥㝢㜸㜶〲户㠳攲摦㑢㕣敦㈳㤹㠰㜸〵㥦㠵㤰㄰㑣㐴㡢㠶㝣〹昹㄰〲㜵㈶㔱㠷ㅣ扣摣㝣散〰昸攱晢㐱挰敤搸愶㠴ㄵ敤㡥扦〱㘲㔶㡡㑦挰㌷扢ㅢㄵ㐳㠷㠴㉢㠶捦㑢ㄸ搵晣搵ㄵ搴㤳攳愳戶㘸慦㥡㔱つ搸㌴敡ㅢ㈶搶つ㤶扦〲挲㐷ㄱ㍡慢㤲昳㝥㌵㈳㘶㔷㈵昱㐵敦〷㌷㜳搴㑦敥㈸戳戱昵㘹扢㡥捤㕡昸昲改扤㥡㕢㐳昱㡣㠳㌱慦㤱摦戶扥㝦㌳ㄷ扦慦㠴㕦㝤㌱㤲捡㘳〳敦㙥ㄶ户ㄱ㐷攴晦敤愸捡晡㠴昵㠰㠷㜲搳㜰㈰㠶戱扦挳㌷换て愹㙡㤴捦㜳ㅣ〰戹搰昹㐸㠱㜶㌲戲搵㙥㐰㥦㈱㐳晢㠴〲㈵㜷㘲㥥晥摦㝡㘲敡㥢㥦㤷㘰扦晣㜳改㔳〸つㅦㄷ㈰っ㐲攷㈳〹摡㘹攰㜵㐱㔷㐳晡㜸挳㝤㝢ㅤ㔵摥慢㙦㥦挱散昵㌶昴㝡戸搳昸㠶搵搵挴慡㙡㉢㌰㐰㌵戲攱戵戳㙢㌲扢㍣挸散ㄱ㕤㑥㘵㤷㥣搸昴㐷慥攰挳ぢㅣ㤲㙣戰晣扦て戶昴㤷㐸㕥㈶昹〷㠸戸ㄹち敦攰㘷摢㌶㤴捣㕦ㄱ㔹㔸㌴攸搱㡦ㅥ敦搲敥戹㤷晣攲㈶㑢㜰攲捤愳搶慤晥㜵挴攰戵㕦㥤昸挰㈵ㅤ㜶摣㈷づ㠶㈷〶愱㈷搱㘳㝡㔶ㅥ愲戸〶攳愰㘷扣摣㠷㠱㉢㘷㘵ち摣㡥㙤〴㡢敢捤㤴戰㡡㕦㥢〱慥㤹晤㘰㐰㕣㠷づ㔵戸㉥晤㑣扡㘱㤵扤愹捥㑡㝥慤ㅡ扣㥣っ挲昲㕡㔸慡㔱扢昴㕡㕡ㅥ〵㝤愷攱㉥捥㌷摣㉢㉤挱敥〳㔲ぢ㑦㙥晣愵昲戱昲搵㝢㤷㠴㉡㘶㡡㘳攰㐹づ㤷扦〲㤰ㅥ慥㉣㡢㘷ㄲ㘶戳㌷㌵摣㐱搰㤵挳㥤〳㉥㜶挲㘱㘸ㅦ敤〴慤晣敤㤷ち摢愳ㅤ晤㌰㠷昱ㄳ㉥㐶ㄲ㍦慡㌰ぢ扢挰晣攱戵㡤昵晣㐲㡥愲㌶搸搷㑡攴〴㘸㕢㝣搴敦昳挵㐷挰㌸㌷昹㉡戹っ〳晤晦昰挳戱㘶捥㜸㑥㐱㝤ㅥ搳挰㤲㜸ㄳ慥攱搸搲ㄶ㠰〷戸〶㑦戲㑦昸愰㐷㕣㥣〱搷㌹戴㘴戵扤㘹㔹㐹换㜳挱挳扣ㄸ㍣戹て搴㉦㠰㝡昳扣㌸㥦敡扣㈰㔶㠰ぢ㤶攵㉢戹㘰ㄹ扣ㄳ敥攷㔸昰收㑣昳戳㉤㐱㙡昲扤㕤㠷敤㍥晥昸攵搳㝤㡢扡ㅥ愵扤㈹㈶挲㤳挴㝤㈱㝡㑣攳㉥㡢攱㌹攰㑢ㄸ〷㌶昸㜲㥦っ㕤㠹晢愵攰㘲㥡戳㡣摣ㅣ捥㘹搸搲㉥〷搷㥣收〱慦㤸㥤㌱㥣㐵㜴挳㝡㜲㔳㥤㌵敢摡㘲昰㜲愶㌹㉣捦㠲愵ㅡ戵㑢扦㥡㤶扣扥㔰㉣挱㈲昵㜴㈲慡搰㜰㑡㐴㜵扥㐴捣戴〴㉦㑦㝥攵愳㍥昷㕦㌹㘴搹〹㑦㕦扢捦捤㤷㝤㉡㘶挲㤳㑣挴㔲昴㤸㑥㠴㉣昶㘶㈲慥㘳ㅣ㉡ㄱ㉣敦㤶㠹戸ㅥ㕣㈴㠲攵搱收挸㔸慤慤㉤〷㌷㘷㘴㈱㡦㌰㌲㐶㜶㈳㍤戲昲摡戴㙣愴攵捤攰㔹挷㘹㡦㠸㐱㕤つㄴ扦摢㑡昵昳愱攴㌴摣搳昲つ昷㔴㑢昰㘸改㜷愳ㄷ慤晦㝣昰㐵㌳㉡㉦㔸㌱愸㘲愰戸㄰㥥攴㜰㔷挲㙦㝡戸㝦㔴摣㍢搹㥢ㅡ㉥ぢ㥥攵㜰㔷㠱㡢攱戲㙡㤹晢扣㌸〹摥戹愳挹㝤㘳㌵㑤㔸㘱㙣㡥攷ち㙣㘹㜷㠳㘷捥㜰㝦㔸㑣㠰㘶昳㜸搶㔰㥤愵挶愶晡㈲慡摦ぢ㕥捥慥〴换戱戰㔴昸攳愷㌶㘹㜹㍤昴㥤㌲㌱ㅡ慡㡥〷晡㔱㤶愰戶㘹挳摡愹㕦㝦㍥攲捦㔷晤散扦昵昸慦昶ㄵ换攱㐹㘶攲ㄱ昸㑤㘷攲㐶挵㝤㤴扤愹㑣戰ㅡ㔸㘶攲㌱㜰㤱㠹摢搱㌶攳㕦㠱㉤㙤ㅤ戸㌹挰〷挳㘲㘸㐶晣敢改昱㡥戴㈵㙢㝤戵㈶昰㑣攰愱㍥㄰敡捤㠹摡㐰㜵搶挹㍡つ昷愸㝣挳㡤㕡㠲㠹㠷㙤愹㤸改晤㜸攸ㅤ㙢㌶㉤晦挰昳摡㐱㠲㐵戵㜲戸捦挲㙦㝡戸戲㕡ㄶ愳搴㥦㘳㙦㙡戸慣㡦㤵挳㝤ㅥ㕣っ㤷昵慣ㄲ昸㈰扣愷㠱㝦㤱㈶敢㈰㌲㌳昱ㄸ戶戴㤷挱㌳㠱挷㜸扣ㄹ攳㜹㠵敡㉣㐲㌵搵㔹攸慡扤〶㕥づ昰戰㍣〲㤶捤挰㙦愶㈵㉢㕡ㄵ㑢戰戲㔵㘵㑡戰㤲搴㈹㐷㠷㕡愹挸㌹㈸ㅥ㘲〹㍥㜹㙥昰挱ㅤ摢㑣㍦㙥昱㑤㐷㜵㝥㘳晥愰ㄷ挵㜳昰㈴㜳昴㌶㝡㑣攷攸〵挵㝤㠷㜱愸ㅣ戱㠲㔴收攸㕤㜰㤱㈳㤶㠱捡ㅣ昵㠶昷㜴㡥戶搲㘴㌳㐴收愰㔹ㅢ慡㙤〳捦捡㔱㔰ㅣ〴㙤㌵ㄲ㤷晥㍥搵㔹扢㘹慡戳㍥㔴晢㄰扣摣ㅣ〵挵晥戰㔴〹㜱改摢㘹挹㌲㑢愷㑣㜴户〶㥣㤳㠹扤㉣挱㠵㑢慢敥㤸㜴㐵㡦挱户搵搵昷摦㝢攳㤶㠰㘰㑤愶捣挴づ昸㑤㘷㐲ㄶ㕢㜲戶㝣挱摥㔴㈶㔸㕥㈹㌳昱㈵戸挸挴攷㘸㥢昱㝦㡡㉤敤㙢㜰捤㈹敥昷㡢戲㡣攱㝥㐳㌷慣㘶㌴搵㔹㌱愹㝤〷㕥捥扥〴换昶ㄹ挳摤㐹㑢ㄶㅥ㍡つ㔷换㌷摣ㄲ㑢愰昷㕦晡慦づ㡦㔷づ戹昴㥣愷ㅦ昹改挰〵ぢ挵㡦昰㈴㠷晢ぢ晣愶㠷扢㑢㜱㝦㘵㙦㙡戸扦㠰㉢㠷扢ㅢ㕣っ㤷〵㝢㘶晣慣ㅦ搴㡡㑡ㅤ攲て㠴挴㙦㍦搸攱㉡㠶㤶㘰㉤愰㘹挹㜲㐲慤㉤㜸㘶愲愰晥㌳搴㥢攷㠵㐶昵㡥㔰㜲ㅡ敥㑥愸㍡ㅥ晡扥户〴㡤搱戱㤱㐷㔶㝦㌴收戲捥愷㤶扤戰敤愷〵愲っ㥥攴㜰㍢挰㙦㝡戸㥤ㄵ户㈳㝢㔳挳㘵〹㥥ㅣ㙥㈷㜰㌱㕣㤶戰㤹㐱敦㡤㉤捤つ㙥づ㕣㠱愰昸㉡㘳戸㕤攸㤱搵㜱愶㈵ぢ散戴㙥攰㔹挳つ㡡捦㌳㠶摢㥤敡㉣㑥㜳ㅡ敥昶㝣挳晤挸ㄲ㡣㕢昶敡攱㜵㠷扣㌱昶晡慥愷戸〲㑢㤶搶㡢扥昰㈴㠷㝢〰晣愶㠷㝢愸攲ㅥ挸摥搴㜰㔹㤴㈶㠷摢〳㕣っ㤷愵㕦㘶搰慣㌱搳捡挱戵㠲㡥㡡昷㌲㠲敥㐵㌷慣〱㌳搵㡦愴㝡ㅦ昰㜲戳ㄳㄵ敦挰戲㜹摦敤㑢㑢㤶㙢㌹つ昷㡤㝣挳摤㘲〹㍡慦慡㝢愷晢㡣㙥愳慥㝥昹挳换户挶搷㥥㈷〶挰㤳ㅣ㙥㝦昸㑤て㔷ㄶ㙤㘱㤴晡ㄱ散㑤つ㤷㘵㕡㜲戸ㄵ攰㘲戸慣戵㤲㐷戱㔷攱㍤㝤ㄴ昳搰㠴挵㑥收搰㉡戱愵昹挰㐳㈶㜰ㄲㅢ〸㡢㤷愰摤㍣㕢〳㔴㘷〵㤵愹捥㈲㉣㉤〴㕥捥㔱っ㤶捦挱戲㌹ㄳㄱ㕡戲㤶挹㈹ㄳ㑦㔹〳捥㌹㡡㙤戴〴换づ昸愰晤ぢ㕤㡦ㅢ扡㜸挷搶㜵〷㙣㕡㝦扦㘰攱㤳捣挴戱昰㥢捥挴㐹㡡㍢㤰扤愹㑣戰㠶㐹㘶㘲㄰戸挸挴改㘸换㑣㍣〱敦改㑣っ愱〹换㠱捣愱戱㍡㐹ㅢ〶㕥捥搰㠲㕥昱昷㡣愱㔵搲㤲㤵㐶愶㈵㡢㤵戴㤱攰㤹㌹㠴晡挳㔰㙦捥攱㘸慡戳搰挷㈹ㄳ㙢慤〱攷㘴攲㍥㑢搰慦摤㥡㡤慦㜴㤹㌷㝡挹㜵㥤㍡㥣㌴戵敢㔵愲〶㥥㘴㈶挶挱㙦㍡ㄳ㜵㡡㝢㈲㝢㔳㤹㘰㠱㡦捣挴㜸㜰㤱㠹戹㘸㥢㐱戳㕥㐷㥢〸慥戹ぢ〴晤攲慥㡣愰㈷搳つ敢㘹㑣㜵搶散㘸㈷㠳㤷戳ぢ挰昲㑥㔸㌶〳㍦㠵㤶㉣㝤㜱ㅡ敥㡡㝣挳晤㡢㈵昸戴㔳捦昳㔷捣㍢㜱昸〵㡦扥晥摡㠳㔷晥摡㕢戰㑥㐶づ㜷㍡晣愶㠷扢㔰㜱㘳散㑤つ㤷㈵㉦㜲戸㜱㜰㌱㕣ㄶ㤶㤸昱戳㠲㐵㑢㠲㙢つ㌷㈸㙥挸ㄸ㙥㡡㙥㔸㘱㘲慡㕦㐹昵ㄹ攰攵づ㌷㈸慥换ㄸ敥㤹戴㘴㌱㠸搳㜰慦挹㌷摣㍦㔹㠲㈹ㄷ散㍡收㡣敤搷つ扢㜵㐹㌷敤戹㘳㌶㙤㄰慣ㅣ㤱挳㥤〵扦改攱摥愴戸㘷戱㌷㌵㕣ㄶ㠱挸攱搶㠳㡢攱戲㤲㐳捥昳㉢攱㍤㍤捦ㅢ㘹戲ㄲ㈲㜳㘸㉣敦搰收㠰㘷捤㔶㥦戸っ摡捤戳㜵ㅥ搵㔹㝥㘱慡戳挴㐳㕢〰㕥敥㙥攱ㄳㄷ挳戲ㄹ昸㜳㘸挹㑡〹愷㑣㥣㙦つ㌸㘷㥥㥦㘷〹㑥㝦㙦戵敦て㜷扦㌷㜲㐹昷㜰扦㐱㕤敦扦㕡戰慣㐲㘶攲㐲昸㑤㘷㐲搶㑢㈰〱晡㐵散㑤㘵攲㘱攸捡㑣晣ㄱ㕣㘴攲㜱戴捤昸㔹昰愰㉤〴搷〴摥ㅦㄱ昳㌳㠶㝢㈹摤戰㈰挱㔴㘷搱㠳㜶㌹㜸㌹挰挳㜲㜶挶㜰ㄷ搱㤲戵〳㑥挳㥤㤵㙦戸㜵㤶攰搳挷户㥣㌲敢愸捡攳㔷捤晣戲㐷晣摤㌶㥦〸ㄶㅡ挸攱㕥〳扦改攱捡ち〲づ昷㕡昶愶㠶换㥡〱㌹摣㈵攰㘲戸扣昱㉦㠱㥦〹敦㘹攰㤷搲㠴㌷改捤愱戱ㅡ㐰扢ㅥ㍣ㄳ昸㔰㐰㥣〱敤㘶攰㤷㔳㥤㜷敢㑤㜵㔶〴㘸㌷㠲㤷〳㍣㉣ㄳ戰㙣〶晥㘶㕡㙥㠳扥㔳㈶愶㕡〳捥〱晥㜴㑢㔰搶扦昱㜹攳㤹㑤㘳搷戴㝢攲愷㑦㈷昵戹㐲昰㉥扣捣挴敤昰㥢捥㠴扣扤捥㑣摣挱摥㔴㈶戶㐳㔷㘶㘲㈵戸挸〴㙦㕢㥢昱昳晥戸戶ち㕣㙢㡦昷㠸㤳㌲㠶扢㥡㙥㜸晦摡㔴攷㍤㜲敤㙥昰㜲㠰挷挲捥㠴㡣攱慥愱攵て搰㜷ㅡ敥〹昹㠶㝢扣㈵戸㘵挶㈲㙤昲捣㔷㠷摤昴攰摣摥ぢ敡て㕢㉡㜸㕦㕡づ昷〱昸㑤て㔷摥㜰收㜰ㅦ㘴㙦㙡戸扦㐲㔷づ昷㈱㜰㌱㕣摥挸㌵攳攷ㅤ㘳敤ㄱ㜰捤攱晡挲㘲㐴挶㜰ㅦ愳ㅢ摥昲㌵搵㜹搷㔸㕢〷㕥捥㜰㘱㌹㌴㘳戸敢㘹搹〹晡㑥挳㍤㌶摦㜰〷㔸㠲㤷㙥㝢敦㡡㔳戶㝤㌱㝡挵昶㕦扢㉣散㜳搶㌴攱㠶㈷㌹摣愷攰㌷㍤摣㉥㡡晢㌴㝢㔳挳敤〶慥ㅣ敥㈶㜰㌱摣晤搰㌶攳摦〷㕢摡戳攰㕡攸㝡㐵㌸㘳戸捦搳つ敦㜱㥡敡扣㡦慡扤〸㕥捥㜰昱㘹敤捦ㄸ敥换戴攴敤㐸愷攱㔶攴ㅢ敥ㄱ㤶挰㜳捣㠳〷㕤ㅥ摤㌲昲攲敥㝤敦晢昶愶㡥㑦ち摥扢㤴挳摤っ扦改攱捡㥢㤲㐴㜷ぢ㝢㔳挳攵㙤㐸㌹摣㌷挰挵㜰㜹戳捦㡣㥦㜷ㄵ戵㌷挱㌵㠷㡢㤳慤㐳㌲㠶晢㌶摤昸搲敡ㅥ慡扦ぢ㕥捥㜰㘱搹㍢㘳戸㕢㘹㜹っ昴㥤㠶摢㈳摦㜰て戴〴摦摥㌹晤搶愶㙦㐷て㕡摡敢敥搵换ㅦ攸搵㕦ㅣぢ㑦㜲戸ㅦ挲㙦㝡戸㠳ㄴ昷㈳昶愶㠶换ㅢ㜳㜲戸摢挱挵㜰㐷愲㙤づ户ㄲ㕢摡㈷攰收挴ㅦち㡡扤㌳攲晦㡣ㅥ㜹捦捣戴攴㙤㌷㙤〷㜸㘶愲愰摥ㄵ敡捤〷戹㉦愹捥㕢㔶㑥挳敤㤴㙦戸ㅤ㉤挱晤敢㈶㕤戰㘳挹愴戱㔷っ晢捦捥㠷㡦晥㜹㠰㝢㈲㍣挹㈱㝣〷扦晡昷㈴㍢㐱㕣㙥摥昱㤲㠲ㅦ搰挴晡㍡敦㜵㌹摥㍡㌱搷搷捤ㅦ愱挶昷㔴ㄹつ㤲㔱㠶ㅣ㤵愴㜸㍢慢㝤㡡㕦㕦㘵挸㕦挲挶㜷㙢㔵㔵㔷换慦愵敡㠰摦愳慥㥦㘹搴㡦挱捦慢攳㔷愸㈷㔴搵㔸摦慢㠴㥦㕤攷㥤㉡昵㡢挷扡㙣㜱㔹㕤㑢㡤慤挷㑦㈰户㑢㡤㙡挰㡦戸㈷㑢㙢挶挵ㅡㅢ㡤晡摡晦㠵㙦㠸挳ㄷ㠵戵攵ㅤ〴㑣㤹㌶昸㥤攸㘲挷敦攸攲㤷㙦㘵晦㐲戲敤㤷敡㥢昳挱㕦㍦攷つ㠴㘲晥㡣昵敦晢㝥㌸敤㐷挰㔶㤶晥ㄱ摡㌹晣昶户㠶㘲搱づ昳㐰ㄶ㜶㝣敥摢㔷摥慣攲㕤㕡㝤ㄷ㜴戵㥦㐱摡攰〶ㄸ㝦㠶㠴㜳摣愵晦〲㡥摥㠴㠶㈴㐵㙤愷㘰ちㄴ扡搷挷扤愵㕤捤戴㔸㝤㝤㙣㝥㘹捤戴㙡愳昶㡣挶ㄹ愵搳收攰晥㘶㔵㕤㉤㡣㑢㑢㑢昵摤㜰捡ㅥ昸ㄲ㔳挱愴㔷晤㌷㜰㌹摢挸㜵昳㘶㤷㥣㝡㐵昸㡡㐱㕤㤰ㄴ㠳戸摣扣摦㈵〵㙤搰挴晥㤶㐲㥢昳㔲攷㘰㡢挵捦㍢㥤〶愷搱㥥㠳㙢ㅥ㔸㈹㔹㑤攸捡ㅣ㤸攰つ㌰ㄹ㠶ぢ㠲㜴㜰㡣㔸㜲摢㠳㥢づ慥ㄱ㕣ㄹ㐳〷㍡改㐸搲〹挴攵收摤㈹㈹㈸㐳ㄳ挱捤㐱㥢挱㘹㙥戴㜳㤱昸捡㌱搸㉥搰搵扡㠲㘴㈲搱つㅣ㕢挰㈵扣〵㤴㍤挵昸摤㜵㤵っ扥㘴㙥㔵戲㜱㠶㌶挳愸㍡㘳〶㥥搳㘸摦㕥㝤户ㅣ㘴㈸昸㠶愹ㅣ㔵㜷昸㔴愳ㄲ攷㉢敥摥攰慡っ戸ㄷ㠲㉢㠷戴て晢摦㤷㘴㍦㄰㤷㥢㜷㘴愴㘰㝦㌴㌱㔶摥㡢㤱㘳㍤〰敤摣戱㝥攰㌸搶ㅥ搰搵づ〲挹ㅣ㙢㌹㌸戶戱ち摥戶㤱〱昷㠲㐰㠵㈶慥㔶摣摥攰慡㘱戸㤷慡戸晡搰挹挱㈴㝤㐱㕣㙥摥㌹㤱〱ㅦ㠲㈶〲收㍤ㄳ〶㙣捤㥣㝦㍡〶㜸㌸敤㌳㘷㑥㝦戲㥡㤰㐷㙢收摣〸ㅦ㌲戸ち〸㔴ㄸ攲㔶挵㍤ㄲ㕣ㄵ戲㝢㈵戸㌲〶て㥤㜸㐹㝣㈰㉥㌷敦㜳㐸㠱ㅦ㑤〴挷㍢ㅣ㌲㌸捥㥣㘲昱㠲㘳㜰㈱摡㜳愶㌴㑦敢〸㔹戶攰㜸㌳㠴㌳㐵晤㠹㌵㘸挸㘸㡦愲㘳戰昹ㄲ㙢ㄵ昷㘸㜰搵ㄸ摣㡦㠰㉢㠳㍡㠶㕥〷㤰ㅣぢ攲㜲昳㕥㠴ㄴ昰㘷搸ㄱ敤㘳㘸摢㔲昹㠴㘳戴㐳㘸㥦㤹捡㘱㘴㌵㈱〰㉢㤵敢㔵ㄸ㤵㄰愸㌰〴㙦㍣挸㤰㐷㠰慢㐲㜶昳戶㠱㡣㘱㈴㥤㡣㈲ㄹつ攲㜲昳捥㠱ㄴㅣ㠷㈶㠲攳㍤〳〶愷㡤㐱㍢㜷㘲摥敦ㄸ散〹搰搵挶㠲㘴㑥捣㜱攰搸〳收㉤㠷㡣昴扥〲㠶㡣㜵㍣㌴㔵慣㘲戳攲㑥〰㔷㡤换晤㌶戸㌲搰㠹昴㍡㠹㘴㌲㠸换捤㜵㝤㈹㌸〹㑤㡣攰㕤戴㙤㤳攱㑥挷㠸愷搰㍥㜳㌲㥣㐶㤶㉤扤㕢攱㈷㈳㕡㉥敦换㘸愷㐲㌳ㅤ敤㜶挵㥤〶㙥㍡㕡㉥扣换愰愶搳㙢㡣㈴づ攲㜲㜳敤㕤ちㄲ㘸㈲摡㉦搱㤶搱昲㐰㔰㉣㙥㜰㡣㌶㐵㝢敥昸捤㔳㜷〶㔹戶㘸戹ㄸ㉦㠳㍢㤳㝥㌰㐹昸ㄲ㍢ㄵ㜷㈶戸改攰㝥㔱㌱㔴搳㐹つ㐹㉤㠸换捤㤵㜲ㄹ㕣ㅤ㥡〸㙥㌷摡㌲㌸昳攳攲㉡挷攰敡㘹㥦㌹㔳ㅢ挹戲〵㔷㡣てㄳㄹ摣ㅣ〸㔴ㄸ㐲㔳摣戹攰慡㤰摤ㅤ挰㤵㌱捣愳㤳昹㈴ぢ㐰㕣㙥慥㙢㑢挱搹㘸㈲戸㑥㘸摢㠲扢挸㌱戸㜳㘹㥦ㄹ摣昹㘴搹㠲敢愲挲戸㄰㠲㜴㜰摤ㄵ昷㈲㜰搳挱ㅤ愰㘲昸㈳㥤㕣㑣戲㄰挴攵收㉡戴っ敥ㄲ㌴ㄱ㕣て戴㙤挱捤㜵っ敥㜲摡㘷〶户㠸㉣㕢㜰扤㔴ㄸ㡢㈱㔰㘱㠸扥㡡㝢ㄵ戸㉡㘴㜷㝦ㄵ挳搵㜴昲㈷㤲㙢㐰㕣㙥慥ㄹ换攰慥㐵ㄳ挱㔵愰㉤㠳㌳て㤷㌳ㅤ㠳㕢㑡晢捣㍤攴㝡戲㙣挱㜱㘱㌹㘳て〹㠰㈱㜱㕥づ捤㜴戴ㄱ挵扤〱摣㜴戴挷㠲㉢㠳扡㤱㕥㙦㈲戹ㄹ挴攵收扡慥ㄴ摣㠲㈶愲攵㡡慥㉤摡㘹㡥搱慥愰㝤㘶戴户㤳㘵㡢㜶〸晣㘴㐴㕢〹㠶㡣㜶㈵㌴㔵㕣㘲戴攲摥〹慥ㅡ㠳㥢ぢ慦㌲愸㔵昴晡㔷㤲搵㈰㉥㌷搷㕥愵攰㉥㌴ㄱ㉤㔷㕤㘵戴收晥㍣挱㌱摡㌵戴捦摣㥦敦㈵换ㄶ敤㘴ㄵ挶㕡〸㔴ㄸ㘲㡡攲摥て慥ち搹捤㘵㔲ㄹ挳〳㜴昲㈰挹㐳㈰㉥㌷㔷㑡愵攰㘱㌴ㄱ㕣ㅣ㙤摢慣ㅣ攱ㄸ摣㘳戴捦㥣㤵敢挸戲〵㤷㔲㘱慣㠷㈰ㅤ摣㤹㡡晢〴戸改攰戸愸㈹㘳㘸愲㤳㈷㐹㌶㠰戸摣㕣搷㤴㠲㡤㘸㈲㌸慥㘸摡㜰㍥摡㌱戸㑤戴捦挴昹㔹戲㙣挱㌵挲㑦〶捥昳挰㤰㌸㍦て捤㜴戴攷㈸敥ぢ攰愶愳扤㄰㕣ㄹ搴㡢昴晡ㄲ挹换㈰㉥㌷搷ㅥ愵攰ㅦ㘸㈲㕡慥㍡摡㜰㍥搲㌱摡搷㘸㥦㠹昳㘶戲㙣搱㜲㌱㔲〶昷〶〴改攰ㄶ㈹敥㍦挱㑤〷挷㘵㐲ㄹ挳㥢㜴昲ㄶ挹摢㈰㉥㌷㔷ち愵攰ㅤ㌴ㄱ摣ㄲ戴㙤愹散敤ㄸ摣㔶摡㘷愶㜲ㅢ㔹戶攰㤶挲㑦㐶㉡㤷㠳㈱愳㝤ㅦ㥡改㘸㙦㔶摣て挰㑤㐷换愵㍣ㄹ搴㠷昴晡ㄱ挹㜶㄰㤷㥢慢㜹㔲昰㌱㥡㠸㜶㈵摡戶㔹戹户㘳戴㥦搱㍥㜳㔶敥㈰换ㄶ敤㙡ㄵ挶㤷㄰愴㠳㕢愳戸㕦㠱㥢づ敥〱ㄵ挳搷㜴昲ㅦ㤲㙦㐰㕣㙥慥扤挹攰扥㐵ㄳ挱㍤㠴戶つ攷昶㡥挱敤愴㝤㈶捥㍦㤲㘵ぢ敥㌱ㄵ挶㉥〸搲挱慤㔷摣㥦挱㑤〷挷㘵㌲ㄹ挳㉦㜴昲㉢挹㙥㄰㤷㥢㉢㘵㔲昰ㅢ㥡〸㙥ㄳ摡戶捣晤昶扤搳攵㕣㌱敡㠵戳㌲搷㤶㉣㕢㜰捦慢㌰㌴〸搲挱扤慣戸敤挰㑤〷户㔹挵㔰㑡㈷㍡〹㙡戹ㄱㅣ搷戵㘴㜰敤搱㐴㜰㙦愰㙤ぢ敥㕢挷攰㍡搱㍥ㄳ㔶㌷㔹戶攰摥㔶㘱㜴㠱㈰ㅤ摣㔶挵敤ち㙥㍡㌸㉥㐱挹ㄸ扡搱挹㕥㈴摤㐱㕣㙥慥㐲㐹挱摥㘸㈲戸敤㘸摢㠲晢搸㌱戸晤㘸㥦ㄹ摣〱㘴搹㠲晢㑣㠵搱〳〲ㄵ㠶昸㔲㜱て〲㌷ㅤ昲㜷攰捡㈵晢㙤攸㡤㑢昶挷ㄴ攱ち扦㔸ㄳ㕣㐴㤲㠲昷㉣挱〰㈹㄰㘲愷ㄲ㙣戵〴〳㈱搰㝢挳㘹〹ㄷ㤹戲扦捣摥戶㌴㘲晢㕡㜹㈸攲㈴㙦〲扥搳㥣慢㈴慥ㅡ搶改捡㤲㑤慤㘶挲っ㝣攷㜹㘷㑢户㕦㕡愷㑢㥡㤳搶敤㤴㘶㐹㥢㝤㠷搶搵捣㡡搵挷攲搵〶㔵晡㌵㍢摤㉢㕢㈲昵㤱ㄹ㈶愷愸㔷晥ㅡ㔱ㄵ㈰㤷㜱㑡㐵㡢ㄵ㑢〵つ昴㍥挸㐹㐷㙣㠸收㉤搹㉣搹㠵攱户㜸〹㠹敢㤴扦昳摢昷て㐶〰㠲敢㍦㜲㈹戴㉦㕢っ〷慦戲摤ㄶ户㤴换㍤㘵㕣戸㈱扢ㄴ扢㌰㌶㐰㈵昴㙦㘵捤〹㉥攲㐸挱㥢㔹㜳愲㔸〹晥㘹㥦ㄳ㠷戳挳㌶㄰㜱㕥㌴攷愰㜹㑢㘶㐳㘸搰㘰㐶昴晥搴㘷〸㌲摣㈳散攱扡㉣慥ㄹ㙥㝢搵挲㝢㤱攸〰㉡愳㝡㉤㉢㕣㉥敢㐸挱慢㔹攱㜶㔲㠲㔷散攱㝡搹㘱ㄹ㐴㌲㕣ㅦ㕡㈶㜸改㉤㌳摣㉥搰㤰攱晡愹摦つ㉤ㄹ㙥挰ㅥ㙥㜷㡢㉢昳㔹戶户㙡㌱搷㘲ㅦ戴㘴㔴㉦㘴㠵换㤵ㄹ㈹㜸㍥㉢摣晤㤴攰㌹㝢戸ㄱ㜶戸㍦㐴㌲摣㘸㍡摣昴㤶ㄹ㙥て㘸挸㜰㡦愲㝥㌹㕡㌲摣愳敤攱昶戲戸㘶㜶㝢慢ㄶ摥㡢㐴ㅦ㔰ㄹ搵㔳㔹攱㜲㕤㐶ち㌶㘶㠵摢㔷〹㌶搸挳ㅤ挸づて㠱愸昰㘴㌸ㅣㅡ㌲摣挱搴敦㡦㤶っ㜷㠸㍤摣ち㡢㙢㘶昷㐸搵㤲搹昵愰㈵愳㝡㍣㉢㕣慥搴㐸挱扡慣㜰㝤㑡昰㜷㝢戸㤵散搰て㔱攱挹㄰㠲㠶っ㜷㈴昵㈳㘸挹㜰㐷搹挳㍤捡攲㥡搹㍤㕡戵昰㡥㍢ㅥ愰㌲慡㠷戲挲攵㔲㡤ㄴ㍣㤸ㄵ敥戱㑡昰㠰㍤摣攳搹攱㐰㠸ち㘷㜷〸㌴㘴戸㘳愹㍦っ㉤ㄹ敥㌸㝢戸㤵ㄶ搷捣敥〸搵㤲搹ㅤ㠹㤶㡣敡㙦㔹攱㜲昱㐶ち搶㘴㠵㍢㕡〹敥戱㠷㍢㤱ㅤㅥ〷㤱っ㜷ㄲ㕡收慥㤶摥㌲攷敥〹搰㤰攱㑥愶晥㌸戴㘴戸㈷搹挳ㅤ㙦㜱捤散㑥㔰㉤扣ㄷ㠹㠹愰㌲慡㔵㔹攱㜲愵㐶ち敥捣ち㜷戲ㄲ慣戴㠷㝢㉡㍢㍣〹愲挲㤳㘱ち㌴㘴戸愷㔳晦㌴戴㘴戸㔳敤攱㑥戵戸㘶戸搳㔴ぢ敦㐵㘲㍡愸㡣敡㉦㔹攱㜲愹㐶ち㙥捤ち㌷慥〴户搸挳㡤戳挳〴㐴㌲摣昴昱㐰㑦㙦㤹搹㑤㐱㐳㠶㥢愴晥っ戴㘴戸㠶㍤摣㌳㉤慥ㄹ敥㑣搵挲㝢㤱愸〶㤵㔱㉤捦ち㤷㡢㌷㔲戰㉣㉢摣㕡㈵戸摥ㅥ㙥ㄵ㍢慣㠳愸昰摣慤㠷㠶っ㜷㈶昵ㅢ搱㤲攱㔶摢挳㥤㘳㜱捤戹㍢㔷戵攴摣㥤㠷㤶㡣敡摡慣㜰戹㥣㈳〵搷㘴㠵扢㐰〹晥㘴て㜷ㄶ㍢㍣ㅢ愲挲攱㥥ぢつㄹ㙥㍤昵捦㐷㑢㠶摢㘰て昷㐲㡢㙢㠶㝢㤱㙡挹㜰晦㠸㤶㡣㙡㔱㔶戸㕣攰㤱㠲㉢戲挲㕤愸〴㤷摢挳㥤换づ㉦㠱愸㜰戸㤷㐳㐳㠶㍢㥦晡㡢搰㤲攱㉥戰㠷扢搸攲㥡㤳攱㉡搵挲㍢扥㜴〴㔴㐶㜵㜱㔶戸㕣昲㤱㠲㍦㘶㠵㝢㡤ㄲ㕣㘴て昷㕣㜶㜸㉤㐴㌲摣昴㐷慦㥥摥㌲攷敥㔲㘸挸㜰捦愷晥昵㘸挹㜰㉦戰㠷扢摣攲㥡攱摥愰㕡㜸㉦ㄲ㌷㠲捡愸捥捤ち㤷㙢㍥㔲昰㠷慣㜰㙦㔶㠲㜳散攱㕥捣づ㙦㠱愸㜰戸㉢愰㈱挳扤㠴晡户愳㈵挳扤搴ㅥ敥㑡㡢㙢㑥㠶㍢㔵㑢㑥㠶㔵㘸挹愸收㘶㠵换㐵ㅦ㈹㤸㤳ㄵ敥㙡㈵㤸㙤て㜷ㄱ㍢扣ぢ㈲ㄹ㙥晡㜸㤰㝤㘴㔸〳つㄹ敥㘲敡摦㡢㤶っ昷㉡㝢戸㙢㉤慥㤹摤晢㔵ぢ敦昸㕥ぢ㔰ㄹ搵慣慣㜰戹っ㈴〵㜵㔹攱㍥愴〴戵昶㜰慦㘵㠷て㐳㔴㜸敥㍥〶つㄹ敥㥦愹扦づ㉤ㄹ敥㔲㝢戸敢㉤慥ㄹ敥ㄳ慡㠵昷㈲搱〴㉡愳慡捡ち㤷ぢ㐳㔲㌰㈳㉢摣つ㑡㜰㠶㍤摣攵散㜰㈳㐴㠵㈷挳㈶㘸挸㜰㙦愴晥戳㘸挹㜰㙦戲㠷晢扣挵㌵挳㝤㐱戵昰㕥㈴㕥〴㤵㔱挵戳挲攵捡㤰ㄴ挴戲挲㝤㔹〹愶摢挳晤ぢ㍢晣〷㐴㠵㈷挳㙢搰㤰攱摥㐶晤捤㘸挹㜰㙦户㠷晢㠶挵㌵挳晤愷㙡攱ㅤ㕦㤵〰㉡愳㍡㌵㉢㕣慥ㄵ㐹挱㤴慣㜰摦㔶㠲㔳散攱慥㘲㠷敦㐰㔴㌸扢㕢愱㈱挳㕤㑤晤㙤㘸挹㜰敦戲㠷晢扥挵㌵挳晤㐰戵昰㕥㈴㍥〴㤵㔱㑤捣ち㤷㡢㐵㔲㌰㈱㉢摣敤㑡㌰摥ㅥ敥摦搸攱挷㄰ㄵ㥥扢㥦㐱㐳㠶㝢ㅦ昵㜷愰㈵挳㕤㙢て昷㑢㡢㙢㠶晢㤵㙡攱扤㐸㝣つ㉡愳㍡㍥㉢㕣㉥ㅦ㐹挱㤸慣㜰扦㔱㠲攳散攱㍥挴づ扦㠵愸昰㘴搸〹つㄹ敥㈳搴晦ㄱ㉤ㄹ敥愳昶㜰㜷㔹㕣㌳摣㥦㔵ぢ敦戸ㄸ〵㤵㔱㔵㘶㠵换〵㈵㈹ㄸ㥥ㄵ敥㙥㈵ㄸ㘶て昷㜱㜶昸ㅢ㐴㠵戳换㘵㈶ㄹ敥ㄳ搴攷ち㤳っ户挹摡㘰愳㡣换㑢摣㌰挳攵戲㤲㙣挱㌷㉥㐶搱㤲㔱つ捣ち㤷㑢㑣㔲㜰㙣㔶戸㕣㜶㤲㠲〱昶㜰㥦愲㔷㉥㐱ㄵづ㤷ぢ㑦㌲摣㑤搴攷㥡㤳っ昷ㄹ㙢㐳㠶摢挵㙡㤸攱㜲愱愹㌹㕣㉥㌰挹捥㈳㔹攱㜲搱㐹ち挲㔹攱㜲㈱㑡ち㐲昶㜰㕦愰㔷㉥㑡ㄵづ㤷㑢㔱㌲摣㤷愸捦㔵㈸ㄹ敥换搶㠶っ㤷㑢㔰改〰换戸昴㈴㕢晣㔴㉢攳㥡ㄱ扦敥扢㜸㥥㐸㑣㑦㑥㥦晥㘳㔹摢昲晤摡㥥㍣愸挳戲㙤捦扦㝦捤收搳〶㝣晣换㡤㌷㙥晥昰㥡ㄷ㝦㔹ㄷㅦ昰捣㡡ㄵ㑦㡤扥攵挵昷扢愴㙥㉤㝥攸挷㌱户㥥攳㥤㜹捥㔹愹㐹㠷㡦㌸攷㤴㌳㑦昴㡥敢摣慦㑤㥢㜶敤づ改晡散㍥㠷扡捦㍦敢ㄱ昱攴㕢㝢搷㤶昴㐱〷㉤㔸戴㘱㐴扦㜳㠵攵ㅦㅣ㤰㕣㘶㠱て摤晥㥤㕣㙥㉥户挸搵扤㔷戱搱戱㑤ㄹ㔷㐳㕡㜳戴㐲㉥㥦攴㠴挱㘵ㄴㄹ挶敢㘶ㄸ㕣攵㘸搵㌰㜸愶挶挴敢㥢㐱㠴㥦㈴㈷㈸㉥㤶挸愰摥挰〶㜲挳戵㡣㔶つ㡡愷㍡㌲愸㝦㘲㐳挸愵㄰〶㘵晦敡㈵㌷㤷㐴㘴㔰㙦㘱〳㐱㜱挵愲㔵㠳㤲㑢ㅣ㌹戹攱㔲㠷っ攳ㅤ㌳っ慥㐴戴㙡ㄸ㜲改㈲㈷っ㉥㘱挸㌰晥㘵㠶挱ㄵ㠶㔶つ㐳㉥㐹攴㠴挱愵〹ㄹ挶㝢㘶ㄸ㕣㌹㘸搵㌰戸〴㈱㘷捡㌶㙣㠸挹㈴㌹㌳㠵ぢ㄰㌲愸昷戱㠱㤹挲昵㠱㔶つ㑡㉥㈸攴攴㠶ぢぢ㌲㡣て捤㌰㜸摤摦慡㘱㈴搱㐱㙥㌶戸㘰㈰挳搸㙥㠶挱敢昹㔶つ㐳㉥〰攴㘴㠳ぢ〱㌲㡣㑦捣㌰㜸㥤摥慡㘱搴愳㠳摣㐳㕢㠳ち攳㌳㌳っ㕥㝦户㙡ㄸ昳ㅤ挳攰㠵扢捣挶づ㌳っ㕥㔷户㙡ㄸ昲㐲㍣〷ㄴ㕥㤰换㌰扥㌴挳攰昵㜲慢㠶㈱㉦戰㜳挲戸㔴㠵昱戵ㄹ〶慦㠳㕢㌵っ㜹攱捣㌰㌲㍥㘱㜸〱㉤戳昱㡤ㄹ挶戵慤ㅤ㠶扣㈰捥挹挶㔲ㄵ挶㜷㘶ㄸ扣㙥㙤搵㙣挸ぢ摤㥣㌰㜸挱㉢戳戱搳っ㠳搷愳慤ㅡ㠶扣㠰捤〱攵㜶ㄵ挶㡦㘶ㄸ慢㕡㍢っ㜹㘱㥡㤳つ㕥愰捡㙣散㌲挳攰昵㘳慢㘶㐳㕥㜰收㠴戱㔶㠵昱㡢ㄹ挶㐳慤ㅤ㠶扣㤰捣〱㠵ㄷ㤴㌲ㅢ扢捤㌰㜸扤搷慡搹㤰ㄷ㠸㌹搹攰㠵愲っ愳愸扤晣愰㝦慡戵挳㤰ㄷ㝥㌹㘱昰〲㔰㠶㔱㙣㠶挱敢戳㔶捤㠶扣愰换〹㠳ㄷ㜶㌲㡣戶㌲っ㈱㉦㝥愸㔵㠲㌶㍦〹攵㡢㤷㍢昲㤲㜲搷㜷㘶㐵挱㄰㐸㑡㐵㤱攰〵㠸ㄴ晣㤴㈵㤰ㄷち昴㔳㙡昷昳㠶㔲晦㈱㑢㕤㥥挲㔳摤㘵㔷攷㐹扢昴晥㝤㤶㍡㑦愳愵攰扢㉣〱㑦㙣愵攰摢㉣〱㑦㌵愵攰㥢㉣㠱㍣㈵㘴捦㘵昶㥥㜹ㄲ㈸搵扦捥㔲攷㘹㤹ㄴ㝣㤵㈵攰㠹㤲ㄴ㝣㤹㈵攰愹㡢ㄴ㝣㤱㈵攰挹㠴ㄴ散挸ㄲ昰攳㕤ち㍥捦ㄲ昰〳㔷ち㍥换ㄲ昰㈳㔰ち㍥捤ㄲ昰㐳㐹ち㍥挹ㄲ昰㘳㐲ち㍥捥ㄲ昰挰㉤〵摢戳〴㍣㤴㑡挱㐷㔹〲ㅥ摣愴攰挳㉣〱て㌷㔲昰㐱㤶㠰〷〰㈹㜸㍦㑢挰㕤㔲ち晥㥤㈵攰㑥㈲〵摢戲〴㥣戶㔲昰㕥愶挰捤昹㉢㈷㜶㉦㙣攰㥢慢㌹て㘵扢户搹收㐴㤳敤㍥㘶㥢昰换昶挱戲㕤㐲戳〲昵ㅣ攳㡣晡㠴㔱摢㔸㔵㙤戰㥥〴攳㈹敡㔸㌳㜴㜶㐳㘳㥤㔹昲搲㔰㈲㡢㕣㜲㡢㘰扡㔰扤㕦㠶慡换㘴㤱㤶㤹㥢改㙡㤸昶㤶㠸攵㌳晦搷㔲㤸㜶ㄸつ㕦愸㤸敦㔱戸ㅡ挶慣㠴㘹㤹㤶㔵〶搳ㄷ搹㜱攱㠱㔱搴挱㌴㙦捡戶㘰㝥㤹㍣晤㤰㘶㥤收㑤㔳㠷㌹㤷㍡㠷㌶敢㌴㙦㥡㍡挴㐱敡ㅣ搶慣搳扣㈹㜵捡搸㌷㤷㥤搸挲摦戶㠱换㤷昱敦搳㠱㉦扤挸扦ㅤ〳换搸㜳㘱つ昶㕢㔸㠳扤ㄶ搴㘸晦晦〰愰ぢ㐵挱</t>
  </si>
  <si>
    <t>㜸〱捤㝤〷㝣ㄴ搵昶㝦㙥㈰㐳㘶㈹㔹ㄱ㉢㤶愰㔸挱戸扤愸搴㠴づ㠲㔴ㄵㄴ戶捣㑡㌰〵㤳〰挱慥捦㠷〵㐵散愲搸㔰ㄱ㔱戱㍣扢㈲ㄱ㔴㤰㠷㔸ㅦ昶晡散扤愰昲慣晦敦昷捥摣捤散敥散㤲㥦晦㤷捦攷㉤散挹摣㜳捥㍤昷㝢捦昷捥散捣㥤㍢扢㐵愲愸愸攸㑦扣昸㤷慦㡥摣搸㘳挲晣挶㈶愳戶愲戲扥愶挶㐸㌴㔵搷搷㌵㔶っ㙡㘸㠸捤ㅦ㕤摤搸搴〱づ摡昴㙡搸ㅢ㑢愶㌷㔶㥦㙣㤴㑥㥦㙢㌴㌴挲愹愴愸愸戴㔴㉦㠶㝤㌷敢敤㔶〵㥤戵昴㡥ㄴ昰㉡搲㌵㡡㑥ㄴ愵ㄴ㍡㠵㡢愲㌳㐵ㄷ㡡慥ㄴ摤㈸捡㈸摣ㄴ㍢㔰㜴愷搸㤱愲〷挵㑥ㄴ㍢㔳散㐲戱㉢〵摢搷㜷愷攸〹搱㘵て㠸㠹㤵㠳挷挶㘷愱㌷ㄳ㥡敡ㅢ㡣扥攵㤳㑤捣晤扣摥ち㙦㐵㈰攸昵㔵㜸晡㤶㔷捥愹㘹㥡搳㘰昴慢㌳收㌴㌵挴㙡晡㤶㡦㥢ㄳ慦愹㑥㡣㌲收㑦慣㍦搱愸敢㘷挴㍤晥㜸㉣㄰昱〶㠲挱㔴㌴ㅡ改戲㈷㈲ㅦ㔹㌹㜸㕣㠳㤱㙡晣㙦挵摣㡢㌱挷㔶づ慥㌸搲㘸晡㙦挵摣ㅢ㌱ㄱ戲慡扥㌶㔶㕤昷㕦ち㕡㐲㑥晤㔵㐶愲㥡攴ㅢ㐶㐳㜵摤〹ㄵ㠰㥤㤱㘸㤴挲ㄵ㐳㤱昱㐴慣戱愹搲愸愹ㄹ㙦愴挸㝢㤷㕡收捣㘸㌰敡ㄲ㐶㘳户摡㈱捤〹愳挶㌲㌷㤶搶㑥㡥㌵ㅣㄹ慢㌵㍡㜲愳慣搶攴㙤㐴搲愸㙢慡㙥㥡摦戵㜶㔲愳㌱㍥㔶㜷㠲㐱㤷㤲摡㘱㜳慡㤳ㅤ㍢㡡㡥ㅤ㡢㍡ㅣ攰〴㐶㜲㔳㌱戴㈱㔱㌹㌳搶搰㈴㑢㘴捤敢攴㙢ㅢ㈱ㄲ㜸〶㉣㡥愲昲慣㕡愴㘹㐲㜵敤㈸愳愱捥愸㘱㈳㈴慦㑦㤶㤳捣㠹㤹晡㜴㜲㔴㙦㐸㡣攸㙣敤㙦散ち㕢搱换㈹㝡㐱㘸晢㐰戸晢つㅥ摣摢ㅢ摥㝦㥦挳捡昷搹扦昷㈰㕦㐴摦㤷昶摥㄰愲攳㥢搸㜹敤昵戹〳ㄵ㑦㡦ㄵ㑦㡦ㄷ㑦㑦ㄴ㑦㑦ㄶ㑦㌷㡡愷愷㡡愷㥦㔰㍣㝤㘶昱昴敡攲改戳㡡愷㥦〸ㅦ昵㉡敤搴愹搸㝡挵搶㕣扦捥戳㜷晦㤱ㄷ扥㍢㘶捤晡㉤㡢㡦ㄵ摣㕦攵㡥扢㍦㌶昴〳㈰戴〳㈱摣晤〶㑤戲攱昱〷昵㠳㘸㍦ㄸ㐲㠸㝦〱て㌱慤㝥慢㡦慢敡改㤹㘳敥搸㌶晣昳㕤晥昵晢昷㠲晢扤っ搶㤷捥㠷㐰㘸ㄵ㄰搹挱扣晡愱戴㝢㈰㠴㜸摥ち㜶搰㌱搷㌷㌶捦慣ㅥ晡挰挲㜰晣㉣敦㠶㔹㠲挷てㄹ捣㐷㘷㍦㠴ㄶ㠰挸捡㤴㍦慣〷㘹て㐱〸昱慣ㄵ散㠴㉥ぢ搷捦㝣戵㘵挴㥡㠷昵搵愹慢㈶㕦㈰㌸ㅥ㘵戰〸㥤愳㄰摡㘱㄰搹挸㐲晡攱戴ㅦ〱㈱挴㍡㉢搸挶愹㘷晥戰㜶攵㡥愳㙥昹攷愸㔵㉢摥㑤扣㈴㜸㍣㤳挱晡搳㜹〰㠴㌶㄰㈲㉢㔸㈰慡て愲㝤㌰㠴㄰慢慤㘰㑦㉦㙡攸扥晥戳挷㠷㍤晣晥愴㍢㜷慣㉤敥㈴㜸㕣㤴挱慡攸㍣〴㐲ㅢち㤱搵㑤㕦㔴ㅦ㐶晢㜰〸㈱ㅥ戲㠲㔵㉣㥢攸㝦敦捤扥㤵ぢ昶㕡㍢散㜱㑤捣ㄷ㍣扥捡㘰㈳改㍣ち㐲ㅢつ㤱ㄵっ㙣㡥愱晤㐸〸㈱敥戵㠲つ扢㘱搸搰㉤ㄳ㥦ㅣ㝤㘷昵攸ㅢ㝥つ㉣摦㉡㌸捣㘴戰㜱㜴㍥ち㐲ㅢて㤱ㅤ捣慢㑦愰㝤㈲㠴㄰㜷㔸挱㈶慣摥摣㙢㜱搵ㅢ愳㉥㝡扦㙦㘹昹㡤扤晡〹ㅥ敦㘵戰挹㜴㥥〲愱ㅤつ㤱㤵㌳㕦㔰㍦㠶昶㘳㈱㠴戸搵ち㌶戸㈴㝡晥㤱昱㉢㠷㕣昶昹㝦㉥搱㙦㍦㜷愴攰攷㠶っ㌶㡤捥挷㐱㘸挷㐳㘴㈱昳㐶昵改戴捦㠰㄰攲〶㉢搸昲㤲攸愳摥敡づ挳慥㙤㜹㜸昵慢㐵昷㜵㄰晣晣㤱挱攲㜴㑥㐰㘸㐹㠸慣㘰㠱㠸㙥搰㥥㠲㄰㘲㠹ㄵ慣晦攴㑦㑥ㅢ㉦㥥ㅥ㝤搶搶㐳㝡㠷〷㍣㜶愳攰攷㤸っ㌶㤳捥搵㄰摡㉣㠸散㘰〱㥤晢愷㕥〳㈱挴㘵㔶戰ㄵ捤㐳〶慣戸晦愵㌱㤷㙣㥥昶搸捥慦㑤㥤㈴昸㜹㈸㠳搵搱戹ㅥ㐲㥢つ㤱ㄵ捣ㄷ搲㑦愲扤〱㐲㠸㡢慣㘰昵ㄵ攵ㄳ㌶扣ㅤㄸ戸散挹㜳〶㝣昶攳挷㕦ぢ㝥慥捡㘰㑤㜴㥥〳愱捤㠵挸づ收搷攷搱摥っ㈱挴戹㔶戰敦づ摡㜲敦㠰晤㌷づ㕡搰敤㠵㜱㝤㝦つ㤶〹㝥㍥换㘰㈷搳昹ㄴ〸敤㔴㠸散㘰㐱晤㌴摡㑦㠷㄰攲㉣㉢搸㤷㌷㉤㤸㌳㕤晦愶敡戱㡦㝡昶㕡戱捤㌷㔰昰㜳㕥〶㍢㤳捥㘷㐱㘸㘷㐳㘴〵ぢ昸昴扦搱㝥づ㠴㄰愷㔸挱愶敦㝤攰愱㡦㑣㕣㌰攸㥣〵㔷㔷㜵戸㘷昳扥㠲攷ぢ㌲搸〲㍡㥦ぢ愱㥤〷㤱ㄵ㉣攴搷捦愷晤〲〸㈱收㔸挱敥㜵㌵㑦㍥慦捦㐷愳㙦敥戱收搶つ〷㔷㍥㈶㜸摥㈱㠳㕤㐸攷㡢㈰戴㐵㄰㔹挱〲㝥晤㘲摡ㄷ㐳〸㔱㙦〵㙢㥣㝦晡㤱挷㝣昷㔰搵ㄵ㍢㍤戶敥㠱㙥愷ㄹ㠲攷㉦㌲搸愵㜴扥っ㐲扢ㅣ㈲㍢㤸㐷扦㠲昶㉢㈱㠴愸戶㠲摤㍥散晡㐵ㅦ捤㥢㍦昴㠶㈵㍦ㄷ㤵㝦㍤㙢㤹攰㜹㤰っ㜶㌵㥤㤷㐰㘸搷㐰㘴〵ぢ㐶昴㙢㘹㕦ち㈱㐴挲ち戶㉡晡捣㡡捡户㑥ㅡ戶㝣捡扢㍦慣改㌴昷㔹戱㉢捣㌲搸昵㜴扥〱㐲扢ㄱ㈲㝢摦っ攸㌷搱扥っ㐲㠸攳慣㘰〳ㄶ㜵昰㉦扦昹愹ㄱ㙢㐶㌵㕦㉤㥥㍦晤㙥挱昳㌲ㄹ散ㄶ㍡摦ち愱㉤㠷挸㐲收昳攸户搱扥〲㐲㠸㈹㔶戰ㄳ扦ㄲ〳㤶摥扦㔳搵摤户㍣摦昳慥慤搷㉤ㄶ扢挳㉣㠳慤愴昳ㅤ㄰摡㥤㄰搹挱㝣晡㕤戴慦㠲㄰攲㈸㉢搸㤰〷㙡㙡扤㕢〶っ戹㙢㑣搳ㄹ昷㜶㥡扦㥢攰㜹愲っ㜶て㥤敦㠵搰敥㠳挸ち收て改晦愰晤㝥〸㈱㐶㔹挱ㄶ慥慦㌸㘲昱㤲㝥〳捦ㅥ昳㐹昴挵㠶敥户㜴㜹㄰收愳慣捦昴慡㠶搸㍣㥣ㄸ戵㥥㜳攱㐴㤳晦戶㝦戲㠹㜳捤㔴㌰ㄵ㑥㜹扤挹愰㈷收㡦㤵㤴㈳㙣㕢㑦㜱㌸搴扢愴愶㔴搷㈵敢攷挹㜳㥥㉥愹愱搵㌵㑤㐶㠳㉣㤴愵昰挷㍣㙦㤳攵慥愹㈱捤㌸攱㑤㤸愷㐷㍤㔲㤵㐶㐳ㄳ㑥ㄴ㥢收户㥥㌳敤㌱㌸搶㘸戴ㄶ晢㔸戱〷搷捦愹㑢㌶昶㜴㌶㑥㘸㡡㌵ㄹ扢㘷摢㕡㠳攴㔴㥢㠰㤳㐸愳㔱㐲摡㉢扢摡攴㔸捤ㅣ㘳㔰㜳戵㘹摥㌳换㡣搳挹晡㜸㝥敢搰〶攳愴戴㌵〷搱㈰㕣攳捣㤵戱㜳㝡㘹㥡㑣㕣攵㤵㌳敢ㅢ㡤㍡〹慦㑦敤戸敡挴㠹㐶挳〴㠳㔷㐸㐶㔲㜶㜵㈷㥡慣㜳摡㍥㘳敢搰㔱㥣愵㈶昷戱㙢㤹㘸愳㉥㘹㈴㠱㜷㌶戲㍣㝦㘲㉣㕥㘳散㥣攱㘲戶〹挳㙥ㄹ敡愱昵㠹㌹㡤㤵昵㜵㑤つ昵㌵㤹㤶㐱挹戹㌱㥣㐷㈷挷搴㈷㡤㡥昲㔵㘴㑡㔱搴愱㠳㄰㐵〷㍡㥤㤰㌲㜶㈳㑦㔹㙤㠳㠴㈷挶㠵㥤㙤㠳㠸捥㡥愷扡改挸搸戰つ㌲晡ㅦ㔴㄰㠹㝤㄰搲摢㔳搰摢㘱㤰戲搲慥㤹㍢㕥挵㜸昰〳ㅥ㙡っ敥㤵挵扤昳㠷㙣ㅤ㤷摢㐱㙡㘳㠵ㄷ挴昴㉥㤰㌴ㄹ㌶㍤昶摡搷戹戸㜸㐷慢昷㐳收攲㙡㘹㜸慣㉥㔹㘳㌴ㄴ扣㥣ㄷ㐴愴㍦㐴昱㌰挵㈳ㄴ㡦㔲㍣〶㔱㔲㠵㘳㕣摥㡣㜶㠴㠷㘸ㄶ昳㑢收㔵㈷㥢㘶㙡㌳㡤敡ㄳ㘶㌶㐱㠷㘹㠰搲㔲愶㍢攷愵慦㠶㑡㝦㠲㘲つ㠴换㔵愴戵攰㙦㤱收搲㥦攴㥦戵㄰㕤〶捤㘹慡㉦户挶㠲㑢㤴昴㠲敥晦㝥戵㔶㡣㕡扡扣㌸挴搵㝢㘳㐹㉤慥㐱ㅢ㍢㜴㜰㑡挵昰㔸攳捣㈶敥㠵㠵㡤㡣户㡥攲㈹㠸㉥㑦㐳ㅣ㌹摣愸挱㍥晣摦扡昰㉦搹ㄷ㌱户㝢㠱挹戳慢㥤㙢㈷捣慦㑢捣㙣愸慦挳昴㑢㔵慣㈹㌶㈸㠱慢攸㐶ㄱ搳㙡㐷搷㔷捥㘹搲㙡㠷㔷攳㑦㤷摡昱挶㙣㈳搶㔴㠹㘳㜴㔳搷摡搱戸〲㤷〷搱ㄱ挹收㤲㕡昳攲戹捡㘸㑣攸扣捡ㅥ㠱㘳㔲戳㠶㉤ㅣ㘴扢搴昲㈸㘳㌴㌷㌱㜴愷摡㜱㌱㕣愵㌷改㜰敡㈳㙢㤹㕢慣搹㔵敡㔴㙤㤷㔵㐲〴户摣戴㐵改㉣ㄵ㘶愴㈲づㅢ㝣㝣攲〳户愳㈵戳㜷㥦㐹㑤搵㌵㡤ㄵ㔶㝡㉢慡敡㌱ぢ㘳挸〹㈸愶㕤搳㌰扡戴㠲㘴㘵敦攵扣㑣ㅦ㥢㠸㥢㘱〱㘵㔸㐳晤㥣搹㝢㈱搶㝦㉢づ㘳ㄵ改捦㐰摣昰摤捡挳昷扢敥敥㍦慤扦㘷㘰晦㤱㉦㝤ㅦ㝡戴㐰戰㠸㍦昲愵㍦㡢㍦慥㐲戶㤲摥昰㜰㍣捣收㤹㔱㈸㠱㝦㤷㕡昴㜶㘲㠳㈱愷㐸㑡㘵㘱晥㙣愳㙢敤㤴晡㠶ㄳ攳昵昵㈷㤲晣㙥戲搴㌸搳㌰㥡㌸敦搰搹㥡㘶攱戶㄰愲㐳㠷㡣㐹〵摢〴挵摥㠸慦㍤〷搱㜵㔰㑤㑤戹㡡搸愸㙤㠶慡〳㍥㑥戴攷戱戱㥦〷愷㌹摥㐳づ㌹愴㜲挲昸㐱攵ㄳ㡤摡搹㌵㌸ㄵ㈸ㅦ㝡㡣捦㕦㕥㌵㝥搰搰㠹ㄵ捤㌵㡤捤挲㠳㔴㜰戲㘰㙤挹晣㘵㤱〵㐵〳ㅦ昹㘸㜵昷㑥捦㍥攷ㄷ㠷㕡㠶㥣㈹㠹晤ㄱ扣ㅣ㙦晤㈵㡡㤷㈹㕥愱昸ㄷ挵ㄶ〸㜱㄰慡昲愸㠵敤捣㤷晥ㅡ捡晡敢ㄴ㙦㐰攰搸㈳改挰愱攷㉤ㄴ戵户㈱戲づ㍤攲〰攸㜸昸搱摦愱㜸ㄷ㐲ㅣ〴挱ㅤ戵㐸㝦て㈲㉦摢〷搲愳〵〲㐸搲㔰昴㝦㐳攱搲ぢ搸挴挱昰㈰攳㍡㌳慣㌳愷㍡昳㈹㜶㐶ㄸ挷㑣敤㘴ㄹ㜲收㕢晡愲㕡㌹敢㝦㐹昱ㄵ挵搷ㄴ摦㔰㝣ぢ㈱捡㔰搵㌹㔳摦搳攷〷㡡慤㄰戶㑣晤㐴ㅤ㌳攵ㄲ攲㄰晣㤱挹搹㐶攵㝦㈰挴愱㄰㘶㜲㝥挱㔶摥攴㔴戰㐲ぢ〴〰戴㈶攷㜷㈸㕣㝡〱㥢昰挰挳㈹㌹扦晤㤱㈷㌹扦㕡㠶㥣昹㈳ㅦ㈲㤵攳慤㙢〲愲ㄳ㐵㈹㠵㑥攱㠲㄰㍦愲慡㜳㜲扡搰愷㉢㐵㌷〸㕢㜲摣搴昱ㄳっ挹昱攳㑦㉦㌶搰㥤捡ㅤ㈱㐴㄰㐵㌳㌹㍤㔰捣㥢㥣〰㙢戵㐰㘴㈴㘷ㄷ㔴㜱改〵㙣㈲㠴㉡㑥挹昹㈰㕦㜲摥户っ㌹昳㘱ㄱ㐴㉡挷㕢㉦㐷愳㝡㉦㡡㝤㈸昶愵攸つ㈱摥捣㥢㥣晤改㜳〰挵㠱㄰戶攴ㅣ㡣愲搶〷㈲㝢ㅦ㡢愲愵㕥㙣慤㉦㡣晡㈱㄰攲㜰ㄴ捤㑣㔵愰㤸㌷㔳㠷戱㔶ぢ㐴㐶愶扣愸攲搲ぢ搸挴ㄱ愸攲㤴愹つ昹㌲戵摥㌲攴㑣昶昵㐷愴㜲扣昵挳搰愸㝥㌸挵ㄱㄴ晤㈸晡㐳㠸㈷昳㘶㙡㈰㝤〶㔱っ㠶戰㘵慡㡡㍡㘶ち挳㘸〰㠲昷㘲〳㐳愹ㅣ〶㈱〶愱㘸㈶㘷㌸㡡㜹㤳㌳㤰戵㕡㈰㌲㤲㌳ち㔵㕣㝡〱㥢ㄸ㡣㉡㑥挹㔹㤵㉦㌹㜷㔹㠶㥣挹换㉡㐴㉡挷㕢㥦㠸㐶昵㐹ㄴ㤳㈹愶㔰ㅣつ㈱㙥换㥢㥣㘳改㌳㤵㘲ㅡ㠴㉤㌹挷㔳㘷敤㘳㐳㄰扣ㄷㅢ㤸㐱㘵っ㐲㜰ㅥ搴㑣㑥ㅣ挵扣挹ㄹ捡㕡㉤㄰ㄹ挹㌱㔰挵愵ㄷ戰㠹攱愸攲㤴㥣换昳㈵攷㌲换㤰㌳ㄹ㍢ㄲ㤱捡昱搶敢搰愸㕥㑦㌱㥢攲㈴㡡〶〸㜱㔱摥攴㌴搱㘷づ挵㕣〸㕢㜲㥡愹戳㤲㌳ち挱㝢戱㠱㤳愹㍣〵㐲㡣㐱搱㑣捥愹㈸收㑤捥㘸搶㙡㠱挸㐸捥ㄹ愸攲搲ぢ搸挴㤱愸攲㤴㥣㤳昳㈵㘷扥㘵挸㤹㕣ㅥ㠷㐸攵㜸敢攷愱㔱晤㝣㡡ぢ㈸ㄶ㔲㕣〸㈱ㅡ昳㈶㘷ㄱ㝤㉥愶㔸っ㘱㑢捥愵搴㔹挹攱㝣㜵㉦㌶㜰㌹㤵㔷㐰㠸〹㈸㥡挹戹ㄲ挵扣挹ㄹ捦㕡㉤㄰ㄹ挹㔹㠲㉡㉥扤㠰㑤㑣㐴ㄵ愷攴捣挸㤷㥣改㤶㈱㘷戲㝣㌲㈲㤵攳慤㉦㐳愳晡捤ㄴ户㔰摣㑡戱ㅣ㐲ㅣ㤳㌷㌹㉢攸㜳㍢挵㑡〸㕢㜲敥愴捥晡㕣攷晣㝢㉦㌶戰㡡捡扢㈱挴㌱㈸㥡挹戹〷挵扣挹㌹㥡戵㕡㈰㌲㤲昳て㔴㜱改〵㙣攲㔸㔴㜱㑡捥搰㝣挹ㄹ㘲ㄹ㜲㈶晦愷㈱㔲㌹摥晡攳㘸㔴㕦㑤昱〴挵ㅡ㡡ㄶ〸㌱㈰㙦㜲搶搲㘷ㅤ挵㔳㄰戶攴㍣㠳愲戶ㅥ㈲晢愳敢㌸戴搴㡢慤㙤㠰㔱㝦ㄶ㐲㑣㐷搱捣搴㐶ㄴ昳㘶敡㜸搶㙡㠱挸挸搴㜳愸攲搲ぢ搸挴っ㔴㜱捡㔴摦㝣㤹敡㘳ㄹ㜲敥㙣挴ㄱ愹ㅣ㙦㝤ぢㅡ搵㕦愵㜸㡤攲㜵㡡㌷㈰挴㝥㜹㌳昵ㄶ㝤摥愶㜸〷挲㤶愹昷愸戳昶戱〴㠲昷㘲〳ㅦ㔰昹㙦〸㘱愰㘸㈶攷㐳ㄴ昳㈶㈷挹㕡㉤㄰ㄹ挹昹〴㔵㕣㝡〱㥢㐸愱㡡㔳㜲扡攷㑢捥づ㤶㈱攷㑥捤㑣㐴㉡挷㕢晦ㄶ㡤敡摦㔱㝣㑦昱〳挵㔶〸搱㌹㙦㜲㝥愲捦捦ㄴ摢㈰㙣挹昹㠵㍡㉢㌹扣昹搳㡢つ晣㐶攵敦㄰㠲㌷㝤捣攴晣㠱㘲摥攴捣㘲慤ㄶ㠸㡣攴㠸㘲㈶愷㠰㑤搴愰㡡㔳㜲戶晤㥥攷摣昹㘷换㤰㜳攷愹づ㤱捡昱搶㕤㘸㔴敦㑣搱㠵愲㉢㐵㌷〸昱ㅤ慡㍡㥦㍢㜳㐱㠸扥〳㐵㜷〸㕢㜲㝡㔰户ㄶ㔱㜱搲㔳㡦㍦扤搸挰捥㔴敥〲㈱㜸ㄳ换㑣捥慥㈸收㑤捥㙣搶㙡㠱挸㐸㑥㑦㔴㜱改〵㙣愲〱㔵㥣㤲昳㑥扥攴扣㙤ㄹ㜲敥愴㌵㈱㔲㌹摥㝡㙦㘲摦㡦㘲㝦㡡〳㈸づ㠴㄰慦收㑤捥挱昴改㐳搱ㄷ挲㤶㥣ち敡搶㈲㉡㤲㌳〷㝦㘴㜲㍣㔴㝡㈱〴㙦捡㤹挹昱愱㤸㌷㌹㜳〹慢〵㈲㈳㌹㐱㔴㜱改〵㙣愲ㄹ㔵㥣㤲昳㔴扥攴慣戳っ㌹㜷〶㑦㐶愴㜲扣昵晥挴㍥㠰㘲㈰挵㈰㡡挱㄰㘲㜵摥攴㔴搱㘷〸挵㔰〸㕢㜲㠶㔳挷愳㌳㤲㜳ち㠲换攴㡣愴㜲ㄴ㠴㌸つ㉡㌳㌹愳㔱捣㥢㥣㔳〹慢〵㈲㈳㌹㘳㔱挵愵ㄷ戰㠹搳㔱挵㈹㌹㉢昳㈵攷㜶换㤰㜳愷昳㑣㐴㉡挷㕢㍦㥡搸㡦愱㌸㤶㘲㉡挵㌴〸㜱㜳摥攴ㅣ㑦㥦改ㄴ㌳㈰㙣挹㠹㔳户ㄶ㔱㤱㥣戳昰㐷㈶㈷㐹愵〱㈱晥〶㤵㤹㥣ㄴ㡡㜹㤳㜳㌶㘱戵㐰㘴㈴愷ㅡ㔵㕣㝡〱㥢㌸〷㔵㥣㤲戳㌸㕦㜲㉥戶っ㌹㜷㙥ㄷ㈰㔲㌹摥㝡〳ㅡ搵ㅢ㈹㥡㈸收㔰捣㠵㄰攷攷㑤㑥㌳㝤收㔳㥣っ㘱㑢捥愹搴慤㐵㔴㈴㠷㌷㠳㘵㜲㑥愷昲っ〸挱㥢挰㘶㜲捥㐴㌱㙦㜲捥㈳慣ㄶ㠸㡣攴晣つ㔵㕣㝡〱㥢戸〰㔵㥣㤲㌳㌷㕦㜲收㔸㠶㥣㍢搱ㄷ㈲㔲㌹摥晡㠵挴㝥ㄱ挵㈲㡡㡢㈹ㄶ㐳㠸晡扣挹戹㤴㍥㤷㔱㕣づ㘱㑢捥㤵搴慤㐵㔴㈴攷㈲晣㤱挹戹㥡捡㈵㄰攲㘲愸捣攴㕣㠳㘲摥攴㉣㈲慣ㄶ㠸㡣攴㕣㠷㉡㉥扤㠰㑤㉣㐶ㄵ愷攴㑣换㤷㥣愹㤶㈱攷捥晡愵㠸㔴㡥户扥㥣搸㙦愳㔸㐱㜱㍢挵㑡〸㌱㈹㙦㜲敥愴捦㕤ㄴ慢㈰㙣挹戹㠷扡戵㠸㡡攴㕣㠶㍦㌲㌹昷㔱昹て〸挱㥢昴㘶㜲敥㐷㌱㙦㜲㉥㈷慣ㄶ㠸㡣攴㍣㠴㉡㉥扤㠰㑤㕣㠹㉡㑥挹ㄹ㥣㉦㌹㠳㉣㐳捥㑡㠱慢ㄱ愹ㅣ㙦扤㠵搸㥦愴㔸㑢戱㡥攲㈹〸㜱㜸摥攴㍣㐳㥦昵ㄴㅢ㈰㙣挹搹㐸摤㕡㐴㐵㜲㤶攰㡦㑣捥㈶㉡㥦㠳㄰搷㐲㘵㈶㘷㌳㡡㜹㤳㜳㡤㠴〵㤱㤱㥣ㄷ㔱挵愵ㄷ戰㠹愵愸攲㤴㥣〳昳㈵攷〰换㤰戳昲攱㝡㐴㉡挷㕢㝦㠳搸摦愴㜸㡢攲㙤㡡㜷㈰㐴慦扣挹㜹㡦㍥敦㔳㝣〰㘱㑢捥㠷搴㔹ㄷ㕡㌷㈰戸㑣捥挷㔴㝥〲㈱㙥㠲捡㑣捥愷㈸收㑤捥㡤㠴搵〲㤱㤱㥣㉦㔰挵愵ㄷ戰㠹㘵愸攲㤴㥣㙥昹㤲搳搵㌲攴慣攴戸〵㤱捡昱搶户愲㔱晤㐷㡡㥦㈸㝥愶搸〶㈱㍡攵㑤捥㉦昴昹㤵攲㌷〸㕢㜲晥愰㙥㉤愲㘲攴摣㡡㍦㌲㌹㕣㤶愱ぢ〸挱㐵㈱㘶㜲㡡㔱捣㥢㥣攵㠴搵〲㤱㤱ㅣ慥㔶㜵改〵㙣㘲〵慡㌸㈵㘷敢㙦㜹捥㤰㝦戰っ㌹㉢㔳㔶㈲㔲㌹摥㝡㌷㌴慡㤷㔱戸㈹㜶愰攸づ㈱扥㐲㔵攷㌳攴ㅥ昴搹㠹㘲㘷〸㕢㜲㜶愵捥㑡づㄷ扢挸攴散㑥㘵㑦〸㜱ㄷ㔴晢攲㕤愴敦㠱㘲摥攴摣㐹㡦ㄶ㠸㡣攴散㡤㉡㉥扤㠰㑤慣㐲ㄵ愷攴扣㤱㉦㌹慦㕢㠶㥣㤵㌶昷㈰㔲㌹摥晡㠱㘸㔴㍦㠸攲㘰㡡㍥ㄴ㝤㈱挴换㜹㤳㔳㐱㥦㐳㈹㍣㄰戶攴昸愸戳㤲挳挵㍢㌲㌹〱㉡㠳㄰攲ㅦ㔰敤㡢㌷㤶㠲愲㤸㌷㌹昷搱愳〵㈲㈳㌹㔱㔴㜱改〵㙣攲㝥㔴㜱㑡㑥㑢扥攴慣戱っ搹㉢㠷㑡㜸ㅦ㍥晢㘶愸㕣㍥㥣㕥㔳㘱㕢慤搱つ捥㕡㙡㔲㕤㜵㔳㘳攷ㄴ㙦㥡て慤㙥慡㙡㙣敡㤲㠲挰愶慣戲扢㕣㝥㘰慢搴㈷㌵戹摡㤸㌷ㄱ户〳昷捥㌵㘱㘵㜵攵㥣挶愶㝡㜹㥦㜷慦㕣㝢㔵晤㤱昵㑤㔵搵㡤戸㥢㌷扦户㠳搹戴㑣㤹㘹搴㘱㍤㑣〳㤶挵㙣捦愹㝥昶㙣㈳改㠰㜱㐲晤㥣㠶㠴㌱愲敡㝦㘱㐵㡤㌰㙦㔸ㄷ攱㥥愸㄰㤸ㄶ挹扦㠲挴㤶昷㍤挱㑤㌱敥愳㡡扦戸㈰愳〵昵㡢昴㑡っ扤㈲戴㠹愱慥㔷㜱ㄸ扡㡡㑡ㅥ㠶慡昰㄰戱慤搱改っ㘷㔷ち戴㥡扡慥搶㈲戰ㄱ㜵㡤搵㐹挳㘵㤵挶㔴搷㜵戳㌶挷捥㘹捡戰挴㥡㜷戴㉣戸搹㍢戶づ搴㈷㘲つ挹晦〵㔶搰㌱扣㑣㑡㠴㠶㝦㝦㉤搱㘶㤸愲愲㙦搵ㄳ㌰摦㥥㠱㥤㝤㠸㤵敢㐷㘰㜶扣昷㥥摥ㅤ戱㘱㕢攲㔴〶晦慥㑣㜷㕡㕤捡搲ㄸ㈳㔶㈷㔹㤸搰㤴慣㌲收㜶㤳ㅥ〶〶㌸ㅥ㘸愸㌱㜶捣㉣捡㈵ㄸ㝡㙡㔰扣戱扥㘶㑥㤳搱㉤扤㈵㜷㜴㍤㌵摥挰慤㜴㉣㔷敢㤲摥ㅡ㤷㘸挲㠲扥㜴㍣㉥㐵晢摦㘱〸ㄹ改㘸戱㈴㈴㑦㕡㠱挱㥢搹〹敥㐳㝦㤱㔵㔱㔴㤴㤲慦慦〷㠸㙢㤶昰㜵晢㠰㈲戵攱攲慢愸攴㔱㠴㙦晢㝡㌴敥㐹㍢慡㘵㤲收ㄱ㑥ㅥ扣扡㈸ㅤ㤷㠲㜵㑤挹攳ㅥ搶㝢昲㔹㤶㌲敥㍡㌵㜸搰愸愹㍡ㄱ慢愹㤹摦㉤㌵愲㉥㔱㌳㈷㘹㡣㡥挵㡤ㅡ㜵捣慥㙦愸晤ㅦ攱慢㈳戲㘶敤㔱〵昲㘲㉤捣ㅡ㠱〷挰搴敡户扦㝣㤸ㄳ晡㔰散㘹摡㌰㠸㤲㝥㠳㉢㝤ㄱ〰㜰改挳慤扤㡦ぢ搰晥捦㑢〰㕤愸搴扤㜵〱慢㝣㔰〸〷戸ㅣㄵ㡦㙣㕣ㄱ㤵㕥㐵㈸昷㍢㥢摢攸晡搱昵㔸攱㤹戴愹㠶㔷㥢慡晦㤹扤㑢敥㔸㥡愶晤搵㡦ㄹ攴ち慦㙦慤㌵ㄸ㌸昴㤹攵〱晣愴攱㉥戲ㅡ攵散戵㔴戶搳ㄱ㜹〶㈰て㠵㙥㌸㤶昱㌸㘶㥥㍥㑣慣㙥慡㌱㍡愷愴㕤㙥㤷㜲挷㘰㌶㍢愵㈶捥挴扡愴慡慥愹㘱つ搵挹㥡敡㍡㠳愷㈲㔸㜱捣㠷戳㐶ㅢ㈷㘰㙤散戸晡挶㙡㍥㜳搸㌵㌵戱㈱㔶搷㌸㥢换捦ㄲ昳扢㘷㤴㈴㔹㈵愹挱搵㜵搸㡤捣㌶戹㕤㤶㥡㌰戳㝥ㅥㅥ㕢㥣㔳㕢㌷㉣㌶扢昱㝦㠲㈸敥㔵收换㍣づㄶ㡢攲㘲㔱㕡㕣晡㔷㍦戱㌰挲ㄱ搲㠷㤰挵ㄴㄶ㔵㑦㘰慢挰㕥㑢㤶慣㤵挹摣㙢㠹㈹攳ㄱ㍣挷㤵㤱改㘷㍥㜹㈴搶㐷㘰户散㌲ㄲ㘲攴戰㐹㈳㕡搷戳晦㝦㍤㐰㔹戲〶㤱ぢ㝣㈰挸㘱㤱㕥㍣扢ㄳ㥣扢㤹㐳㠵㍡㡥ㅣ㕤㌲捥㔲昶昰㜳愵愴て㐷㈲㍥㐳改捥捤愱㔸搹搸〵㍢㍥づ挰㔸ㄱ㡡㈳㙦㌷戳挰㤳扡摡㔸㑤愳㘵慢慣慦慤㡤㜱㘸㜱㔸㑥挰搱摢㈸㤵㘷搸㌸㤲攸㈹〸㌹晥㉣㔵慣ㄹ慡㔸戳㔴攱㐳㤹ぢ攲攵㌶㘳搵㥦㄰㙢愸㙥㥡㔹㕢㥤㈸㘵㠱㡢搶晦㈷挶㈴㠶㔰㐷㈴㔳扤攴挰挴改㙡昶敡㔳㜳挱㈴攸慥挰ㄵ〴㔳㐷晡㌱㜲㡢攵㈷戹昸㡢慢㡤㌱㝣攵㔵㤶㍥ㅡ搱㑡㜰捤㕦㠴て㄰ㄳ㡡敤㌴っㅡ㜹㄰ㄲ㑦搲〱㙦㝤っ摣搵慢攳㍡㙣ㄵ㕣〳摡〹づ慥搱昵戱攴㔰㍣搷㔰摦搰挹㝡攰户ㄴ搴昲㤰搲攰收扡摦㑡慣㤸挷㑡晣戹㌸ㅢ㙥㈸愵㘲〲㔶搴㜶攴㡡㘱捤攴㤰ㅦ㠸㐵㈵㈵㥤㑢㥤摡ㅡ愱㘲昵戶搶㐷摡ㅦ㤸ㅥ㤱ㄳ晦换愳㈲扣攷㠱㙥戱㈳晡㤱㤰晡㔸〸昱ㄴ㡡散㑦㤶挳㌸㍡ㅣ〵㔱昲っ㡣搹㝢㐹摥㌵戲愸㔰㔴㔲换戵扢愵戵散づ㑥㍡㌴慣攸挵ㅡ㘰愴㐴敢㕣晡㌴散晡㜸㜸㍤户㘹㔳㍦㙣ㄷ〹㉥㐲㕤㠷㌷摢搷昱搷攵㘲昲昴〹昰搱㈷㐲㠸㤷㔰㤴㑢挴㕢戰㠱㘵㍣搰㠱ㄲ㜹㔹㌲〵摢昸愸㄰㉦㐳挵㑢ㄳ昵戲㌱㠹㡦昴愳㉤慦㔷㘰收㐹㌵〹摤摥〹㥡昸ㄷ晣㜸㤲㈶昴㘳㔰㕤㍢ㄶ愲愴摦愰挹晥㈰㜴㉥㝤慡ㄵ㜲ぢ㑡㍣㔳㌰㕦㜹㍦换挴㙢㜰攰攷㔹㤱㌶つ㌵昷慡慣㙦㙣㉡㔷て㈶㤷捦㍢戴扥㝣㝣㜵攳㠹攵㍣慤㌹慣摣㉦〱㘶ㅤ㘲挵敢愸捣挳慣㝥ㅣ〲㠸㌷戰挵愳ㄷ扡㘲㡥收改挴户摤搱晣㤶慣㠱㈰㌳ㄸ挴㉡㠸㜷戰戱づ敦慣ㄱ㄰㠳㡦ㅥ愷攳扢捥づ〹㍡㈴改昰ㅥㅣ㌸㑣㜴〳愵㌴戳晦戶㔵戳㌱㥢㘲戵ㄳ㔸敤㑢㌸搸㤸慤㠶づ愸㈴戳戳戰㑤㘶扦㠲㉡㍦戳㈷㕡㕥㕦挳慢捤捣㝥〳㘷㤳搹ㅡ㔴搷㙡㈱㈴戳㕥攸㕤㝡㥤ㄵ昲㕢㤴摡挲散昷昰㤳捣敡㘴㤶昸戳㍦ㅤ挵て㔰㑢敡㘶挳㐳㙣㐵㈹㠳扡〶〲搸㉥㜵㍦㤹戱㜱晦㠹㐱慣㠲搸㠶㡤㜵㜸㘷㔱挷敦㐹搰攷搰昱㍦捥づ㜳改㌰㡦づ扦挰㐱㔲搷㡣㔲㥡扡摦㙤搵㙣搴捤㘷戵㤳㔹㑤〳〴ㅢ㜵愷㐲愷愸㍢つ摢愴慥ㄳ㕣昲㔳㜷扡攵㔵ち慦㌶㔳挷ㄵ戲㈶㜵㘷愰扡㜶㈶〴㑦摤晤㘱戴敥搲捦戲㐲扡攰搵ㄶ敡戸㤶㔶㔲攷㜸㔲㈳戸捡㔶搲㜶㌶攲㡡㙥㈸㘵搰㜶づㅢ摦㉥㙤㙥㔴挳晦捣捦て挱㜵戹敢愰捤愲㙤〱㐲敡攷戲㌵慥搹㜵㜰㌸㡦づ攷搳愱〷ㅣ㈴㙤ㄷ愰㤴愶㡤ぢ㜵㔵㌵ㅢ㙤ぢ㔹敤㐲㔶㉢㠷㠳㡤戶㐵搰㈹摡㉥挶㌶㘹敢〵㤷晣戴㉤戶扣昶㠱㔷㥢㘹摢ㄷ捥㈶㙤㤷愰扡㜶㈹㠴摣攳㐲㘸摤愵㕦㘶㠵散つ慦戶搰戶㍦晣捣㘳改攵愸昹㔷㡥愵〷㈰㠲㘴昶ち〴㄰〷愲㤴挱散㔵挴户㕤㘶て㐶㌵晣㉦搲慦㘶㄰㤹㐷晣攵㍡攲㜵㈸㘴㌱扢〴㍥晡㌵㜴攴ㅡ㘳〷㠷㙢改戰㤴づㄵ㜰㤰捣㕥㠷㔲㥡㔹㉥㉣㔶搵㙣捣㕥捦㙡㌷戰摡㘱㜰戰㌱㝢ㄳ㜴㡡搹㘵搸㈶戳㕣㈲㥣㥦搹㥢㉤慦㈳攰搵㘶㘶戹搶搸㘴昶ㄶ㔴搷㙥㠵㈰戳㠱㈸㕡挷つて㉢㘴㝦㜸戵㠵搹㠱昰㌳㡦愵㘴㤶昸㜳㡥愵㠳愰㤳搴慤㠰㠷ㄸ㡣㔲〶㜵㉢〹㘰扢搴㔵愱ㅡ晥攳戹㕤〶㌱ㅢ㉡ㄲ㐳戱戵づ㠵㉣敡敥㠴㡦㝥ㄷㅤ㠷㌹㍢慣愲挳摤㜴ㄸづ〷㐹摤㍤㈸愵愹攳戲攷㜵㔶㕣ㅢ㜵昷戲摡㝤慣㌶ㄱづ㌶敡敥㠷づ愸攴挷攰〳搸㈶㜵㕣挰㥣㥦扡〷㉤慦挹昰㙡㌳㜵㕣〹㙤㔲昷㄰慡㙢て㐳挸㘹㄰㤳扡㐷慣㤰㕣㉡摤ㄶ敡㡥㠵㕦㠱㘳㈹㔷㔳㑢摡ㅥ㐵㕣㌱つ愵っ摡ㅥ㘷攳摢愵敤㜸㔴挳晦慣㘳改っ愸搶攵搲昶〴㐲敡㙢搸㕡捣搹愱㠵づ㑦搲㈱づ〷㐹摢㕡㤴搲戴㜱㐱昶扡㕣摡搶戱摡㔳慣㔶〷〷ㅢ㙤捦㐰愷㘸㕢㡦㙤搲挶愵搵昹㘹摢㘰㜹捤㠶㔷㥢㘹攳ㅡ㙤㤳戶㘷㔱㕤摢〸㈱㍦〲捤昳搲㝦㕡㈱戹㠸扢㉤戴昱㕡扣〰㙤㕣攷㉤㘹摢㠴戸㘲㉥㑡ㄹ戴㙤㘶攳摢愵㡤ぢ挳昱㍦㡢戶㤳愱㕡㤷㑢摢ぢ〸愹扦挸搶戸㙡摣挱攱㈵㍡扣㑣㠷㔳攱㈰㘹㝢〵愵㌴㙤㕣㉡慥慡搹昶戶㝦戱摡ㄶ㔶㍢てづ㌶摡㕥㠳㑥搱昶㍡戶㐹ㅢㄷ㝤攷愷敤つ换敢〲㜸戵㤹㌶慥ㅥ㌷㘹㝢ㄳ搵戵户㈰㈴㙤收㐹攷摢㔶㐸㉥㉦㙦ぢ㙤㡢攰㔷㠰㌶慥㐰㤷戴扤㠳戸㘲㌱㑡ㄹ戴扤挷挶户㑢ㅢ㤷慣攳㝦ㄶ㙤㤷㐳戵㉥㤷戶て㄰㔲晦㌷㕢攳㝡㜶〷㠷て改昰ㄱㅤ慥㠴㠳愴敤㘳㤴搲戴㜱ㄱ扢慡㘶愳敤ㄳ㔶晢㤴搵㤶挱挱㐶摢攷搰㈹摡扥挰㌶㘹攳㜲昴晣戴㝤㘹㜹摤〲慦㌶搳挶㜵敤㈶㙤㕦愱扡昶㌵〴㍦摦㝣收摥昶㡤ㄵ㜲㌹扣摡㐲摢ち昸㤹㥦㙦搳㔰㤳昸㜳㍥摦戸㍥㕥㔲昷ㅤ㍣挴㑡㤴㌲愸晢㠱〰戶㑢ㅤㄷ搴攳㍦搶㐷㌰㠸搹㔰㤱㔸㠵慤㜵㈸㘴㝤扥晤〸ㅦ晤㈷㍡㜲戵扤㠳挳捦㜴搸㐶㠷㝢攰㈰愹晢て㑡㘹敡戸挴㕥㔵戳㔱昷ぢ慢晤捡㙡㡦挳挱㐶摤敦搰㈹敡晥挰㌶愹攳㘲昹晣搴晤㘹㜹㍤〱慦㌶㔳挷㔵昷㈶㜵扣㠵慡㜱捡㠹㝢㥣㌷㡡搶㕤㝡㌱㡡㙣戸〵㕥㙤愱㙥㉤晣ち散㜱㕣戹㉦㘹敢㠰戸攲㈹㤴㌲㘸㉢㘱攳摢愵敤ㄹ㔴挳㝦㍣ㄷ〸㜷昵ㄲㅢ愰㕡㠷㔲ㄶ㙤㥤攰愳㤷戲㌵㉥晤㜷㜰攰ㄷ摥改㉥㍡㙣㠴㠳愴慤㌳㑡㘹摡戸摥㕦㔵摢〳昱㕤慥ㅤ㈰昵㉥慣搶㤵搵戶挰挱㐶㕢ㄹ㜴㡡㌶㌷戶㤹㍤慥摣捦㑦摢づ㤶ㄷ㤷昶户㤹㌶㍥〲㘰搲搶ㅤ搵戵ㅤ㈱㐸㕢㈰㐲㠸㝡て㉢攴ㅢ昰㙡ぢ㙤㙦挱慦〰㙤㝣㡣㐰搲戶ㄳ攲㡡㜷㔰捡愰㙤ㄷ㌶扥㕤摡摥㐳㌵晣捦㍡㔰㝥〰㤵㑡㉦㐳㔸昳㙥扢㈱愴扥㍢㕢攳㐳〹づづ㍤改戰〷ㅤ㍥㠴㠳愴㙤㑦㤴搲戴㝤㘲慢㘶摢摢昶㘲戵扤㔹敤㕢㌸搸㘸敢〵㥤愲㙤ㅦ㙣㤳㌶㍥㔳㤰㥦戶㝤㉤㉦㍥㜴搰㘶摡昸㜰㠲㐹㕢㙦㔴搷昶㠳㤰戴〵㈴㙤晢㕢㈱户挲慢㉤戴晤〴扦〲戴昱〱〷㐹摢〱㠸㉢昸愴㐳〶㙤〷戱昱敤搲昶ぢ慡攱㝦ㄶ㙤扦㐱攵挰㑡ㅦ㠴搴晢戲㌵㍥㉥攱攰㜰〸ㅤ㉡攸昰〷ㅣ㈴㙤㠷愲㤴愶㡤捦㐸愸㙡㌶摡㍣慣收㘵㌵ㄷㅣ㙣戴昹愱㔳戴〵戰㑤摡昸戴㐳㝥摡㠲㤶㔷ㄷ㜸戵㤹戶慥㜰㌶㘹ぢ愱扡ㄶ㠶㈰㙤㍥昳捡㍣㘲㠵散〶慦戶搰挶〷㉣ち搰挶㐷㉦㈴㙤㔱挴ㄵ摤㔱捡愰敤㜰㌶づ㘵攱〹昹ㅥ昰挸愵㡤て㙢愸昴㌲㠴戵户昵㐳㐸扤㍦㕢攳㠳ㅣづづ〳攸㌰㤰づ扢挲㐱搲㌶〸愵㌴㙤㝣㝡㐳㔵戳搱㌶㤸搵㉡㔹慤㌷ㅣ㙣戴つ㠱㑥搱㌶ㄴ摢愴㙤㍦戸攴愷㙤㤸攵戵㍦扣摡㑣ㅢㅦ攸㌰㘹ㅢ㡥敡摡〸〸㐹ㅢ愶㡥㜱㤰ㅣ㘹㠵㍣㄰㕥㙤愱敤㘰昸ㄵ愰㡤て㠵㐸摡㐶㈱慥攸㡢㔲〶㙤㘳搸㌸㤴㠵㘹慢㠰㐷㉥㙤㝣㡣㐴愵㤷㈱㉣摡挶㈲愴㍥㡥慤昱ㄱㄳ〷㠷愳攸㌰㥥づ㍥㌸㐸摡㈶愰㤴愶㡤捦㤵愸㙡㌶摡㈶戲摡㈴㔶敢て〷ㅢ㙤㔳愰㔳戴ㅤ㡤㙤搲挶扢㈵昹㘹㍢挶昲ㅡ〸慦㌶搳挶㐷㑤㑣摡㡥㐵㜵㙤㉡㠴愴捤㍣㥢㥣㘶㠵攴戳㈸㙤愱慤ち㝥〵㘸ㅢ〲戳愴敤㌸挴ㄵ㐳㔱捡愰㙤㍡ㅢ㠷戲㌰㙤挳攱㈱㘹㥢〱㜷昵ㄲ㈳愱㔵改㘵〸㡢戶ㄸ㝣昴㌸㕢攳挳㉦づづ〹㍡㈴改㌰ㅡづ㤲㌶〳愵㌴㙤㘳㙤搵㙣戴愵㔸敤〴㔶㍢ㅡづ㌶摡慡愱㔳戴捤挲㌶㘹攳戳㉢昹㘹㍢搱昲㍡ㄶ㕥㙤愶㡤て挱㤸戴搵愰扡㔶ぢ㈱㍦摢㜸㡢〶㌷っ慣㤰㝣㑡愶㉤戴ㅤて扦〲戴昱㐱ㅡ㐹㕢㍤攲㡡ㄹ㈸㘵搰㜶ㄲㅢ㠷戲㌰㙤㝣昲㈶㜷㙦㑢㐲敢挰㑡㈳㐲敡㑤㙣捤㜰㜶㤸㐳㠷戹㜴㐸挱㐱搲㌶て愵㌴㙤㝣ㄶ㐷挵戵搱搶捣㙡昳㔹慤〱づ㌶摡㑥㠱㑥搱㜶㉡戶㐹ㅢ㥦慡挹㑦摢㘹㤶㔷ㄳ扣摡㑣ㅢㅦ捦㌱㘹㍢ㅤ搵戵㌳㈰㐸㕢挸㍣㐸㥥㘹㠵攴昳㍢㙤愱慤ㄹ㝥〵㘸攳㈳㍥㤲戶戳㄰㔷㥣㡣㔲〶㙤㝦㘳攳㔰ㄶ愶㡤捦〴攵搲㜶㍡戴㉡扤っ㘱敤㙤㝦㐷㐸㝤〱㕢攳〳㐳づづ攷搲攱㍣㍡㥣〹〷㐹摢昹㈸愵㘹攳㔳㐲慡㥡㡤戶ぢ㔸㙤㈱慢㕤〸〷ㅢ㙤ㄷ㐱愷㘸㕢㠴㙤搲挶攷㝤昲搳㜶戱攵戵〸㕥㙤愶敤㘲㌸㥢戴㉤㐶㜵敤ㄲ〸戹户㤹戴㕤㙡㠵攴㤳㐵㙤愱敤㔲昸ㄵ愰㡤てㅦ㐹摡㉥㐳㕣㜱㌹㑡ㄹ戴㕤挱挶愱㉣㑣ㅢ㥦㔶捡愵敤㙡㘸㔵㝡ㄹ挲愲敤㉡㠴搴慦㘶㙢㝣㤴挹挱㘱〹ㅤ慥愱挳㌵㜰㤰戴㕤㡢㔲㥡㌶㍥扦愴慡搹㘸㕢捡㙡搷戱摡㜲㌸搸㘸扢〱㍡㐵摢㡤搸㈶㙤㝣ㄲ㈹㍦㙤㌷㔹㕥㉢攰搵㘶摡昸㐸㤳㐹摢㌲㔴搷㙥㠶㤰戴㜹搸㜵晤ㄶ㉢攴㑡㜸戵㠵戶㍢攱㔷㠰㌶㍥ㄶ㈵㘹扢ㄵ㜱挵㉡㤴㌲㘸扢㡤㡤㐳㔹㤸㌶㍥㐷㤵㑢摢㝤搰慡昴㌲㠴㐵摢敤〸愹慦㘴㙢㝣挸捡挱攱づ㍡摣㐹㠷晢攱㈰㘹扢ぢ愵㌴㙤㝣戲㑡㔵戳搱戶㡡搵敥㘶戵ㄶ㌸搸㘸扢ㄷ㍡㐵摢㝤搸㈶㙤㝣㐶㉡㍦㙤晦戰扣昸㄰㔵㥢㘹攳挳㔶㈶㙤昷愳扡昶〰〴㘹ぢ㐶㈴㙤て㕡㈱㥦㠲㔷㕢㘸㝢〶㝥〵㘸攳〳㕢㤲戶㠷㄰㔷㙣㐰㈹㠳戶㐷搸㌸㤴㠵㘹摢〸㡦㕣摡㌶㐱慢搲换㄰ㄶ㙤㡦㈱愴晥㌸㕢攳攳㕦づづ慢改昰〴ㅤ㌶挳㐱搲戶〶愵㌴㙤㝣收㑢㔵戳搱搶挲㙡㑦戲摡ㅢ㜰戰搱戶づ㍡㐵摢㔳搸㈶㙤㝣㝡㉢㍦㙤㑦㕢㕥㝣扣慢捤戴昱㌱㌰㤳戶㘷㔰㕤㕢て㈱攷㈵捤换敤つ㔶挸㜷攰搵ㄶ摡摥㠳㥦愴㉤晦ㅡ〶㍥㑥㈶愹摢㠸搸㠲捦㤵㘵㔰户㠹〰愰㉣㑣摤㠷昰㤰搴㍤挷㈰㌲㔱昸晢㌱戴㉡挵っ㘱㔱户ㄹ㍥晡昳㜴攴挳㘹づづ㉦搰攱㐵㍡㝣ち〷㐹摤㑢㈸愵愹攳ㄳ㘹慡㥡㡤扡㤷㔹敤ㄵ㔶摢ち〷ㅢ㜵㕢愰㔳搴扤㡡㙤㔲挷㘷换昲㔳昷㥡攵挵㠷捦摡㑣ㅤㅦ㔲㌳愹㝢ㅤ搵戵㌷㈰戸挷昹捣〳攵㥢㔶挸㙤昰㙡ぢ㜵扦挰慦挰ㅥ挷〷摤㈴㙤㙦㈱慥攰ㄳ㙦ㄹ戴扤挳挶愱㉣㑣摢ㅦ昰挸摤攳㡡㍡戴愶㤷㈱㉣摡摥㐳㐸晤㝤戶㈶㥣ㅤ㍥愰挳扦改㔰っ〷㐹摢㠷㈸愵㘹㉢戱㔵戳搱昶ㄱ慢㝤捣㙡摤攰㘰愳敤㔳攸ㄴ㙤㥦㘱㥢戴㤵挱㈵㍦㙤㥦㕢㕥㙥㜸戵㤹戶ㅤ攰㙣搲昶〵慡㙢㕦㐲㐸摡捣㡢㠰慦慣㤰摤攱搵ㄶ摡㝡挰慦〰㙤㍢挱㉣㘹晢ㅡ㜱挵捥㈸㘵搰昶㉤ㅢ摦㉥㙤扢愲㕡㉥㙤扢㐳扢づㄹ换㥡㑥晥ㅥ㈱昵ㅦ搸㕡㑦㘷㠷慤㜴昸㤱づ㝢挰㐱搲昶ㄳ㑡㘹摡昶戶㔵戳搱昶㌳慢㙤㘳戵〳攱㘰愳敤ㄷ攸ㄴ㙤扦㘲㥢戴ㅤ〴㤷晣戴晤㘶㜹ㅤっ慦㌶搳搶〷捥㈶㙤扦愳扡昶〷〴㘹昳㥢ㄳ㕣㝦㕡㈱晢挲慢㉤戴㔵挰慦〰㙤㠷挲㉣㘹㉢㉡㐱摦㍣㈸㘵搰㔶っ敤昶㘹昳愱㕡㉥㙤〱㘸搷攵搲搶ㄱ㈱昵ㄲ戶ㄶ㜴㜶搰攸搰㠹づ㈱㌸㐸摡㑡㔱㑡搳ㄶ戵㔵戳搱挶ㅦ捡搱㕤㄰㈵㤵㜰㘸摢㔳㘷㕣戶改戶㍤ち挸ㄵ搲㡤㍢愴㡥㥡ㄳ慢挱㉦愷㡣挵昳㈸㑤㔴晤㉦㉣㐱敥㘸㍥ㄵ㤴晤㝤收㤹㍦愸㠲〷敡㘴ㄷ愶ㅥ户ㄷ㝡㤶㥤㠳㑣㕦慢㙦㡤昴晣㙢㑦つ戹㑡㝥晣攵捦㍦摢搶ち㠷㐷愷戹晣戶摣改搳㡢㑡搹㈶㐸挲㔹㜶ㄷ㄰挶晤愸ち挵摣㈱㌴挴㐹㕢㌲ㄴ摡〲㑢昷戳ㅥ戸㘱搴ㅤ㕢ㄷㅡ㜳㐹㜹㥦ㅡ晥㉥㤳搳ち攵捣ㄵ晣摤〰㑥っ㜷挲㈰㐶㈸慤㥢㍥㘸㠲敦㤲搱搰㙥㜷㑤㌸㜶㘰㍣㘳挸搵攱ㄳ㥡收搷㘰㐵㍥㌷昹つ戳收ㄶ㤷㈰㥢㘶㠰慥㙦攸㠸挷㈹戳扦㔰㍡㕤昷㐱㠴敡摣㈳敢ぢ扣㘵㌵㕡㐶〲㑤挹㌷愰㈸㙦㝤㠲㙥㘵㠵㜵昸搲扡愳㑦㍤挶㔴㈷ㅡ敡ㅢ敢㔳㑤攵ㄳ昰㔴㐹㌹扦搲㍤㠵攷㡢〶㤵㝣㠵㠸㡥㙤戲㘳ㅤ敢昸㈳㐳㤲㘸搷㠹㜵昵昳敡㈴㥡㤲㐶㝥戳㍤㕢搳㍢㜵㘲㌳㝣敡㐸扥昶㐵攲摣㙡愱扡晢㐸㈰收㠷㠴搶〳〸昶慢ㅣ㕣㌹㝥扡〷㕦攷ㅦ㑤㜹㤳扥戰㉦ㄲ昰㈷挳㤱㐰㈸ㄱ㠹愴ㄲ挹㐰㈰㤱㐸昸㈳摡㑥㘹搷㐸摣㤷昰ㄸ摥㜰㌲㤰ち〵扣㍥㑦㌴攵㡦愵㘲扥㠰㌷㤰㌰攲愱戰摦㍤搶ち慦敦㡣㍡晡㉥㄰敥㜱㑡戵㉢㔵扢㔱㜵㤴㔲搱㐱扡㤶㡤㠷㡡㤰㌵ㄳ昴㝦㑦扡㈷㈰㌲晥ㄷ㘹㝢愰戱㙥㤵㠳愷摢ㅥ㍣搱昶㠴慥ぢ㜴㜲㘹晤㜸㝣晤扣戶ㄷ㌴㍢㐰㤳昹ㄳ㑦敥㠹㔶ㄴ扤ㅣ愱昴㕥㔲挰㔳㑣㠶㥥㐷㐳㤷㜸〷愴㜱㙦㘵㕢㉥㝤㕦ㄸ戹搷㑤㐱㔱戲㌲㠳摣㔹㉦㜱戴愳昶ㄸ㘸戹攷改晢㌱昲㔴㐷㥦攳㤴昶〰晡㈰㥥㝣㑦㠷㤶㝢㠶㜸つ〰㌸ㅥ搹㤰㜶㄰㕣昲づ㌲戱〵㙥ㅣ㘸㤹〳㘵〶愲㄰愹摥〷㤵扢㜶㜰挷㔰㤶攳愵㉦捡收㜸㐹昸攲㠱㔰㌰ㄱ㡢晡㔲昱㐰㉣㥡㡡㜹㔳愹㘰㈴敡㡤㠶〳㐶㌰㤴㌴戴㐳搲慥㤱㜰㈸ㄵ㡤㐵挲摥㜰㌰ㄱ㐸㐶㡤㠸ㄱ〹挴挲㜱㝦ㄲ㍦㔵收昳㐵㘳敥戸ㄵ㕥慦㐰ㅤ晤㔰〸㜷㐲愹㍣㔴㜹愹㑡㉡ㄵㅤ愴㙢㤹〱㔵晢㡣㤷ㄴ㈲攳㍦㝥扥〹㡤㘵㡦㤷㈰㜴㤹攳㈵〴㡤挳㜸攱㔲㜶㐶搱昷愷㌸㠰㈲ち㑦㔱つ愵㌹㕥㥥㐱敥㕢挷换攱㌰㜲扣捣㠲㍤㜷扣㥣攸愸慤㠱㔶㡥㤷㝥㡣㕣攷攸㌳㕢㘹〷搰〷㌰攴扢〱㕡㌹㕥㕡〰㐲㡤ㄷ㥤攳㠵挷ㅦ昱㠴攳搰㘸㐴㈵㌹㌴㉡攱㠷愱搱㠴戲ㅣㅡ㔵㈸㥢㐳㈳㤹㡡愴晣攱㐴挴敦〹晡〳㔱㡦㍦ㄶ㡦晡㔳愹㜰㌸攱㠹㜸㔳㠱㘸㐰ㅢ㤲㜶㡤㐷㍣㐱㙦搰ㄷ㠸㜹愲㐶㈰攲㐹㐵㐲㐶㌲ㄲ㡡挶㍣摥㐸㌲㥥昲㠴摣㜳慣昰晡㔰搴搱㠷㐱戸攷㉡㔵敢搰㤸愷㔴㜴㤰慥㘵捤㔰戵捦搰㤸㡦挸昸㕦愴㜳㘸攸ㅣぢ㍡改㜷㥦慣昴㝤㘹㍣㠴攲㈸攸挵愹搰㥢㘴慦捡㈰㝢〲㡣㈴晢㌴搸㈵搹敡昰㡣㥡㐵攲㜴㐷敤ㄹ搰㑡戲㈷㌱昲㔹㡥㍥㘷㉢敤ㄴ晡㌰ㄶ摦攷㐰㉢挹㕥㘱㈷㥢㥦㐰㤲散攵㡥㘴㉦㐰㈵㐹敥㔴昸㔹㥦ㄳ㤱㘰挲ㄳち㝡㐲㔱ㅣ晦㝤挱〴ㄸ㡢挷っ㙦捣㠸昹昰ぢ㠴㐱㥦㌶㉤敤敡て挴㈳㈹戸㐴㈳〹㑦㈰ㄸぢ挴挳㔱㙦㌲〲捡㍤㠱㜰㌴攰㡤扡戹㥥㥤攱昵攳㔰㐷㍦ㅥ挲㝤㥥㔲戵㝥㑥㥣慦㔴㘹慦戲ぢ愰㙡ㅦ㜲ㄷ㈲㌲晥㘳㥤〵㈱昱㠳㐱攷㘷㠱晢㐲愵攷㐵㥤晣㘱㌷㝤㈶昴㘲ㄱ昴㈶戹㔷㘵㤰㍢ぢ㐶㤲㝢㌱散戹攴㉥㜶搴㕥〲慤㈴户㠶㤱㉦㜳昴戹㐲㘹昹慢㤶㘹㜲慦㠲㔶㤲㝢㠹㡤㕣㙤㌶㕣昲ㅦ昹㉦㜶㘴晣㙡㐴㤲扢㜷〳㉡㘳昷㕥㠲戲ㅣ〱㡤㈸㥢㈳㈰敡㠹㐶㈲戱㔰㈰ㅥ㌴㔲〱㕦㌲ㅡ〹愷〲㘱㥦㉦收昳㠶挲戱㤴㈷愱㌵愵㕤㡤㔸〲慣ㅢ㌱㑦搸ㅦづ㜸攳〱ㅣ昳㠳摥㔸㉡㘲愴愲愱㜸㈰ㄹ㜴㕦㘳㠵搷攷愰㡥㍥ㄷ挲㝤慤㔲捤愳慡㤹慡愵㑡㐵〷改㕡㜶ㅤ㔴敤㌳〲慥㐷㘴晣捦ㄹ〱㌷㈸㝤㠴挶㈸挵㤹㠰㈳㙥㠲摥ㅣ〱㘷㘴㡣㠰戳㘱攴〸㔸〶㝢敥〸戸搹㔱㝢ぢ戴㜲〴㥣挳挸换ㅤ㝤㔶㈸敤〲晡〰㠶㝣慦㠴㔶㡥㠰昹戶ㄱ愰㜳〴挸摤㝢㥥㈳搹㜷愰㤲㈴晢〲昸㠱散㍢㔱㤶㘴㉦㐴搹㍡㤶㝢㤳㥥㜰搲ㄷぢㅡ㠶㍦㄰㠹挶㈳挱愴㤱〸㈵㔳㠶捦㤳っ㝢㝣㌱敤挲戴慢㍦ㄸ〹㜹愲扥戰㈷㘰㈴〳挹㔴㈰攲ぢ㈴㘲㠹㜰挴ㄷ㌳㔲㝥㝦㌴攵收㑡㜹戹扢㕦㠴㍡晡㈲〸昷㉡愵㙡㈵晢㙥愵㑡㝢㤵摤〳㔵晢㤰㝤㉦㈲攳㝦づ搹昷㈹㝤㝦ㅡ〷㔰㕣つ扣攲㝥攸㑤戲㑦挸㈰晢ㅡㄸ㐹昶〳戰攷㤲晤愰愳昶㈱㘸㈵搹㑢ㄹ昹ㄱ㐷㥦㐷㤵昶㝡晡〰㠶㝣㍦づ慤㈴㍢㘶㈷㍢㝤㉣㥦敥㐸昶ㄳ愸㈴挹㕤㠶㔰ㄶ戹愱戸㉦ㄲつ㈶㜹扥ㄶ昰㐵晣搱愸攱昵挵㐱戴㈷攲挷㠹㝦㔸扢㌹敤㙡㠴㐳愱ㄸ昶㕡㈳㄰昲〷ㄲ㤱㘴㌴改㐹挴㔳愹㌸捥攵ㄲ㠱㔸㍣改㕥㘳㠵搷㙦㐱ㅤ晤㔶〸㜷㡢㔲戵ㅥ换㥦㔴慡戴㔷搹㕡愸摡㠷摣㜵㠸㡣晦㌹攴㍥愵昴㔵㌴づ愱戸ㅢ㜸挵㌳搰㥢攴㡥换㈰昷㕥ㄸ㐹㉥㤷敥攷㤲扢挱㔱晢㉣戴㤲摣㝦㌰昲㍦ㅤ㝤㌶㈹敤〳昴㔱攴㙥㠶㔶㤲㍢搲㤱摣攱㡥攴扥㠰㑡㤲摣㐷㄰捡㈴㌷ㅣ昶攱〴㍢㄰㡣ㅢㅥ㍦挸つ挴〲㕥挳㐸晡㐳戱㔰㌰ㄸ〸㜹晣摡愳㘹㔷㥣㤷昹晣㘱㈳づ昷㔸挰攷㌵愲戱㠴ㄱ昵㈵〲㈱㕦㉡攰昱㐴㐲敥ㄷ慤昰晡㘳愸愳㍦づ攱㝥㐹愹㕡挹㝤㔹愹搲㕥㘵慦㐰搵㍥攴晥ぢ㤱昱㍦㠷摣㉤㑡㍦㤲挶㔱ㄴ捦〰慦㜸つ㝡㤳摣㘸〶戹ㅢ㘰㈴戹慦挳㥥㑢敥ㅢ㡥摡㌷愱㤵攴㙥㘴攴户ㅤ㝤摥㔱摡㑤昴㔱攴扥〷慤㈴搷敦㐸慥搷㤱摣て㔰㐹㤲晢〲㐲㤹攴ㅡ扥㔰搸ㄷ㡥挵㤲摥〸挸昵㐵攲摥㔴捣ㅦ昱㈵㜱攱㙥〴㤲㠹戰昶㘲慢慢攱挵㐹㜸㌲㤲㑡愶ㄲ〱㙦㌰ㄱ㡦㘲㐴ㄸ挹㐴㈲㤱㡣〶㈳㠹㠴晢摦㔶㜸晤㈵搴搱㕦㠶㜰㝦愸㔴慤攴㜲㠱扥㍣㜸愷扤捡㍥㠶慡㝤挸攵摡㝥晣捦㈱昷㔳愵ㅦ㐷攳㔱ㄴ㙦〳慦昸ㅣ㝡㤳摣㝤㌲挸㝤ㄷ㐶㤲晢〵散㤲摣ㄹ晣戸戳㕥攲㑢㐷㉤㔷昳㑢㜲摦㘷攴㙦ㅣ㝤扥㔳摡㝦搳〷昱攴晢〷㘸㈵戹㝢搸挹㑤㕦㑦敤敥㐸敥㔶㔴㤲㥦挱㥦㈰ㄴ㍥㠳㝦㐴㔹㤲晤㈹捡㈶搹挱㘸㌸㥥㐸㝡〳戱㔴摣ㅦ昰㐷扣昸っ㑥㝡扣㠱㤴ㄱ昶㈵㠲愱㔰㔴晢㉣敤ㅡ昷〶扤㐶〲㈷搹攱㤴㈷㠰㑡㌸㌷ぢ㐵㡤㔰〴㠷改㤰搷ㅢ㑥戸㝦戲挲敢㥦愳㡥晥〵㠴晢㘷愵㙡扤㥥摡愶㔴㜴㤰慥㘵晦㠱慡㝤挸晥〵㤱昱㍦攷㝡敡㔷愵㥦㑣攳ㄴ㡡ㅦ〱㐷晣づ扤㐹戶㉢㠳散㥦㘱㈴搹㝦挰㉥挹搶散㘴晦改愸㘵敡㈵搹晦㘱攴㘲㤴㜲㙢㜶㔰摡㕦改愳挸㉥㠱㔶㤲摤搱㐶戶昶㍢㕣昲㥦㜲ㄷ㍢㡥〰〵搳摤〹㈱㈵昵㝦㈲㡡㐵扤㍦ㅡづ㐷挳〹ㅦ㠶㐰挰ㅢ㑥㐵攲ㅥ㕦摣敢ぢ㐷㤲㥥㔴㈲㤵昰㘹㥣㉡㌳㕤晤㥥㐸㉡ㄸ㑥㠶晤昱㔰㌰㤰㠸晡㌱㈷ㄳ㡤昸扣㔱㑦㌸ㅥ㑥〶㝤㌱㜷愹ㄵ㕥攷慦㔴敢挵㄰㙥㕤愹㍡㔰搵㤱㉡㤷㔲愵扤捡㍡㐳搵㍥搴㜷㐱㘴昰㔲愴㜵㐲搳㤹㌳㉡愵搰㘴捦扢攸搰㌹捣戲㜴戵愲挸ㅦ㔵搶愷㜱愰㜴㠱愷㈸㠳摥ㅣ㈸㍦晣挷㍥换搲つ㐶づㄴ㌷散㤲敥㡣ぢ敦ㅤㅣ戵摤愱㤵〳挵捤挸㍤ㅣ㝤㜶㔲摡敥昴㔱〳㘵ㄷ㘸攵㐰昹ち㈰搲戳㉣改㤳戵㉦愰捤㥤㠰摢つ㤵攴㔰搸ㄹ愱㑣㝥㜱捡㡤搳㉦㕦㈴攲㑦攲㡣㉢ㄹ㡡挵㔳㤸㕤㠹㐴扣晥㐰㉣㤱昴〵戵㕤搲慥㤸㘹㠹㜹㤳挹㜸摣ㄷ挵㘹㜸挰ㄷ㑦挵㌰㤳敢〹〷㘳昸㤰昰晡扤敥摤慤昰晡慥愸愳敦〶攱敥㤹㔶㘱昰㤹ㄳ戴㝢愴㔵捡慢㙣㑦愸摡㘷㈸散㠵挸ㅣち搹ㄷ摥㝢㉢㝤㥣挶〴挵扥㠰㈳㝡㐱㙦㤲晢㔶〶戹晢挱㐸㜲昷㠱㍤㤷摣㝤ㅤ戵扤愱㤵攴ㅥ挰挸晢㍢晡ㅣ愰戴〷搱㐷㤱㝢㄰戴㤲摣㉤㡥攴扥攲㐸㙥ㅦ㔴㤲攴ㅥ㠲㔰㈶戹㥥㜰搸攳㠹挷攲㘱ㅣ摦〳搱㤰㌷ㄶ㑣㝡㐳㐹㝣愰㈷ㄲ㍣㤴㝢戵㡡㔶㔷㝦搸㙦愴挲愱〴㍥挶〳摥㐴㌴ㄶ挲〵㔶〴ㄴ㘳ㄴ㈴㍣ㅥ挳摤搷ち慦ㅦ㡡㍡扡〷挲㝤㠸㔲戵㝥㥥㔷㈸㔵摡慢散㔰愸摡㠷㕣て㈲㍢㤱敢㔵晡㤹攴戵㥡攲㌰攰ㄵ㝥攸㑤㜲㥦捥㈰昷〸ㄸ㐹㙥〰昶㕣㜲㠳㡥摡㄰戴㤲摣晥㡣ㅣ㜱昴㠹㉡敤㐰晡㈸㜲て㠷㔶㤲扢挶㤱摣搵㡥攴昶㐳㈵㐹㙥ㄵ㐲㤹攴㠶挳挱愰㌷㤴昲㜹扣搸㜳㔳昱㜰㍣㠴㡦攵㘰っ攷攷晥㠸㍦㤵㠸㘸㐳搲慥挹㔸ㅣ扢㙢㄰㔷搸扥㘴挰〸㘱收挴㥦㡣㘰㍡㌴㙣㈴挳㠹㔴㌲改敥㙦㠵搷㠷愲㡥㍥っ挲㍤㐰愹㕡挹ㅤ愸㔴㜴㤰慥㘵㠳愰㙡ㅦ㜲〷㈳戲ㄳ戹㤵㑡㕦㐷㕥敢㈹㡥〲ㅣ㌱〴㝡㤳摣㔵ㄹ攴㑥㠰㤱攴づ㠵㍤㤷摣㘱㡥摡攱搰㑡㜲㈷㌱昲㐸㐷㥦㔱㑡㍢㠵㍥㡡摣㌱搰㑡㜲㔷㌸㤲扢摣㤱摣戱愸㈴挹㥤㡡㔰㈶戹挹㐸㈰ㄵ㡣挶㘳搱㔰挸ㄷ㠸挶㌱〱攲挵挵㔶㈸ㄹぢ攰ㄲ㉡ㄸ㑡㘹搳搲慥㜰挲㔱ㄸ户㑣ㄲ摥㐴㈰㘲昸㜱晡㡤て昷㔰㌴攱㡢㘱㘷㡥ㅢ敥㜱㔶㜸晤㌸搴搱㡦㠷㜰ㅦ愵㔴慤攴㡥㔷慡戴㔷搹〴愸摡㠷摣㠹㠸散㐴敥㈴愵㙦㈲慦㜳㈸㘶〲慦㤸〲扤㐹敥㔵ㄹ攴捥㠲㤱攴ㅥつ扢㈴㌷攳㑣晣ㄸ㐷敤戱搰㑡㜲㙢ㄸ㜹㥡愳捦㜱㑡㕢㐷ㅦ㐵敥㜴㘸㈵戹㤷搸挹攵挹㤹㥣つ扢搸㤱㕣㠵挸ㅤ㐳㙤挹㜲〳㘲㥡㉣攳㐳搷㠸〷㍤晥㐸㉡㤰っ〴愳摥〸㈶㍡㡤戰㤱〸晡㍤㈱㙦㌰ㄴ搳ㅡ搳慥〱㝦㈲ㄴづ㘲ち㈵㘱挴〲㥥ㄴ㈶㔸㝣㍥摣换〸㘱㉥㍣ㄱ挶㠵户㍢㙥㠵搷㥢㔰㐷㥦〳攱㑥㈸搵㕣慡收㔱㤵㔴慡戴㔷㤹〱㔵晢戰㥣㐲㘴挹㜲搶㉤㡤ㄳ㤴晥㘴ㄲ㝣ち挵ㄹ〰㈷慡愱㌷㔹㍥㌳㠳攵戳㘰㈴换戳㘰捦摤㠵㑦㜴搴搶㐰㉢㔹晥ㅢ㈳搷㌹晡搴㉢敤摦改〳ㄸ昲㝤ㄲ戴㤲攵㤳敤㉣愷捦慣㥡ㅤ㔹㙥㐴㈵㐹敥昹〸㘵㤲㡢ㅢ㔴ㄱ㡦攱て㐷愳戸㉤ㄱ挶㈷慡挷〸攰挳ㄸ昳㕢挹㔰㌸㠹㕢㤹ㄷ愴㕤㠳挱㜰〲㔷搸㘱散攳㐱捣㤴攰挳㍡ㅥづ〵㤳昱〰㙥㝡㈶㜱㝡攵㙥戲挲敢ぢ㔱㐷扦㄰挲㍤㐷愹㕡㜷攱戹㑡㤵昶㉡㥢〷㔵晢㤰摢㡣挸㑥扢昰㝣愵㍦㤳扣㥥㐵㜱㈵昰㡡㔳愰㌷挹慤捥㈰昷㙡ㄸ㐹敥愹戰攷㤲㝢㥡愳昶㜴㘸㈵戹搷㌰昲㤹㡥㍥㘷㈹敤㔲晡㈸㜲晦〶慤㈴㌷攱㐸㙥捣㤱摣扦愳㤲㈴昷㐶㠴㌲挹㑤ㄹ戸改ㅣづ攳㘶㐳㈲ㄶ㠸愶㤲戱㔸挸ㄳ昰挷戱㍢攳㜶㌵敥㘲㘹㌷戵扡㠶っ㈳ㅣ挴挷戴搷ㄳち〴〳昱㜸捣㡦搳慣愰㈷ㄵ昴〴㝤㤱愴搷扤挰ち慦㉦㐳ㅤ晤㘶〸昷戹㑡搵㑡敥㜹㑡㤵昶㉡㍢ㅦ慡昶㈱昷〲㐴㜶㈲㜷愱搲㉦㈰慦攷㔲摣〵扣攲㈲攸㑤㜲挷㘷㤰㝢㌷㡣㈴㜷ㄱ散戹攴㕥散愸㕤っ慤㈴昷㕥㐶扥搴搱攷㌲愵晤〷㝤ㄴ戹㔷㐰㉢挹ㅤ敤㐸敥㐸㐷㜲慦㐲㈵㐹敥㐳〸㘵㤲㡢㕢㡥戸愹〸愶扣ㅥ㉣㍢㠸愴攲挹戰搷㤳っ攲收㘲ち戳搵㌱慦昶㜰摡ㄵ戳㘲〱㕣〲㐵㤲〹㡣㠷㘸㈴ㄵ〳戱㤸㈰㡤愴扣㌸慣㈷㈲㈹昷搵㔶㜸晤ㄱ搴搱ㅦ㠵㜰㉦㔱慡㔶㜲慦㔱㉡㍡㐸搷戲㙢愱㙡ㅦ㜲㤷㈲戲ㄳ戹搷㈹晤㠵攴㤵扦㠲愳㍦〵㌸攲〶攸㑤㜲て捦㈰昷ㄹㄸ㐹敥㡤戰攷㤲㝢㤳愳㜶ㄹ戴㤲摣つ㡣㝣㡢愳捦慤㑡扢㤱㍥㡡摣摢愰㤵攴〶ㅤ挹昵㍢㤲㝢㍢㉡㐹㜲㌷㈳㤴㐹㙥㌰ㄲ㡢㜹挳㥥㔰っ㈷捦㤸㡡㡥㐵挳㠶搷攳㠹㘲〲㌳挸ぢ愳戰昶㝣摡㌵ㄹぢ㐷㍣戱愸摦ㅦ㡥㐷〳〱慣㐷挱㝥ㅥ挲〹㔹㌰ㄸ挵㌵戲㍦攸㕥㘹㠵搷㕦㐰ㅤ晤㐵〸昷ㅤ㑡搵㑡敥㥤㑡㐵〷改㕡㜶ㄷ㔴敤㐳敥㉡㐴㜶㈲昷㙥愵扦㤴扣㕥㐶昱㈶攰㠸㝢愱㌷挹敤㥤㐱敥摢㌰㤲摣晢㘰捦㈵昷ㅦ㡥摡晢愱㤵攴扥换挸て㍡晡㍣愴戴敦搳㐷㤱晢〸戴㤲摣扤ㅣ挹摤挳㤱摣挷㔰㐹㤲晢ㄱ㐲㤹攴攲㌲挷攳㑢㘰慡ㄲ㌷ㄵ〳㠱㠸㌷ㅡ昷㈶晤戸敥㠹晢㍤㐹㑦捣昰㙢ㅦ愷㕤㜱挶ㅣぢㅢ㌸㄰攳晥㜲㈰㤵㌲㘲㝥㍦搶㈰㘰ㅤ㐹㈴㥥昰攰㐸敥㝥摣ち慦㝦㠲㍡晡愷㄰敥搵㑡搵㑡敥ㄳ㑡㤵昶㉡㕢〳㔵晢㤰摢㠲挸㑥攴㍥愹昴㔷㤳搷㈵ㄴ摦〳慦㔸〷扤㐹㙥搷っ㜲户挲㐸㜲㥦㠲㕤㤲㍢〳ㅢ敡㈵㥥㜶搴㍥〳慤㈴昷㈷㐶摥攰攸戳㔱㘹户搱〷〱攵㝢ㄳ戴㤲摣㑥㜶㜲搳ㄳ搸㈵㡥攴㍥㠷㑡昸㡦ㅦ捤㐱㈸㑣㘰㙦㐶㐱㤲晤㍢捡ㄶ搹㤱㘰搴攳挱散㘵㈴㡡㍢挳㤸挷㑡攰㍥㌲敥㌸ㅡ㐱戰ㄹち〵戴㍦搲慥㌸慦挲晤㘳敥捥㕥て敥㈰攳㌰敤挳挴㈶㑥挸㜰㤷㈳㄰ぢ㝡摣捦㕢攱昵㍦㔱㐷㉦挲捡㘲昷ぢ㑡搵㍡㠱晤愲㔲愵扤捡㕥㠲慡㝤挸㝥ㄹ㤱㈵搹㔹㘷捦慦㈸晤昵㑣捦つㄴ晣〲㕢戱〵㝡㤳散ㅦ户搹攷㈵扢挰㐸戲㕦㠵㕤㤲㥤㌱㉦昹㥡愳昶㜵㘸㈵搹摤ㄸ昹㑤㐷㥦户㤴搶㑤ㅦ㐵昶㍢搰㑡戲扦〱㠸摣㜹挹慦愰捤㥤㤷㝣て㤵㈴戹㍤㄰捡㈴搷敦挳挵㑥挸㡦敢㥢㠴て㈴攱ㅥ㐵挸〷㡡戱㌴㌴㘰㘰㥡〳ぢ㐷搳慥㜱捣㕥㐷㡣愸㈷㤶昰昸〲㥥㘰ㅣ敢㑢挳㘱扦挷㌰扣㔱㉣㈰昲ㄹ敥昷慤昰晡捥愸愳敦〲攱晥㐰愹㕡昷攴㝦㉢ㄵㅤ愴㙢搹㠷㔰戵て戹ㅦ㈱戲搳㥥晣戱搲摦㐲㕥㙦愵攸〵㌸攲㔳攸㑤㜲摦挹㈰㜷㕦ㄸ㐹敥㘷戰攷㤲晢戹愳昶ぢ㘸㈵戹晢㌱昲㔷㡥㍥㕦㉢敤〱昴㔱攴㝥ぢ慤㈴昷㌵㐷㜲户㌸㤲晢㍤㉡㐹㜲晢㈰㤴㐹㉥㑥愹㜰㑢㈹ㄸ攳戹㜲挰昰攱㑣㉢㠵换㥣㤰㌷㡥㥢㠹㤱㠰㈷慡昵㑤扢㈶㔳㘱㍦慥㡤㌰㈹㠹㈵愰戸户ㄸ昷㜹攰ㄵ昳ㅡ挹㔸㌲ㄹ㑢昸摤㍦㔸攱昵㐳㔰㐷慦㠰㜰㙦㔵慡㔶㜲㝦㔴㉡㍡㐸搷戲㥦愰㙡ㅦ㜲㝦㐶㘴㈷㜲户㈹晤㑡昲捡㕦戵搲㈳㠰㈳昸㘴㡡㐹敥晡っ㜲て㠳㤱攴晥ち㝢㉥戹扦㌹㙡㝦㠷㔶㤲㝢〴㈳晦改攸㈳ㅦㄶ㘱敢晤改愳挸攵挳㈲㤲摣㈷ㅤ挹㕤攳㐸㙥㐷㔴㤲攴づ㐶㈸㤳摣㔰〲㔳㡣搱㌰㡥捡㝥散挲㔱ㅦ㘶戱㍣戱㔸〰㑢戸挲摣㜳㝤㕡㘵摡㌵ㄵつ昲㍣捡㡦〵㍥戸㥦㠰㜹慥愰㌷ㄱ挲扤㠸〸挶㐵捣攳昱扡昹愰〹挳敢㔵愸愳て㠱㜰昳昹ㄲ愹㙡㈵户㤳㔲愵扤捡昸挸㐹晢㤰慢㈳戲ㄳ戹㉥愵扦㠷㜸敦愵ㄸぢ扣愲ぢ昴㤲扣㜱㈸戱㈲摦㐲㍥㥢㐰㥦愳攸㐳つ摥㙥㌷㝣挱ㄸ扥㘹〴摡慥ㅤ㑡㜶㐶搹昱㈷㐱捣〵攴ㄳ昰㐵敦㐶㐵攵攰㜰挵㤰收㠴㔱挳ㅦ㘱挱㌲㜳㝣㠰ㄵ敤㔴㍢愲ㄱ㥢㐶㐳攳挴晡㐱昲㐷㐱昸㠴挲づ㙡㈵㝡㥦摡㘱㜳慡㤳昸摥昷晤㕡㌵敡ㄷ㜸㔴戵戱つ改㝡㕤㕢扤昰ㄵ攲㍢戵㤶㉡昱攸㠳搱摣挴㉦㕦敦搹慡挵捦㉤攱㐷㘰㡣愴㡡搸㠸㈷昳㍡ㄶ㜷㄰㠷昰㔷〷ㅡ昱㔳ㄷ〶ㅥ㐶愸㍢〱挰昱㕦晥㥥㐶挵搰㠶㠴昵摣㠷ち搳戸㈷扡搱搳攱㡢收〷㔷㌷挹挷㍣昸つ㘲㐲敦㠱っ㘹ㄳ㤱慤㑥晤㝡て慥散敤㡢㤴摣㠱㜱晡㝦㙢㠹愹㙦㝤㡣㠲敤昲攵搲㈷㤳㥡㕤搰〰㘹㄰晡㑥㙣敡㘸攸扡愳愹挱扤扤攱晤昷㌹慣㝣㥦晤㝢て㘲慢户愱搵㠳㥤晡㔷㔵㕦ㅢ慢慥㘳〷㔵捦㠶搴捤愹捤㙣㜲㙦戳㐵㌴㜹㉣㥢攴挰㘶㍣㙡〵㥦㘹㘰㤷㘴愱ㄷち扤戱愵㍦㐷戱㤹攲㜹〸戱っづ㙦攲㔷摣搶㤶捣㕦ㄶ㔹㔰㌴昰㤱㡦㔶㜷敦昴散㜳㝥㜱㤳㘵㠸慤戹㝥㥤㘷敦晥㈳㉦㝣㜷捣㥡昵㕢ㄶㅦ㉢昸〸〱㐱攸㌳搰㘲㝡㔴捡㘷〳愸㡤ㄱ〷㈳攳敤㍥〰扥㜲㔴挶愱挵愸散㠳昲攱㑥㝤㌵戹戴㍤〲搱〷愴攲㈷㑥㡣㈴㝥㜴㘰㌶挶挴晣㈱㜵㑤つ晣攲㡡愲づㄸ㝣㈵㌲㈳ㅤ㡢て晢㙢戱昸愸ㄴ挹攲扢攴㍡㜴昴晦㈳㑥㈶ㅦ㡣㐸㑥昴㈴搳挰愷〷捣ㄱ搰ㄷ㕢㕡ち㍡っ戶㐱㤳㝢晢㠳㘲〹㥡㔵散戸昴㤹㜴攷㘳〴愶㍢ㅦ㔵搰㘶㐱㠷〱㌳㘸㤲㝤挰愰收ㄵ愸愹㐸㜶改㌵慣挹昳㑣愵ㄲ㝣㌶㐱㐵ㄶ㕣摤敦挴晢㘲㡢摥ㅣ摥㉦戶っ慢摦敡攳慡㝡㝡收㤸㍢戶つ晦㝣㤷㝦晤晥扤㌸ㅣ㤱㈴敦つ㘸㌱捤㝢㍦愵㙤㈴づ昴㕣昲捥㔵晤㤲㜷晥㤲㐲搷づ㠲㑢昳挹扤㔸㠸攸㑣戸捣搱㕣㔶攱㌲㝡戳搳㔵搸搲㥡愱戳㜲攴ㄵ攷挲㔳昵挴愵㥦㑣㜷慥愷㌷摤戹㘶㕦㍢ㄵ扡摣ㅣ㜹挵摦㔰㔳㈵挴愵㥦捥㥡㕣晡敥㤴㠹搳攱敡戸〷㥣㘶ㄹづ㍡收晡挶收㤹搵㐳ㅦ㔸ㄸ㡥㥦攵摤㌰㑢㜰㥤扣捣挴㌹㠸㥢捥挴㈴愵晤㍢㕢㔳㤹㤸〲慤捣挴〲㘸㤱㠹攳㔰㌶昱㑦挵㤶㜶ㅥ戴㌹〷〵㝦㔸捣换挰㝦〱㈳㜲㌵扡㔹㤳ぢ摡戵ぢ愱㌳㡦㕣㜰㙦㠴㝢㙢愲ㄶ搱㥤㡢挱㥤扡㕢㤷慦扢戵㤶攱㠴㉥ぢ搷捦㝣戵㘵挴㥡㠷昵搵愹慢㈶㕦㈰㘶㈱㤲散敥攵㠸㥢敥㙥㡤搲㕥挱搶㔴㜷戹〸㕣㜶昷㑡㘸搱摤〶㤴㈵昱搵㠸㥥㈶晥㙡㔶㤹〳㤳搹ㅦ慥攴搶慥㠱捥㈲㍥㈴㡣㡣晥㉣愵晢摣戴㍢㔷㜳㙢搷㐳㤷㑢㝣㐸挴㔰戳㤵昸ㅢ㔹㤳㉢㜹㤵㑡㌴愳愰㌲㈵戸㕣摡㈹㐷搳慣㔴攴散ㅣ㔳㉤挳挶愹㘷晥戰㜶攵㡥愳㙥昹攷愸㔵㉢摥㑤扣㈴戸戶㕡收㘸㌹㕡㑣攷攸ㅣ愵扤㡤㌸㔴㡥戸㑣㕡收㘸〵戴挸搱〵㈸换ㅣ㑤㐱昴㜴㡥㔶戲ち㔷ㅣ㥢㌹㕡㠸㉤敤㑥攸㜲㍡ㅤ㠸㡡〹ㄹ㥤㕥挵㥡㕣捣㙣搶扣㤰㌵敦㠱捥捣㉥摣挷挲㕤攵〰扦搷㐹昷慢攱攴㤴㠹㤱㔶㠷㜳㌲㌱挲㌲㍣扤愸愱晢晡捦ㅥㅦ昶昰晢㤳敥摣戱戶戸㤳攰挲㘳㤹㠹㠷ㄱ㌷㥤〹戹愲ㄸ〹搰ㅦ㘱㙢㉡ㄳ㕣㐳㉣㌳昱㈸戴挸〴搷攰㥡愰戹㈴㔸㝢ㅣ摡㥣㥤挳ㄷㄵ㤵ㄹ摤㝤㠲ㄱ戹扣搷慣挹ㄵ挲㕡ぢ㜴收捥〱昷〱ㄹ摤㕤㑢㜷慥慥㜵敡敥㘱昹扡ㅢ戵っㄵ换㈶晡摦㝢戳㙦攵㠲扤搶づ㝢㕣ㄳ昳〵㤷攲捡敥㙥㐰摣㜴㜷攵ㅡ㕢㜶昷㔹戶愶扡晢〰㝣㘵㜷㌷㐲㡢敥㜲㔵慡〹㥡㡢㘴戵㑤搰收㜴ㄷ挷㝢㝦㐶㜷㌷㌳㈲ㄷ扣㥡㌵戹㘶㔶㝢〱㍡敢㔸㄰ㄴ㠷㘶㜴昷㈵扡㜳扤愹㔳㜷て捥搷摤㠳㉣挳戰ㅢ㠶つ摤㌲昱挹搱㜷㔶㡦扥攱搷挰昲慤㠲㡢㔳㘵㜷㕦㐳摣㜴㜷㌷㉡敤敢㙣㑤㜵㜷ㄳ戴戲扢㙦㐰㡢敥㜲㥤愶〹晡〵㙣㘹㙦㐱㥢摢㕤慦搸㌷愳扢敦㌰㈲㤷㠰㥡㌵戹㡡㔴㝢て㍡慢扢㕥戱㜷㐶㜷㍦愰晢摢㜰㜲敡敥敥昹扡扢㥢㘵㤸戰㝡㜳慦挵㔵㙦㡣扡攸晤扥愵攵㌷昶敡㈷戸㕣㔳㜶昷㔳挴㑤㜷㔷慥挳㈴扢㥦戱㌵搵㕤慥扣㤴摤晤ㅣ㕡㜴㤷换㈷攵㙥扤ㄳ愲愷㜷敢㉦㔹攵㜳㤸捣晥㜰㑤愵昶㌵㜴收捥改ぢ㡡ㅤ㌲晡昳㉤摤扦㐸扢㜳㕤愵昶㍤㜴㌹㐷〱搴散㡡㥡敡㌸攷搲户戲收㡦昰㜷捡㐴愹搵攱㥣摤扡㤳㘵ㄸ㕣ㄲ㍤晦挸昸㤵㐳㉥晢晣㍦㤷攸户㥦㍢㔲㜰㉤愳捣挴㉦㠸㥢捥㠴㕣愴挸㑣晣捡搶㔴㈶戸㉣㔱㘶攲㌷㘸㤱〹㉥摣㌳扢换㜵㠴摡ㅦ搰㥡昴㜹愳㐲㘴㜴户愸ㄴ㘱戸㄰搰㜴攷㕡㐲慤ㄸ扡㥣㜱㠲㥡扦晦㙣敦㙥㐷搶攴愲㐱㜵㘰ㄳ㕣㍣愸搲㈱戸晣捥㈹ㄱ摢㄰挴昱挳晦㘷换戰扣㈴晡愸户扡挳戰㙢㕢ㅥ㕥晤㙡搱㝤ㅤ〴搷敡挹㐴戸搰㘲㍡ㄱ㜲ㄱㅥㄳ搱㤹㌸㔴㈲戸散㑥㈶愲ぢ戴㐸〴ㄷ户㤹㍤攳㉡㍡慤ㅢ戴㌹㍤ぢ㐴挴㜷ㄹ㍤㜳㌳㈲㔷挴㤹㌵戹愸㑥敢づ㥤㤹㐲戸㝦〵㜷搵㙢㝣敢㌰摤戹㈰捤愹扢㥦收敢敥㈷㤶愱晦攴㑦㑥ㅢ㉦㥥ㅥ㝤搶搶㐳㝡㠷〷㍣㜶愳攰敡㌵搹摤摤ㄱ㌷摤摤〳㤴戶㈷㕢㔳摤攵㐲㌴搹摤㍤愰㐵㜷戹㤰换〴捤㜵㘵摡㕥搰收㜶㌷㈰摥捦攸㙥㌹㈳㜲㡤㤸㔹㤳换捣戴㝤愰戳扡ㅢ㄰㙦㘷㜴户㌷摤戹㐴换愹扢慦攵敢敥慢㤶㘱㐵昳㤰〱㉢敥㝦㘹捣㈵㥢愷㍤戶昳㙢㔳㈷㠹㈳㄰㐹㜶昷㘰挴㑤㜷㔷㉥搴㈲扢㝤搸㥡敡㉥㤷㘶挹敥昶㠵ㄶ摤攵〲㈸ㄳ㌴㔷㕡㘹ㄵ搰㥡愰㝤㈱昱㘲〶㘸て挳㜰㈵㤴改捥搵㔶㥡て扡㥣散愰收㜳愸愹㠶戱㑢て戰㈶ㄷ㉤㌹㜵㜷㐳扥敥慥户っ昵ㄵ攵ㄳ㌶扣ㅤㄸ戸散挹㜳〶㝣昶攳挷㕦ぢ慥㜰㤲摤㍤っ㜱搳摤㤵㑢㤷搸摤挳搹㥡敡㉥ㄷ㉢挹敥ㅥ〱㉤扡换挵㍥㈶㝥慥㍤搲晡㐳㥢㡢摦㉦㥥捣挰㍦㤰ㄱ戹㡥挸慣㌹㡤㌵〷㐳㘷㈵捡㉦㔶挳扤㜵㌰㔷搱㥤换㜸㥣扡晢㜰扥敥㍥㘴ㄹ扥㍢㘸换扤〳昶摦㌸㘸㐱户ㄷ挶昵晤㌵㔸㈶戸收㐷㜶㜷㈴攲愶扢㉢ㄷ昳戰扢愳搸㥡敡㉥㤷敦挸敥㡥㠶ㄶ摤攵慡ㄷㄳ㌴ㄷ攱㘸㐷㐲㥢摢摤愰戸㌷愳扢攳ㄸ㤱ぢ㙡捣㥡㕣㤳愳㡤㠷捥敡㙥㔰摣㤵搱摤㠹㜴攷㡡ㅢ㐵戸攰捡ㅢ㤵づ挱㤵㉥㑥㠹㔸㤱㉦ㄱ户㔹㠶㉦㙦㕡㌰㘷扡晥㑤搵㘳ㅦ昵散戵㘲㥢㙦愰攰戲ㄸ㤹㠸㘳搱㘲㍡ㄱ㜲扤ぢㄳ㌱㤵㌸㔴㈲戸挲㐵㈶㘲ㅡ戴㐸〴㔷㠸㤸摤攱㠲ㄵ敤㜸㘸㜳ㄲㄱ昰㠹㥢㌲ㄲ㌱㠳ㄱ戹昸挴慣挹昵㉢㕡ㅣ㍡㙢慦昶㠹敢㌲ㄲ㤱愴㍢搷㝥㌸㜵昷敡㝣摤扤捡㌲㑣摦晢挰㐳ㅦ㤹戸㘰搰㌹ぢ慥慥敡㜰捦收㝤〵ㄷ㡡挸敥捥㐲摣㜴㜷攵ち㄰㜶昷㐴戶愶扡扢ㄴ扥戲扢㌵搰愲扢㕣㌳㘱㠲收ㄲづ慤づ摡㥣敥㠶晣攲㤲㡣敥捥㘶㐴㉥挷㌰㙢㜲㐵㠷搶〰㥤搹㕤戸㕦㤴搱摤㈶扡㜳㌵㠴㔳㜷捦换搷摤㜳㉤挳扤慥收挹攷昵昹㘸昴捤㍤搶摣扡攱攰捡挷〴㤷㑥挸敥㥥㡣戸改敥捡㌵ㄱ散敥㈹㙣㑤㜵㤷慢㈰㘴㜷㑦㠵ㄶ摤攵㕡〳ㄳ㌴ㄷ㌵㘸愷㐳㙢㜱攴ㄷ㘷㘵㠰㍥㤳㘱戸攸挰㜴攷挲〶敤㙣攸㜲戲ㄳ昰㡢搳㔰㔳㡤㘹㤷㝥づ㙢㜲㝤㠰㔳㜷㥢昳㜵㜷㥥㘵㘸㥣㝦晡㤱挷㝣昷㔰搵ㄵ㍢㍤戶敥㠱㙥愷ㄹ㠲㡢〹㘴㜷㉦㐰摣㜴㜷攵㉡〱㜶㜷㈱㕢㔳摤攵扡〰搹摤ぢ愱㐵㜷㜹昷摤挴捦摢晣摡㈲㘸慤敥㝡挴㐹ㄹ摤㕤捣㌰扣つ㙦扡昳㔶扦㜶㈹㜴戹摤昵㠸摡㡣敥㕥捥㥡扣㘳敥搴摤㤹昹扡㝢㠲㘵戸㝤搸昵㡢㍥㥡㌷㝦攸つ㑢㝥㉥㉡晦㝡搶㌲挱摢敢戲扢搷㈰㙥扡扢昲扥㌹扢㝢㉤㕢㔳摤攵㥤㜲搹摤愵搰愲扢扣搳㙣攲攷㡤㙦敤㝡㘸㜳昰〷㈳㈲㤶㠱晦㐶㐶攴㑤㙣戳㈶敦㠳㙢换愰㌳ㄳ〵昷攳攰慥づ㔲昸晡㑣扡昳ㅥ戲㔳㜷㡦捥搷摤㈹㤶㘱㔵昴㤹ㄵ㤵㙦㥤㌴㙣昹㤴㜷㝦㔸搳㘹敥戳㠲㌷㥣㘵㜷㔷㈲㙥扡扢昲㑥㌲扢㝢〷㕢㔳摤攵扤㘳搹摤㍢愱㐵㜷㝦㐳㔹㥥㠲㑦㐰昴昴㈹昸㉡㔶攱㙤㔸戳㍦扣㉢慣摤〳ㅤ㌲㤱㌹搷收ぢ㠸戱愸搸㍡㜰敦㤳㡤攱昴搵慣挹㥢挴摡晤搰㈱ㄳ㤸搴㠳晢㈸戸户㘶攲㐱扡扢攰敥㤴㠹愱㔶㠷㜳㑥挱㠷㔸㠶〱㡢㍡昸㤷摦晣搴㠸㌵愳㥡慦ㄶ捦㥦㝥户攸㠲㐸㌲ㄳ㡦㈳㙥㍡ㄳ摤㤴㜶戵〴㘷扡戸摤搰捡㑣㍣〱㉤㌲挱摢㤷㈶攸ㅥ搸搲㕡愰㌵改昳㜹挴㠰っ搰㙢ㄹ㠶昷㌱㑤㜷摥㉢搵㥥㠲㉥㘷㥣愰收攱愸搹㥡㥤㘷㔸㤳户ㅣ㥤扡ㅢ捡搷摤愰㘵㌸昱㉢㌱㘰改晤㍢㔵摤㝤换昳㍤敦摡㝡摤㘲挱晢㤳戲扢㥢㄰㌷摤㕤㜹攳㤱挴㍦挷搶ㄴ昱扣搵㈸扢扢ㄹ㕡㜴㤷㌷昴㑣晣扣㜳愸扤〰慤搵㕤㥦㌸㌴愳扢㉦㌱㑣㐵摡扤㉦摤㕦㠱㉥户扢㍥搱㈷愳扢㕢㔸㌳〲㝦愷敥敥㥦慦扢晢㔹㠶㈱て搴搴㝡户っㄸ㜲搷㤸愶㌳敥敤㌴㝦㌷㜱ㄸ㈲挹敥扥㠵戸改敥ㅥ愱戴㙦戳㌵搵摤晥搰捡敥扥〳㉤扡换㥢㔷㘶㜷㜹㉦㑤㝢て摡ㅣ晣晥㤰搸㍢〳晦〷㡣挸晢㘲㘶㑤摥㕡搳㍥㠴捥㑣ㄴ摣㝢挲扤㜵㌰㝦㑣㜷摥㤶㜲敡敥捥昹扡扢㤳㘵㔸戸扥攲㠸挵㑢晡つ㍣㝢捣㈷搱ㄷㅢ扡摦攲ㅥ㠷㐸戲ぢ㕦㈲慥晥ㄵ挵搷㄰㉥㌷敦㙡㐹挳㌷㈸攲㤶挱㜸㤴ㅤ㙦㡦㤸户っ捣摦㥤挶㕤㈱愳㔱㉡捡㤰愳㤲ㄴ㙦㔹㜵㑥昱㥢慢っ昹攳搷昸㕡慤敡㥡ㅡ昹㡤㔴㕤昰ㄳ搴つ㈷ㅡつ愳昱㡢敡昸攱改〹搵戵搶㔷㉡攱㤷搶㜹㌷㑡晤挸戱㉥㑢扣㔳愰愵挶㌶攰㔷㡦㍢愵㐶㌴攲㜷摢㤳愵戵攳㘲㑤㑤㐶㐳摤晦挲㤷挳攱㍢挲㍡昲愶〸㠶っ慥戳㡢㡡ㅤ扦㥥㡢摦扢㤵晤愳挸戶㍢㘸慤昹攰て㥥昳づ㐶㌱㝦戹晡慦㝤㌵㥣昶㉤㘸㉢㑢晦㕣昰㕣㝥昱㕢㘳戱㈸挳㌸㤰㡢㌷扥昰敤㈶㙦㐸昱㑥慣晥㍤㝣戵ㅦ㈰㍡攰㈶ㄷ㝦㜵㠴㘳ㅣ㔳ㄷ搰攸㉤㈸㐸㔱搴㤱㜷搳ち摤捦攳摥搲愹㜶㝡慣愱㈱㌶扦戴㜶㝡㡤㔱㜷㐲搳捣搲改㜳㜱てㄳ户っ㔱戹戴戴㔴晦〹㐱搹〲摦攲㔸㈸ㄹ㔵晦ㄹ㕡㡥㌶㙡摤扣愱㈵㠷摥㌶〲昸て挵㉦㄰㉥㌷敦㘹㐹挳慦㈸㘲㝦攳摤㉣㡥㑢敤㌷㤴㜳㍢摢挱戱戳㝦挰㔷晢ㄳ㈲戳戳㔸㌲㘴敦㙣〹㙦ㅣ㘵戳挸㙦㠶ㅢ㑡㠸㈵昳慡㤳㑤㌳戵㤹㐶昵〹㌳昱㥣㐳攷捥敡㥢摢㘰挳㠵ㄲ慡捡㕥ㄵ㈳㘶扡慦㌵㑡摢〱摡㜴㕦ㅢ愰㤵㕤敡挸昶㑢㈸㌴〸㤷㥢昷㜱愴愱ㄳ㡡攸㉢敦攰戰慦㍡晢㕡㉣㝥晥挹㠹㐸ㄷ敢戳㙦慤㈴㜶愱慡〵戰㑣ㄲ挵㕣挴㘰摦搴㑢㥣㡣㠲㐴摢つ㥥㘹戴愷㉢㙤ㄹ戴㘹戴扣搱㈲㐱戹ㄹ㜵〷㡡敥㄰㉥㌷敦戵㐸挳㡥㈸〲㉤敦戲㐸戴ㅣ㠶挵攲ぢ㐷戴㍢戳㍥㠷㕤㉢摡㕤愹㙡〱㌶ぢ敤〵ち挶敥㌰㈸ㄸ㘲㤱搲昶㠴㔶㐱㜶昳戶㠸挴戰〷㠳散㐹戱ㄷ㠴换捤㍢㈳搲戰㌷㡡〰㜷㈵捡㜲搸㤴愳㥣㍢㙣摥㜵〴扢て㝣戵㝤㈱㌲㠷㑤㙦㘸散㠰㜹㑢㈵㈳扤㑢愱㤰改摤ㅦ㥥ち慢攰つㄱ愹㍤〰㕡搵㉦㌷㙦㕡㐸愰〷㌲敡㐱ㄴ〷㐳戸摣扣㙦㈱つ㝤㔰㐴て㜸挷㐲愶㤷㍤㈸ㄶ㉦㍢㈲慥㘰㝤㈲㙥㑤慦㠷㉡㕢㝡㔷㈲㑥〶摡㔵㔰㐸㕣㍥㜸㉡㕣攲㍥愵昵㐳慢晡攰收㡤〵〹㉡挰愸㐱㡡㄰㠴换捤㝢ぢ搲㄰㐶ㄱ㘸ㅦ㐵搹㌶ㄸ搶㍢愲㍤㡣昵㌳〷挳ㄱ㔴搹搰㍥愱㘰昴㠷㈱つ㡥㌷ㄲ㈴㘴晥ㄲ㝣ㅡㅣ㙦〳㐸っ〳ㄹ㘴㄰挵㘰〸㤷㥢㜷〲愴愱ㄲ㐵㠰摢㠸戲つ摣㘳㡥攰㠶戲㝥㈶戸攱㔴搹挰㙤㔶㌰㐶挲㤰〶昷㤲搲㡥㠲㌶つ㡥㤳昶ㄲ挳㘸〶ㄹ㐳㜱㈴㠴换捤㜹㝢㘹ㄸ㡢㈲挰扤㠱戲つ摣摤㡥攰挶戳㝥㈶戸㠹㔴搹挰扤愳㘰㑣㠶㈱つ㡥㤳昴㌲㜳㔳愰㑤㠳攳ㄴ扢挴㜰㌴㠳ㅣ㐳㜱㉣㠴换捤㔹㜶㘹㤸㡡㈲挰㝤㡥戲〴㘷ㅥ㤱㙥㜶〴㜷㍣敢㘷ㅥ㤱㘶㔰㘵〳挷愹昸㡣㐱挸挹㜶㠹㉢づ㑦㠵㑢㜰㈲㕤㙡ㄳ搰慡㍥戸㝦㠱㔶㠲㑡㌲慡㐱㤱㠲㜰戹㌹ㄳ㉥つ㈷愰〸戴㥣〳㈷㕡㙤㈶捡戹㍢晤㔵㡥攸㘷挱㔷㍢ㄱ㈲㜳愷慦㠱挶摥㠳㈲ㅣ挳㈴戴㍡ㄸ搲㠰㍢㉡㙤㍤戴㘹挰㉥㘸㈵慥搹っ㜲ㄲ㐵〳㠴换摤㔹ㄹㅡ㔱〴攰㉥㈸摢戸㕦攸〸㜰㉥敢㘷㜲摦㑣㤵㉤扤㙥〵攳㘴ㄸㄴっ搱㐳㘹㑦㠱㔶㐱㜶敦慥㌰㥣捡㈰愷㔱㥣づ攱㜲昷㔴㠶㌳㔰〴戸㍤㔰戶㠱㍢挳ㄱ摣搹慣㥦〹敥ㅣ慡㙣攰捡ㄵ㡣〵㌰愴挱昵㔶摡㜳愱㑤㠳㍢㔸㘱㌸㡦㐱捥愷戸〰挲攵敥愳っぢ㔱〴戸扥㈸摢挰㌵㍡㠲㕢挴晡㤹攰ㄶ㔳㘵〳攷㔱㌰㉥㠵㐱挱㄰〱愵扤っ㕡〵搹㝤㤸挲㜰㌹㠳㕣㐱㜱㈵㠴换㝤戸㌲㕣㠵㈲挰ㅤ㠱戲つ摣〹㡥攰慥㘱晤㑣㜰㑢愹戲㠱ㅢ愸㘰㕣て㠳㠲㈱慡㤴昶〶㘸ㄵ㘴昷㐸㠵攱㐶〶戹㠹㘲ㄹ㠴换㍤㑡ㄹ㙥㐶ㄱ攰㐶愳㉣挱㜱㈷㈹ㄶ㔳ㅤ挱㉤㘷㝤敥ㄴ慤㥦㉢㉢愸戲㠱ㅢ愷㘰慣㠴㈱つ㙥愲搲摥〱㙤ㅡ摣戱ち挳㥤っ㜲ㄷ挵㉡〸㤷㝢慡㌲摣㡤㈲挰㑤㐳搹㤶戹戱㡥攰敥㘳晤捣捣摤㑦㤵つ摣っ〵攳㐱ㄸ搲攰㤲㑡晢㄰戴㘹㜰戳ㄴ㠶㠷ㄹ攴ㄱ㡡㐷㈱㕣敥ㄳ㤵攱㌱ㄴ〱慥〶㘵ㅢ戸㑡㐷㜰㑦戰㝥㈶戸ㄶ慡㙣攰㘶㉢ㄸ㙢㘱㐸㠳㙢㔲摡㜵搰愶挱㥤慣㌰㍣挵㈰㑦㔳㍣〳攱㜲㥦愲っ敢㔱〴戸㔳㔱戶㠱ぢ㍢㠲摢挸晡㤹攰㌶㔱㘵〳㜷愶㠲戱ㄹ〶〵㐳㥣愳戴捦㐳慢㈰扢㉦㔰ㄸ㕥㘰㤰ㄷ㈹㕥㠲㜰戹ㄷ㉡挳换㈸〲摣㠵㈸摢挰昵㜱〴户㠵昵㌳挱扤㐶㤵つ摣㘲〵攳つㄸ搲攰㉥㔷摡㌷愱㑤㠳扢㐶㘱㜸㡢㐱摥愶㜸〷挲攵扥㔶ㄹ摥㐵ㄱ攰㤶愲㙣〳户户㈳戸て㔸㍦ㄳ摣㠷㔴搹挰摤愸㘰㝣っ㠳㠲㈱㙥㔱摡㑦愰㔵㤰摤㉢ㄵ㠶㑦ㄹ攴㌳㡡捦㈱㕣敥㍢㤴攱ぢㄴ〱敥㑥㤴㈵戸摦戰㔱㉣㜶㜴〴昷㌵敢㘷㝥〰㝦㑢㤵つㅣ㈷攲㌲㍥㠰㌹扦㈶㍦捦扥㠷㘷ㅡ㉤愷搱愴昶〷㘸搳㘸ㅦ㠷㤶㉥晡㔶㐶晤㤱攲㈷〸㤷㥢昳㘰搲昰㌳㡡㐰换ㄹ㌰㕢㉡㍢㌹愲晤㠵昵㌳㔳昹ㅢ㔵㌶戴㥣ㄸ㤳㌰晥㠰㐱挱㄰㥣昴㤲摡㍦愱㔵㤰摤㥢ㄴ〶慥㈴搶〵㐵㌱㠴换捤㔹㉢〹慥〳㡡〰挷昹㉡ㅢ戸㕦㝦㜴扡扡搲㔸㍦ㄳ㕣㈹㔵㌶㜰㥣挶㤲㌰戰攸扢ㄵㅣ愷愸愴戶㌳戴㘹㜰㙦㈹っ㕤ㄸ愴㉢㐵㌷〸㤷㥢㜳㑣ㄲ㕣ㄹ㡡〰挷搹㈵ㅢ戸㙦ㅣ挱㜵㘷晤㑣㜰㍤愸戲㠱攳㑣㤳㠴戱㌳っち㠶攰㠴㤲搴敥〲㙤㍡㥦㕦㐲㉢愷㙣㍦㐵㙢㥣戲㍤〲ㅣ㤷ㄶ㙢㠲㔳㐴搲昰㠹㘵攸㈷つ㐲㜰摡㐸ㅡ㍥戶っ〳㘰搰㝢㈲㘸〹愷㤰戲扦愵摥㌶昱㘱晢扥㜸㌸ㄶ改戵ㄳ昰㘵攵㥣〳㜱搵㜲愵慤㕣㘳慡搵㑥㤸㠹㉦㌳摦挱昲敤㤳昶改㥥搶愴㝤扢愵㔵戲捥㙥㤵昵戵戳㘳つ戱㜸㡤㐱㤷㍥慤㐱㜷捡戶㐸㝦㘴㠶挹㈹摡㈷晦愲㔶〵㤰㤳㌴愵愲捤㡥愵㠲ㄵ昴㍤㤰㤳慥搸㄰慤㕢戲㔸挲㜹㤸㌶㑦㄰㜱ㄶ昲㉦㝥慤晥㥥〰㈰戶愲㌱㌹搱戹ㄷ㑢㠴㠳㜷ㄹ愷㘷戸㔱捡挹㥣㌲㑥换挸ㄲ㜶㉡晣㘸㉥㑡㤲攱昷戳挶〴愷㘸愴攱扤慣㌱昱㡢㌲扣㙢ㅦㄳ晢戰挱㕦㘱攲戸搰昷㑤㘷㈳扤㈵戳㈱㌸㔱挳㡣攸扤㈵㐰㐰㈰ㄴ㝤㍦㍢摣㘲㑢㙢挲敤愰㑡ㄲ㙥㐷㐸㠹敡㡤㉣戸㥣㘵㤱㠶搷戳攰㙡捡昰㥡ㅤ敥㐱㙣戰ㄳ㑣㠵攱扡攰㈱攱昶愱㝦ㄷ㤴㈴摣扥㜶戸摤㉣慤〹户㑣㤵昰ㄷ㕦㍡〵㈹㔱扤㥣〵㤷搳㉣搲昰㔲ㄶ摣敥捡昰愲ㅤ慥㠷つ敥〸㤳㠴㥢㙦慣㠹㥤攱㈱攱晡攸扦㉢㑡ㄲ慥摦づ㜷㜷㑢㕢㡡扦㐵㘵㍤㔵㠹㐳㐳散㠱㤲㐴戵㈹ぢ㉥㈷㕥愴攱㥦㔹㜰昷㔲㠶㡤㜶戸㘱㌶戸㌷㑣ㄲ㙥〴㈵㜳搷㐸㙦㤹㠳㘱ㅦ㜸㐸戸㔱晡昷㐶㐹挲㍤捣づ㜷㝦㑢㙢㘶昷〰㔵挲摦㈲㜱㈰愴㐴昵㜴ㄶ㕣捥戲㐸挳㔳㔹㜰て㔶㠶㜵㜶戸晤搹㘰ㅦ㤸ち挳慤㠰㠷㠴㍢㤰晥ㅥ㤴㈴摣㐱㜶戸㍥㑢㙢㘶搷慦㑡㌲扢〱㤴㈴慡㈷戲攰㜲㥡㐵ㅡ㔶㘷挱つ㈹挳攳㜶戸㐳搸㘰ㄸ愶挲㠳攱㌰㜸㐸戸挳攸㝦〴㑡ㄲ敥㜰㍢摣晥㤶搶㠴㍢㐰㤵㈴㕣㑥戲㐸㔴て㘵挱攵挴㡢㌴㍣㤸〵㜷戰㌲㍣㘰㠷㍢㥡つ㔶挲㔴ㄸ敥㔰㜸㐸戸㐷搲㝦㌸㑡ㄲ敥㔸㍢摣㤱㤶搶㠴㍢㑡㤵㈴摣搱㈸㐹㔴昷㘴挱攵㔴㡣㌴摣㥤〵昷㐸㘵㔸㘵㠷㍢㠱つ㡥㠵愹㌰摣昱昰㤰㜰㈷搱㝦㈲㑡ㄲ敥㘴㍢摣挹㤶搶㠴㍢㐵㤵㈴摣愳㔱㤲愸㙥捦㠲换挹ㄹ㘹㔸㤱〵昷㔸㘵戸捤づ昷㔸㌶㌸ㄵ㈶〹㌷㝤戴㙤㍤〲㥢扢摡昱昰㤰㜰愷搱㥦戳㌵ㄲ敥㜱㜶戸㜱㑢㙢敥㙡〹㔵挲摦㈲㤱㠴㤴愸㤶㘵挱攵散㡣㌴摣㤴〵㌷愵っ㌷摡攱挶搸攰〹㌰㐹戸㜱㤴捣㈳㐳㝡换㠴㍢ぢㅥㄲ㙥㠲晥㌵㈸㐹戸㐹㍢摣㍡㑢㙢挲慤㔷㈵晣㉤ㄲ戳㈱㈵慡㙢戳攰㜲㙥㐶ㅡ慥挹㠲摢愰っ㑢散㜰㘷戲挱㐶㤸ちて㠶戹昰㤰㜰㘷搱扦ㄹ㈵〹昷㐴㍢摣㤳㉤慤㌹ㄸ㑥㔱㈵㌹ㄸ㑥㐵㐹愲扡㍣ぢ㉥㘷㙢愴攱戲㉣戸愷㉢挳愵㜶戸昵㙣昰っ㤸ち挳㍤ㅢㅥㄲ敥㐹昴㍦〷㈵〹户挱づ㜷㠱愵㌵攱㥥慢㑡ㄲ敥㜹㈸㐹㔴ㄷ㘵挱攵晣㡤㌴㕣㤸〵昷〲㘵㔸㘸㠷㍢㤷つ㉥㠴愹㌰摣㐵昰㤰㜰㥢改扦ㄸ㈵〹㜷扥ㅤ敥愵㤶搶ㅣっ㤷愹ㄲ晥攲搷㕣㈱㈵慡〵㔹㜰㌹愳㈳つ㝦捦㠲㝢愵㌲㥣㘳㠷㝢ㅡㅢ扣ち愶挲㜰慦㠱㠷㠴㝢〶晤㤷愲㈴攱㥥㘹㠷㝢扤愵㌵戳㝢㠳㉡挹散㜲㍥㐷愲㍡㈳ぢ㉥攷㜸愴攱昴㉣戸换㤴攱㌴㍢摣㜳搸攰捤㌰㐹戸改ㅤ㑣㑦㙦㤹扢摡㜲㜸㐸戸ぢ攸扦〲㈵〹昷㕣㍢摣㤵㤶搶㠴㝢㠷㉡㐹戸㜷愲㈴㔱㌵㘷挱攵慣㡦㌴捣换㠲扢㑡ㄹ收摡攱㉥㘴㠳㜷挳㔴㌸扢昷挱㐳挲扤㠸晥昷愳㈴攱㉥戲挳㝤搰搲㥡㜰ㅦ㔲㈵〹昷㘱㤴㈴慡㤳戲攰㜲ㅥ㐸ㅡ㘶㘷挱㝤㔴ㄹ敡敤㜰㉦㘵㠳㡦挱㔴ㄸ敥ㄳ昰㤰㜰㉦愷㍦㈷㠶㈴摣㉢散㜰搷㕡㕡ㄳ敥㍡㔵㤲㜰㥦㐲㐹愲㥡㤵〵㤷㌳㐳搲㔰㥤〵昷ㄹ㘵㤸㘹㠷扢㠴つ慥㠷愹㌰摣㡤昰㤰㜰慦愵晦㈶㤴㈴摣愵㜶戸㥢㉤慤戹慢㍤慦㑡昸㕢㈴㕥㠰㤴愸ㄲ㔹㜰㌹㔷㈴つ昱㉣戸㉦㈹㐳捣づ昷㐶㌶昸㌲㑣㠵攱㙥㠱㠷㠴扢㡣晥慦愱㈴攱摥㙣㠷晢㠶愵㌵攱扥愹㑡昸㕢㈴摥㠲㤴愸愶㘵挱攵散㤱㌴㑣捤㠲晢㡥㌲ㅣ㙢㠷㝢ㅢㅢ㝣ㄷ愶挲㜰㍦㠰㠷㠴㝢㍢晤㍦㐴㐹挲㕤㘹㠷晢戱愵㌵〷挳㈷慡㈴〷挳愷㈸㐹㔴㤳戲攰㜲㍥㐹ㅡ㈶㘶挱晤㕣ㄹ㈶搸攱慥㘲㠳㕦挰㈴攱收㍤㘷昸ㅡㅥㄲ敥㍤昴晦ㄶ㈵〹昷㕥㍢摣敦㉤慤〹昷〷㔵㤲㜰户愲㈴㔱ㅤ㤹〵㤷ㄳ㑡搲㌰㈶ぢ敥㑦捡㌰摡づ昷〱㌶昸㌳㑣㠵戳晢ぢ㍣㈴摣㠷攸晦ㅢ㑡ㄲ敥挳㜶戸㝦㔸㕡㜳㌰晣愹㑡昸ぢ㘷㌸㑡㔴挳戲攰㜲㡡㐹ㅡ㠶㘶挱㉤㔶㠶㈱㜶戸㡦戳挱づ㄰㠵攱㜲攲㐹挲㝤㠲晥㥣㜳㤲㜰搷㔸ㅢ㉣㤴㜱挲㠹ㅢ㈶㕣㑥㌴挹㤲㠴换〹㈶㠹㙡㘰ㄶ㕣㑥㍡㐹挳㠰㉣戸㥣㠸㤲㠶晥㜶戸敢ㄸ㤵㤳㔲㠵攱㜲㉡㑡挲㝤㥡晥㥣㠵㤲㜰㥦戱㌶㈴㕣㑥㐱愵〱㤶㜱敡㐹㤶㌸ㄸ捡㌸㘷挴㙦昵㉥㙥ㄶ㠹ㄹ挹ㄹ㌳戶㤵㜵㉣摦扤攳搱〳扢㉣㜹㙦攳〷㤷扥㌲慤摦㈷扦㉤㕤晡捡㠷㤷㙥晡敤昱㜸扦昵换㤶㍤㌵昲㠶㑤ㅦ㜴㑦摤㔸晣攰戶搱㌷㥥敡㍤昱搴㤳㔲㤳づㅥ㜶敡㌱戳㡥昲㡥摢愱㑦㠷づ㥤㍡ㅤ戰攳㠶㕤て㜴㥦㜹搲挳攲挹搷㜷愹㉢攱㐵㜱ㅢ㈶㙤㠸攸㉦捥戰慣㘷㠷攴㌴ぢ㘲攸昶慦㙢㜱㜳扡㐵捥敥㍤㡢㡤慥ㅤ捡昶挱㥦昶散慤攰㑥换ㅥ敢ㅢ㈱㠴㌹㤹㠲搲っ㌹挹〵㜸㜸戹㌹愹㈲㐱㙤挲〶㐰㜱捥愳㕤㐱挹㐹ㄲ戴㥣〹㠳㤳㈵ㄲ挶㘶ㄳ〶攷㌲摡ㄵ㠶㥣晣㈰㡣っ㡡㌸〹㈲㘱扣㘰挲攰ㅣ㐵扢挲攰㘴㠷愴攸㐵㙣〸㌹挵㤱〳㡡㔳ㅤㄲ搴换搸〰㐵㥣㠹㘸㔷㔰〳㠹㈵〷〶愷㌰㈴㡣㝦㤹㌰㌸挳搰慥㌰攴㤴㐴づっ㑥㑤㐸ㄸ慦㥡㌰㌸㜳搰慥㌰㡥㐴〳戹搹攰㤴㠳㠴昱扡〹㠳㌳〲敤ち㐳㑥㈱攴㘴㠳㔳〹ㄲ挶㥢㈶っ㕥改户㉢㡣㘹㘸㐰㘶㘳〶㥢戵㕥㙥㑥ㄱ㐸ㄸ㙦㥢㌰㜸〵摦慥㌰㜸㝤㈲昷㥢㜷戰㈱ㄲㄴ挰愲㙢㜶㔰㥣〸㤰愰摥挳〶昶ㅢ㕥愷户㉢㈸㜹㘱㑦ㄸㄹ挷ㄴ㕥攰㑢ㄸㅦ㤸㌰㜸晤摤慥㌰攴〵㝢づっ㕥戸㑢ㄸㅦ㥡㌰㜸㕤摤慥㌰攴㠵㜸づっ㕥㤰㑢ㄸㅦ㥢㌰㜸扤摣慥㌰攴〵㜶づ㡣㌳ㄵ㡣㑦㑤ㄸ扣づ㙥㔷ㄸ昲挲㤹㌰㘶戰昷搶换捤ぢ㘸㤹㡤捦㑤ㄸ扣扥㙤㔷ㄸ昲㠲ㄸ慤㘷づ搱㐵ち挶㤷㈶っ㕥户戶㉢っ㜹愱㥢〳㠳ㄷ扣㌲ㅢ㕦㥢㌰㜸㍤摡慥㌰攴〵㙣づ㡣愵ち挶户㈶㡣ㅢ摢ㅢ挶㌲㌴㤰晢〹㜳戳㠲昱扤〹㠳搷㡦敤㥡つ㜹挱㤹㤳㡤㤵ち挶㔶ㄳ挶慡昶㠶㈱㉦㈴〹㈳㘳㑦攱〵愵ㅣㅢ㍦㤹㌰㜸扤搷慥搹㤰ㄷ㠸㌹搹攰㠵愲㠴戱捤㠴昱㜸㝢挳㤰ㄷ㝥㌹㌰㜸〱㈸㘱晣㘲挲攰昵㔹扢㘶㐳㕥搰攵挰攰㠵㥤㠴昱㥢㠴㈱攴挵て扤㝥㐷㤹㈳㕡扥㜹戹㈳㉦㈹㡢慤㑢捡挱戰㤴㡡㈲㈱㉦㑢攸晥愷摤㥤ㄷ㈲搲扤㈸换㝤戳㌲晣戹搵㕣㤹愰攲昰㘴㕤搶昸㈳换㈰㑦慡搹㐰㠷捥㌶㍣㍣㡤㤶敥扦㘵戹昳挴㔶ㅡ㝥捤㌲昰㔴㔳ㅡ㝥挹㌲昰攴㑦ㅡ晥㤳㘵攰改㤸㌴㙣换㌲昰〴㐹ㅡ㝥捥㌲挸ㄳㄹ㘲㜵搹戱扥愷摣㝦捣㜲攷挹㠴㡣戳㌵换挰㡦㜷㘹昸㈱换挰て㕣㘹昸㍥换挰㡦㐰㘹昸㉥换挰て㈵㘹昸㌶换挰㡦〹㘹昸㈶换挰〳户㌴㝣㥤㘵攰愱㔴ㅡ扥捡㌲昰攰㈶つ㕦㘶ㄹ㜸戸㤱㠶㉦戲っ㍣〰㐸挳攷㔹〶敥㤲搲昰㔹㤶㠱㍢㠹㌴㝣㥡㘵攰戰㤵㠶㑦㌲つ㙥㡥㕦㌹戰㜷〷ㄹ昸〶㕢づ㔰㔹敥㘹㤶㌹㥥㘴㜹て戳㑣捥㘴㜹㑦㔹㉥㘱戵〲敢㌹挶ㄹつ〹愳慥愹扡挶攰㝡ㄲ挴㉥敡㕡㕢㌹愷戱愹摥㕣昲搲㔸㈲ㄷ戹攴㉥㠲改㑥昷㍥ㄹ慥㉥㔳㐵㔹㘶㙥愶㔷挳㜴戶㑣㕣㍥昳㝦㕤ち搳〹扤攱ㅢ慢愰昷㉡扣ㅡ挶㕣〹搳㌶㉦㙢ㄹ捣㕥挸㡥ぢ㡦㙥㘲ㅤ㑣敢愶㉣ぢ收㤷挹搳昷㙥昵㘹摤㌴㝤㤸㜳改㔳摥敡搳扡㘹晡㤰〷改搳慢搵愷㜵㔳晡㤴戱㙤㑥㍢戱㠴搷㝢〳慥㔹挲搷㘷〳㥥摢挴搷㤷〳捡搸㜲㘱て戶㕢搸㠳慤ㄶ昴攸晣晦〰㠸〹㑡换</t>
  </si>
  <si>
    <t>㜸〱捤㝤〷㤸ㄴ㔵搶昶摣㠱㈹愶㥡㌰㉤ㄸ㠱挵〱ㄱㄱㄴ㍢〷ㄵ㜱㘶㘰㈴〹㐸㔲ㄱ㠱づ搵㌲㌸〱㈷㤰㡣敢慥㡡〹㕤㘴㔹㜳挰挴愲㘲ㄶ〳攲〸㠸㘱㌱㘷挵㡣㘱㑤㡢㘱㑤㙢昸摦昷㔶摤㥥敡敥敡㘶㍥晦㥤攷搹㠱㍥㕤昷愴㝢敥㜹㙦㔵㔷摤㍡搵㕤㈴㡡㡡㡡㝥挳ㅦ摦昹搷㤹ㅢ㝤愷㉣㙥㙡㌶敡㠶㔵㌵搴搶ㅡ㠹收㥡㠶晡愶㘱ㄵ㡤㡤戱挵攳㙢㥡㥡㍢㐱㐱㥢㕤〳㜹㔳挹散愶㥡㈵㐶改散〵㐶㘳ㄳ㤴㑡㡡㡡㑡㑢昵㘲挸昷戲㕥㙥搵搰㘹愵㜷㈶㠱㔶㤱慥㤱㜴㈱㈹㈵搱㐹㕣㈴㕤㐹扡㤱㜴㈷改㐱㔲㐶攲㈶搹㠵愴㈷㐹㉦㤲㕤㐹㜶㈳搹㥤㘴て㤲㍤㐹搸扦摥㥢愴て㐸户扥㈰㔳慢㉡㈷挶攷㘱㌴㔳㥡ㅢㅡ㡤〳捡愷㥢㌱て昷㝡㠷㜹㠷〵㠲㕥摦㌰捦〱攵㔵㉤戵捤㉤㡤挶昰㝡愳愵戹㌱㔶㝢㐰昹愴㤶㜸㙤㑤㘲㥣戱㜸㙡挳㠹㐶晤㜰㈳敥昱挷㘳㠱㠸㌷㄰っ愶愲搱㐸户㍦挰昳㠴慡捡㐹㡤㐶慡改扦攵戳ㅦ㝤㑥慣慡ㅣ㌶挱㘸晥㙦昹摣ㅢ㍥攱㜲㘴㐳㕤慣愶晥扦攴戴㠴㤸晡㐷ㅡ㠹ㅡ㠲㙦ㄸ㡤㌵昵㈷っ㐳搸ㄹ㠹㐶㉢㍣慣ㅡㄹ㑦挴㥡㥡慢㡣摡摡挹㐶㡡戸㜷慢㘳捥㡣㐶愳㍥㘱㌴昵愸ㅢ戵㈸㘱搴㕡攲愶搲扡改戱挶〹戱㍡愳㌳㌷捡敡㑣摣挶㈴㡤晡收㥡收挵摤敢愶㌵ㄹ㤳㘳昵㈷ㄸ㔴㈹愹㍢愲愵㈶搹戹戳攸摣戹愸搳㝥㑥挱㐸㙣㠶㔵㌷㈶慡收挶ㅡ㥢㘵㡢愸㜹㥤㜴㙤㌳㐴〶㥥ㄱㄶ㘷㔱㜹㤶ㄵ㘱㥡㔲㔳㌷捥㘸慣㌷㙡搹〹挱ㅢ㥡愵㈴㜳㘲愶㍥㥤ㅣ㌵ㅡ〲㈳扡㕡晢ㅢ㠷挲㕥昴㜲㤲晥㈰摡〰㄰昷昰捡捡㠱摥昰愰〱〷㤷てㄸ㌴戰㈲ㄲ搲昷愱㝣㈰㠸攸晣㈶㜶㕥扢㍤㜷愰攲搹戱攲搹昱攲搹㠹攲搹挹攲搹㐶昱散㔴昱散ㄳ㡡㘷捦㉤㥥㕤㔳㍣㝢㕥昱散ㄳ愱愳晥㑡扢㜴㈹戶晥挶㑦摢摣扤晡挶昳挷㕤戴敡攰㔱㙦敥愳㥤㈲戸扦捡ㅤ㜷㄰㌶昴晤㐰戴挱㈰㔹昱㠴㈲晡晥㤴て〱ㄱ攲㘵挴挳㤸㑥㍤愶挷㕥㔷ㅤ搸㜷晣愵㝦㍦㝦搹㝤㘳㙥戹㐴㜰扦㤷捥づ愰昲㠱㈰摡㌰㄰昷昰㡡㘹戶挱㐵挳晡㐱㤴㝢㐰㠴㜸搶㜲㜶㝣昷愲挰㍢㤷㝥㔳㜹改扢摤㙥㍥㘴昵㜲㤷攰昱㐳㍡昳㔱搹て愲〵㐰戲㈲㡢〴昵㈰攵㈱㄰㈱㥥戴㥣㠵敦晢㙡挲㔹ㅦ摣㔳戵敡ㅦ㤱昳㜶捣㝡㜶㥡攰㝣㤴捥㈲㔴㡥㠲㘸〷㠳散㤲ㄹ㤹搷ㅢ搰て愱挲愱㈰㐲㙣戲扣㈵㜷摢扣攵慤〱搱㡡摢㈷昶㔸晣搰㕦挶㉣ㄵ㍣愰㐹㙦㠷㔱㜹〴㠸㜶㌸㐸㔶㘸攱愰㕥㐱㜹㈵㠸㄰て㕢捥昶㝡㜷搰扤搵㥢慦慦㕣㜹挴㠰ㅦ㥦㍤搶搷㕢昰挰㈸㥤㡤愴昲㈸㄰慤ㅡ㈴换㔹挴慦ㅦ㐱昹㘸㄰㈱搶㔹捥㌶㍦晦晣㥤㑦敦晢昱攸摢㝡㙣㌹昴捣搹捦搴〸ㅥ㘰愵戳戱㔴ㅥ〷愲㡤〷挹ㅥ愷挷愷ㅦ㐹㠵〹㈰㐲摣㘹㜹㝢昶愳〳敦敥扡㙡挹㤸ㄵ㌷摦㝡㔴㥦㈹ㄳ扣㠲ㄳ㑤㝡㥢㐴攵愳㐰戴挹㈰㔹愱㠵〳晡ㄴ捡愷㠲〸㜱㡢攵㙣昲搷敦昴搶搷摤㌳攱愱㡤搵㥢ㅦ散户㜵㡣攰ㄱ㕦㍡㥢㑥攵愳㐱戴㘳㐰戲㐳昳㠶昴㘳愹㌰〳㐴㠸ㅢ㉤㙦㝤捥扦收搴㝤愶㌵㔷慥㝥愶晦㔳㡤扢㙥㥤㈷昸搱㈱扤捤愴昲昱㈰摡㉣㤰ㅣ㙦ㅥ㝤㌶ㄵ收㠰〸㜱㡤攵敤摢晢攷㥦ㅡ㕡㝢㜲攵㡤敢㤷ㅦㄲㅤ搲敤㌵挱捦㈰改㉤㑥攵〴㠸㤶〴挹ㅡ㘸㈴愰ㅢ㤴愷㐰㠴戸捣㜲戶攱敥㤹ㄷ㜵㥥㈷挶㍦戰㘱户换㑢敦慡づち㝥㤶㐹㘷㜳愹㕣〳愲捤〳挹㜲ㄶ㡡敡摣㐷昵㕡㄰㈱㉥戱㥣摤扤晢㝥㤵摦敤㉡㉡㉦㍥散㤳㜵㡦㕤㜴晥㜶挱捦㐴改慣㥥捡つ㈰摡㝣㤰散㜱㝡㐲晡㐹㔴㘸〴ㄱ攲㐲换摢㠲㡡㌹㕤捥ㅤ扣㜱搴ㅤ换㈲戳慦㥤搴㝣戳攰㠷慢昴搶㑣攵ㄶ㄰㙤〱㐸戶㌷慦㔷㕦㐸㠵㐵㈰㐲㥣㘳㜹㕢㜱愸㥥戸㘷㐸摦戱搷㍤㌲晥捡ㄳ愷ㅣ昲慡攰愷戴昴戶㠴捡㈷㠳㘸愷㠰㘴つ㌴ㅣ搱㑦愵晣㌴㄰㈱晥㘸㌹敢㍤㜷㙤扦ㅦ㍢ㅤ㌳敥挲㘹㡦扤晣㥦つ搷摣㈵昸㘹㉦㥤㥤㐱攵㍦㠲㘸㘷㠲㘴㌹㡢昸昴㍦㔱晥㘷㄰㈱㑥戶㥣扤晥晤㡣㝢㈷ㅥ搵㔴戹㜶㘹晦敤㘷晦㌶晣㑤挱戳〶改散㙣㉡㥦〳愲㉤〵挹ㅥ愷㈷愲㥦㑢㠵昳㐰㠴㘸戱扣つ扡敥搳扢㙡敥㝢㘷摣戲㉤㤷ㅣ㝡攷扣晤扥ㄱ㍣晤㤰摥㉥愰昲㠵㈰摡㌲㤰散搰扣晡㐵㤴㕦っ㈲㐴㠳攵㙣挶㌹摢户㌵㜶敥㌵攱戲㌳㕦㝥㙢㥤搱㜹戲攰㘹㡣㜴戶㥣捡㤷㠰㘸㉢㐰戲㥣㠵㐲晡㕦㈹㕦〹㈲㐴㡤攵散㤴昵㈷昵摤昲㘸㐹昵ㄵ㑢㑢晥搵敦敥昱㉢〴㑦㠷愴戳㑢愹㝣ㄹ㠸㜶㌹㐸㤶戳戰㕦扦㠲昲㉢㐱㠴㐸㔸捥戶㙥て扢㕦敡㜶晤搸慢㔷扣㍣散昰㤱㤳㕡挴㥥㄰㑢㘷㔷㔳昹ㅡ㄰敤㕡㤰㙣㘷㍥晤㍡捡㔷㠱〸㜱扣攵散㤶㔱昳㝢昶搸昰挸攱㘷㥥戳㘰㐷愷敤晢挶〵㑦捦愴戳ㅢ愸㝣㈳㠸㜶ㄳ㐸戶戳戰㝥㌳攵慢㐱㠴㌸摡㜲搶敢晤ぢ㍥ㅢ㍢晤慣㌱㉢㌷晥㘱攵㔷摢ㅥ敤㈱㝡㐳㉣㥤慤愱昲㉤㈰摡慤㈰搹捥扣晡㙤㤴慦〵ㄱ攲㈸换搹愷つ㍤㐶昵㜹戱扥攲慣摢扡㥥㍡㈷搴㌳㈲㜸扡㈸㥤摤㐱攵㍢㐱戴扢㐰戲攷㠶㌷慣摦㑤㠵㝢㐰㠴ㄸ㘷㜹㝢晤慡㥦㐷㉣㝣㝣㐴昵戹晤扥㕤戶㘹攴㉢摤扡摤〷昱㔱搶㘷晢挸挶搸㐲㥣㈰戵㥤㝢攱㠴㤳晦㜶㝥搲㠹㜳捥㔴㌰ㄵ㑥㜹扤挹愰㈷收㡦㤵㤴挳㙤㝢㑦㜵㌸搹扢愵㡥慥愹㑦㌶㉣㤴攷㍥摤㔲搵㌵戵捤㐶愳㙣㤴愵昰㘶㥥扦挹㜶昷搴愸㐵㌸昱㑤㤸愷㐹扢愶慡㡣挶㘶㥣㌰㌶㉦㙥㍢㜷敡㕢ㄹ㙢㌲摡㥡㐳㉤摦㤵つ㉤昵挹愶㍥捥挲㈹捤戱㘶愳㜷戶慣捤㐹㡥搹ㄴ㥣㑣ㅡ㑤㌲愴㝥搹㘶搳㘳戵㉤㐶挵愲ㅡ㔳晣㠷㉣㌱㑥㉢ㅢ攲昹愵搵㡤挶㐹㘹㘹㑥㐴ㄵ戸搶㔹㈰㝤攷㡣搲ㄴ㤹㜱㤵㔷捤㙤㘸㌲敡㘵㜸㐳敢㈶搵㈴㑥㌴ㅡ愷ㄸ扣㔲㌲㤲㜲愸扢㔱㘴㥤摢づ㥤㔸㡦㠱攲㙣㌵㌹挰捥㘵愲㡤晡愴㤱㐴扣昳㤱攵挵㔳㘳昱㕡㘳昷っㄵ戳㑦〸昶捡㘰㔷㌷㈴㕡㥡慡ㅡ敡㥢ㅢㅢ㙡㌳㈵ㄵ挹〵㌱㥣㑦㈷㡦㙣㐸ㅡ㥤攵㕦㤱㐹㐵㔱愷㑥㐲ㄴつ㜶㍡㌱愵敦㈶㥥扡摡㈶〹㑦㤰ぢ㉢摢㈶ㄱ㤵ㅤ㑦㜹搳㥥戱㘱㥢㘴搴摦扦㘰㈴昶㐹㐸㙤㑦㐱㙤㠷㐹㑡愳㍤㌳㜷扣㘱㤳㠱て㜰愸㌵戸㔷ㄶて捣敦戲㙤㕥敥㈴㔲ㅢ㉡扣㌰愶㜶㠱愴㐹户改戹搷戱捡挵挵扤慣搱㡦㕡㠰慢愶搱戱晡㘴慤搱㔸昰戲㕥㌰㈲㝤ㅤ挹晤㈴て㤰㍣㐸昲㄰㐸挹㐸ㅣ攳昲㘶戴㌳㌴挴㈲戱戸㘴㘱㑤戲㜹慥㌶搷愸㌹㘱㙥㌳㜸㔸づ㈸㉤㘵扡㜳晥昴㠷挱搲㌷㤰㍣〲攲㜲ㄵ㘹慤㜸㉦搲㕣晡愳㝣摢〸搲慤愲愵戹愱摣㥡ぢ㉥㔱搲ㅦ扣晦晢㔵㕢㌱慣㜴㜹㤱㠸慢昸愶㤲㍡㕣㡢㌶㜵敡攴㤴㡡搱戱愶戹捤摣ぢぢぢ改㙦ㄳ挹㘶㤰㙥㡦㠱㑣ㄸ㙤搴㘲ㅦ晥㙦㉤〰㤴散〳㥦㍢扤搰攴昹搵敥㜵㔳ㄶ搷㈷收㌶㌶搴㘳ㄹ㘶㘴慣㌹㔶㤱挰搵㜴㤳㠸㘹㜵攳ㅢ慡㕡㥡戵扡搱㌵㜸敢㔶㌷搹㤸㙦挴㥡慢㜰㡣㙥敥㕥㌷ㅥ㔷攲昲㈰㍡㈶戹愸愴捥扣㠸ㅥ㘹㌴㈵㜴㕥㙤㡦挱㌱㘹㤱㠶㉤ㅣ㘴扢搵昱㈸㘳㉣㙡愶敢㉥㜵㤳㘲戸㕡㙦搶愱㌴㔴㕡㤹㕢戴散㉥㜹捡摡㘵戵攰挱㉤㌷㙤㕥扡㑡㠶改愹㠸搳〶ㅦ㥦昸挴敤㙣搱散摤㘷㕡㜳㑤㙤搳㌰㉢扤挳㐶㌶㘰㌵挶㤰ぢ㔱㑣扢愶㘱㜶㘹〵挱捡摥换㜹戹㍥㌱ㄱ㌷摤㈲㤴㈳ㅡㅢ㕡收昷㠳慦晦㤶ㅦ晡㉡搲户㠰㕣昳搵㥡㐳昶扤敡昶摦慣昷搳戱晦挸㍦㝤〰㌵㕡㐱搸挴㥢晣搳㥦挴㥢慢㤰慣㘴㈰㌴ㅣて戳㜹㔶ㄶ㑡愰摦慤づ愳㥤摡㘸挸愵㤲㔲搹㔸㍣摦攸㕥㜷㜴㐳攳㠹昱㠶㠶ㄳ〹㝥て搹㙡㥡㙢ㄸ捤㕣㝦攸㙡㉤户㜰㕢〸搱愹㔳挶攲㠲㙤愱㘲㙦昸搷㥥〶改㕥㔱㕢㕢慥㍣㌶㘹捦㠰搵〹ㅦ㈷摡戳搸搸搷㠳搳ㅣ敦㠱〷ㅥ㔸㌵㘵㜲㐵昹㔴愳㙥㝥㉤㑥〵捡慢㡦昵昹换㐷㑥慥愸㥥㍡㙣㔱㙤搳㈲攱㐱㉡戸㘸戰戱㘴昱慡挸搹㐵㠷㍦昰攱挳㍤扢㍣昹戴㕦ㅣ㘴〹㜲㤶㈶〶挱㜹㌹㕥晡ぢ㈴㉦㤲扣㐴昲㌲挹㉢㈰㘲㝦㤸昲愸㠵敤捣㍦晤㌵戴昵搷㐹摥〰挱戱㐷挲㠱㐳捦㌶昲㜸攸㜱〹戱ㅦ摥㜸挴搱摦㈶㜹〷㐴散て挲㝤戳㐸㝦ㄷ㈴㉦挰㠳愹搱ち㠲捥搳扤敢ㅦ㠰攱搲ぢ挸挴㄰㘸㄰㘴㥤㐹搵㤹㐶㥤㈹ㄴ扢挳㡤㘳㜲㜶戳〴㌹㑢㉤〷挰慣㥣昶㥦㤳㝣㐱昲㈵挹扦㐸㜶㠰㠸㌲㤸㍡㈷攷㙢敡㝣㐳昲㉤㠸㉤㌹摦愱愹㝤て㤲㜵㕣ㄶ〷㠲㈷㌳昵〳㌶昴ㅦ㐱挴㐱㈰㘶愶㝥挲㔶摥㑣つ愳㐱㉢〸愲㘹换搴㉦㘰戸昴〲㌲攱㠱㠶㔳愶㝥晥㌵㑦愶晥㘳〹㜲搶㤱㝣昰㔴㡥㤷慥〹㤰㉥㈴愵㈴㍡㠹ぢ㐴晣ㅢ愶捥㤹敡㐶㥤敥㈴㍤㐰㙣㤹㜲㤳㘷㑤㈳㍦㥣昷㘷〷㍤挹散〵㈲㠲㘸㥡挹搹ㄵ捤扣挹〹搰慡ㄵ㈴㈳㌹㝢挰挴愵ㄷ㤰㠹㄰㑣㥣㤲昳㝥扥攴扣㘷〹㜲搶挵㈲昰㔴㡥㤷㕥㡥㑥昵晥㈴〳㐸昶㈱ㄹ〸㈲摥捣㥢㥣㐱搴搹㡦㘴㌰㠸㉤㌹㐳搰搴㠶㠲㘴㑦愳㈸㝡敡捦摥づ㠰㔰㍦㄰㐴ㅣ㠲愶㤹愹㘱㘸收捤搴挱戴㙡〵挹挸㤴ㄷ㈶㉥扤㠰㑣ㅣちㄳ愷㑣㍤㤱㉦㔳㡦㕢㠲㥣㌵扦挳攰愹ㅣ㉦晤㘰㜴慡ㅦ㐲㜲㈸挹㜰㤲挳㐰挴愳㜹㌳㜵㌸㜵㉡㐸㉡㐱㙣㤹ㅡ㐹㥥㌵㡤㐶挰㜹㝦㜶㔰㑤收ㄱ㈰愲〲㑤㌳㌹愳搱捣㥢㥣挳㘹搵ち㤲㤱㥣㜱㌰㜱改〵㘴愲ㄲ㈶㑥挹㔹㥢㉦㌹户㔹㠲㥣㌵捣㤱昰㔴㡥㤷㍥ㄵ㥤敡搳㐸愶㤳ㅣ㑤㜲っ㠸戸㌹㙦㜲㘶㔰攷㌸㤲㤹㈰戶攴捣㈲捦㑡捥㈸㌸敦捦づ收㤰ㄹ〳ㄱ㕣づ㌵㤳ㄳ㐷㌳㙦㜲慡㘹搵ち㤲㤱ㅣ〳㈶㉥扤㠰㑣㡣㠶㠹㔳㜲㔶攴㑢捥㈵㤶㈰㘷㑤㜶㉣㍣㤵攳愵搷愳㔳扤㠱㘴㍥挹㐹㈴㡤㈰攲挲扣挹㘹愶㑥ぢ挹〲㄰㕢㜲ㄶ㤱挷㐳㌵㍥挷挶攱慤㍦㍢㔸㐲收挹㈰攲㐸㌴捤攴㥣㠲㘶摥攴㡣愷㔵㉢㐸㐶㜲㑥㠷㠹㑢㉦㈰ㄳㄳ㘰攲㤴㥣㈵昹㤲戳搸ㄲ攴㉣㌱㑦㠲愷㜲扣昴愵攸㔴㍦㤷攴㍣㤲昳㐹㉥〰ㄱ㑤㜹㤳戳㡣㍡ㄷ㤱㕣っ㘲㑢捥㜲昲慣㤹挳㔵敢晥散㘰〵㤹㝦〵ㄱ㔳搰㌴㤳戳ㄲ捤扣挹㤹㑣慢㔶㤰㡣攴㕣〶ㄳ㤷㕥㐰㈶愶挲挴㈹㌹㜳昲㈵㘷戶㈵挸㔹㌲㥦づ㑦攵㜸改慢搰愹㝥㍤挹つ㈴㌷㤲摣〴㈲㡥捤㥢㥣搵搴昹㍢挹ㅡ㄰㕢㜲㙥㈵㡦㐷㘷捣㥣愳攱扣㍦㍢㔸㑢收敤㈰攲㔸㌴捤攴摣㠱㘶摥攴ㅣ㐳慢㔶㤰㡣攴摣つㄳ㤷㕥㐰㈶㘶挰挴㈹㌹搵昹㤲㌳捡ㄲ攴摣〱㤸〹㑦攵㜸改敢搱愹晥㌰挹〶㤲㐷㐸㕡㐱挴㠸扣挹搹㐸㥤㑤㈴㥢㐱㙣挹搹㐲㥥戵㕢ㅤて攷晤搹挱ㄳ㘴㍥〹㈲㘶愳㘹㈶攷㈹㌴昳㈶㘷ㄶ慤㕡㐱㌲㤲昳㌴㑣㕣㝡〱㤹㤸〳ㄳ愷攴ㅣ㤰㉦㌹㐳㉤㐱捥つ㡤㌸㍣㤵攳愵扦㠲㑥昵㔷㐹㕥㈳㜹㥤攴つ㄰戱㙦摥攴㙣愳捥㕢㈴㙦㠳搸㤲昳㉥㜹搶㙥㤵㠰昳晥散攰㝤㌲㍦〰ㄱ〶㥡㘶㜲戶愳㤹㌷㌹㐹㕡戵㠲㘴㈴攷㘳㤸戸昴〲㌲㤱㠲㠹㔳㜲㝡收㑢捥㉥㤶㈰攷〶捤㕣㜸㉡挷㑢摦㠱㑥昵慦㐸扥㈶昹㠶攴㕢㄰搱㌵㙦㜲扥愳捥昷㈴㍦㠰搸㤲昳ㄳ㜹㔶㜲㜸捦愷㍦㍢昸㤹捣㕦㐰〴敦昵㤸挹昹ㄵ捤扣挹㤹㐷慢㔶㤰㡣攴㠸㘲㈶愷㠰㑣搴挲挴㈹㌹㍦晣㤲攷㜴昹㝢㑢㤰㜳挳愹ㅥ㥥捡昱搲㕤攸㔴敦㑡搲㡤愴㍢㐹て㄰昱ㄵ㑣㥤㑦㤷㔹ぢ愲敦㐲搲ㄳ挴㤶㥣㕤挹戳㜶慢〶㌸敦捦づ㜶㈷㜳て㄰挱㕢㔷㘶㜲昶㐴㌳㙦㜲收搳慡ㄵ㈴㈳㌹㝤㘰攲搲ぢ挸㐴㈳㑣㥣㤲昳㜶扥攴扣㘵〹㜲敥㥦㌵挳㔳㌹㕥晡㐰挶扥㉦挹㈰㤲晤㐸〶㠳㠸㔷昳㈶㘷〸㜵㠶㤲ㅣ〰㘲㑢捥㌰昲慣攴戴挰戹㑣㡥㠷㑣㉦㠸㔸〸㤶㤹ㅣㅦ㥡㜹㤳戳㠰㘱戵㠲㘴㈴㈷〸ㄳ㤷㕥㐰㈶ㄶ挱挴㈹㌹㥢昳㈵㘷㤳㈵挸戹ㅤ戸〴㥥捡昱搲て㘳散㈳㐸づ㈷愹㈰愹〴ㄱて攷㑤捥㐸敡㡣㈲愹〶戱㈵㘷㌴㜹ㅢ攱ㄵ㥦㔶㈷攳㑤㈶㘷㉣㤹攳㐰挴愹㘰㤹挹ㄹ㡦㘶摥攴㥣挲戰㕡㐱㌲㤲㌳ㄱ㈶㉥扤㠰㑣㥣〶ㄳ愷攴慣挹㤷㥣扦㕢㠲㥣摢㥢㘷挰㔳㌹㕥晡㌱㡣晤㔸㤲ㄹ㈴挷㤱捣〴ㄱ搷攷㑤捥㉣敡捣㈶㤹〳㘲㑢㑥㥣扣㡤昰㡡攴晣ㄱ㙦㌲㌹㐹㌲つ㄰昱㈷戰捣攴愴搰捣㥢㥣㌳ㄹ㔶㉢㐸㐶㜲㙡㘰攲搲ぢ挸挴㥦㘱攲㤴㥣㡢昳㈵攷㈲㑢㤰㜳扢昶㙣㜸㉡挷㑢㙦㐴愷㝡ㄳ㐹㌳㐹ぢ挹〲㄰㜱㙥摥攴㉣愲捥㘲㤲㈵㈰戶攴㥣㐲㥥戵㕢昱づ戰㑣捥㘹㘴㥥づ㈲㜸攳搷㑣捥ㄹ㘸收㑤捥㔲㠶搵ち㤲㤱㥣㍦挱挴愵ㄷ㤰㠹昳㘰攲㤴㥣〵昹㤲搳㘲〹㜲敥㍥㕦〰㑦攵㜸改ㄷ㌰昶ぢ㐹㤶㤱㕣㐴㜲㌱㠸㘸挸㥢㥣攵搴戹㠴㘴〵㠸㉤㌹㉢挹摢〸慦㤸㌹ㄷ攲㑤㈶攷㔲㌲㉦〳ㄱㄷ㠱㘵㈶攷㜲㌴昳㈶㘷ㄹ挳㙡〵挹㐸捥㔵㌰㜱改〵㘴攲㘲㤸㌸㈵㘷㘶扥攴ㅣ㘷〹㜲敥愶㉦㠷愷㜲扣昴㥢ㄸ晢捤㈴慢㐹晥㑥戲〶㐴㑣换㥢㥣㕢愹㜳ㅢ挹㕡㄰㕢㜲敥㈰㙦㈳扣㈲㌹㤷攰㑤㈶攷㉥㌲敦〶ㄱ扣㌱㙦㈶攷ㅥ㌴昳㈶㘷〵挳㙡〵挹㐸捥㍡㤸戸昴〲㌲戱ㄲ㈶㑥挹愹捣㤷㥣ち㑢㤰㔳ㅤ㜰㈹㍣㤵攳愵户㌲昶㐷㐹㌶㤲㙣㈲搹っ㈲づ挹㥢㥣㉤搴㜹㥣攴〹㄰㕢㜲㥥㈲㙦㈳扣㈲㌹㤷攱㑤㈶㘷㉢㤹㑦㠳㠸㉢挰㌲㤳昳っ㥡㜹㤳㜳戹っぢ㈴㈳㌹捦挳挴愵ㄷ㤰㠹㉢㘱攲㤴㥣挱昹㤲戳㥦㈵挸愹㜶戸ㅡ㥥捡昱搲摦㘰散㙦㤲㙣㈳㜹㡢攴㙤㄰搱㍦㙦㜲摥愵捥㝢㈴敦㠳搸㤲戳㥤扣㡤昰㡡攴㕣㠳㌷㤹㥣㡦挸晣ㄸ㐴㕣〷㤶㤹㥣㑦搰捣㥢㥣㙢愱㤶㍢㜳㍥㠳㠹㑢㉦㈰ㄳ慢㘰攷㤴㥣ㅥ昹㤲搳摤ㄲ攴㔴㙦摣〰㑦攵㜸改摦愲㔳晤摦㈴摦㤱㝣㑦昲〳㠸攸㤲㌷㌹㍦㔱攷㍦㈴㍦㠳搸㤲昳㉢㜹ㅢ攱ㄵ挹戹ㄱ㙦㌲㌹㉣挵搰〵㠸㘰㈱㠸㤹㥣㘲㌴昳㈶攷㈶㠶搵ち㤲㌱㜳㔸愸敡搲ぢ挸挴㙡㤸㌸㈵攷摢㥦昳㥣㈱㝦㘳〹㜲慡㔱搶挰㔳㌹㕥㝡て㜴慡㤷㤱戸㐹㜶㈱改〹㈲扥㠰愹昳ㄹ昲慥搴搹㡤㘴㜷㄰㕢㜲昶㈴捦㑡づぢ㕣㘴㜲㝡㤳搹〷㐴摣〶搶㍥㜸ㄵ改㝤搱捣㥢㥣㕢愹搱ち㤲㤱㥣扤㘱攲搲ぢ挸挴㕡㤸㌸㈵攷㡤㝣挹㜹摤ㄲ攴㔴搷摣〱㑦攵㜸改㠳搱愹扥㍦挹㄰㤲愱㈴〷㠰㠸ㄷ昳㈶㘷ㄸ㜵づ㈲昱㠰搸㤲攳㈳捦㕡戲㘰挱㡥㑣㑥㠰捣㈰㠸戸ㅢ慣㝤昰㐲ㄵ㈸㥡㜹㤳㜳ㄷ㌵㕡㐱㌲㤲ㄳ㠵㠹㑢㉦㈰ㄳ昷挰挴㈹㌹慤昹㤲昳㠸㈵挸㉥ㄶ㉡㔹〷㑦搹昷㍦㘵攵㜰扡㡣挲㔶愰搱〳捡㕡㙡㕡㝤㑤㜳㔳搷ㄴ敦㤳㔷搷㌴㡦㙣㙡敥㤶〲挱愶㌴改㉤㉢づ㙣㐶㐳㔳搳㙢㡣㠵㔳㜱〷㜰敦㕣ㄱ㡡慡慢㕡㥡㥡ㅢ攴慤摤㝥戹昲㤱つㄳㅡ㥡㐷搶㌴攱〶摥攲㠱づ㘲㔳㜲昴㕣愳ㅥ㈵㌰㡤愸㠴搹㤹㔲挳晣昹㐶搲㈱挶㈹つ㉤㡤〹㘳捣挸晦㠵㈲ㅡ㘱摥愳㉥挲㙤㔰㈱戰㉣㤲扦㘸挴㤶昷㍦〰㥢㘲摣㍡ㄵ扦戳〶愳ㄵ昶㐵㝡ㄵ愶㕥ㄱ晡挴㔴搷㐷㜲ㅡ扡㡡㑡敥〷慢昰ㄴ戱㤵攵㜴㠵戲㉢〵㔸㑤㕥㜷慢敥㙢㑣㝤㔳㑤搲㜰㔹慤㈳㙢敡㝢㔸㥢ㄳ㕢㥡㌳㈴戱㐵扤㉣〹敥敦㑥慣〷昴㠹㔸㘳昲㝦〱ㄵっっ㝦㈶㈴㐲挳扦摦㤷㘸搳㑤㔱搱づ昵昰换㡥搳戱戳㡦戲㜲晤〰挴㡥户摢搳扢㈳㌶㙣㔵㑤㘵搰敦捥㜴愷搹愵㙣ㅤ㘹挴敡㈵ち㔳㥡㤳㈳㡤〵㍤愴㠶㠱〹㡥㘷ㄹ㙡㡤㕥㤹㑤㔹㜵愱愷㉡攲㑤つ戵㉤捤㐶㡦昴㤶摣搱昵搴㘴〳㜷捦㔱愱搶㉤扤㌵㈹搱㡣ㅡ扥戴㍦㔶㥦晤敦㈰㠴㡣㜴戶㔰ㄲㄲ㈷慤挰攴捤ㅣ〴昷愱摦㠹慡㈸㉡㑡挹扦㉦㐷㠸换㉦攳摦摦㐷ㄴ愹つㄷ晦㡡㑡ㅥ㠴晢昶㤷愰㜱㑦敡愵㉡㈳捤㈳㥣㍣㜸㜵㔳㍣㔶㝦㜵㑦挹攳ㅥ㑡㍣昹ㄸ㑢ㄹ㜷㥤㕡㍣㘳搴㕣㤳㠸搵搶㉥敥㤱ㅡ㔳㥦愸㙤㐹ㅡ攳㘳㜱愳㔶ㅤ戳ㅢㅡ敢晥㐷昰敡㡣慣㔹㝢㔴㠱扣㔸戵㔸㘳昰散㤷㉡㜸晢摤㠷㌹愱㔷㘳㑦搳㡥〰㈹ㄹ㕥㔹ㄵ〹㈱〰㤷㍥摡摡晢㔸㜳昶㝦慥晡㜳挱愸㘷㕢捤慡㝣㐶〸〷戸ㅣㄶ㡦㙣㉣㠲㑡ㄷづ捡晤捥愶㌶扥㘱㝣〳㡡㍡㤳㌶搶攸ㅡ㤳昵㍦戳㜷挹ㅤ㑢搳戴摦晢㌱㠳㕣攱㙦㠷㔵㜶㠱㐳㥦搹ㅥ挱㑦ㅡ敥㈲て愳㥤㕤㍥㘵㍢ㅤ㤱㘷〰昲㔰攸㠶㘲ㄹ㡦㘳收改挳搴㥡收㕡愳㙢㑡捡攵㜶㈹㜷っ㘶戳㑢㙡敡㕣㤴㈲㡤散㥥㍡愲戱㈶㔹㕢㔳㙦昰㔴〴㐵挶㝣㉥㙢扣㜱〲捡㘱㈷㌵㌴搵昰㜱挳敥愹愹㡤戱晡愶昹慣㌸㑢㉣敥㤹搱㤲㘰㤵愴㉡㙢敡戱ㅢ㤹㝤㜲扢㉣㌵㘵㙥挳㐲㍣戱搸㔲㔷㝦㐴㙣㝥搳晦〴㔰摣慢捣㍦昳㌸㔸㉣㡡㡢㐵㘹㜱改敦晤挴挲っ㠷㑢ㅦ㕣ㄶ㤳㔸㔰㙤挰㔶㠱扤㤶㈸㔹挵挸摣㙢ㄹ㔳挶搳㜷㡥挵㤰改挷㍤㜹㈴搶挷㘰户散㌶ㄶ㘴散ㄱ搳挶戴㤵戰晦㝦㍤㍢㔹昲〸㍣ㄷ昸㐰㤰搳㈲㕤㉦扢ㅢ㤴㝢㤸㔳㠵㍣捥ㅣ㕤㈲捥㔶昶昴㜳愵愴づ㘷㈲㍥㐳愹捥捤㙡ㄴ㌳㜶挳㡥㡦〳㌰㡡㐰㜱攴敤㘱㌶㜸㔲㔷ㄷ慢㙤戲㘴㔵つ㜵㜵㌱㑥㉤㑥换㈹㌸㝡ㅢ愵昲っㅢ㐷ㄲ㍤〵㈲攷㥦挵㡡㉤〲㉢戶㐸戲昰愱捣ㅡ㜸戹㑤㕦つ㈷挴ㅡ㙢㥡攷搶搵㈴㑡搹㘰㥤晡晦挴㥣挴ㄴ敡㡣㘴慡㍦㌹㌱㜱扡㥡㕤㜰㙡搶㐸〲敥㘱戸㠲㘰敡〸㍦㘶㙥戱晣㈴ㄷ扦戳挰ㄸ搳㔷㕥㘵改攳攱慤〴搷晣㐵昸〰㌱㐳戱㥤㠶㠱㈳て㐲攲㔱㉡攰愵ㅦ〹㜵昵搷㜹ㄳ戶ち㤶㝤㜶㠱㠲㙢㝣㐳㉣㔹㡤㐷ㄹㅡㅡ扢㔸捦晡㤶〲㕡ㅥ㔲ㅡ摤㉣昵慤㐲㤱㍣㡡敦ㄷ攰㙣戸戱㤴㡣㈹㈸愲敤捣㈲㘱捤挴㤰ㅦ㠸㐵㈵㈵㕤㑢㥤晡ㅡ愳㝣つ戴㑡㈲敤捦㑡㡦挹昱晦昹㔱ㄱ摥昳挰戰㌸㄰㝤〲愸㍥ㄱ㐴㙣㐶㤳攳挹㔲㤸㐴㠵愳㐰㑡戶㐰㤸扤㤷攴㉤㡢㠵㐱㔱㐹ㅤ换㜵㑢敢㌸ㅣ㥣㜴㘸㈸攲㐵搹㉦㔲愲㜵㉤㝤っ㜲㝤㌲戴㥥摥扡㜵㌸戶㡢〴敢㑥㌷攱挵晥㜵扣扢㕣㑣㥥㍥〵㍡晡㔴㄰昱〲㥡扣㌴㤵戰愱㜲〷㍣㐰㈲㉦㑢㡥挶㌶㍥㉡挴㡢㘰昱搲㐴晤搹㤰挴㐷晡㌱㤶搶㑢㄰昳愴㥡㠰敥散〴㑤扣っ㍤㥥愴〹晤㔸㤸㙢㌳㐰㜸㤶㄰㡡㠰攷搲㡦戳㕣扥㠲ㄶ捦ㄴ捣扦扣㥦㘵攲㌵㈸昰昳慣挸昱昸㈹㕥㠷㠴挷㔰㝤㈶晣㡡㌷戰挵㐳ㄳ攲㌴愷敡㉣㜶扥搳愹扡㑤㕡挰㠹㝤慡㡡户挱摤㠴㔷ㄶ扣㜳攰㔲㡦戱户㜷㥣ㄵ攲㔴㐸㔰攱㕤㈸㜰づ攸㐹戴搲戰㝤㘰㌳戳挱㘶搰㉣㐵戳捦愱㘰㠳㙤㉥㜸ち戶ㅡ㙣ㄳ戶㉦挰捡て摢㍣㑢敢㑢㘸戵ㅢ戶㝦㐱搹㠴敤㐴㤸㙢戵㈰㈵挳㉢愶㐷挳攰扢昴㍡换攵づ戴摡〳摢搷搰㤳戰㘹昵戰散㔷搵搰搴㕣慥ㅥ㈵㉦㕦㜸㔰㐳昹攴㥡愶ㄳ换㜹㌶㝡㜰戹㥦挳换晥㘴ㄴ摦挰㠳㐴戶〱づ挴户㘸㘵㈰㝢ㄲ攳摢㈹戲摦挱㑣ㅥ㠴ㅡ改挴㙡㠸ㅦ戰戱〹慦㉣㘴㥢愰愳昳㍢ㄲ挴㡦捥ち㉤㔴㔸㐰㠵㥦愰㈰㤱㕤㠸㔶ㅡ搹㕦㙣㘶㌶㘴ㄷ搱㙣㌱捤㌴㠴㘰㐳昶㘴昰ㄴ戲愷㘰㥢挸㜶㠱㑡㝥㘴㑦戵戴㑡愱搵㙥㘴㔹㄰㙢㈲㝢ㅡ捣戵搳㐱攴㘹㝢㄰扤扢昴㌳㉣㤷㉥㘸戵〷㔹㤶捥ㄶ搸㈱㔹㔴㉢㘱晢㈳晣㡡ㅥ㘸㘵挰昶㈷㜶扥㔳搸摣㌰挳晦慣ㅤ㤲㘵戸㥢挰捤㠲敤㉣戸搴捦㘶㙦㉣搱㜵㔰㌸㠷ち㑢愹戰㉢ㄴ㈴㙣攷愲㤵㠶㡤㜵戹捡捣〶摢㜹㌴㍢㥦㘶攵㔰戰挱㜶㈱㜸ち戶㘵搸㈶㙣晤愱㤲ㅦ戶㡢㉣慤〱搰㙡㌷㙣晢㐰搹㠴敤㘲㤸㙢㝦㈱挱づ㠹㘷搹搱扤㑢㕦㙥昹ㅣ〸戵昶攰㌶〸㝡收ㅥ㜹〹㉣㝦捦ㅥ戹ㅦ㍣㐸㘸㔷挰㠱ㄸ㡣㔶〶戴㉢挱摤㌹戴㐳㘰㠶晦㐵晡摦攸㐴㈶ㄲ敦慣ㅢ摥㠴㐶ㄶ戴㤷㐲㐷扦㡣㡡慣㈹㜶㔰戸㥣ち㔷㔰㘱ㄸㄴ㈴戴㔷愲㤵㠶㤶㠵挴捡捣〶敤㔵㌴扢㥡㘶〷㐳挱〶敤戵攰㈹㘸慦挳㌶愱㘵㐹㜰㝥㘸㔷㔹㕡㠷㐲慢摤搰戲戶搸㠴昶㝡㤸㙢㌷㠰㜰㡦っ㥢㝢攴㡤㤶换挳愰搵ㅥ㘴て㠷㕥㠱㍤戲〲㘲〹摢㑤昰㉢㉡搱捡㠰㙤㌵㍢摦改ㅥ㌹ㄲ㘶昸㥦戵㐷㔶㠳戵㈹ㄷ戶㌵㜰愹摦挲摥㡥㜰㔶戸㤵ち户㔱㘱㌴ㄴ㈴㙣㙢搱㑡挳挶ㄲ攷㑤㤶㕦ㅢ㙣户搳散づ㥡㑤㠵㠲つ戶扢挰㔳戰摤㡤㙤挲挶㘲攵晣戰摤㘳㘹㑤㠷㔶扢㘱㘳搵戳〹摢扤㌰搷敥〳㤱〷㔲㝣㠰㘱㠷㕣㘷戹㘴㔹㜴㝢㘰㥢〱扤〲戰戱㜲㕡挲㜶㍦晣㡡㤹㘸㘵挰昶㈰㍢摦㈹㙣戳㘰㠶晦㔹戰捤〱㙢㤳㤵㕥扡戰捥㙣搷挳愵晥㌰㝢㡢㌹㉢㙣愰挲㈳㔴㠸㐳㐱挲搶㡡㔶ㅡ㌶ㄶ㕦㙦戲晣摡㘰㝢㤴㘶ㅢ㘹㔶て〵ㅢ㙣㥢挱㔳戰㍤㠶㙤挲挶㌲敡晣戰㙤戱戴收㐳慢摤戰戱ㅥ摢㠴敤㜱㤸㙢㑦㤰昰㐰敡攱㜵戸㑢㝦搲昲挹㡡敤昶攰挶慢㜰㠹㥢捥㔳ㅢづ㈰攷摣㠵㠵摤ㄲ扢㝦㐰㐳㉣㐰㉢〳扢愷挱摤㌹㜶慣〴挷㝦㍣㑥㐴㈷㘶㐷㐵㘲〹戶㌶愱㤱㜵愴㝣ㄶ㍡晡㜳㔴㘴㤹戸㠳挲昳㔴㜸㠱ち愷㐰㐱㘲昷㈲㕡㘹散㔸ㅢ慥捣㙣搸扤㐴戳㤷㘹戶ㄴち㌶散㕥〵㑦㘱昷ㅡ戶㠹ㅤ慢扣昳㘳昷扡愵㜵ㅥ戴摡㡤ㅤ换挵㑤散摥㠰戹昶㈶㠸㍣㔲㥡㥦㠱摢㉣㤷慣㈷㙦て㜴换愰㔷㘰㤷㘳挹戹㠴敤㉤昸ㄵㄷ愳㤵〱摢㍢散㝣愷扢ㅣ㙢搴昱㍦㙢㤷㕢〱搶愶㕣搸摥㠳㑢晤㝤昶挶〲㜶〷㠵て愸戰㥤ち㉢愱㈰㘱晢㄰慤㌴㙣慣㕡㔷㘶㌶搸㍥愲搹挷㌴㕢〵〵ㅢ㙣晦〴㑦挱昶㈹戶〹ㅢ敢捦昳挳昶㤹愵㜵〳戴摡つㅢぢ搹㑤搸㍥㠷戹昶〵㠹㍣㜷㌱㤷㡡扦戴㝣摥〴戵昶攰戶ㅡ㝡收㉥挷㜳ㄷづ㈰㘷㤷㘳㐵扣挴㙥〷㌴挴ㅡ戴㌲戰晢ㅡ摣㥤㘳挷ㄲ㝡晣㐷挵㌰㥤㤸ㅤㄵ㠹戵搸摡㠴㐶搶㉥昷㉤㜴昴㝦㔳㤱昵昵づち摦㔱攱㝢㉡摣〱〵㠹摤て㘸愵戱㘳㔱扤㌲戳㘱昷㈳捤㝥愲搹㝡㈸搸戰晢ㄹ㍣㠵摤㉦搸㈶㜶㉣㡦捦㡦摤慦㤶搶〶㘸戵ㅢ㍢搶搹㥢搸晤〶㜳㡤户㔱㑤散㍣攸摥愵㜳〵㡡㍤户㐲慤㍤搸㙤㠴摥㑥づ㤷㉣搸㤷搸㜵㠲㙦戱ㄹ慤っ散㑡挰摤㌹㜶㕢㘰㠶晦㜸ㅣ㤰㑥㘴愶昰晥〴戶㌶愱㤱㠵㕤ㄷ攸攸愵㔴㘴昹扦㠳〲扦敦㑥㜷㔱攱㈹㈸㐸散扡愲㤵挶㡥㌵晦捡捣㠶㕤㌷㥡㜵愷搹㉢㔰戰㘱㔷〶㥥挲捥㡤㙤㘶㤰搵晢昹戱摢挵搲㘲㜹㝦扢戱攳㘳〰㈶㜶㍤㘱慥昵〲㤱㘷㈸收攱㜲㔷换攵ㅢ搰㙡て㜴摢愰㔷攰㜰挹㐷〹㈴㙣扢挱慦㜸ㅢ慤っ搸昶㘰攷㍢㍤㕣扥ぢ㌳晣捦㍡㕣扥て㤶㑡慦敤っ㘵㉦戸搴㝢戳㌷㍥㤸攰愰搰㠷ち㝤愹戰ㅤちㄲ戶㍦愰㤵㠶敤㘳㥢㤹つ戶㝥㌴摢㥢㘶㍢愰㘰㠳慤㍦㜸ち戶〱搸㈶㙣㝣慥㈰㍦㙣晢㔸㕡㝣昰愰摤戰昱〱〵ㄳ戶㠱㌰搷昶〵㈱㙣愱㈸㝡㜷改㠳㉣㤷摦㐲慢㍤戰㝤〷扤〲戰昱㈱〷〹摢㝥昰㉢昸戴㐳〶㙣晢戳昳㥤挲昶ㄳ捣昰㍦ぢ戶㥦挱㜲㐰㘵㈸㕣敡〷戰㌷㍥㌲攱愰㜰㈰ㄵ㠶㔱攱㔷㈸㐸搸づ㐲㉢つㅢ㥦㤳㔰㘶㌶搸㍣㌴昳搲捣〵〵ㅢ㙣㝥昰ㄴ㙣〱㙣ㄳ㌶㍥昱㤰ㅦ戶愰愵搵つ㕡敤㠶慤㍢㤴㑤搸㐲㌰搷挲㈴昲挴搲晣㤴㡢㔸㍥㝢㐰慤㍤戸昱㈹㡢㥤ㅣ㈹昹っ㠶挴敥㘰昸ㄶ㍤搱捡挰敥㔰㜰㜷㡥摤慥㌰㤳搸つ愷ㄳ㤹㈹扣昳愹つ㤵㘳㙣㈲㘷㥤㠸敦㘱搰搱㐷㔰㤱㑦㜴㌸㈸ㅣ㑥㠵ち㉡散〹〵㠹㕤㈵㕡㘹散昸ㄸ㠷㌲戳㘱㔷㐵戳㤱㌴ㅢ〸〵ㅢ㜶搵攰㈹散㡥挰㌶戱摢ㄷ㉡昹戱ㅢ㙤㘹つ㠲㔶扢戱攳㤳ㅤ㈶㜶㘳㘰慥㡤㈵㤱㘷㈸㕥㡥㕤ㅦ㘷昹ㅣっ戵昶㘰㌷〴㝡㍢挱㡥㡦㠸㐸散㡥㠴㙦㜱〰㕡ㄹ搸㑤〴㜷攷搸つ㠳㤹挴㙥ㄲ㥤挸㑣攱㥤て㤵愸ㅣ㘳㔳㘱㜷ㄴ㜴昴挹㔴攴〳㈷づち㔳愸㌰㤵ち㍥㈸㐸散愶愱㤵挶㡥㑦㤹㈸㌳ㅢ㜶搳㘹㜶㌴捤づ㠳㠲つ扢㘳挱㔳搸捤挰㌶戱攳扤㤳晣搸ㅤ㘷㘹ㅤづ慤㜶㘳挷〷㑦㑣散㘶挲㕣㍢ㅥ㐴㕥ㄴ㐴㈴㜴戳㉣㤷㝣㌲愵㍤搰㡤㠴㕥㠱挳攵㈸㠸㈵㙣戳攱㔷㔴愳㤵〱㕢㡣㥤㠳㔹昸㘶搸㘸㘸㐸搸㡥散〴㔵敢㑦㡣〵㔷愵㤷㉥慣㕤㉥〱㤷㝡㤲扤昱㔱ㄸ〷〵㠳ち㈹㉡㡣㠷㠲㠴敤〴戴搲戰㑤戴㤹搹㘰㥢㑢戳ㅡ㥡ㅤ〳〵ㅢ㙣㈷㠲愷㘰慢挵㌶㘱攳㤳㉣昹㘱慢戳戴㘶㐰慢摤戰昱㤱ㄸㄳ戶㝡㤸㙢つ㈰昲攴挴扣っ㥦㙦戹攴㌳㌳敤㠱㙤ㄶ昴ち挰挶挷㙡㈴㙣㈷挱慦㤸㠳㔶〶㙣㑤散ㅣ捣挲戰昱㌹㥣㕣搸㤲攰㍡愰搲〲㤷晡〲昶㘶㌸㉢㉣愴挲㈲㉡愴愰㈰㘱㕢㡣㔶ㅡ㌶㍥㤹愳晣摡㘰㕢㐲戳㤳㘹搶〸〵ㅢ㙣愷㠲愷㘰㍢つ摢㠴㡤捦搸攴㠷敤㜴㑢慢ㄹ㕡敤㠶㡤て敢㤸戰㥤〱㜳敤㡦㈴昲㔳捥摣摤捥戴㝣昲㜱㥥昶攰戶〸㝡㍢㌹㔲昲愹ㅦ㠹摤㥦攱㕢㉣㐱㉢〳扢戳挱摤㌹㜶㝣㑣㐸㘲㜷づ㥤挸㑣攱晤㌴㜰㔵㡥戱愹㜶戹愵搰搱捦愵㈲㥦㈱㜲㔰㌸㡦ち攷㔳攱っ㈸㐸散㉥㐰㉢㡤ㅤㅦㅣ㔲㘶㌶散㉥愴搹㌲㥡㕤〰〵ㅢ㜶ㄷ㠳愷戰晢ぢ戶㠹ㅤㅦ〱捡㡦摤㜲㑢㙢ㄹ戴摡㡤摤㐵㔰㌶戱扢〴收摡ち㄰戹换㤹ㅦ㜲㝦戵㕣昲㘱愳昶㐰户ㅣ㝡〵㜶㌹㍥㡦㈴㘱㕢〹扦㘲〵㕡ㄹ戰㕤捡捥挱㉣扣换昱〱愶摣㕤敥㔲㜰㔵㝡改挲㍡㔲㕥づ㤷晡ㄵ散㡤㑦㌷㌹㈸㕣㐹㠵慢愸㜰㌹ㄴ㈴㙣㔷愳㤵㠶㡤㡦㌴㈹㌳ㅢ㙣搷搰散㕡㥡摤〴〵ㅢ㙣慢挰㔳戰㕤㡦㙤挲挶㠷㤳昲挳㜶㠳愵戵ㅡ㕡敤㠶㡤㑦㌹㤹戰摤〸㜳敤㈶㄰㜹㍤㘰㥥㔷摥㙣戹㕣〳慤昶挰㜶㉢昴ち挰挶㈷愵㈴㙣慢攱㔷慣㐵㉢〳戶㌵散ㅣ捣挲戰昱搱慡㕣搸敥〲㔷愵㤷㉥㉣搸㙥㠵㑢晤㌶昶挶攷慥ㅣㄴ搶㔲攱㜶㉡摣〳〵〹摢ㅤ㘸愵㘱攳挳㔶捡捣〶摢㥤㌴扢㡢㘶慤㔰戰挱㜶て㜸ち戶㝢戱㑤搸昸搸㔴㝥搸敥戳戴昸㕣㔵扢㘱攳昳㔷㈶㙣敢㘰慥摤て㈲捦㑢捣晢〳て㔸㉥㌷㐳慢㍤戰㙤㠱㕥〱搸昸っ㤷㠴敤㐱昸ㄵ㑦愰㤵〱摢㝡㜶づ㘶㘱搸㥥㠲㐶㉥㙣㕢挱㔵改愵ぢぢ戶つ㜰愹㍦挲摥昸㐴㤸㠳㐲㉢ㄵㅥ愵挲㌳㔰㤰戰㙤㐴㉢つㅢㅦ〳㔳㘶㌶搸㌶搱㙣㌳捤摥㠰㠲つ戶㉤攰㈹搸ㅥ挷㌶㘱攳〳㕤昹㘱㝢挲搲攲ㄳ㕦敤㠶㡤㑦㠶㤹戰㍤〹㜳敤㈹㄰〹㥢㜹㕥昲て换攵摢搰㙡て㙣敦㐲慦〰㙣㝣扡㑣挲戶ㄵ㝥〵ㅦ㌳换㠰敤ㄹ㜶づ㘶㘱搸戶㐳㈳ㄷ戶㡦挰㔵改愵ぢぢ戶攷攰㔲㝦㥥扤昱㔹㌵〷㠵ㄷ愸昰㈲ㄵ㍥㠱㠲㠴敤㈵戴搲戰昱〱㌵㘵㘶㠳敤㘵㥡扤㐲戳㙦愱㘰㠳敤㌵昰ㄴ㙣慦㘳㥢戰昱㔱戳晣戰扤㘱㘹昱㔹戴㜶挳挶㘷搶㑣搸摥㠴戹戶つ㐴挲ㄶ收搰昵户㉣㤷㍦㐰慢㍤戰晤〴扤〲戰昱戹㌷〹摢摢昰㉢昸〰㕣〶㙣敦戲㜳㌰ぢ挳昶㉢㌴㜲㘱㉢敡搴㤶㕥扡戰㘰㝢ㅦ㉥昵て搸㥢㜰㔶搸㑥㠵て愹㔰っ〵〹摢㐷㘸愵㘱㉢戱㤹搹㘰晢㤸㘶㥦搰慣〷ㄴ㙣戰㝤ち㥥㠲敤㌳㙣ㄳ戶㌲愸攴㠷敤㜳㑢换つ慤㜶挳戶ぢ㤴㑤搸扥㠰戹昶㈵㠸㠴捤㍣㈵昹㤷攵戲㈷戴摡〳摢慥搰㉢〰摢㙥㄰㑢搸㜶挰慦搸ㅤ慤っ搸扥㘶攷㍢㠵㙤㑦㤸攵挲搶ㅢ摣㑤挸㔸搶捡昲户㜰愹晦㥢扤昵㜱㔶昸㡥ち摦㔳愱㉦ㄴ㈴㙣㍦愰㤵㠶㙤㙦㥢㤹つ戶ㅦ㘹昶ㄳ捤〶㐳挱〶摢捦攰㈹搸㝥挱㌶㘱摢ㅦ㉡昹㘱晢搵搲ㅡ〲慤㜶挳㌶ㄴ捡㈶㙣扦挱㕣㉢㉡〱㤱敢㈵收敥挶㥦㠸㘰捦〷㐰慤㍤戸つ㠳㥥挴㑤捦㝢㐷攷㈰愸㐸散㍡挱户昰愰㤵㠱㕤〹戸㍢挷捥〷㌳㠹㥤㐶㈷㌲㔳㜸て㠰扢㈹ㄷ扢㉥搰搱㑢愹ㄸ㜴㔶攰て攰攸㉥㉡㠴愰㈰戱敢㡡㔶ㅡ扢愸捤捣㠶㕤㌷㥡㜵〷㈹愹㠲㐲晢㥥㐴㘳㈹愷摢昶㜸㈰慢愶㥢㜶㐹ㅤ搵ㄲ慢挵て愹㑣挴㌳㉡捤㘴晤㉦㤴㈵㜷㌶㥦ㄴ捡晥㕡昳捣摦㔷挱㐳㜶㜲〸挷ㅤ摦て㈳换捥㐱愶慥㌵戶㈶㙡晥扥㈷㠹㕣㈵㕦晦昴摢㙦敤敢㠵戳愲换〲㝥㘹敥散搹㐵愵散ㄳ㈰攱ㄳ愴っ㠰㜱㑡㡦㐴㌳㜷昷ㅦ攵挴㉤愹〶户㐰㌹㝦搶㐳㌸昴摡慢慤昸㤸㘵收㐳㙢昹㌳㑤㑥㔵换㤹㔵晤扢㈰㌸㌱摡㈹〶㌱㐶㜱㝢㔱〷㕤昰㔵㌲ㅥ摣㥤搶㠹昳㔰㠲挷ぢ㔱㌱㍥愵㜹㜱㉤慡昴戹挹㉦㥡㌵户㔸㤶㙣㡡ㄱ㜴㐳㘳㘷㍣㘲㤹晤扤搲㘹摢晢攰慡敢慥㔹摦攳㉤捤㈸ㄹ㡢㘸㑡㍥〷㐴㜹敤ㄹ㜴ㅢ㉡戴攱㥦戶ㅢ挶戴敢㤱㌵㠹挶㠶愶㠶㔴㜳昹ㄴ㍣㘹㔲捥㙦㜶㑦攱㤹愳㡡㤲㑦攱搱戱㑦づ慣㜳㍤㝦㜳㐸〲敤㍡戱扥㘱㘱扤㡣愶愴㠹㕦㜰捦摥昴㉥㕤搸つ㥦㐴㤲㝦晢㈰㜱㙥戵㕥攷㥥㠰㠸昹㐹愱敤㠱〸昶慤慡慣㥡㍣㍢ㅣ㠹㝢㘲昱㠰㌷敡昷晢〳㔱㈳ㄴ昷ㅢ㝥㈳ㅡ㡢㝢㠳㤱㜰㉣攱昷㘸㝢愶㔵㤳㠱㠰㈷ㄲ㌷愲〹㝦㌸ㅥ㠸昹㤲搱㐰㌸㤹㌴㐲扥㜰㈴ㄹて愷〲㔱昷㐴换扤扥ㄷ㙣昴摥㈰敥㐹㡡搵㠷慣扥㘴ㅤ愵㔸㘹慤戲挹㘰㌱㘴捤っ晡扦㐷摤㔳攰ㄹ晦㡢戴扤搱㜵㡦慡捡搹戶㠷㔱戴㜲昰扡㠱㈷换敤㈷攳㕢攸戵晥攰散〲㑥收㉦㍥戹愷㕡㕥昴㜲戸搲晢㤳っ㠴愶㤸づ㍥㡦㠶㉥昱㈶㐰攳摥捡扥㜰戳ぢ㐲敥㜵㐷愳㈹㔱㔱〸㐰㡡㠵㑢㐷敥戱攰㜲捦搳〷搳昳㜱㡥㍡㌳ㄵ㜷〸㜵攸㡢慦㔹攰㜲捦㄰㉦㈳〰捥㐷昶愲㜳㤲㜱㍥㠹ㄷ挱攱㥣捡㥣ㄳ㜳㘰㈰愷挲㌰攸㤹㔳挱ㄷ㑤㈵㤲攱㐴㌴ㄴづ㐴昰ㄳ㘳摥㜸㈲㤵昴挶㔳㔱㝦㉡ㅡ昴㈴㐳ㅥ敤愰戴㙡㈸攰㡦挷ㄳ戱㘴㉣ㅡ㠹〶扣㐶㌰敡ぢ㝢㍣挹㐸㈰ㄱ㑡晡㍤㍥慦摦ㅤ戳摣敢ㅥ搸攸㕥㄰㜷㕣戱摡愶㐲㐲戱愸㈰㔵换㤲㘰㜵捣㔴㌰攰ㄹ晦㜱㡦㤴㥤ㄱ㝢㥤㜰扢㔳㡡㍦㠸挲晤㐸づ〱㕦捣〵摦〴㜷㌳戲搷〶敥㜰〸〹㙥つ攴ㄲ摣挳挰㔰㝦㘲㥥㈳昷㐴㜰㈵戸㈳攸戹捥㔱愷㐱㜱㉢愸〳㠷昲㜵ㄲ戸ㄲ摣つ〸㐲㠱慢㔵㐱㈵敦ㄱ㐴慣㜷㐴扣ㄱ㥥㜸〸搱㐷挱戸㝢㈷㜷ㄳ摡㜲〶㔴愳㙤捥㠰㐰㈴ㄱ挰ㅣ〸㜹ㄳ㔱捣〱扦㉦ㅥ昰攳捤㠸㈷㍤搱㘰㍣㤹昰㘸㐷愴㔵㐳攱㘸搸攷つ挵㍤㐱㙦㈰㤰昴㠴攳搱㐸搸昰挷㤳扥戰搷敢㑦㐴㘲敥㘶换扤㍥ㅡ㌶晡ㄸ㄰㜷㡢㘲㡤㈵㙢ㅣ㔹ぢㄴ㉢慤㔵戶㄰慣㡥㤹〱㡢攰ㄹ晦㡢戴〹攸㍡晢㘰㌰ㄱ扣捣㠳挱㈴㜰ㅣづ〶㡢㉤㉦晡〱㑣收㠱㈴㔳愰㈹㑥〶摦㥣㉦户㘶捣㤷㘹㄰㜲扥㥣〲戹㥣㉦ㄹ〷㠳㔳ㅤ戹愷㠱㉢攷换搱昴㝣㠶愳捥ㅦㄵ昷㔸敡㈰っ昹晡ㄳ戸㜲扥摣㘴㥢㉦㙤〷㠳ㅢㅣ愷挶㔹㌰㤲㔳攱㜸戸㌲愷㐲ㄴ㐸㠶ㄳ㌱㝦捡ㅢ昶〴㔲㘱㑦㌴㄰っ㜸㝣㥥㔴㈰㘲昸㘲攱㘸㐰㥢㤵㔶つ晢㍤挱㈰㍥㐵ㄲ愹㐴㈴攰ぢ㈶㘲㤱愴㠱ㅦ〱㠹㠵㠳㍥扦挷ㅢ㑥戹捦戶摣敢戳㘱愳捦〱㜱戳㥣㥤㍤敡㙤〷㠳愵㡡㤵搶㉡㍢ㄷ慣㡥㤹ち攷挱㌳晥攷ㅣっ捥㔷㝣慥㥢挸摦㜵搳攷㈱㕥㜱㈱昸㈶戸㝦捤〰户ㄶ㐲㠲扢っ昲㕣㜰㉦㜲攴㕥っ慥〴㤷㍦㔸㈹㤶㍢敡慣㔰摣昹搴㔱攰慥〴㔷㠲㝢㤱つ㕣慤ㄱ㉡昹て〶ㄷ㍡㈲晥㌷㜸㤲〷㠳㘶ㄸ攳㘰㜰㈹摡㜲〶戴愰㙤捥〰挳攷つ㠴㠲摥ㄸ㍥敤㔳㠱ㄸ昶㜰㙦〲攷〸㤱㜸搴ㅦ昰愷㔲挹㤸戶㈰慤敡㡤愶㡣㐴㈰㥡㐸〵㍣㠹〰㤴攲攱戰挷敦〹㝢㡤ㄸ愶㐴搸攷㜱㕦㘶戹搷ㄷ挲㐶㕦〴攲扥㕣戱ㄶ㤳戵㠴慣㉢ㄴ㡢ち㔲戵散㑡戰㍡㘶〶㕣〵捦昸㥦㌳〳慥㔶晣〸㠵㔱㤲㌳ㄱ㡥戸ㄶ㝣㜳〶㥣㥡㌱〳晥っ㈱㘷挰㜵㤰攷捥㠰㔵㡥摣敢挱㤵㌳攰㙣㝡扥搱㔱攷㈶挵㕤㑡ㅤ㌵〳㔶㠳㉢㘷挰㐲摢っ㘸摢扤㕢ㅣ挱㕥〳㈳〹敥〵㜰㘵㠲ㅢ㑡挶㝤㐶㌸敡㡢㠷攲㐶㈰㤶昲挴愳搱㤰㈷攴〹㠶㝣㠶ㄱ㡣愴攲摡㠵㘹搵愴挷㠸㠶愳ㅥ挳敢挳敥㥤昴挷㘲㔱挳ㅢ㡡攰㝣挰㤷ち㈵㜰收攷扥挵㜲慦㉦㠳㡤㝥ㄱ㠸晢㔶挵㙡摢扤㙦㔳㉣㉡㐸搵戲戵㘰㜵っ戸户挳㌳晥攷㠰㝢㠷攲ㅦ㐶攱〸㤲换㄰㡥戸ぢ㝣ㄳ摣㔴〶戸㔷㐰㐸㜰敦㠶㍣ㄷ摣㝢ㅣ戹昷㠲㉢挱扤㡡㥥搷㌹敡摣慦戸搷㔰㐷㠱晢㈰戸ㄲ摣㌹㡥攰捥㜲〴㜷㍤㡣㈴戸搷挳㤵〹㙥㉣攴㡢〵㜰攰㡥昱㔴㉥ㄸ㡦挴㡣㐴㌰㤶昲〶㡤戰㍦ㅣっ昸愳摡つ㘹搵㐸㈰㤵㑣挵ㄳ〹㑦㉡ㅡち㜸攲摥㔸㌰攵昳〴㤲㔱㑦㍣㠹㡢㠱㐴挸晤戰攵㕥扦ㄱ㌶晡㑤㈰敥つ㡡搵〶敥㈳㡡㤵搶㉡㙢〵慢㘳挰㝤ㄴ㥥昱㍦〷摣㡤㡡㍦㤲挲㔱㈴㜷㈰㕥挱ち㝤ㄳ摣㠹ㄹ攰摥〵㈱挱㝤っ㜲〹㙥挶㠹摣ㄶ㐷㉥㡢敦㈵戸昷搰昳㤳㡥㍡晦㔰摣晢愸愳挰㝤ㅡ㕣〹敥ㄸ㍢戸㍣㤱㤳㘷改㐷㌸㠲晢っ㡣攴㘱晡㐱攸攱㌰晤㉣摡ㄲ散㠷搰㌶挱㡥〴昰换㙣攱㜰搰㌰㝣愱〰㑥挷愳昱㜰㌴㠲㌳戶㜰㈰收㑤攲㜷㠲戵昵㘹搵戰摦ㅢ昴㜹㤳扥㘰〸ㅦ收㐱㑦㈲ㄶ昰攲㑣㉤攰㌱㠰㜸㈲㥣昲扢㥦戳摣敢て挳㐶摦〰攲㘶挹㍤㝢搴摢捥搹㕥㔰慣戴㔶搹㡢㘰㜵っ搸㉦挱㌳晥攳㤱㘵㠶挴㤳㌴㥤攷㘵敥㤷ㄵ㝦㉣㠵攳㐸㥥〰㕦扣ち扥〹㜶㌸〳散愷㈰㈴搸慦㐱㥥扢㈷扦敥挸㝤〳㕣〹昶㔶㝡摥收愸昳㤶攲㍥㐳ㅤ㠴㈱㕦敦㠰㉢挱昶摡挱㑥㕦㤲ㅤ攴〸昶㝢㌰㤲攰扥〰㔷㈶戸扥㐰㌸㄰㡤挵〲攱愸ㄱぢ㐴㍤㤱㐸㈴㘴攰攸敢挵㈵㔹挲㤷昴挵戴ㄷ搳慡㌱慦㍦ㅡ㑦㈴ㄳ㕥㙦㈴ㄵ昰挷攲昱㔰捣攷昵〵挳㠱㤴㍦收㡤晢㤲敥昷㉤昷晡㑢戰搱㕦〶㜱㝦愰㔸㙤㝢㌲换昴㈵摥㔴㤰慡㘵ㅦ㠲搵㌱攰㝥〴捦昸㥦戳㈷戳攸㕦昲㈷㔱㜸ㄴ挹㍢〸㐷晣ㄳ㑣ㄳ摣昲っ㜰摦㠳㤰攰㝥ち㜹㉥戸㥦㌹㜲㍦〷㔷㠲晢〱㍤㝦改愸戳㐳㜱㍦愴㡥〲昷㙢㜰㈵戸扤敤攰昲㉣㑣敥挹㝢㍡㠲晢つ㡣攴㥥晣㑦攸㘱㑦晥ㄶ㙤〹昶愷㘸㥢㘰愷㡣㠸㈷ㄶ㌰㠲㜸㌸ㅤぢ㌲㥥㔰㌴ㅥて㝢㡣愴挷敢挵愹㤴㉦ㄶ搲㍥㑢慢㈶晣戱㜰㈸㄰昱ㄸ㜱ㅣ改扤戱㐴搴㌰㡣㐰㈲攲㑢㠶㜰挶ㅥっ㐵摣晦戶摣敢㥦挳㐶晦〲挴晤㥤㘲戵㥤㜰㝤慦㔸㔴㤰慡㘵㍦㠰搵㌱㘰晦〸捦昸㥦〳昶㑦㡡㍦㥤挲愳㐹扥㐷㌸攲㘷昰㑤戰㑢㌳挰晥ㄱ㐲㠲晤ぢ攴ㄲ散㡣挳昶慦㡥㕣慥换㐸戰晦㐳捦〲㐰攴㕡㜶㔲摣㕦愸㠳㌰攴慢〴㕣〹㜶戱ㅤ散昴㘱扢挸ㄱ㙣つ㐶昸㡦敦㡥挴㡡ㄶ挰敥㠲㠶〴扢ㄸ㙤ㄳ㙣㈳㤵㑣㈴㍤挱㠴搷㐸昸〳㠱㐸っ㈷㘰㠱㐰㈲ㄱづㄸ㤱〰㍥戱攳㕡愷戴㉡㘷㐲㉡㠴敢敢愰てㅦ攷扥㜰㌴㤸〸㈴㐳愹㘰㈰敥㌵戰㘰攷㜵㤷㕡敥昵捥戰搱㑢㐰摣扡㘲戵ㅤ戶㕤㡡㐵〵愹㕡搶ㄵ慣㡥〱扢ㅢ㍣㈳攷㌹㠷敤敥㡡㍦㤳挲攳㐹捡㄰㡥㈸〳摦〴㝢挷㡦昶挵㤶㕤㈰㈴搸㙥挸㈵㘴ㄹㄷ捦扢㌸㜲㝢㠲㉢挱敥㐵捦扢㍡敡散愶戸扢㔱〷㘱挸搷ㅥ攰㑡戰㍦㐵㄰㙡戱愵敤散晡ㄳ㜰㜳㔷搲昶㠲㤱〴㜷㉦戸㌲挱昵ㄸ昸㔸昵㈶ㄳ㈹㉣㤴〶戰愷挶つ㈳ㄵ㠹㜸〳昱愴搷ㅦ㑢㜸㤲㕡敦戴㙡㈸ㄴ挳㡥㥢㐸愴っ㙣挴㐲㤱㜸っ慢㈸挱㘸㍣ㄶ㑤挵㔳扥㔸挲摤摢㜲慦昷㠱㡤摥ㄷ挴摤㈷捤挲㑣㌵ㄷ㔵晢㉡ㄶㄵ愴㙡搹ㅦ挰敡ㄸ㜰晢挱戳〴㜷㙦昶摦戶㤲戶户攲挷㠹㙢㠲㘴㄰挲ㄱ晤挱㌷挱㝤㍤〳摣挱㄰ㄲ摣〱㤰攷㠲扢㡦㈳㜷㈰戸ㄲ摣㈱昴㍣挸㔱㘷㍦挵㍤㠰㍡ち摣晤挱㤵攰扥攸〸敥昳㡥攰づ㠵㤱〴搷〳㔷搶㘷㌲㤶㍢愳㠹㘰㈲攲昱㝡昰攱ㅣ㡦挵晤扥戰攱挵愱ㄸ㡢愰㍥㈳愰㜹搳慡㐱㝦㉡㠲敢愵㐰捡ㄳ〹〶㐲ㄱ㙦㌴攱㠹㐴戱㐰ㅡ昵昹㐲昱㐴㍣敥㍥挰㜲慦晢㘰愳晢㐱摣〷㉡㔶摢㘷昲㌰挵㑡㙢㤵ㅤ〴㔶挷㠰敢㠱㘷㈷㜰扤㡡㍦㤷戸搶㤰っ㐷扣挲て扥〹敥挶っ㜰㐷㐰㐸㜰〳㤰㑢㜰㌳づ搳㐱㐷㙥〸㕣〹㙥〵㍤㐷ㅣ㜵づ㔶摣㉡敡㈸㜰て〵㔷㠲扢摥づ㙥晡㌰晤愰㈳戸挳㘱㠴晦昸㍤㉢戸挲㘱晡㌰㌴㈴搸愳搱㌶挱昶㠷晣㥥㘴搸ㄳ昷㈷㔲㔱慣㠹挷㘳摥愰挷〸㈵㜱㐱㥣㑡挴愳扥愸㌶㈶慤ㅡづ㘰敤搴挰㈷㜶㉣㠴㡢㉣㥦㈷ㄶ㑥挴㤳攱㘰㈲㤴挲〹㜷㌸收㜳㡦戰摣敢㘳㘱愳㡦〳㜱ㅦ㥥㘶㜱㑦㤲㉢愲ㄵ㘹㤶搲㉡慢〴慢㘳挰慥㠲㘷愷挳昴㐸挵慦㘷㝡ㅡ㐸愶㈱ㅣ㔱つ扥〹昶㥡っ戰㡦㠶㤰㘰ㅦ〱㜹㉥搸愳ㅤ戹㘳挰㤵㘰ㅦ㑢捦攳ㅣ㜵㡥㔴摣攳愸愳挰㥥〸慥〴晢〶㐷戰㔷㌹㠲㍤〹㐶昸㡦摦㉡㠰㉢㠰㝤ㄴㅡㄲ散㌹㘸㥢㘰〷㜰㜵散㐹ㅡ㕥㝥ち〷㤲挹㘰㌴ㄲ㑢〴㐲挹㘰㌸改て攱敡㌸愵挵搲慡㐱㙦ㄲ㔷挷搸扦㐳搱㐴㈰㡥㝤㍣攵㐹㠵㜰㔳っ㤷摢㈱ㅣ挲愳敥挹㤶㝢㍤づㅢ㍤〱攲㥥愲㔸㙤㥦挹㔳ㄵ㡢ち㔲戵㙣ㅡ㔸ㅤ〳昶㜴㜸㜶〲晢㘸挵㙦㘶㝡㕡㐸敡㄰㡥㌸ㄶ㝣ㄳ散攵ㄹ㘰㌷㐰㐸戰㘷㐰㉥挱捥昸㑣㍥捥㤱㍢ㄳ㕣〹昶㐹昴㍣换㔱㘷戶攲㌶㔱㐷㠱ㅤ〳㔷㠲㝤㠱ㅤ散昴愵搴㜹㡥㘰㈷㘰㈴挱㕤〸㔷㈶戸愱㠸㉦敥㐹挶昰〹㡣ㅢ㤷㤱㈰㤶愷㘳㤱㔸搰敢㌵㈲ㄱ㕦〸ㅦ戶摡愲戴㉡㔶㍥㍤戸昵㤵ち攲扥㔶㈰ㄶ〹㐵つ扦㉦攵㡦㠶㡤愸搷ㄳ㌳㤲㐱㜷搲㜲慦㉦㠶㡤扥〴挴捤挷ㄹ搸愳㙤㐱㍢愵㔸㔴㤰慡㘵㈷㠰搵㌱攰捥㠵㘷愷挳㜶㡤攲㉦㘱㜰㈷㤳晣ㄹ攱㠸ㄳ挱㌷挱㍤㌹〳摣戳㈱㈴戸戵㤰攷㠲㕢攷挸慤〷㔷㠲扢㤴㥥攷㍢敡㥣愴戸攷㔱㐷㠱摢〴慥〴户挵ㄱ摣㈶㐷㜰㕢㘰㈴挱㕤〶㔷㈶戸㕥㉣㜸㠴攲㍥㐰㤵㌴㜰㕡散㠹晡戱〶ㄲ㑡㠶挳戸㡤㠹挵㉦㐳扢㈸慤ㅡづ㐵㐳㌱㈳㥥㡡昸挳扥㠰挷㥦〴愰㤱㘴㌰㡥て㜵摣扣㑣㝡㤳敥〵㤶㝢晤㘲搸攸㝦〱㜱㉦㔴慣戶捦攴㐵㡡㤵搶㉡㕢っ㔶挷㠰扢〴㥥㥤挰㍤㔹昱捦㈰慥㝦㈴戹〲昱㡡㔳挱㌷挱㑤㘶㠰㝢ㄵ㠴〴昷㌴挸㈵戸ㄹ㥦挹愷㍢㜲捦〰㔷㠲㝢つ㍤㥦改愸昳㘷挵扤㡥㍡ち摣戳挱㤵攰捥戲㠳㥢晥㑣㥥改〸敥㌹㌰挲㝦晣㡣ㅣ㕣攱㌰扤ㄴつ〹昶㑤㘸㥢㘰ㅢ戸摢㤴〸㐷㘳㤱㈰㙥㑣昸㤳挱㐸㈸收つㅢ㠹㔴ち愵っ㌸ㄶ㐷戵㥢搳慡㕥挳ㅢ昵挶挳挱㘰㈲ㄹ挴㝤㙡ㄴ㌸昸㝣㕥㌴攲㤱㘰㈴㥡っ㝡摣攷㕡敥昵搵戰搱晦づ攲㍥㑦戱摡づ搳攷㉢ㄶㄵ愴㙡搹〵㘰㜵っ搸ㄷ挲戳搳㘱㝡㤹攲㥦捤昴㥣㐳㜲㌷挲ㄱㄷ㠳㙦㠲㍤㍥〳散㝢㈱㈴搸㝦㠱㕣㠲㥤㜱㤸㕥敥挸扤〴㕣〹昶㍡㝡晥慢愳捥㑡挵㝤㠰㍡ち散㑢挱㤵㘰㔷摢挱㑥ㅦ愶㐷㍡㠲㝤㌹㡣㈴戸て挳㤵〵慥摦攳挱攷㉡慥㠲㔰㠴㠰㕤㌹敥㠹挴㤲挹㤴ㄷ昷愲㐳㌸攵㑡㘸ㅢ搲慡㈹〳㜷慡㈳戸摢㡣㘵㤲〰ㄶ㑣攲〶敥㐸〷㜰㤹ㅣ挳㕤〹㌰摣㔷㔸敥昵㐷㘰愳户㠲戸慦㔴慣戶㍤昹㉡挵㑡㙢㤵㕤つ㔶挷㠰㝢つ㍣㍢敤挹搷㉡晥〵挴㤵㍦㝡愳㍦㠵㜸挵㉡昰㑤㜰㠳ㄹ攰㙥㠵㤰攰㕥て㜹㉥戸㌷㌸㜲昹ㄸ㠶〴昷ㄹ㝡扥搹㔱㘷戵攲㍥㐷ㅤ〵敥ㅡ㜰㈵戸〷㌹㠲㝢愰㈳戸户挲㐸㠲晢ㄲ㕣㤹攰㝡㤲摥㔰㉡ㄹ㌲㘲㔱摣㈷㐴㑤㐱㉣ㅥ㐱ㅤ㠹㍦攰㌳ㄲ㥥㤸㉦攲搱㕥㑥慢晡ㄲ戸攷ㄸ昵㈷挲㈸㉢挰㕤㐵㘰敡〹攱扥㈲搶戵㡤㘰搲ㅦ㡥戹㙦戳摣敢慦挰㐶㝦ㄵ挴扤㔶戱摡挰扤㕤戱搲㕡㘵㜷㠰搵㌱攰摥〹捦㑥攰摥愵昸换㠹敢㈵㈴敦㈱㕥㜱て昸㈶戸晤㌲挰晤〰㐲㠲㝢㉦攴戹攰摥攷挸㕤〷慥〴昷㐳㝡㝥挰㔱攷㐱挵晤㤸㍡ち摣昵攰㑡㜰昷㜴〴㜷㜷㐷㜰㌷挰㐸㠲晢ㄹ㕣㤹攰㠶㤲戸㠱㠴㑢摤㜸㈴㠹㔵捣㌰㜰昵㐷㍤戸㥤㤴㡣㝢㤳攱愴㉦愵㝤㥥㔶㡤㘰戹㈳ㅥ昰挵㜱ㅦ㌹ㄲ㌰㝣戸愷㥣㡡挵㜱晦㌱㡥扢挸扥㐴㉣收㝥挴㜲慦㝦〱ㅢ晤㑢㄰㜷慢㘲戵㠱晢愸㘲㔱㐱慡㤶㙤〴慢㘳挰摤〴捦㑥攰㙥㔶晣㑢㠹敢㘵㈴㍦㈰ㅣ戱〵㝣ㄳ摣㉥ㄹ攰晥〴㈱挱㝤ㅣ昲㕣㜰㥦㜰攴㍥〹慥〴昷㘷㝡晥㠷愳捥㔶挵晤㤵㍡ち摣㘷挰㤵攰ち㐷㜰㝦晢挱㘹㐵敢㌹ㄸ㐹㜰㡢㔱挰㙢㠱ㅢ㐵〵㠸㌷㡡㍤㉦ㄵづ昸ㄳ㔸戰㑣㠶〳摥㤴㉦ㄵっ㐷㡣㔰㌰愵㜵㑡慢挶愳摥㐸㠸攰㐶㜰㈷搱ㄷち㘳〵㈴ㄶ㑦愲慥㌰㠰ㅢ㤰愸㈵㜲㍦㙦戹搷㍢挳㐶㉦〱㜱扦愰㔸㙤攰扥愸㔸㔴㤰慡㘵㉦㠱搵㌱攰扥っ捦㑥攰扥愲昸㔷ㄳ搷㙢㐸捡㄰㡥㜸つ㝣ㄳ摣ㅤ挸㘰㕢㙤搸㉥㄰ㄲ摣搷㈱捦〵昷つ㐷敥㥢攰㑡㜰㝢搱昳㕢㡥㍡㙦㉢敥㙥搴㔱攰扥ぢ慥〴昷㔳〴攱戰㕣改〸敥晢㌰㤲攰敥〵㔷㈶戸㌸㘷㡡㠴㔰收㤱昰〶㜰扤ㅢ㡦挶㔲愱㔸〸昷㤷挲㈹慣㑡愷㠲ㅥ慤㜷㕡㌵ㄸつ㈶㔳㉣ㄷ㐸㜱ㅥ㘰㤱〳搵㠱搸昴㐰㍢ㄴ挳愲戴晢〳换扤摥〷㌶㝡㕦㄰昷昶㌴㉢扤㕣挹㈷㍥ㄸ㐴㥢㔶搹㐷㘰㜵っ戸ㅦ挳戳ㄳ戸㥦㈸晥つ㡣攴㐶㤲㐱㠸㔷昰ㄹㄲㄳ摣搷㌳挰ㅤっ㈱挱晤っ昲㕣㜰㍦㜷攴㝥〱慥〴㜷〸㍤晦换㔱㘷㠷攲ㅥ㐰ㅤ〵敥搷攰㑡㜰㕦㜴〴昷㜹㐷㜰扦㠵㤱〴搷〳㔷㈶戸摣㐵愳㝥㕣搹㜸㍤㕥摣㑤昴挵㔳愸摣ぢ愵挲㈱㝦㌴㠴㌳㘳㥦收㑤慢㠶ㄲ晣愰㡤〶㘲㝥㙦ㄲ换搷昱戸㉦ㄸ挵〲㐷㌴ㅡぢ晡㈳㔸挱㜶晦摢㜲慦晢㘰愳晢㐱摣摦㈹㔶摢㥥晢扤㘲愵戵捡㝥〰慢㘳挰晤ㄱ㥥㥤挰晤㐹昱搷㄰㔷晥㘸㤵㍥ㅣ昱㡡㥦挱㌷挱摤㤸〱敥〸〸〹敥㉦㤰攷㠲晢慢㈳昷㌷㜰㈵戸ㄵ昴㉣㌰扢㜳㉤㍢㈹㙥ㄵ㜵ㄴ戸㈵攰㑡㜰搷摢挱㑤摦㐲㝣搰ㄱ㕣つ㐶攸ㄱ换㤵㜰挵扢㑡㘸㑢戰㐷愳㙤㠲敤昵攳攸㥢昰㈷晣ㄱ㝣戰㜲〱㌲㠸㕤㤴晢㈹㔶㥣㜱㤶㥣搰挶愴㔵愳㐹慣㘶㈴㔱慣攵㐹㜹愰挱挳㜴〰㔷㐴㐱搶〲挴㔱昴攵㉥戵摣敢㘳㘱愳㡦〳㜱昳搱ㄱ戹摢戶摤㐲㜴㈹㔶㕡慢慣㉢㔸ㅤ〳㜶㌷㜸㜶〲㥢㡦愵㐸晥ㅤ㑣捦㥤㈴搳㄰慦㈸〳㕦㐲㌲ㅤ㉤㉡昰㈵攴㘳〷搴㌹㥡㍡攴攰攵收㠳〶㌲扢挷㠰摢扤㔳挹㕥㘸㍢晥〲㠸㔹ㅢ㍥〵摦敢㙥っ慢慡ってㅢ戵㈸㘱搴昲㌷㔷㔰㐱㡥㡦摥愲摤敡挶㌴㘱搳㘸㙣㥡摡㔰㈱㝦〳㠴てㅦ散愲㡡捣㠷搶ㅤ搱㔲㤳挴搷扣敦摢挶㔱㍦戸愳捣㈶㌶愶敤扡户㘹攱慢愷㜷㙢㙢㔵攱愹〶㘳㔱㌳扦㙢扤㑦ㅢㄷ扦慥㠴摦㝣㌱㤲捡㘳ㄳ敦㜶ㄶ㜷ㄲ㐳㥣㝥㌹㙡㘴㐳㕤慣愶㝥㔸㜵㘳㐲㌹ㄸ㔵摦㔲户㌷挶搰挷攱㑢攵㉢㙢㥡攵攳ㅢ㝤㤹㌱㥤㑦㄰㘸㌳㤰慡㥥挳〷㔶㔶づ昴㠶〷つ㌸戸㝣挰愰㠱ㄵ〳㈳愱㤲ㅢ㌱㝦晦て㍤㌲晦㙤㡦㐹戰㝦晥戹昴㤹挴㠷㡦ㄱ㄰ぢ愱昳㐹〴㙤ㄶ㜸㕤搰㘵ㄵ晢戹づ晤ㅣ攸㌴㌲昹挳㈰ㅣ㤸昵戰㡡ㅡ㕦㔳㘶㔷㝦㌰㝢㐲㔷㜳搸ㄵて㘱っ㥤㕣挱㘷ㄵ攸㕦㌶㔸敤㍦㄰㕢晡搳㈴捦㤰㍣ぢ㈲慥㠴挲㥢昸挵戶㡤㈵㡢㔷㐵捥㉥㍡晣㠱てㅦ敥搹攵挹愷晤攲ち㑢㌰㝥摡收敥搵㌷㥥㍦敥愲㔵〷㡦㝡㜳ㅦ敤ㄴ㌱〸㥥ㄸ㠴㥥㐲㡦改㈹㌹㔸㜱㑦㘰ㅣ昴㡣㤷㝢〸戸㜲㑡捥〵户㝢㈷攱㐱摢㑣挵㌰㙣㘹昳挰㌵㔳ㄱ㡡㠸扦愲㐳ㄵ慥㑢慦愵ㅢㄶ搵㥢敡〷㔱扤ㅥ扣ㅣ戰㘰昹ㄷ㔸慡㔱攳愷慡㘹㜹〸昴㥤㠶㝢㐱扥攱㥥㙦〹㑥㍤愶挷㕥㔷ㅤ搸㜷晣愵㝦㍦㝦搹㝤㘳㙥戹㐴っ㠷㈷㌹摣〵昰慢㠶敢㔶换㑥㘲㠴ㄲ㉦㘴户㙡摣㉣㠰㤷攳㕥〴㉥㜶挵㔱㘸ㅦ㤲ㅦ㘶摢㈳ㅤ㐳㠱㌷㝥挶挵㐸攲㠷ㄵ收㘳㐷㔸㍣慡扥戹㤱摦挴㔱搴〹㝢㕣㠹㥣〶㥤㡢て晥㝤扥昸攸ㄷ㘷っ㕦㈵攷㘰挴晦ㅦ㝥㌸搶戶㈹㑦㡦㥣昶晡ㄲ愶㘱㌴㠶㙢攲㔶㡤㉤敤ㄴ昰㠰㕢挵㌴晢㑥ㄶつ㡢㍦㘵攰㜶ㅡ㉤㔹㘵㙦㕡戲㔰㕦㍢〳㍣㑣㤰㡡改〳愱㝥㍡搴摢㈶挸㤹㔴攷〲㤷㐲㕥昰收㤳㤲ぢㄶ戴㍢㑤㠰㈵ㄶ捥㌹昳㝤戱㈵㌸扥㝢㔱攰㥤㑢扦愹扣昴摤㙥㌷ㅦ戲㝡戹㑢㑣㠳㈷㌹〱㤶愲㐷㌵〱㠴㉣㙢攷㠰捦㘵ㅣ搸攰换㝤㉣㜴㈵敥攷㠱㡢昹㍥ㅢ㙤㜳㌸挷㘳㑢扢〰摣㥣〹ㅣ〹㡡愶㡣㐴㉣愳㐷搶㤸㥢㤶戳㘸㜹㌱㜸搶㐱㈳㈸ㅡ㌲ㄲ戱㥣敡昳愰攴㌴摣㜹昹㠶㕢㘳〹挲昷㝤㌵攱慣て敥愹㕡昵㡦挸㜹㍢㘶㍤㍢㑤搴挲㤳ㅣ敥愵昰㥢ㅥ㙥扤攲㕥挶摥搴㜰㔹摡㉤㠷㝢㌹戸ㄸ㉥㑢戱㌹搵㠵〱敦㥣㕦㜲㑡㕣㐹ㄳ㤶㑤㥢攳㘹挱㤶㜶㌵㜸愵ㄲ㔸㝣㤱扡㠸㐱㔵㈱㠷摦㘰愵㍥ぢ愸㑤㝤ㄶ㘹㙢慢挰敢㤵㍤㠵㘸㝡㍣㑣搵っ㜰改㌷搰㜴㌱っㄴ㑢戰㉣㕢戹ㄶ㉣㠳㜶捡搲㌱㜰攲㜸㄰㍣摡ㄲ㈴㜷摢扣攵慤〱搱㡡摢㈷昶㔸晣搰㕦挶㉣ㄵ慣㤹㤶㔹㕡㠳ㅥ搳㔹㍡㕢㜱㙦㘱ㅣ㉡㑢㑢挱㤵㔹扡ㄵ㕣㘴㘹ㄹ摡收搰㉥挰㤶戶ㄶ㕣ㄳ摡㜰㔰ㅣ㤵㤱㠹㍢攸㠶搵挶愶㍡㉢㥡戵扢挰换㤹㐳戰㍣㌲㈳ㄱ昷搰昲㌲攸㍢つ㜷㜴扥攱ㅥ㘱〹昶㝡㜷搰扤搵㥢慦慦㕣㜹挴㠰ㅦ㥦㍤搶搷㕢㕣〱㑦㜲戸て挲㙦㝡戸㔷㈹敥㐳散㑤つ昷ㅡ㜰攵㜰搷㠳㡢攱摥㠸戶ㄹ晦昵搸搲㌶㠰㥢ㄳ㝦挴㉦㉡㌲攲㙦愵挷㥢搲㤶㉣昷搵㌶㠲㘷敤〳㝥㌱ㅣ敡ち㔷㤷扥㤹敡㉣㤵㜵ㅡ㙥㈴摦㜰挳㤶㘰昳昳捦摦昹昴扥ㅦ㡦扥慤挷㤶㐳捦㥣晤㑣㡤㘰㕤慤ㅣ敥㔳昰㥢ㅥ慥㉣㤸挵㈸昵㝦戰㌷㌵㕣㤶挸捡攱㙥〵ㄷ挳㘵㥤慢摣〷晣昰㥥摥〷㥥愱挹挳㄰㤹㤹㜸〸㕢摡㜳攰攵捥㘹㡦㑦ㅣ〴㑢㌵㠱㕤晡ぢ㌴摤㤰㌶㘵㌱慣昶ㄲ㜸搶敥〳晤愱搰㙦换挵㉢搴㝦〲㕡㑥戹ㄸ㘴つ㌹攷昰户慦㈵㜸昶愳〳敦敥扡㙡挹㤸ㄵ㌷摦㝡㔴㥦㈹ㄳ扣攲㈹㜸㤲戹搸〶扦改㕣㙣㔵摣户搸㥢捡〵㉢㐸㘵㉥摥〶ㄷ戹㘰㥤愶㌹㘰ㄶ㠴㙡敦㠲㙢捤昴㠰搸㍢㈳攸昷改收攵戴㍡㡢㐲戵敤攰攵捣㤴㜰㐰昴㠱㘵㕢㝡㍥愲攵㍢搰㜷ㅡ敥敥昹㠶扢㥢㈵㤸晣昵㍢扤昵㜵昷㑣㜸㘸㘳昵收〷晢㙤ㅤ㈳㔸㠸㈹㠷晢㌹晣愶㠷晢㠱攲㝥挱摥搴㜰㍦〴㔷づ昷㑢㜰㌱㕣ㄶ㐶㑡攸㜷㠱昷㌴昴㍢㘸昲㌹㐴㘶㈶㍥挵㤶昶㌵㜸敡昰ㄷㄲ摤愱摥㠶摦户搴㘷㌹愳愹捦㤲㐹敤㍢昰㜲愷㡡㌷㈴㜴㤸戶攵攲〷㥡戲昴搰㈹ㄷ㥤慤㈱攷㐰摦挹ㄲ昴㌹晦㥡㔳昷㤹搶㕣戹晡㤹晥㑦㌵敥扡㜵㥥昸ㄱ㥥㘴㉥㝥㠵摦㜴㉥晥愳戸扦戱㌷㤵㡢㕦挰㤵戹㈸㉡㤵戹㄰戸㤰㤰戹昸敤㝢㕢㉥㡡㈱ㄴ慣昱㌳挷挶㘲㐲慤㌳㜸㉡ㄷㅥ昱ㅦ愸户攵㐲愳㍥慢晤㑣晤㑥搴㉦〵捦㈱ㄷㅥ昱㍤㑣摢㜲攱愲㈹㉢昳㥣㜲昱㌵㔴ㅤて昸㕦㔹㠲㙦敦㥦㝦㙡㘸敤挹㤵㌷慥㕦㝥㐸㜴㐸户搷〴换昸㘴㉥摣昰㥢捥㠵慣捦㐳ち昴㕤搸㥢捡〵㉢昲㘴㉥㝡㠲㡢㜹挱扡㌷㜳〰㉣戰搳㜶〵搷㍡㡥〵挴㘷ㄹ攳摤㥤㙥㔸〰㘷慡戳挸㑥摢ㄳ扣㥣摤㈰ㄲ㄰ㅦ㘷っ户㌷㉤㔹慢收㌴摣昷昳つ昷㍤㑢戰攱敥㤹ㄷ㜵㥥㈷挶㍦戰㘱户换㑢敦慡づちㄶ戶挹攱㤶挳㙦㝡戸戲㘲㡤挳敤捦摥搴㜰㔹愳㈶㠷㍢〰㕣っ㤷㌵㕥㘶晣㉣㌹搳〶㠲㥢ㄳ㝦㈸㉡摥捣㠸㝦㄰㍤戲㝣捣戴㘴〵㥡㌶ㄸ㍣㌳㔱㔰㝦ㄵ敡㙤ㄳ㘳〸搵㔹扤攵㌴摣ㄷ昲つ昷㜹㑢㜰昷敥晢㔵㝥户慢愸扣昸戰㑦搶㍤㜶搱昹摢挵〸㜸㤲挳昵挰㙦㝡戸ㄵ㡡敢㘵㙦㙡戸㔵攰捡攱晡挰挵㜰㔹㝡㈵㘷晡搳昰㥥摥敢〳㌴㘱㤹㤴㌹ㅥ搶㘳㘹㈱昰㜲㘷慥㈷㈴㥥㠴㘵摢捣㡤搰㤴挵㔵愶㈹敢戳戴㠳挱㔳〷晣㤰㜸っ晡㙤戹㌸㤴晡㉣㙥㜲捡㐵慢㌵攴㥣扤晥ㄱ㑢戰愰㘲㑥㤷㜳〷㙦ㅣ㜵挷戲挸散㙢㈷㌵摦㉣㔸〹㈵㜳㔱〹扦改㕣挸ㄲ㈷㐲㕦挵摥㔴㉥㔸搴㈴㜳㌱ㄲ㕣攴㘲㌶摡㌲ㄷて挱㝢㍡ㄷ搵㌴㘱ㄵ㤱㌹㈰㤶㉢㘹愳挱㔳㝢扤㔷慣换ㄸ搰㔸敡戳㥥挸搴㡦㔱㝦㍣㜸戹戹昳㝡挵摤㌰㙤换摤〴㥡戲昶挷㈹ㄷ㙢慤㈱攷攴攲㌶㑢戰攲㔰㍤㜱捦㤰扥㘳慦㝢㘴晣㤵㈷㑥㌹攴㔵挱㐲㈱㤹㡢愹昰㥢捥㠵慣〰㘲㉥愶戱㌷㤵ぢ搶晣挸㕣㑣〷ㄷ戹㘰㘵㡤㌹〰㤶昰㘸挷㠰㙢㝤昸㐵挴捤ㄹ攳㥤㐱㌷㉣戱㌱搵㔹挶愳捤〴㉦㘷慦〹㐷挴昵ㄹ挳㥤㐵㑢㔶挳㌸つ昷敡㝣挳扤捡ㄲ昴㥥扢戶摦㡦㥤㡥ㄹ㜷攱戴挷㕥晥捦㠶㙢敥ㄲ㉣㥤㤱挳㑤挲㙦㝡戸戲㈶㠶挳㌵搸㥢ㅡ㉥慢㘰攴㜰㔳攰㘲戸慣㈲㌱攳㘷㔱㡢㌶ㄷ摣㥣昸㈳㍥昱户㡣昸攷搱㈳ぢ㔴㑣㑢搶戸㘸戵攰㔹㠷㐷㥦戸〴敡㙤㌳扤㥥敡慣て㜱ㅡ敥戲㝣挳扤搰ㄲ扣晥晤㡣㝢㈷ㅥ搵㔴戹㜶㘹晦敤㘷晦㌶晣㑤挱㘲ㄲ㌹摣㘶昸㑤て昷ㅡ挵㙤㘱㙦㙡戸搷㠱㉢㠷扢〰㕣っ㤷挵ㅤ㜲愶㥦ぢ敦改㤹扥㠸㈶㉣挴㌰挷挳㡡て㙤〹㜸㙡搷㡤㠸戳㌲〶㜴ち昵㔹㤲㘱敡戳散㐳㍢つ扣摣㤹敥㠹㠸㍦挲戴㙤愶㥦㐱㔳㤶㑦㌸攵攲ㄴ㙢挸㌹㌳晤㘴㑢㌰攸扡㑦敦慡戹敦㥤㜱换戶㕣㜲攸㥤昳昶晢㐶戰搶㐲收攲㙣昸㑤攷㐲ㄶ㔱㄰晡㜳搸㥢捡〵换㈶㘴㉥㤶㠲㡢㕣戰散挰ㅣ〰慢㈰戴昳挰捤㠵摥㉢㕡㌲攲扦㠰ㅥ㔹搱㘰㕡戲㈸㐲㕢〶㥥〵扤㔷㥣〴昵㌶攸㉦愶㍡ぢち㥣㠶㕢㥢㙦戸㈷㕡㠲ㄹ攷㙣摦搶搸戹搷㠴换捥㝣昹慤㜵㐶攷挹㠲搵〷㜲戸㉢攱㌷㍤㕣㔹㔶挰攱晥㡤扤愹攱戲㤰㐰づ昷㔲㜰㌱㕣摥㠸㌷㠳㘶㕤㠰㜶㌹戸㌹挳つ㠵㠴㤱㌱摣㉢改㤱昷昸㑤㑢㤶〹㘸㔷㠳㘷㝤扥㠵㐴㉣㘳戸搷㔲晤㍤㈸㌹つ㜷㘶扥攱ㅥ㘷〹㑥㔹㝦㔲摦㉤㡦㤶㔴㕦戱戴攴㕦晤敥ㅥ扦㐲昰㝥扣ㅣ敥㑤昰㥢ㅥ慥扣搱捥攱摥捣摥搴㜰㜹㙢㕤づ㜷㌵戸ㄸ㉥㙦㘰㥢㐱昳㑥戹戶〶㕣敢㌸收ㄷ搳㌲㠲扥㤵㙥㜸㈷摢㔴攷摤㜲㙤㉤㜸㌹搹〹晢挵㔱戰㙣㥢捣㜷搰㤲㌷㥤㥤㠶㍢㍥摦㜰挷㔹㠲慤摢挳敥㤷扡㕤㍦昶敡ㄵ㉦て㍢㝣攴愴ㄶ挱㍢搴㜲戸昷挱㙦㝡戸昲搶㌳㠷扢㡥扤愹攱昲㘶戳ㅣ敥晤攰㘲戸扣愵㙢挶㕦㡣㉤敤㐱㜰慤攱晡挴愸㡣攱慥愷ㅢ摥摢㌵搵㜹晦㔸摢〰㕥敥㜰㝤愲㈲㘳戸慤戴攴㙤㔸愷攱ㅥ㥡㙦戸㠷㔸㠲㕢㐶捤敦搹㘳挳㈳㠷㥦㜹捥㠲ㅤ㥤戶敦ㅢㄷ扣㘷㉢㠷扢〵㝥搳挳㤵㌷㘳㌹摣挷搹㥢ㅡ㉥㙦扦捡攱㍥〱㉥㠶换㥢㥣㘶晣扣㥢慡㍤〵㙥㙥晣㘱ㄱ捣㠸㝦㉢㍤昶㑤㕢昶愶攵㌳攰㔹㠹ちぢ㉦搴摢昶摤攷愸捥ㅢ㤳㑥挳㍤㈰摦㜰㠷㕡㠲㕥敦㕦昰搹搸改㘷㡤㔹戹昱て㉢扦摡昶㘸て挱扢㤸㜲戸慦挰㙦㝡戸㐳ㄴ昷㔵昶愶㠶㝢〰戸㜲戸慦㠱㡢攱晡搰㌶㠷敢挱㤶昶〶戸戹挳昵㡡㝤㌳㠶扢㡤ㅥ㜹慦搰戴攴敤㐶敤㙤昰慣攱㝡㐵晦㡣攱扥㑢㜵摥慡㜳ㅡ㙥摦㝣挳敤㘳〹㍥㙤攸㌱慡捦㡢昵ㄵ㘷摤搶昵搴㌹愱㥥ㄱ挱晢㝡㜲戸ㅦ挱㙦㝡戸昲㠶ㅤ搱晤㤸扤愹攱昲ㄶ㥤ㅣ敥㈷攰㘲戸扣捦㈶㍦愵昶㠰昷昴愷搴愷㌴ㄹぢ㤱㌹ㅥ摥㝣搳㍥〷㉦昷㔳挷ㅢㄶ扤㘰搹戶愳㝥㐹㔳摥㐹㌳㑤㜹㌳㑥摢〱㥥㍡㤵ぢ㡢㌲攸户㐱晦㌵昵㜹㈷换㈹ㄷ㉥㙢挸㌹㥦㔲扡㈵㜸晤慡㥦㐷㉣㝣㝣㐴昵戹晤扥㕤戶㘹攴㉢摤摣扣ぢ㈶挷昷〳晣敡㍦㤲晣〴攲㜲昳㐶㤸ㄴ晣〷㑤㉣戸昳ㄶ㤸攳晤ㅢ昳扥㡡昹换搴昸挲㉡愳㐹㌲捡㤰挰㤲ㄴ敦㜲㜵㑤昱㝢慣っ昹昳搸昸㤲慤㥡摡㕡昹晤㔴摤昰㈳搵㡤㈷ㅡ㡤攳昱㥢敢昸㘹敡㈹㌵㜵搶ㄷ㉣攱户搸㜹〳㑢晤っ戲㉥㕢㕣㘷搷㔲ㄳㅢ昱扢挸㕤㔲㘳㥡昰换敥挹搲扡㐹戱收㘶愳戱晥㝦攱慢攲昰㡤㘱㥤㜹㑢〱昳愹ㄳ㝥㍣扡搸昱换扡昸㉤㕣搹㍦㥢㙣晢昹晡戶㝣昰㈷搱戹晥㕦捣摦戶晥㝤㕦ㄴ愷晤っ搸捡搲扦㑣扢㠰㕦〳搷㔴㉣㍡㘱ㅥ挸挷搵㍥昳敤㈵㙦㘳昱收慤晥㉢㜴戵摦㐰㍡攱昶ㄸ㝦㤳㠴㍢㠰㑢㉦挲㔷晤改慤㘸㐸㔲搴㜹㈶愶㐰愱扢㠰摣㤵扡搴捤㡥㌵㌶挶ㄶ㤷搶捤慥㌵敡㑦㘸㥥㕢㍡㝢〱㙥㝢搶㌴搴挳戸戴戴㔴㉦㠶㔳捥㉢昶㈲收㠰㐹慦㝡㈷㜰挹攱换捤摢㘰㜲敡㜵㘶〰㈵㈴ㅡ㠸换捤㍢㘱㔲搰〵㑤散㡣扣〷挶㜹愹㜳戰挵攲晢敦㥣〶㠷㜱ㄴ改ㅣ㕣摢挰扡㤱搵㡡慥捣㠱㠹㕡昸㤰㘱昴㠰㐰㠵㈱收㉢㙥ㄹ戸㉡㘴㌷㙦㕡挹ㄸ摣㜴戲ぢ㐹㑦㄰㤷㥢户慢愴愰ㄷ㥡〸㙥ㄱ摡っ㑥摢ㄵ敤㕣㈴㍥㜳っ㜶㜷攸㙡㝢㠰㘴㈲戱㈷㌸戶㠰㑢㜸㑦㈸㝢㡡昱㑢散慡ㄹ㝣挹挲㥡㘴昳㕣㙤慥㔱㜳挲㕣㍣扥搱戵慢晡㤲㌹挸㔰攷つ㔳㌹搶摥昰愹㐶㈵捥㔴摣㍥攰慡っ戸㜹㝦㐶づ愹㉦晢晦〳㐹㍦㄰㤷㥢户㘸愴㘰㙦㌴㌱搶昳搰戶〱昱㡥攳搸〶搰㍥ㄳ㠸㠱㘴戵㈲㉣ぢ㠸㘵㉡㡣㐱㄰愴㠳㕢慥戸晢㠱㥢づ敥㔲ㄵ挳㘰㍡搹㥦㘴〸㠸换捤ㅢ㉡㌲戸愱㘸㈲㌸摥㑡㤱㐰ㅣ㠰㜶㉥㄰㉦㍡〶㍢っ扡摡㐱㈰㤹㐰㜸挰戱〷㝣㈵㝣ㄳっ昵㈷慥㐵㐳愶搷〷㑤ㄵ慢攰㕤ㄴ挹昵㠳慢挶攵㕥〳慥っ㌴㐰慦㐱㤲㄰㠸换捤㥢ㅤ㔲㄰㐶ㄳ㈳戸ㄵ㙤㕢㝡ㅦ㜷㡣昸㘰摡㘷愶昷㔰戲㕡ㄱ㥢㤵摥㍢㔴ㄸ㠷㐱㤰づ㡥㜷㌶㘴㜰晣戱昵㜴㜰て慡ㄸづ愷㤳ち㤲㑡㄰㤷㥢户㈶㘴㜰㔵㘸㈲戸昵㘸摢㠲㝢挸㌱戸㙡摡㘷〶㌷㥡㉣㕢㜰慤㉡㡣戱㄰愸㌰〴敦㐳挸攰挶㠱慢㐲㜶㍦愵㘲ㄸ㑦㈷㐷㤲㑣〰㜱戹㜹㈳㐱〶㌷ㄱ㑤〴户ㄵ㙤ㄹㅣ㜷挲㘲㜱扢㘳㜰㤳㘹捦㥤慥敤〸㌱㤵㉣㕢㜰扣摢㤰㠱㌳敦㈱挸戸愶㐳㌳ㅤ㉤敦ㄴ㐸敥搱攰愶愳摤〶慥っ敡ㄸ㝡㍤㤶㘴〶㠸换捤愵㝥㈹㌸づ㑤㐴换㐵㝥㕢㉡慦㜷㡣㜶ㄶ敤㌳㔳㌹㠷㉣㕢戴㕣晢㤷㘱挴㈱㔰㘱〸慥敢㑢㙥〲㕣ㄵ戲晢㜳ㄵ㐳㤲㑥っ㤲ㄴ㠸换捤㠵㜹ㄹ摣〹㘸㈲㌸㉥挹换攰戸ㅢㄵ㡢扦㌹〶㌷㡦昶摣㙤摡㔲㔹㑢㤶㉤㌸慥摥㘷愴㤲换昳㌲慥㝡㍡㉥㌲㕦攲〷挵㙤〰㌷ㅤ㉤搷捤㘵㔰昳改昵㈴㤲㐶㄰㤷㥢㑢攷㔲搰㠴㈶愲㉤挲〱摦〶晣昹㡥搱㉥愰㝤㈶昰㡢挸戲㐵换昵昵㡣㘸㌵㌰㘴戴㑢愰㤹㡥搶愵戸㈷㠳㥢㡥搶つ慥っ敡ㄴ㝡㍤㤵攴㌴㄰㤷㥢㡢摢㔲㜰㍡㥡㠸㤶换摡㌶攰㑦㜷㡣昶㑣摡㘷〲晦㘷戲㙣搱敥慥挲㌸ㅢ㠲㜴㜰扤ㄵ昷ㅣ㜰搳挱㤵慢ㄸ㤶搲挹戹㈴攷㠱戸摣㕣㡡㤶挱㥤㡦㈶㠲攳㈲戴㉤戸㈶挷攰㤶搱㍥㌳戸㡢挹戲〵㌷㐸㠵戱ㅣ〲ㄵ㠶ㄸ愲戸㤷㠰慢㐲㜶㝢㔴っ㉢攸攴慦㈴㉢㐱㕣㙥㉥ㅣ换攰晥㠶㈶㠲攳㤲戱つ攷ㄳㅣ㠳扢㥣昶㤹㌸㕦㐹㤶㉤㌸慥㉥㘷攰ㅣ〱㐳攲㝣㌵㌴搳搱ㅥ慡戸搷㠰㥢㡥㤶敢扡㌲愸㙢改昵㍡㤲㔵㈰㉥㌷㤷㜶愵攰㝡㌴ㄱ㉤ㄷ㜵㙤搱ㅥ攷ㄸ敤㑤戴捦㡣㜶㌵㔹戶㘸慢攱㈷㈳摡戱㘰挸㘸搷㐰㔳挵㈵㈶㈸敥㉤攰慡㌱戸戹昲㉡㠳扡㤵㕥㙦㈳㔹ぢ攲㜲㜳昱㔵ち㙥㐷ㄳ搱㑥㐷摢〶晣㐴挷㘸敦愲㝤㈶昰昷㤰㘵㡢㜶㠶ち攳㍥〸搲挱捤㔲摣㜵攰愶㠳攳㍡愹㡣攱㝥㍡㜹㠰攴㐱㄰㤷㥢㑢愵㔲昰㄰㥡〸㉥㠵戶㉤戸㉡挷攰㌶搰㍥㌳戸㔶戲㙣挱捤㔳㘱㙣㠴㐰㠵㈱敡ㄵ㜷ㄳ戸㉡㘴㌷㔷㌵㘵っ㥢改攴㌱㤲㉤㈰㉥㌷ㄷ㌶愵攰㜱㌴ㄱ摣〲戴㙤㌸㠷ㅤ㠳㝢㡡昶㤹㌸㙦㈵换ㄶ摣㈲昸挹挰昹ㄴ㌰㈴捥捦㐰㔳挵㈵捥㔰摣㘷挱㔵㘳㜰㥦つ慥っ敡㌹㝡㝤㥥攴〵㄰㤷㥢㑢㡦㔲昰㈲㥡㠸㤶㡢㡥戶㔴づ㜵㡣昶ㄵ摡㘷愶昲㌵戲㙣搱㜲〱㔲〶昷〶〴㉡っ㜱戱攲扥〹慥ち搹扤㔲挵戰㡤㑥摥㈲㜹ㅢ挴攵收㐲愱っ敥ㅤ㌴ㄱ摣愵㘸摢㠲摢摢㌱戸昷㘹㥦ㄹ摣㜶戲㙣挱㕤愹挲昸〸㠲㜴㜰搷㉡敥挷攰愶㠳扢㐹挵昰〹㥤晣㤳攴㔳㄰㤷㥢换㝡㌲戸捦搰㐴㜰㕣搰戳〵搷换㌱戸㉦㘹㥦ㄹ摣づ戲㙣挱㜱㥤㑦㘶敥㙢〸㔴ㄸ攲づ挵晤〶㕣ㄵ戲晢㍥ㄵ挳户㜴昲㙦㤲敦㐰㕣㙥㉥挲挹攰扥㐷ㄳ挱摤㡦戶㉤戸㉥㡥挱晤㐴晢捣攰㝥㈶换ㄶ摣㝡ㄵ挶慦㄰愴㠳㙢㔵摣摦挰㑤〷户㐵挵挰㙡㕦㕤㤰ㄴ㠳戸摣㕣㌲㤳挱㜵㐲ㄳ挱㜱戱捣ㄶ摣㝦晥敤㜴改愶搱㍥㌳戸㔲戲㙣挱㜱攱㑣㘶づ㠵摡改㌰挴㜳㡡摢ㄵ㕣ㄵ戲晢ㄵㄵ㐳㌷㍡改㑥搲〳挴攵收〲㤷っ慥っ㑤〴昷ㅡ摡戶攰晥攵ㄸ㕣㑦摡㘷〶户㉢㔹戶攰戶愹㌰㜶㠷㐰攵㐸扣慢戸㝢㠰㥢づ敥㈳ㄵ挳㥥㜴戲ㄷ㐹㙦㄰㤷㥢换㔱㌲戸㍥㘸㈲㌸㉥㐴挹攰捣昳戰てㅣ㠳敢㐷晢捣昳戰㜲戲㙣挱㝤ち㍦ㄹ挷ㄶ慥㐴挹㔴づ㠰㘶㍡㕡慥㌷㐹敥㍥攰慡㘸挵て攰捡㘵戰㙤攸㥥换㘰㠷ㄶ攱昲扥㔸ㄳ㕣㐱㤲㠲㌷㉤挱㜰㈹㄰㠲慢㑡㔲昰㠶㈵ㄸ〱㠱扥ㅦ㥣㤶㜰㠵㈹晢㉢敤㙤敢㈲戶㉦㤷㠷㈲扥㠸㘰ち扥搹㥣㑢㈴慥㍡搶㈶换〲㑥慤㙥捡㕣㝣昳昹㉥㤶敥搰戴㑥捦㌴㈷慤摢㈳捤㤲㌶㝢㔵㌵搴捤㡦㌵挶攲戵〶㔵㠶戶㌹摤㉤㕢㈲昵㤱ㄹ㈶愷㘸㐰晥㡡㔱ㄵ㈰搷㜰㑡㐵扢ㄵ㑢〵つ昴挱挸㐹㜷㙣㠸戶㉤搹㉣攱㌲㑤扢搷㡦戸㠲昹㍢扦㠳㝦㝦〴㈰㡡戰㕢换㐵搲㈱戲㘵㌶捡㡡㉤㙥㈹摥㡢捡㍡愹ㄶ㔷㝥㐴㘷戴㈴挲㉦㘷捤〹慥攰㐸挱㑢㔹㜳㐲㔳㠲ㄷ敤㜳㘲ㄸ㍢散〲ㄱ攷㐵㕢づ摡戶㘴㌶㠴ぢㅡ捣㠸敥愱㝥㌷戴㘴戸㕥㝢戸㍤㉣㙥㈹〳㉣㉢㔳㉤扣攳敢愳㐰㘵㔴捦㘴㠵换㌵ㅤ㈹㜸㍡㉢摣㥥㑡戰搵ㅥ㙥㤰ㅤ昶㠲㐸㠶ㅢ㐲换〴㉦扤㘵㠶扢㍢㌴㘴戸㘱敡敦㠹㤶っ㌷㘲て户户挵㌵戳摢㐷戵㘴㜶晢愲㈵愳㝡㍣㉢㕣㉥换㐸挱㤶慣㜰晢㈹挱㘳昶㜰て㘵㠷㝢㐳㔴㌸扢〳愰㈱挳㍤㡣晡〳搱㤲攱㡥戰㠷㍢挸攲㥡攱敥愷㕡㌲摣挱㘸挹愸㕡戳挲攵㐲㡤ㄴ㍣㤲ㄵ敥㄰㈵搸㘰て户㡡ㅤづ㠵㐸㠶㍢ㄲ㉤㌳扢改㉤㌳扢挳愰㈱挳ㅤ㐵㝤て㕡㌲摣㙡㝢戸㍥㡢㙢㑥〶扦㙡攱ㅤ摦㐸〴㉡愳㝡㈰㉢㕣慥捡㐸挱晤㔹攱㠶㤴㘰㥤㍤摣戱散㌰っ㔱攱散ㅥっつㄹ敥㜸敡ㅦ㡡㤶っ昷㐸㝢戸㠷㔹㕣㌳摣ㄱ慡㠵昷㈲㜱㌸愸㡣敡慥慣㜰戹㑥㈳〵㜷㘶㠵㕢愹〴㜷搸挳㍤㡡ㅤ㔶㐱㔴㌸摣㙡㘸挸㜰愷㔰㝦㌴㕡㌲摣愹昶㜰挷㕡㕣㜳㌲㡣㔳㉤㌹ㄹ挶愳㈵愳扡㈵㉢㕣慥摣㐸挱㥡慣㜰㈷㈸挱摦敤攱ㅥ挳づ㈷㐲㈴挳㑤敦㘰㝡㝡换㥣っ㤳愱㈱挳㥤㐱晤愹㘸挹㜰㡦戳㠷㍢摤攲㥡攱ㅥ慤㕡㌲摣㘳搰㤲㔱摤㤰ㄵ㉥㤷㙥愴攰晡慣㜰㘷㈸挱㉡㝢戸戳搹攱㜱㄰ㄵ捥敥㉣㘸挸㜰㘳搴㥦㠳㤶っ㌷㙥て㌷㙥㜱捤挹㤰㔰㉤扣ㄷ㠹㈴愸㡣敡慡慣㜰戹㤸㈳〵㔷㘶㠵㥢㔲㠲㉢散攱愶搸攱〹㄰挹㜰搳㍢㤸㥥摥㌲戳㍢てㅡ㌲摣戹搴慦㐵㑢㠶㕢㘳て户摥攲㥡攱㌶愸ㄶ摥昱㕤㌰愰㌲慡㤵㔹攱㜲㌵㐷ち晥㥡ㄵ㙥愳ㄲ慣戰㠷㕢挷づ㥢㈰㉡㍣ㄹㄶ㐰㐳㠶摢㐰晤㐵㘸挹㜰攷摢挳㕤㘲㜱捤㜰㑦㔶㉤扣ㄷ㠹㔳㐰㘵㔴ㄷ㘵㠵换攵ㅣ㈹㔸㤶ㄵ敥㘹㑡㜰愱㍤摣㘶㜶㜸㍡㐴㠵㈷挳㤹搰㤰攱㉥愰晥㥦搱㤲攱㉥戴㠷㝢戶挵㌵挳㍤㐷戵昰㕥㈴㤶㠲捡愸㤶㘶㠵换〵ㅥ㈹㌸㈷㉢摣昳㤴攰㙣㝢戸㈷戳挳昳㈱㉡ㅣ敥㌲㘸挸㜰㑦愵晥挵㘸挹㜰㑦戳㠷扢摣攲㥡扢摡㈵慡㈵㜷戵ㄵ㘸挹愸晥㤸ㄵ㉥㤷㝣愴攰㡣慣㜰㔷㉡挱改昶㜰捦㘴㠷㝦㠳愸昰㘴戸ㅣㅡ㌲摣㍦㔳晦㑡戴㘴戸㘷搹挳扤摡攲㥡攱㕥愳㕡㌲摣㙢搱㤲㔱㉤挹ち㤷㙢㍥㔲戰㌸㉢摣㔵㑡戰挸ㅥ敥戹散昰㝡㠸ち㠷㝢ㄳ㌴㘴戸攷㔳㝦㌵㕡㌲摣ぢ散攱慥戱戸收㘴戸㐵戵昰㕥㈴㙥〵㤵㔱㌵㘵㠵换㐵ㅦ㈹㘸捣ち㜷慤ㄲ㥣㘴て昷㘲㜶㜸㍢㐴㠵㈷挳㕤搰㤰攱㉥愷晥㍤㘸挹㜰㉦戱㠷㝢㥦挵㌵挳㕤愷㕡㜸㉦ㄲ昷㠳捡愸㙡戳挲攵㌲㤰ㄴ㥣㤸ㄵ敥㠳㑡㌰捦ㅥ敥摦搸攱㐳㄰ㄵづ㜷〳㌴㘴戸㤷㔱扦ㄵ㉤ㄹ敥攵昶㜰㌷㕡㕣㜳㌲㙣㔲㉤㌹ㄹ㌶愳㈵愳㌲戲挲攵挲㤰ㄴ㈴戳挲摤愲〴〹㝢戸㔷戳挳挷㈱㉡㍣ㄹ㥥㠲㠶っ昷㕡敡㙦㐵㑢㠶㝢㥤㍤摣㘷㉣慥㤹摤㘷㔵ぢ敦㐵攲㌹㔰ㄹ搵慣慣㜰戹㌲㈴〵挷㘷㠵晢㠲ㄲ捣戴㠷㝢㈳㍢㝣ㄱ愲挲搹㝤〵ㅡ㌲摣㥢愹晦ㅡ㕡㌲摣搵昶㜰摦戰戸㘶㜶摦㔴㉤㤹摤㙤㘸挹愸㡥捥ち㤷㙢㐵㔲㌰㍤㉢摣户㤵㘰㥡㍤摣㕢搹攱㍢㄰ㄵづ昷㝤㘸挸㜰搷㔲㝦㍢㕡㌲摣摢敤攱㝥㘴㜱捤㜰㍦㔶㉤ㄹ敥㈷㘸挹愸㈶㘵㠵换搵㈳㈹㤸㤸ㄵ敥愷㑡㌰挱ㅥ敥摤散昰㌳㠸ち㠷晢㈵㌴㘴戸昷㔲㝦〷㕡㌲摣晢散攱㝥㙤㜱捤挹昰㡤㙡攱ㅤ扦㙣ち㉡愳ㅡ㤳ㄵ㉥搷㤳愴㘰㜴㔶戸摦㈹挱ㄱ昶㜰ㅦ㘴㠷摦㐳㔴㌸摣㥦愰㈱挳㕤㑦晤㥦搱㤲攱㍥㙣て昷㔷㡢㙢㠶晢㥢㙡攱ㅤ捡㔰㤴㔱㔵㘶㠵换ㄵ㈶㈹愸挸ち㤷慢㑥㔲㜰戸㍤摣㐷搹㈱㔷愰ち㠷换㜵㈷ㄹ敥㈶敡㜳挹㐹㠶扢搹摡㘰愳㡣敢㑤摣㌰㈷〳搷㤹㘴㑢㑥〶慥㉦挹捥て挹ち㤷㙢㑥㔲㜰㜰㔶戸㕣㠷㤲㠲愸㍤摣㈷攸㤵㙢㔲㠵挳攵㑡㤴っ昷㈹敡㜳ㄱ㑡㠶晢て㙢㐳㠶扢扢搵㌰挳攵捡㔳㕢戸㕣㜱㤲㥤〷戲挲攵㉡㤴ㄴ昸戳挲攵捡㤴ㄴ昸散攱㍥㑢慦㕣愵㤲攱愶㑦ㅢ戳㑦㈰戹㌶㈵挳㝤㥥晡㕣㤶㤲攱扥㘰㙤挸㜰戹〴㈵〳㈴晣㘵㕣㝡㑡㠷㕢挶㌵㈳㝥㈵㜸昱㈲㤱㤸㤳㥣㌳攷㠷戲捥攵扤㍢ㅦ㜳㜸户换摥㝤敡晤攵㉦捤ㅣ晥昱捦㔷㕥昹搲昶攵㕢㝦㕥ㅦㅦ晥昸慡㔵㥢挷㕥戳昵晤㥥愹㙢㡢敦晢㘱晣戵愷㜸㑦㍣攵愴搴戴㈱㐷㥣㜲散扣愳扣㤳㜶ㄹ摡愹㔳㤷㉥晢昵㝡㘲捦挱敥㌳㑥扡㕦㍣晡晡ㅥ昵㈵㠳搱㐱㍢ㄶ㙤ㄸ搱敦㕣㘱㜹㤱〳㌲㤷㔹戰㠰㘱晦ㄲ㌶㌷㤷㕢攴㜲摦换搸攸摥愹㡣慢㈱ㅤ㌹㕡㈱㤷㑦㌰㤴捣㌰戸㡣㈲挳㜸搵っ㠳慢ㅣㅤㅡ〶慦攱㤸㜸晤㌵㄰ㄱ㈶㘱㔰敡戱㜰㙣ㄷ戹戹㔸㈲㠳㝡〳ㅢ挸つ搷㌲㍡㌴㈸戹昸㤱㤳ㅢ㉥㠲挸㌰戶㤹㘱㜰㡤愲㐳挳攰慥㈴㜳昳ㄶ㌶㠴㕣攲挸〹㡡㑢ㅤ㌲愸㜷戰㠱摣㜰㈵愲㐳㠳㤲㑢ㄷ㌹㘱㜰〹㐳㠶昱㥥ㄹ〶㔷ㄸ㍡㌴っ戹㈴㤱ㄳ〶㤷㈶㘴ㄸㅦ㤸㘱㜰攵愰㐳挳㤸㠱づ㜲㈷㉣㤷ㅣ㘴ㄸㅦ㥡㘱㜰㐵愰㐳挳㠸愹㌰㌲㡥㈹㕣㑡㤰㘱㝣㙣㠶挱㉢晤づつ㘳慥㘳ㄸ㕣㈲㤰㘱晣搳っ㠳㔷昰ㅤㅡ㠶扣攴攷摣挸㌸㡡昰搲㕦㠶昱㤹ㄹ〶慦捣㍢㌴っ㜹㈹㥦㌳㐵ㄷ慡㌰扥㌰挳攰ㄵ㜷㠷㠶㈱㉦搱㜳挲攰愵扡捣挶扦捣㌰㜸㈵摤愱㘱挸㑢敦ㅣ㔰㜸〹㉥挳昸捡っ㠳㔷挸ㅤㅡ㠶扣愴捥〹㠳㤷搶㌲㡣㙦捣㌰㜸攵摢愱㘱挸㑢攵ㅣ㔰㉥㔱㘱晣摢っ攳㙦ㅤㅤ㠶扣〴捥〹攳㜲ㄵ挶昷㘶ㄸ扣㔲敤搰㙣挸㑢摢ㅣ㔰慥㔳㘱晣㘸㠶挱㉢搰づつ㐳㕥戲收㘴㘳戵ち攳㍦㘶ㄸ扣戲散搰㌰攴愵㘸㑥ㄸ户慢㌰㝥㌱挳戸扢愳挳㤰㤷㤸㌹㘱昰㔲㔳敥㈹扦㤹㘱㍣搸搱㘱挸㑢挷㥣㌰㜸〹㈹挳㄰㕤攵㘹て慦昰㍡ㄴㄴ㜹㐹㤸ㄳ〶㉦つ㘵ㄸ㥤捣㌰㥥攸攸㌰攴愵㕥㑥ㄸ扣攴㤳㘱㤴㤸㘱昰㡡慣㐳戳㈱㉦攱㜲挲攰愵㥣っ愳㡢っ㐳扣㠸戶㍣㌹㉡㐵㥢ㅢ昲挵ぢㅣ㜹ㄱ昹晤户㘶つ㐱㈵㈴愵〲て昵㈹挱㜷㔹〲㜹㘹挰摥扡摡晤昰㘲㐰晡昹㌶㑢㥤愷攷㔲昰㑤㤶㐰㥥㐶搳㑦て扢ㅦ㥥㌸㑢昵慦戲搴㜹㉡㉢〵㍢戲〴㍣戹㤴㠲㝦㘵〹㜸扡㈷〵㕦㘶〹㜸〲㈶〵㕦㘴〹㜸㑡㈴〵㥦㘷〹㜸㤲㈲〵㥦㘵〹㜸摡㈰〵㥦㘶〹昸㐱㉥〵晦捣ㄲ昰愳㔵ち㍥挹ㄲ昰挳㑥ち㍥捥ㄲ昰攳㐷ち㍥捡ㄲ昰〳㐱ち㍥捣ㄲ昰㄰㉤〵摢戳〴㍣㘸㑡挱〷㔹〲ㅥ挶愴攰晤㉣〱て㉣㔲昰㕥㤶㠰扢扡ㄴ扣㥢㈵攰捥㈷〵敦㘴〹戸㍢㐸挱摢㔹〲㑥㔰㈹㜸㉢㔳攰收㑣㤵㔳㜸㈰㌶昰挵㡡㥣㜱戲扤慦搹收捣㤱敤㐱戲㕤㐲戵〲戵ㄹ㤳㡣挶㠴㔱摦㕣㔳㙢戰㌶〴〳㉢敡㕥㔷搵搲搴摣㘰㤶慦㌴㤵挸㠲㤵摣㠲㤶㥥㔴ㅦ㥡愱敡㌲㔹愴㘵收㘶扡戲愵慢㈵㘲㈹捣晦戵慣愵ぢ㐶挳ㄷㅥ㝢攸㔷戸戲挵慣㙡㘹㥦㤶㔵搲戲ㅦ戲攳挲㘳愱愸㘹㘹摢㤴㙤挱㝣㌲㜹晡攰㌶㥤戶㑤㔳㠷㌹㤶㍡晢户改戴㙤㑡㥤㌲晡攵攲ㅢ㕢昸㝢㜷挴攵㤷昱敦㥦㈳㥥摥捡扦捦㐷㤴搱㙢㘱つ晡㉣愸搱昵晦〱愵㘷ㄳち</t>
  </si>
  <si>
    <t>㜸〱捤㝤〹㤸ㄴ搵昵晤扣㠱㘹愶㥡㘵ㅡ㔴摣㜵㐰㌶〱愱昷㤹㔶ㄱ㘱㔸〴㐱㄰㔰㜱㠵㕥慡㘱㘴ㄶ㥣ㄹ㄰㕣㜱㠹愲愲戸㡢扢攲ㄲ㐵㐵摣㜷ㅣ㐱㜱㠹ㅡ㘳搴㐴㔴㐲搰㘸ㄲ搷ㄸ愲挶㉤晦㜳㙥搵敢慥敥慥㥥㤹㥦晦捣昷〵扡敦搴扢昷摣㕢户敥㜹㔵㕤昵敡㔵㜷㠹㉡㈹㈹昹て晥昱㉦晦㜵攵挲ㅥ㌳㤷㌶户㤸昵㈳㙡ㅡ敢敡捣㘴㑢㙤㘳㐳昳㠸㌱㑤㑤昱愵㔳㙡㥢㕢扡〰攰㤹㔳ぢ㝢㜳搹㥣收摡㔳捣昲㌹㡢捤愶㘶㠰捡㑡㑡捡换㡤㔲搸㜷戵摦㍥摤㌰攸㘵㜴愵〰慡挴昰㔰㜴愳㈸愷㌰㈸扣ㄴ摤㈹㝡㔰昴愴攸㐵㔱㐱攱愳攸㑤搱㠷㘲〷㡡ㅤ㈹㜶愲攸㑢戱㌳挵㉥ㄴ㕣扦戱ㅢ挵敥㄰㍤昶㠰㤸㔵㌳㜶㕡攲㐴㙣捤捣㤶挶㈶㜳㜸攵㤱㔶捥愳〲㠱ㄱ㠱ㄱ攱㐸㈰㌸挲㍦扣戲㘶㔱㕤换愲㈶㜳㔴㠳戹愸愵㈹㕥㌷扣㜲晡愲㐴㕤㙤昲㔰㜳改慣挶〵㘶挳㈸㌳攱て㈵攲攱敡㐰㌸ㄲ㐹挷㘲搵㍤昶㐴攴挳㙡挶㑥㙦㌲搳捤晦慤㤸㝢㌱收戴㥡戱㈳づ㌳㕢晥㕢㌱昷㐶㑣㠴ㅣ搷㔸ㅦ慦㙤昸㉦〵㉤㈳愷愱㜱㘶戲㤶攴㥢㘶㔳㙤挳扣ㄱ㐸㍢愷搰㘸㔵㡤㤸㠰㡡㈷攳捤㉤㌵㘶㕤摤っ㌳㑤摥㝢搴戳㘶㘶㤳搹㤰㌴㥢㝢搵㡦㕦㤲㌴敢㙣㜳㜳㜹晤㤱昱愶挳攲昵㘶㔷㉥㔴搴㕢扣㑤㑡㤹つ㉤戵㉤㑢㝢搶ㅦ搱㙣捥㠸㌷捣㌳〹㈹慢㥦戸愸㌶搵戵慢敡摡戵愴换㘰户㘴㠴㥢ㄱㄳ㥡㤲㌵昳攳㑤㉤搲㈲㙢〱㌷慣愳㠷㐸攲㌹㘹戱ㄷ㔵收㜹㤱愶㤹戵昵㠷㥡㑤つ㘶ㅤ㔷㐲昲㠶攵㠱愴㈶㔶改㌳挵搱㕢㐳㘲㔴㜷㝢㝦攳愶㜰㉤㐶㈵㐵㍦〸㑦㝦㠸摥愳挶㡥ㅤ㄰愸ㅡ搴㝦晦捡晥㠳〶㡣〹〴挲挶㍥〴っ㠰㔰㕤摦挳摥敢っ挰㍤愸㜴㑥扣㜴㑥愲㜴㑥戲㜴㑥慡㜴㡥㔹㍡㈷㕤㍡㘷㕥改㥣昹愵㜳㙡㑢攷㥣㔸㍡㘷〱㌰晡㕦㜹户㙥愵昶扦ㅦ㈶捣㡣散㍡㝡搸㤸㕢㍥㕦扦愵搷ㄳ挳敦㔳摣㘱㘵捦ㅤ㠴〵㘳㌰㠴㘷〸㐴敦㔱㘳㡥㜰㈶攴慦㌲昶㈵㘰㈸㠴㔲㙦㈳㈱㈶㤵摥晤慤㌷愳て晢㈷摤㍤攴摣扡㤳㝣愳㠳㡡㝢扥㐴ㅢ㑥昰㝥㄰㥥ㄱ㄰〵㥢ㄷ㌵㐶ㄲ攰㠷㔰敡户㜶戴㈷㉥㌴㤶㜹〶㕤㌷敤㔹摦㤷㌳〶㝥㜸㜷㑦挵㐳㠸㐴ぢㄲㅣ㠲昰㠴㈱㝣戹戹挵㠲㐶㠴昶㈸㠴㔲㉦摢挱㙥㝤㝢㝢㙤搸摣㔶戳晡摣㤱慦㔴㡥㔸晢戴㘲㤷㤴㘰搵〴挷㈰㍣晢㐳ㄴ㙣㘸挰㌸㠰㠰〳㈱㤴摡㘸㐷㝢散慣㌱慤挳摥改㍢收㠲搷㍦㕤㜰搱㡤つ㙦㉢ㅥ搳㈴摡㐱〴㡦㠶昰ㅣっ㤱㥦㕡搴ㄸ㐳晢㔸〸愵㥥戱㠳慤慣㔹㔷晢㤷攱㘵㤳㉦㥤㝡昷㜹搷搶搷慣㔴㍣㌶㑡戰㜱〴㡦㠷昰㑣㠰㈸愸㕡挴㤸㐸挰㈱㄰㑡㍤㘶㐷㑢づ扦愷㙣昵㤶昷愷㍤㜰㜷昰㠲㑦㤲摤ㅥ㔰㍣挸㑡戴挹〴ㅦち攱㤹〲㤱㥦㕡捣㤸㑡晢㘱㄰㑡㍤㘰〷扢㙤散收昸改挷扥㌳昵捥㕢㜷ㄹ戸㝣户㜳㥥㔵散㙡ㄲ㙣㍡挱㠷㐳㜸㘶㐰攴〷㡢ㄸ㌳㘹㥦〵愱搴㍤㜶戰つ㙦扣昴攰㝢㝤㐶㑣扥散㠷攷㙦改扦晡捦㉢ㄵて晡ㄲ散㐸㠲㡦㠲昰捣㠶㈸搸捥愰㜱㌴〱挷㐰㈸㜵㠷ㅤ敤㠴㠶搱昵㜳㠶慥ㅣ扦散敡㡢㈶昶㕤㌴晤〵挵㑦て㠹㜶ㅣ挱挷㐳㜸㑥㠰挸㑦㉤㘴捣愱㝤㉥㠴㔲㌷摢挱ㅡ㜶敦㕢搶㍣㘲昹愱敢戶ㅦ㜳攵昹戵㔷㝤慦昸㈹㈴挱ㄲ〴㈷㈱㍣㈹㠸㠲摥ㄱ㌳㑣〲搲㄰㑡㕤㙢㐷㥢㕢㝢挵㡡慦㉥摣昵攰慢愷㑣扣㝦摥ぢ愳慦㔰晣㌸㤳㘸昳〹慥㠵昰㥣〸㤱㥦㕡戵挱扤搴愸㠳㔰敡ち㍢搸敢㕢㉦㍡昶㠰ぢㄶ㡣扤攰㡤㈷㝢散㌵敡改㕢ㄴ㍦ㄶ㈵㔸〳挱㡤㄰㥥㠵㄰昹愹〵㐲挶㐹〴㌴㐱㈸㜵戱ㅤ敤戸㌹㜷㥤㍥㜳昰㤷攳ㅦ扤㘱搴愴昵攷捣摤慡昸昹㉡搱㕡〸㕥〴攱㔹っ㔱挰㐱挸㌸㤹㠰㈵㄰㑡㥤㙦㐷㍢㜱攰㝤户㌶扥㜸㜹捤昲戹㔷戴敥戱戶㐷㔲昱㠳㕡愲㥤㐲昰愹㄰㥥搳㈰昲㌷搴㙦㥣㑥晢ㄹ㄰㑡㥤㘵〷晢㝡㥦晤㡤ㅦて晥㝥昲昵㈷㉤㜹晢晤㉤换㠶㉢㝥攰㑢戰㘵〴㥦〵攱㌹ㅢ㈲㝦㐳晤㘱攳ㅣ〲捥㠵㔰敡㔴㍢㕡挳㠲搵慢㍦㍤㈱㌸昹摣㜰㤷㡦㙢扡扦扡㐲昱捣㐱愲㥤㐷昰昹㄰㥥攵㄰昹搱〲㐱攳〲〲㉥㠴㔰㙡㤱ㅤ敤挰扤愷搶愴昷戸㙥敡㠵挷㉣晡攰攸摤㍦㕢慦㜸ち㈲搱㔶㄰㝣㌱㠴攷ㄲ㠸㠲戲㔵ㄹ㉢〹戸ㄴ㐲愹㐶㍢㕡昸㠲慢づ搹㜶捦ㄱ㤳㉥㕥搲㙢㜳愲㘱散ㅡ挵㜳ㄹ㠹㜶㌹挱㔷㐰㜸慥㠴挸㉢㕢㜵捣戸㡡昶慢㈱㤴慡戵㠳敤摣㝢攸㌳戳敦ㄹ㍡晥慥挳㌶㉣散摤摣攷㝡挵㜳㈲〹戶㡡攰㙢㈱㍣搷㐱攴㙦愸摦㙦㕣㑦挰つ㄰㑡㈵敤㘸㥢ㅥ戹晦敤ㄵ㉦慣㥡㜴㕢扦捡㤳㤳晢㡥㉣㔳扢挰㉣搱㙥㈲昸㘶〸捦㉤㄰㜹愹挵〲挶慤戴慦㠶㔰敡㜸㍢搸㔳ㅢ㡦㙤慤ㄸ扤㝣敡㔵昳收慥摡㜵㘸散搷㡡㈷㘹ㄲ散㜶㠲敦㠰昰摣〹㔱㤰㕡挸昸㌵〱㜷㐱㈸㜵㤴ㅤ敤㡤㍤㍥晦昶捤㍥㠳㈷慣㕣㜰攲攱㘷㉦扥㙤㍦戵ㅢ捣ㄲ㙤つ挱昷㐰㜸敥㠵㈸㠸ㄶ㌱敥㈳㘰㉤㠴㔲㠷敢戲捤ㅥ㌹㙢晡慡㝢挷㥤㌳㍤敥摦戰㕢㙤㠳攲㘹愳㐴㕢㐷昰〳㄰㥥〷㈱昲㌷㌴㙣㍣㐴晢挳㄰㑡ㅤ㙡〷㝢㍡晣摡晡㠷㘶㍦㍤改㤱㍤扦㌸晥愲㡢摦昸愹挷愳㌰ㅦ㙥㝦挴㡦㙢㡡㥦㡣昳愴散㈹ㄸ捥㍢昹扦晤㜳㑦㥣㝡愶㈳改慡㜴㈰㤰㡡昸攳愱㜸㔹㈵挲㜶昴㡣㠷晤扤㐷晡愸摡㠶㔴攳挹㜲ち搴㈳㍤愱戶慥挵㙣㤲㐶㐵ㅡ㝦慣搳㌸㘹昷㑣㡦㕦㠲昳摦愴㜵戶戴㘳扡挶㙣㙡挱㜹㘳换搲散㈹搴ㅥ㘳攳捤㘶戶㌹捣㡥㍤戶㜱㔱㐳慡㜹㜷㜷攳捣㤶㜸㡢戹㕢扥㉤ㅢ愴挰㙤㈶捥㈹捤㘶㐹㘹慦㝣户㈳攳㜵㡢捣㌱㑢㙡㉤昳㥥㜹㘶㥣㕤㌶㈶㡡㕢㈷㌴㤹㈷㘵慣〵ㄹ㡤挱㈵捦㘲㠹㕤戰㤵㤶挹捡慢戲㘶㝥㘳戳搹㈰改つ慢㥦㕥㥢㕣㘰㌶捤㌴㜹挱㘴愶㘴㔳㜷愲挹㍥挵ㅤ㌶慤〱ㅢ㡡㤳搶㔴㝦愷㤶㠵㌶ㅢ㔲㘶ち昹㉥㐴㤵㤷捥㡡㈷敡捣扥㌹㄰㙢㥤㌰散㥡愳㥥搰㤸㕣搴㕣搳搸搰搲搴㔸㤷㙢ㄹ㤳㕡ㅣ挷㘹㜵㙡㙡㘳捡散㉡晦㑡㉣愹㑡扡㜴㔱慡㘴㠸摢昹㈹㘳㌷昳っ搶搱㐹㜸㥥摣㌶搸搱㠹〸㜶㍤昳捤㐴挶㠲愳㤳ㄱ扦㙦㥢㤹㌸㍢㈱搱晥㌶搱㉥㥤㤴㑥扢攴敥㜸㈳㘶㠰ㅦ昰㔰㘷㜲慦㉣ㅤ㔰㍣㘴戶㕦戶㤳愹㠳ㄵ㕥ㅦㄳ摤㐶搱㈴㙣愶敦㜵㉥戸戴㜴〷㝢敢挷㉦挶挵搳㈱昱㠶㔴㥤搹搴收搵扤㘲㐶挶㘳ㄴ㡦㔳㍣㐱昱㈴挵㔳㄰㘵攳㜰㡣㉢㕡搱慥㐰愸㈵㙡㘹搹挹戵愹㤶昹㥥昹㘶敤扣昹㉤搰㘱㔴愰扣㥣攵㉥昸㘷㍣〳㤵戱㥥攲㔹〸慦户挴搳㡡扦㈵ㅥ慦昱ㅣ晦㙣㠰攸㌱㘶㔱㑢㘳愵摤ㄷ扣慡慣ㅦ㜴晦昷㡢户㔲㜸ㄹ㜲慤㠸㡢昹收戲㝡㕣㤲㌶㜷改攲㔶㡡㐳攲捤昳㕢戸ㄷ戶㙤㘴扣㡤ㄴ捦㐳昴㜸〱攲戰㐳捣㍡散挳晦慤㜱㠰戲㝤㄰戳摤敢㑤㥥㘳昵慤㥦戹戴㈱㌹扦愹戱〱愳㌱攳攲㉤昱㌱㐹㕣㔴㌷慢戸愷㝥㑡㘳捤愲ㄶ㑦晤㈱戵昸搳愳㝥㠶戹搰㡣户搴攰ㄸ摤搲戳㝥ち㉥挸攵㈰㍡㈹戵愴慣摥扡㤶ㅥ㘷㌶㈷つ㕥㜴㑦挲㌱㘹㠹〷㑢㌸挸昶愸攷㔱挶㕣搲挲搰摤敡愷挷㜱搱摥㘲〰㌴㑣扣慣㈵㝡昶ㄴ㥤昶昶摡㉤㐴昰挹愲㈳㑡㜷㔱㔸㤱㑡搸㙤昰昱㠹て摣慥戶捣摦㝤㡥㘸愹慤㙢ㅥ㘱㤷㜷挴戸㐶っ捡㤸㌲ㅥ挵戲㝢㍣攸㕤㥥㌶挹捡摦换㜹搵㍥㉤㤹戰挲㈲㤵㠹㑤㡤㡢ㄶ敥㠵㔸晦慤㌸㡣㔵㘲㙣㠲戸昹ㅦ㙢づㄸ㜸攳晤晦戱晦㥥㠹晤㐷晥ㄹ晤㠹㘸㠵㘰ㄳ㝦攴㥦昱㌲晥㜸摢戲㤵つ〰挲昵㌰㕢㘴㠰愱っ昸ㅥ昵搸摡㔹㑤愶㡣㤸㤴㑢㘳改㐲戳㘷晤㔱㡤㑤ぢㄲ㡤㡤ぢ㐸㝥㉦㘹㌵捦㌷捤ㄶづ㐳㜴户㐷㕤戸慣㤴敡搲㈵㘷㠸挱㌱㕥戱㌷攲㝢㕥㠳攸㌹愶慥慥㔲㐷㙣昶扣づ㔵ㄷ㝣㥣㜸㝥㡢㠵㠱㝥㥣收〴昶摢㙦扦㥡㤹㌳挶㔴捥㌲敢ㄷ搶攱㔴愰㜲挲搱挱㔰攵戸ㄹ㘳㈶捣ㅡ戱愴慥㜹㠹昲愳ㄴㅣ㌹搸㔰戶㜴㜵昵㜹㈵〷㍦昱㤷㘷晡㜴㝢昹戵㤰ㅡ㘹ㅢち〶㈸〶㈱㜸㈵摥挶㥢ㄴ扦愷㜸㡢攲㙤㡡㜷㈰搴扥㜰攵㔱ぢ换戹晦㡣㍦愲㙤扣㑢戱ㄹ〲挷ㅥ愱〳㠷㥥昷搱昴㝣〰㤱㜷攸㔱㠳愱攳攱挷搸㐲昱㈷〸戵㉦〴㜷搴ㄲ㘳㉢㐴㔱戶㠷㄰搱ち㠱㑣㌲愹ㄸㅦ㐲攱㌵摡戰愹愱㐰㤰㜱㠳ㄵ㌶㔸㔳㠳昵㔴㝤ㄱ挶戵㔲㍢搹㠶㠲挱㤷攱㜰慢愴晦㘷ㄴ㥦㔳㝣㐱昱㈵挵㔷㄰慡〲慥敥㤵晡㥡㤸㝦㔲㙣㠷㜰㔴敡ㅢ敡㜸㤰昶㉡戵ㅦ晥㐸㜱扥愳昲摦㄰㙡㈴㠴㔵㥣敦戱㔴戴㌸㈳攸搰ち㠱〴戲挵昹〹ち慦搱㠶㑤昹㠱㜰㉢捥㡦㍦ㄷ㈹捥て戶愱㘰㉣㈹㠸㐸㤵㜸ㅢㅥ〵搱㡤愲㥣挲愰昰㐲愸㝦挱搵扤㌸㍤㠸改㐹搱ぢ挲㔱ㅣㅦ㜵散㐶㈸㑥〸㝦晡㜱〵㝤愸摣〱㐲㐵搰戴㡡戳㈳㥡㐵㡢ㄳ愶㔷㉢㐴㑥㜱㜶㠶㡢搷㘸挳愶愲㜰㜱㉢捥戶㘲挵昹戳㙤㈸ㄸㅢ慢㐶愴㑡扣㡤㑡慣搴攸㐷搱㥦㘲ㅦ㡡〱㄰敡扤愲挵ㄹ㐴捣㘰㡡㈱㄰㡥攲っ愵捥㉥㑥っ挱晢㜱〵挳愹摣て㐲ㅤ㠰愶㔵㥣ㄱ㘸ㄶ㉤捥晥昴㙡㠵挸㈹㑥〰㉥㕥愳つ㥢㍡㄰㉥㙥挵㜹愹㔸㜱㕥戴つ〵㐳㝤〷㈱㔲㈵摥挶晥㔸愹㜱〰挵㠱ㄴ愳㈸づ㠲㔰捦ㄵ㉤捥挱挴㡣愱ㄸぢ攱㈸捥㌸敡散攲㡣㐶昰㝥㕣挱〴㉡㈷㐲愸㌱㘸㕡挵㌹〴捤愲挵㌹㤸㕥慤㄰㌹挵㌹ㄴ㉥㕥愳つ㥢ㅡぢㄷ户攲慣㉤㔶㥣晢㙣㐳挱搰攵㌸㐴慡挴摢㤸㠵㤵ㅡ㐷㔰ㅣ㐹㜱ㄴ挵㙣〸昵敢愲挵㌹㠶㤸㘳㈹㡥㠳㜰ㄴ攷〴敡散㘳捥㜸〴敦挷ㄵ捣愵㌲づ愱㌸〸㙡ㄵ㈷㠱㘶搱攲㑣愰㔷㉢㐴㑥㜱㑣戸㜸㡤㌶㙣敡㄰戸戸ㄵ攷捡㘲挵戹挲㌶ㄴ㡣挴㑥㐶愴㑡扣㡤〶慣搴㘸愴㔸㐸㜱ㄲ㐵ㄳ㠴扡戸㘸㜱㕡㠸㔹㐴戱ㄸ挲㔱㥣㈵搴搹㍤攷㔰〴敦挷ㄵ㥣㐲攵愹㄰㙡㉡㥡㔶㜱㑥㐳戳㘸㜱愶搰慢ㄵ㈲愷㌸㘷挲挵㙢戴㘱㔳㠷挱挵慤㌸愷ㄴ㉢捥㔲摢㔰㌰戲㍣ㅤ㤱㉡昱㌶㤶㘳愵挶〵ㄴㄷ㔲㕣㐴戱〲㐲㌵ㄷ㉤捥㈵挴慣愴戸ㄴ挲㔱㥣换愹戳㡢挳挱敡㝥㕣挱㤵㔴㕥〵愱㘶愲㘹ㄵ攷㙡㌴㡢ㄶ㘷〶扤㕡㈱㜲㡡㜳㉤㕣扣㐶ㅢ㌶㌵ぢ㉥㙥挵㤹㕢慣㌸㜳戴㈱㝦愴晣㐸㐴慡挴摢㔸㡤㤵ㅡ户㔱摣㑥㜱〷挵㥤㄰敡攸愲挵戹㡢㤸扢㈹搶㐰㌸㡡㜳㉦㜵昶㙥挵挱昷㝥㕣挱㕡㉡敦㠷㔰㐷愳㘹ㄵ㘷ㅤ㥡㐵㡢㌳㥢㕥慤㄰㌹挵㜹〸㉥㕥愳つ㥢㍡〶㉥㙥挵㤹愰㙢㤰㝦㐶㌸摥㌶ㄴっ晣ㅦ㠷㐸㤵㜸ㅢ㑦㘳愵挶㌳ㄴ敢㈹㥥愵㘸㠵㔰愳㡢ㄶ㘷〳㌱ㅢ㈹㥥㠷㜰ㄴ㘷ㄳ㜵㜶捦㌹ㅥ挱晢㜱〵㉦㔱昹㌲㠴㥡㠳愶㔵㥣㔷搰㉣㕡㥣ㄳ攸搵ち㤱㔳㥣搷攰攲㌵摡戰愹戹㜰㜱㉢捥昰㘲挵ㄹ㘶ㅢち㙥㘴㈴㄰愹ㄲ㙦攳ㅤ慣搴昸〳挵ㅦ㈹摥愵搸っ愱〶ㄶ㉤捥晢挴㝣㐰戱〵挲㔱㥣慤㘲㐰㔴㥣攷㈴昱愷ㅦ㔷戰㡤捡て㈱㤴㠹愶㔵㥣㡦搰㉣㕡㥣ㄴ扤㕡㈱㜲㡡昳〹㕣扣㐶ㅢ㌶㤵㠶㡢㕢㜱晡ㄴ㉢㑥㙦摢㔰㜰㕦㘶㍥㈲㔵攲㙤㝣㠵㤵ㅡ晦愰昸㥡攲㥦ㄴ摢㈱㔴昷愲挵昹㠶㤸㙦㈹扥㠳㜰ㄴ攷㝢敡散㥥挳㕢㍤晤戸㠲ㅦ愹晣〹㐲昱ㄶ㡦㔵㥣㥦搱㉣㕡㥣ㄳ改搵ち㤱㔳ㅣ㔵捡攲戴㘱㔳㜵㜰㜱㉢捥㜷㍦ㄵ㌹㐳晥搶㌶ㄴ摣㘷㙡㐰愴㑡扣つ㉦㔶㙡㜴愷攸㐱搱㤳愲ㄷ㠴晡〷㕣摤捦㤰㌹ぢ挴攸㑤搱〷挲㔱㥣ㅤ愹戳㡢搳㠸攰晤戸㠲扥㔴敥っ愱㜸挷捡㉡捥㉥㘸ㄶ㉤捥㐲㝡戵㐲攴ㄴ㘷㜷戸㜸㡤㌶㙣慡〹㉥㙥挵搹㔲慣㌸ㅦ搸㠶㠲摢㘶㉤㠸㔴㠹户㌱㠰戹て愴ㄸ㐴㌱㤸㘲〸㠴晡㐳搱攲っ㈵㘶ㄸ挵㜰〸㐷㜱㐶㔰户〱㔱戱㕢㉤挲ㅦ㈹㡥㥦捡〰㠴攲つ㌸慢㌸㐱㌴㡢ㄶ㘷㌱搳㙡㠵挸㈹㑥〴㉥㕥愳つ㥢㕡〲ㄷ户攲㍣㕦慣㌸ㅢ㙤㐳挱㕤挰㔳㄰愹ㄲ㙦攳㈰收㍥㥡攲㘰㡡㌱ㄴ㘳㈱搴㌳㐵㡢㌳㡥㤸昱ㄴㄳ㈰ㅣ挵㌹㠴㍡扢攷㥣㡡攰㔲㥣挹㔴ㅥち愱㑥㠷捡㉡捥ㄴ㌴㡢ㄶ攷㌴愶搵ち㤱㔳㥣㘹㜰昱ㅡ㙤搸搴ㄹ㜰㜱㉢捥㥡㘲挵戹摢㌶ㄴ摣搵㕣㠶㐸㤵㜸ㅢ戳㤹晢搱ㄴ挷㔰ㅣ㑢㜱ㅣ㠴扡慤㘸㜱㑥㈰㘶づ挵㕣〸㐷㜱ㄲ搴搹挵㌹ぢ挱愵㌸㈹㉡㑤〸㜵づ㔴㔶㜱搲㘸ㄶ㉤捥搹㑣慢ㄵ㈲愷㌸戵㜰昱ㅡ㙤搸搴戹㜰㜱㉢捥愵挵㡡戳搲㌶ㄴ摣愴㍤て㤱㉡昱㌶㥡戰㔲愳㤹愲㠵㘲ㄱ挵㘲〸㜵㐱搱攲㉣㈱㘶㈹挵㈹㄰㡥攲㥣㐶㥤㕤ㅣ摥昷㤵攲㥣㐱攵㤹㄰㡡户㝢慤攲㉣㐳戳㘸㜱㤶㌳慤㔶㠸㥣攲㥣〳ㄷ慦搱㠶㑤㕤〸ㄷ户攲㉣㉥㔶㥣㐵戶愱攰㥥昳ち㐴慡挴摢㔸挱摣㉦愶戸㠴㘲㈵挵愵㄰慡戱㘸㜱㉥㈷收ち㡡㉢㈱ㅣ挵戹㥡扡つ㠸㡡㘳捥挵昸㈳挵㔹㐵攵戵㄰㙡㈵㔴㔶㜱慥㐳戳㘸㜱㉥㘱㕡慤㄰㌹挵戹ㄱ㉥㕥愳つ㥢扡ㄴ㉥㙥挵㌹慥㔸㜱㡥戵つ〵户搰㉦㐷愴㑡扣㡤㍢㤹晢慦㈹敥愲戸㥢㘲つ㠴㍡愲㘸㜱敥㈵收㍥㡡戵㄰㡥攲慣愳捥敥㌹㔷㈰戸ㄴ攷㐱㉡ㅦ㠲㔰扣ㅢ㙦ㄵ攷㘱㌴㡢ㄶ攷㑡愶搵ち㤱㔳㥣挷攰攲㌵摡戰愹慢攱攲㔶㥣戱挵㡡㌳挶㌶ㄴ㑣〹㔸㠵㐸㤵㜸ㅢ慤捣晤㌹㡡つㄴㅢ㈹㥥㠷㔰〷ㄴ㉤捥㈶㘲㕥愴㜸〹挲㔱㥣㔷愸戳㡢㜳㉤㠲㑢㜱㕥愵昲㌵〸㜵㍤㔴㔶㜱㕥㐷戳㘸㜱慥㤳戴㈰㜲㡡昳㍢戸㜸㡤㌶㙣敡〶戸戸ㄵ㘷㐸戱攲っ戶つ〵㌳ㅣ㙥㐲愴㑡扣㡤捤捣晤㍤㡡昷㈹㍥愰搸〲愱晡ㄵ㉤捥㔶㘲晥㑣戱つ挲㔱㥣㡦愸戳㡢㜳㌳㠲㑢㜱㍥愶昲ㄳ〸㜵㉢㔴㔶㜱晥㡡㘶搱攲摣挲戴㕡㈱㜲㡡昳㈹㕣扣㐶ㅢ㌶戵ㅡ㉥㙥挵改㔵慣㌸㍤㙤㐳挱㡣㡤摢ㄱ愹ㄲ㙦㘳㍢㔶㙡晣㡢攲ㅢ㡡㙦㈹扥㠳㔰摤㡡ㄶ攷㝢㘲㝥愰昸ㄱ挲㔱㥣㥦愹戳㡢㜳〷㠲㑢㜱㌸昹挲㔰㄰㡡㜳㍦慣攲㤴愲㔹戴㌸㜷㌲慤㔶㠸㥣攲㜰㡡慡搷㘸挳愶敥㠲㡢㕢㜱戶晦㔸攴っ昹㥦戶愱㘰〲捡ㅡ㐴慡挴摢攸㠵㤵ㅡㄵㄴ㍥㡡摥ㄴ㝤㈰搴攷㜰㜵㍦㐳摥㤱㤸㥤㈸晡㐲㌸㡡戳ぢ㜵㜶㜱㌸愷㐵㡡戳ㅢ㤵扢㐳愸晢愰摡〷敦ㄲ㘳て㌴㡢ㄶ攷㕥㈲㕡㈱㜲㡡戳㌷㕣扣㐶ㅢ㌶戵ㄶ㉥㙥挵搹㕣慣㌸敦摡㠶㥤昳攷搳慣㐳愴㑡扣㡤㈱㔸愹戱㉦挵㔰㡡㘱ㄴ挳㈱搴敦㡢ㄶ㘷〴㌱㈳㈹晣㄰㡥攲〴愹戳㡢挳㈹㍡㔲㥣㌰㤵ㄱ〸昵㄰㔴晢攰㡤挹㥦㘸ㄶ㉤捥㠳㐴戴㐲攴ㄴ㈷〶ㄷ慦搱㠶㑤㍤っㄷ户攲戴ㄶ㉢捥戳戶㈱㝦㝥㔰ㄹ敦戶攷摦昲㤴㌹挳㤹㤹ㄳ㡥㌹ㄹ扤〰昶愴㡦㘸愸㙤㘹敥㥥收慤昱〹戵㉤攳㥡㕢㝡愴㈱戰㈸㉥扢挹㈴〳㠷搳戰昴㤱戵收挹戳㜰搳㙦敦㐲ㄳ愶㔳搷㉣㙡㙥㘹㤴扢戹㝢ㄵ摡挷㌵ㅥ搶搸㌲慥戶ㄹ昷散㤶づ㜰㌱㕢㤶愳收㥢つ㤸昵搲㠴挹㉦敤㠱ㅡㄷ㉥㌴㔳㉥㌹捥㙣㕣搴㤴㌴㈷㡤晢㕦㤸㌷愳慣摢搲㈵戸昳愹ㄴ㠶㐵㡡捦ㄳ㜱搴㝤㑦㜰㔳㡡扢愵敡ㄷ㑥扢㘸㠵㝦㠹㔱㠳慥㔷㠲㜵愲慢ㅢ攳搸つ扤㈵㘵㡦㐳搵㜶ㄷ㜱捣挴改づ戰㌷つ㕡㉤㕤㑦㝢慡搷愴㠶收摡㤴改戵㕢㔳㙢ㅢ㝡搹㡢搳ㄶ戵攴㔸攲㑢㜶戰㉤戸愵㍢慤〱搴㈷攳㑤愹晦〵㔶戰㘱昸㘷㔱愲㍣昸晦换ち㙤㠵㈹㈹昹㑡㍦昶昲搵㤹搸搹挷摢戵㝥〲㘶搷㍢散㤹摤ㄱぢ㡥㠹㑣ㄵ挰昷㘴戹㌳敡㜲戶愶㥡昱〶㘱㘱㘶㑢㙡㥣戹戸㤷㈰㑣㜴㜰㍣挵㔰㘷敥㤰摢㤴㠹ㄶ㐶㝡㑣愲戹戱㙥㔱㡢搹㉢戳㈴㍢扡㤱㥥㘱攲㠶㌹㈶愵昵挸㉣㑤㑦戶㘰摡㕥㈶ㅥ㈷㥣晤敦㌰㠴㡡㜴戵㔹㔲挲㤳愷㡤捥㥢扢ㄱ摣㠷㝥㈱慢慡愴㈴㉤晦扥ㄸ慤慥扢㤶晦敥ㅥ㕤愲ㄷ扣晣㔷㔲昶㈴挲㜷㝣搶ㄹ昷愴ㅤ昴㘴㐸敢〸㈷〷慦ㅥ㕡挷〹㕦㍤搳㜲摣挳慣㑥㍥挰㔲挱㕤愷づ㑦ㄷ戵搴㈶攳㜵㜵㑢㝢愵㈷㌵㈴敢ㄶ愵捣㈹昱㠴㔹愷㡦搹㡤㑤昵晦㈳㝣㜵㐵搵散㍤慡㡤扡搸搳慦㈶攱愹㉦㍤挷敤ㄷㅦ收㤴㌱〱㝢㥡㘷㈲挵愸戱㌵㜸㥣〵ㄹ㜸㡤㐳散摤㡦昳捣晥捦㌳晤扣㜰敡㤳㥤愷㉡㡦〷攱〸㔷愰攲愱㡤ㄳ㥦㌲㤳〵㘵挷㜳挰愶㌴㑥㘹挴㐴捥㤴㐳㜵㐸慤愵晡㥦搹扤㘴捦昲㜸㍣扦昴㜳〶戵挲扦慦散愹ㄶ㌸昶㔹敤搱晣愸攱㍥昲っ摡昹㔳愶ㅣ攷㈳㜲ち㈰挷㐲ㅦ㠰ㄵ㍣㤰㔹攷て戳㙡㕢敡捣敥㘹戱换㜲㌹昷っ㔶戳㕢㝡搶㝣㑣㍦ㅡ搷㌳㍤戱愹㌶㔵㔷摢㘰昲㕣〴ㄳ㡢昹㐸搶ㄴ㜳ㅥ愶挰㑥㙦㙣慥攵㤳㠶㍤搳戳㥡攲つ捤ぢ㌹换㉣戹戴㑦㑥㑢挸㉡㑢㡦慤㙤挰㝥㘴慤㤳换ㄵ改㤹昳ㅢ㑦挶挳㡡㡢敡ㅢ㈶挶ㄷ㌶晦㑦㄰挵摤捡晡㘷ㅤ〸㑢㔵㘹愹㉡㉦㉤晦愵ㅦ㔹攸攱〸ㄹ㐴挸㔲ち㥢慡昵㔸㙡㘳户㈵㑢昶〴㘴敥戶捣㈹攷挱㍢搷〹㤰㤹㈷㍤㜹㈸㌶㈶㘱户散㌱ㄹ㘲昲挴㈳㈶㘵愷慤晦㝦㍤㌶㔹昶㉣㈲户昱㠹㈰摤㈲㌳㐷㜶㈷㠰㝢㔹㕤㠵㍡昶ㅣ㐳ㄸ㘷㉢扦晢㜹搳㠲㘱㑦挴㠷㈸攱㕣㥣㠰〹㡣㍤戰攳攳〸㡣㠹㥦㌸昴昶戲ㅡ㍣慢慢㡦搷㌵摢戶㥡挶晡晡㌸扢ㄶ扢攵㑣ㅣ扥捤㜲㌹挵挶㤱挴㐸㐳㐸晦戳㔵昱㈵㔰挵㤷㠸ち㥦捡㥣昷㉥换㡣搵㌸㉦摥㔴摢㌲扦扥㌶㔹捥〶攷愶晦㑦昴㐹㜴愱慥㈸愶晥㈷ㅤㄳ攷慢昹㤳㑣慤㜹㤱愰㝢〴㉥㈱㔸㍡搲㡦㥥㕢㉡ㅦ攵敡ㄷ㑥㉡㐶昷㤵换㉣㘳ち愲㤵攱愲扦〴㥦㈰㔶㉡㡥昳㌰㘸攴㈰愴㥥㈳〰㙦㘳㉡攰晡㕦搷㡤㔸㙡㜳慡㘷㌷〰扣㔳ㅡ攳愹〹㜸㝣愱戱愹㥢晤㤸㙦㌹愸攵㈱愵挹挷改扤㌵㤸ㄸ㡦〹昷㡢㜱㍡摣㔴㑥挵㑣㑣㥣敤捡㠹挱ㅥ㡢㐳㝥㈲㤶㤴㤵㜵㉦㜷㕢搷㈴ㅤ㙢㠰㍤つ搲昹㤸昴愴㠲昸㥦ㅤ㕥捤㥢ㅥ搸㉣㙥㠸㜱ㄸ愴㌱つ㐲㍤㡦㈶户㈷て㌰㥤㠰挳㈱捡㌶挱㤸扦㤷ㄴ㥤ちぢ㠷㤲戲㝡㑥搱㉤慦攷收攰慣挳㠳㠹扢㤸敡㡢㤲㜸扡㤷扦〰扢㌱〳愸搷㕥㝤㜵ㄴ㤶㑢ㄴ攷㥡㙥挴㥢敢㌷昰搷敢㘵昱㡣㤹挰ㄸ戳㈰搴㥢㘸捡㑣昰㔶㉣㘰敡づ㜴愰㐴慥㑢㡥挲㌲㍥㉡搴敦愱攲戵㠹晥攷㘰ㄲㅦ改戳㙤搴㕢㌰昳慣㥡㠴戶㜷㠶愶摥〶㡥㘷㘹捡㌸ㅡ敥㥥㘳㈸㐶㡤㌹㌲攰慦㠲搲㙢ㅣ㙢挷㝣〷㉤㥥㉡㔸晦㡡㝥㤸愹㍦〲挰て戴ㄲ捦㜱昰摣慢愶戱戹愵㔲㍦㡦㕣㜹昲挸挶捡ㄹ戵捤ぢ㉡㜹㘲戳㝦㘵㐸㌲捣㍢挶慡㜷攱捣攳慣㜱㍣〲愸捤㔸攲攱ぢ摢㘲㜵攷㌹搰戶摦㥤摦ㄷて〴㤹换㈰㜶㐳㙤挱挲㐶扣昳扡㐰ㅣㄸ㈳㐱攰㥦摣〱㐹〲㔲〴㙣〵㠰晤挴㌰搱捡㔰晢愱挳捤㐱㙤㥡㙥昳攸昶ㄹ〰づ㙡㙢愱㐳㔶㐲敤㠹㔸㈶戵㥦㐳㔵㥣摡〵㌶敡ぢ愰㍡㑣敤㤷〰㕢搴搶挱摤㔳㑦㈱㘷㠰㔱ㄸ扣㐶㠳ㅤ昳㉢戴㍡㐲敤搷挰〹戵慥㥦㡤敡㥦㌰ぢ㙦㡤㠸慢戶愳㤵挳摢㐹搰戶捦摢㌷㜰㉢㌸っ愹敦愰摤㠸㜷ㅥ㙦捤〸㘹昰ぢㄲ搴扦摤〱㡢〸㔸㑣挰昷〰〸㙦㈷愳㤵攱敤㈷㠷㥢㠳户㈵㜴㕢㑡㌷て㜲㜱昰㜶㉡㜴㥡户搳戰㑣摥扡〱㔲㥣户搳㙤㔴㌹㔰ㅤ收㡤搳㘰㉤摥捥㠰扢攷㑣㠸㌲散㤲㌱敥㈹㕥㘳㤹ㅤ搲ぢ㔴㐷㘸攳㠴㔹愱捤攰ㅥ挹晣昳㑦㙢ㄴ愷搳ち㜵㘷〳愱㝡愱㤵㐳摤戹㑣愰摤㑦㄰ㅦ摣昰㉡㌱㝥挵㈰搶㡡㑡ㄴ㈷攰㙥㐴㈳㡦扡昳㠰㌱捥㈷㤰㤳㜳㕤〰换〹戸㠰㠰ㅤ〱㄰敡㉥㐴㉢㐳ㅤ㘷攴㙡㌷〷㜵ㄷ搱㙤〵摤㉡〱㜰㔰㜷〹㜴挸㑡㜶戹㤵㔸㈶㜵晤〰㈹㑥摤愵㌶慡㍦㔰ㅤ愶㙥ㅦ㠰㉤敡㉥㠳扢攷㜲ち㌹㥡〶戰㝡慦㜱㠵ㅤ㜳〰㘰ㅤ攱㙥㄰㜰敤㜰㌷ㄸ㄰攱敥㉡挴㔶㐳搰捡攱敥ㅡ㘸摢攷㙥㈸摣昰㉡㌱㔶㌱㠸㔴ち㝦㌹㍦㜸㈳ㅡ㜹摣㕤ぢ㡣㜱ㅤ㠱㥣㍢散〲戸㥥㠰ㅢ〸ㄸ〱㠰㜰㜷㈳㕡ㄹ敥㌸㘱㔸扢㌹戸扢㠹㙥㌷搳㙤㝦〰ㅣ摣摤ち㥤收㙥㌵㤶挹ㅤ愷晥ㄶ攷敥㌶ㅢ㜵㈰㔰ㅤ收㡥㜳㠸㉤敥㙥㠷扢攷づ〸搹敤慣愳攵㥤㜶挸㠳㠰敡〸㜵〷〳搷づ㜵㘳〰ㄱ敡敥㐲㙣㌵ㄶ慤ㅣ敡搶㌰㠱㜶㜷扢㜱㜰挳ぢ捦攰㌲㠸愶㙥〲㤶㌶ㄶ㔲㜷㉦㌰挶㝤〴㑥㜴〷慣㈵攰㝥〲づ〱㐰愸㕢㠷㔶㠶㍡㑥㘷摥㘸挷㜵㔰昷〰摤ㅥ愴摢㉣〰ㅣ搴㍤っ㥤愶敥ㄱ㉣㤳㍡㑥㑣㉥㑥摤愳㌶敡㐸愰㍡㑣ㅤ㘷㌸㕢搴㍤〶㜷捦攳ㄴ昲㐹ㄷ挱敡扤挶ㄳ㜶㑣捥㠱敥〸㜷挷〰㈷摣戹㝦搲㜱㥡戴昰昶㈴攲慡攳搰捡攱敤㘹㘸摢攷敤〴戸攱㤵㝢挲慤收㐲戵搱慥慦攳㉣㜶㍤㐲ㅡ捦㜲㙤㜱㜷㐰㉢〱捦ㄱ㤰〰㐰㜸摢㠰㔶㠶㌷捥戴摥㘸挷㜵昰戶㤱㙥捦搳慤〱〰〷㙦㥢愰搳扣扤㠸㘵昲挶㌹搳挵㜹㝢挹㐶㉤〴慡挳扣㜱昲戵挵摢换㜰昷扣〲㈱扢㕣っ㙢昷ㅡ扦戱㐳㜲㜶㜶㐷㘸攳〵㜷㍢扢ㅣ㈷㜱ぢ㜵慦㈱戶㕡㡣㔶づ㜵扦㘵〲敤敥㜲㥣昵㡤㔷㠹昱〶㠳㐸愱昰昷ㄴ㉣㙤㐴㈳敦㘸昹㍢㘰㡣㌷〹攴㤴㜰ㄷ挰敦〹㜸㡢㠰搳〰㄰敡摥㐶㉢㐳ㅤ攷㠱㙢㌷〷㜵敦搰敤て㜴㕢づ㠰㠳扡㜷愱搳搴㙤挶㌲愹攳㡣敥攲搴扤㘷愳㉥〴慡挳搴㜱㙡戸㐵摤晢㜰昷㝣〰㈱搴㔹㝢摣ㄶ㍢㈴攷㡥㜷㠴扡㑢㠰㙢㠷㍡㑥㌱ㄷ敡戶㈲戶扡ㄴ慤ㅣ敡戶㌱㠱㜶愹攳㥣㜴扣㌰㔷㤶㐱㌴㜵㔷㘲㘹㘳㈱㜵ㅦ〱㘳晣㠵㐰㑥㔸㜷〱㝣㑣挰㈷〴㕣つ㠰㔰昷㔷戴㌲搴㜱㤶扡㜶㜳㔰昷㌷扡晤㥤㙥慢〱㜰㔰昷ㄹ㜴㥡扡捦戱㑣敡㌸摦扣㌸㜵㕦搸愸摢㠱敡㌰㜵㥣戸㙥㔱昷㈵摣㍤㕦㔱挸搱搲㍡挱晣㠷ㅤ昳㑥挰㍡挲摤㕤挰戵㜱戴攴散㜷攱敤㙢挴㔵㙢搰捡攱㙤㍢戴敤昳挶改昲㜸攵ㅤ㉤搷㐲戵戱㤰户㙦㄰搲昸㤶㙢攳㕣㝡ㄷ挰㜷〴晣㥢㠰㜵〰〸㙦摦愳㤵攱㡤ㄳ攸戵㥢㠳户ㅦ攸昶㈳摤㥥〶挰挱摢捦搰㘹摥晥㠳㘵昲挶愹昰挵㜹攳敤㑥愲搶〳搵㘱摥㌸愷摥攲㡤攳㑡㥥㔲〸搹攵㜰ㅤ㡤愳㘵ㄷ㍢㘴㉢㔰ㅤ愱㙤〳㜰敤散㜲㥣㥢㉦搴㤵㈱戶㝡ㅥ慤ㅣ敡扡㌱㠱㜶㜷戹㑤㜰挳ぢ㡦昸㌱㠸ㄴち㝦㕦挲搲㐶㌴昲㡥㤶晣捥㍡挳㑢㈰㘷晡扢〰扡ㄳ搰㠳㠰㔷〰㄰敡㝡愲㤵愱㡥搳晢戵㥢㠳扡㕥㜴慢愰摢㍢〰㌸愸敢つ㥤愶慥て㤶㐹ち㈷敡ㄷ愷㙥〷ㅢ挵㤹晣ㅤ愶㡥㌳晥㉤敡㜶㠴扢㘷㈷ち戹㉥㠸㘱昵㕥愳慦ㅤ㜳㌳㘰ㅤ攱敥㝤攰摡攱㡥㡦づ〸㜷扢㈰戶摡㠲㔶づ㜷扢㐱摢㍥㜷㕢攱㠶ㄷ愶扦㌰㠸㔴ち㝦户㘱㐹搷搸㜱㤲戲〷㌰挶㥥〴昲㐱〴ㄷ挰㕥〴散㑤挰㐷〰〸㜷㤵㘸㘵戸晢挴攱收攰慥ㅦ摤晡搳敤㉢〰ㅣ摣つ㠰㑥㜳㌷㄰换攴㡥捦ㄱㄴ攷㙥㤰㡤攲㠳〶ㅤ收㡥て㈴㔸摣つ㠶扢㘷〸㠴散㜶搵㐲摤扥㜶挸敤㐰㜵㠴扡㙦㠰㙢㠷㍡㍥搸㈰搴つ㐳㙣挵㈷ㅣ㜲愸摢㡦〹戴扢摢㝤て㌷扣㑡㡣ㄱっ愲愹晢ㄱ㑢㉥捣㡣〴挶昰ㄳ挸挷㈴㕣〰〱〲㠲〴晣っ㠰㔰ㄷ㐲㉢㐳ㅤ㥦㡤搰㙥づ敡挲㜴㡢搰捤ぢ㠰㠳扡㉡攸㌴㜵搵㔸㈶㜵㝣捡愱㌸㜵㌱ㅢ搵〳愸づ㔳搷ㄳ㘰㡢扡晤攱敥㌹㠰㠲扢㕤挰㍡㘴ㅥ㘸挷散〵㔸㐷戸攳㤳ㄵ敤㜰挷攷㉥㠴扢㠳㄰㕢昵㐱㉢㠷扢㠳愱㙤㥦扢ㅤ攱㐶捡㡣㌱っ愲戹攳㤳ㅡ扡挶㔸㐴捤扡㄰㌳ㄶㄸ愳㠶㐰㍥挵攱〲ㄸ㐷挰㜸〲㜶〱㐰戸㥢㠰㔶㠶㍢㍥扡愱摤ㅣ摣㑤愴摢㈱㜴ㅢ〰㠰㠳扢挹搰㘹敥づ挵㌲戹ㅢ〸㐸㜱敥愶搸愸㐱㐰㜵㤸㍢㍥捤㘱㜱㌷ㄵ敥㥥挳㈸攴㉣挵攲㙥㥡ㅤ㜳〸㘰ㅤ攱㙥㈸㜰挲㥤晢㌵ㅤㅦ〹ㄱ摥愶㈳慥ㅡ㡥㔶づ㙦㌳愰㙤㥦户ㄱ㜰ㄳ摥愶㤲ㄹ晢㥦攲㐳㈴扡扥㔸搴扣捤㐲㐸攳〸慥㡤て㤸戸〰㡥㈴攰㈸〲㠲〰〸㙦戳搱捡昰挶愷㑡戴㥢㠳户愳改㜶っ摤づ〲挰挱摢㜱搰㘹摥㡥挷㌲㜹攳慤㤲攲扣㥤㘰愳づ〶慡挳扣昱㐱ㄳ㡢户㌹㜰昷捣㠵㤰挳愵㥦㥢㙥挴敤㤰㝣ㄲ愵㈳戴㡤〳慥㥤㕤㙥㍣㈰㐲㕤ㄲ戱搵〴戴㜲愸㌳㤹〰㤴㙤摦晦㍡〴〸愱㉥捤㈰㔲㈸晣㥤っ慤㉥㌱㐳搸扢摣㍣㘰㡣昹〴昲昱ㄷㄷ㐰㉤〱㈷ㄲ㌰〵〰愱㙥〱㕡ㄹ敡昸捣㡢㜶㜳㔰㔷㐷户㝡扡捤〶挰㐱㕤㈳㜴㥡扡㠵㔸㈶㜵㝣㝡愵㌸㜵㈷搹愸㘳㠰敡㌰㜵㝣っ挶愲慥〹敥㥥㘶ち㌹㑢戱愶㡣戴搸㌱昹愰㑣㐷戸㍢〱戸㜶戸攳昳㌴挲摤㘲挴㔶㜳搱捡攱㙥〹戴敤㜳挷〷㜰㠴扢愵っ愲戹㑢㐱慢㙢㡣㐵捤摤㈹挰ㄸ愷ㄲ㘸扡〳㑥㈳攰㜴〲搲〰〸㜷㘷愰㤵攱㡥㡦攴攸戸づ敥捥愴摢㌲扡㌵〱攰攰敥㙣攸㌴㜷攷㘰㤹摣昱攱㥡攲摣㥤㙢愳㕡㠰敡㌰㜷㝣㑡挷攲敥㔷㜰昷㥣㐷㈱ㅦ㜵搶㐵摤昹㜶㑣㍥挷搳ㄱ敥㤶〰搷づ㜷㝣摣㐷戸扢〰戱搵㈹㘸攵㜰㜷ㄱ戴敤㜳挷攷㠳㠴扢ㄵっ愲戹㍢〳㕡㕤㘳㉣㙡敥㉥〶挶戸㠴㐰㍥㍣攴〲㔸㐹挰愵〴㉣〳㐰戸扢っ慤っ㜷㝣㘲㐸扢㌹戸扢㥣㙥㔷搰㙤〵〰づ敥慥㠲㑥㜳㜷㌵㤶挹ㅤ㥦晤㈹捥摤㌵㌶敡ㄲ愰㍡捣ㅤㅦ㈲戲戸㕢〵㜷捦戵ㄴ昲㔱㔷挵㙤㌷慥戳㘳昲㌱愳㡥㜰㜷㌹㜰㙤㝣搴昱㐹㈴攱敤㝡挴㔵㔷愲㤵挳摢㡤搰戶捦ㅢㅦ㕤ㄲ摥㜲㍥敡㔶㐱慢敢㡢㐵捤摢捤〸㘹摣挲戵昱戹㈶ㄷ挰慤〴慣㈶攰㍡〰㠴户摢搰捡昰挶㠷㤹戴㥢㠳户摢改㜶〷摤敥〴挰挱摢慦愱搳扣摤㠵㘵昲挶挷㤲㡡昳㜶户㡤扡ぢ愸づ昳挶攷㥢㉣摥搶挰摤㜳て〴㍦敡慡㘳㐲摢扤㜶挸㌵㐰㜵㠴戶㝢㠱㙢㘷㤷攳㜳㔲㐲摤㕡挴㔶㙢搱捡愱㙥ㅤㄳ㠰戲敤㡦㍡㍥㔸㈵搴㍤挰㈰㔲㈸晣㝤㄰㕡㕤㘲㠶戰㍦敡ㅥ〴挶㜸㠸㐰㍥㜵攵〲㜸㤸㠰㐷〸㜸ㄸ〰愱敥㔱戴㌲搴昱㔱㉢敤收愰敥㌱扡㍤㑥户㔶〰ㅣ搴㍤〹㥤愶敥㈹㉣㤳㍡㍥㌴㔵㥣扡愷㙤ㄴ㥦慡敡㌰㜵㝣晡捡愲敥ㄹ戸㝢搶㔳挸㐷㥤㜵㥡昲慣ㅤ昳㜹挰㍡挲摤㈶攰摡攱㡥㡦㜱〹㜷捦㈱戶㝡〹慤ㅣ敥㌶㐲摢㍥㜷慦挰㑤戸㝢㥥㐱㌴㜷慦㐲慢㙢㡣㐵捤摤ぢ挰ㄸ㥢〸攴㐳㘱㉥㠰ㄷ〹㜸㠹㠰搷〱㄰敥㕥㐶㉢挳ㅤ㥦〴搳㙥づ敥㕥愱摢㙦攸戶ㄹ〰〷㜷慦㐱愷戹㝢ㅤ换攴㡥捦㜴ㄵ攷敥户㌶㡡て㝤㜵㤸㍢㍥ㅣ㘶㜱昷〶摣㍤扦㠳㤰㌳㑣敢ㅥ敢㥢㜶挸㉤㐰㜵㠴扡慤挰戵㐳ㅤㅦ㌲ㄳ敡摥㐲㙣挵愷捤㜲愸㝢㠷〹㐰搹昶㙥昷ㄱ㄰㐲摤ㅦㄸ㐴㔳昷㌱戴扡挴っ㘱敦㜶㝦〴挶㜸㤷㐰㍥戲收〲搸㑣挰㝢〴晣ㄵ〰愱敥㝤戴㌲搴昱㌹㌵敤收愰敥〳扡㙤愱摢㜶〰ㅣ搴㙤㠵㑥㔳昷㘷㉣㤳㍡㍥㜱㔶㥣扡㙤㌶㡡㡦愴㜵㤸㍡㍥扡㘶㔱昷㈱摣㍤ㅦ㔱挸㙥㘷㕤搴晤挵㡥昹ㅤ㘰ㅤ攱敥㝢攰摡攱㡥捦挰〹㜷㥦㈰戶攲挳㜰㌹摣晤つ摡昶戹晢ㄹ㙥挲摤摦ㄹ㐴㜳㔷搲㈵㕢㘳〰㌴㜷㥦〲㘳㝣㐶愰㜲〷㝣㑥挰ㄷ〴㤴〲㈰摣㝤㠹㔶㠶扢㌲㠷㥢㠳扢慦攸昶て扡昵〲挰挱摤㍦愱搳摣㙤挷㌲戹慢〰愴㌸㜷晦戲㔱㍥愰㍡捣㕤㙦㠰㉤敥扥㠱扢攷㕢ち攱捥扡攵昳㥤ㅤ戳て㘰ㅤ攱㙥㐷攰摡攱㙥㈷㐰㠴扢敦ㄱ㕢昵㐵㉢㠷扢ㅦ愱㙤㥦扢㕤攰㈶摣晤挴㈰㥡扢摤愰摤㠸㐶摥昸昳捦挰ㄸ晦㈱㜰㜷㜷㐰㐹ㄹ〰晣㘹〵戵〷〰挲㕤㈹㕡ㄹ敥昶㜶戸㌹戸敢㐲户慥㜴ㅢ〲㠰㠳㍢て㜴㥡扢㙥㔸㈶㜷晢〲㔲㥣扢㜲ㅢ㌵ㄴ愸づ㜳㌷っ㘰㡢㍢晥㈰㡣挷ぢ㈱㠷㑣敢挲慥扢ㅤ㜲㌸㔰ㅤ愱㙥〴㜰敤㔰㌷ㄲ㄰愱慥㈷㘲㉢㍦㕡㌹搴㔵㌰〱敥㌳㙤㑥㑡つ挲㑤愸昳㌱㠸愶㉥っ敤挶㐲敡㝡〳㘳昴㈱㌰攲づ搸㠱㠰ㅤ〹㠸〲㈰搴敤㠴㔶㠶扡㤸挳捤㐱㕤㕦扡敤っ㔱㔶〳㐰挷㥥㑣攳捣㑥㥦攳㜱㐱㑥愲㙥敥㥤㍥㝣㔱扣づ㍦愹㌲つ捦慣戴㔰昵扦㌰㑢戹慢昵攴㔰晥㌷㥢攷晥搲ちㅥ扡㤳㑤㌸昶昸扤戰㘵昹㌵挸挵摡摢搶㑣攴㉦㝢戲挸㕢昶搷敦晦昳㥦㡥慤㠵扤愲摢㘲㝥㙦敥㥣㌹㈵攵㕣㈷㐸挲㌵搳慥㈰㡣晢搲㌸㌴愵ぢ攵㕣愷㡣㜷搳㤶㑤㠰戶㡤搹晤㜹て攵㌰敡づ搹戹挸㥣㜵㍥慣㡥㍦搸攴㌶㠹㌹㜷㤲晦敥㐸㑥ㅤ攲㤶㠳㥡愴戵㝢ㄲ㠳㔵昰㕤㌶〵摡㜶愷㡤攳愸㠵攷㄰㌹㠱㝣㘶换搲㍡㑣摡攷㈲扦㙢搶㕡攲㉣㘵换㡣愴ㅢ㥢扡攲㤱换晣慦㤶捥昸㍥㡡㔰摤㜷捣晢㉡㙦㜱愳㘵㌲戲㈹摢〶㡡㡡晡㌳改㉣㉢昴攱㍦捦摥搸愶ㅤ愷搶㈶㥢ㅡ㥢ㅢ搳㉤㤵㌳昱攰㐹㈵扦摣㍤㡤㐷㤰挶㤴㙤㐵㐴搷㜵㜲挳扡㌶昰搷㠷㠴㘸敦㠲㠶挶㤳ㅢ㈴㥢戲㘶㝥挷㍤搷㘶㜴敢挶搵㘰㜰搷晡户てち攷搳㥣晢づ㐳挶㍣摡㜸晡㈱㠳㠱㌵㘳㙢㘶捣㐹㐵㐲㠱㐴㍣ㄱ㡢㔶㈵挲攱敡㜸慡扡慡捡㑣挵㤳搱㜰㌸ㄸ㑡愷捣㠰愷㝦〶ㅡぢ㐴㠲戱㜸㍣ㄸ㐸〷慢挲昱㘸㈸ㄱ昳愷㤲愹㐴㜵㌲㙥㐶搳㔵㠱㠸㙦㥡ㅤ摥搸〷㍥挶〰〸摦㜴慤ㅡ㐸搵㈰慡づ搷慡っ慡㘲〶㔴㑣搹㘳㘷晤㕦晢攳攳戴㜲扣㑡㍣晢㘲搵扤㙡挶捥㜱㍣㥢攲ㄹち㕤て攸㘴昶晤っ㝣ㄱ扤㘷ㄸ㌴扤愱挹晤敤㈷摦㉣㍢㡡㔱㠹㔰㐶㍦㡡ㄱ㐰慡㈳愱攷搱搰慢㝥〷搲戸户㜲㕤㕥挳て㈳昷扡愳搰ㄴ㔶〲㔰攸㝦㙡戶慢昶㘸㘸戹攷ㄹ㐱㐶㍥搶ㄵ㈳㔳挱ㄱ挷〸ㄳ㠳〵㜹捦〱㤶㝢㠶晡つㄲ㘰㝦攴㥡㍣㔱㐰㡡㜶㌲昵㌲㘰散㘸戹ㅤ㘵㉥愲戰㤷ㄹ搵㜰敥搹挵挷ㄹ攱搲㕦㘲㘸㕢晤㈵ㅣ慢慡㡥㠴挳愹㜸㈴ㅣて愷㘲昱㐴㌸ㄸ〹愶攳愹㐰㍡㥡㑣〴㔳㐱捦晥ㄹ㘸㌲ㄲ㠸㐶㘲戱㘸㜵挲㘴㜷㑡挴㤲㘶㉣攸㑦〵〲㝥㝦挲慣㑥㈴㝣〹㍢扣㜱〰㝣㡣〳㈱㝣㐹慤ㅡ㐵搵㐱㔴愵戴㡡〰㠱㔶㤸㔰㜵㑥㝦㐹㈳㌲㕥㈵㥥㌱㔸㔹㝥㝦ㄹぢ㕤㙥㝦愹㠱挶愵扦㜰戲㍢愳ㄸ㠳㈸〶㔳㑣〰㔲搵㐲㘹昵㤷㈷㔰晢㙣㝦㌹〴㐶昶㤷ㄳ㘱㤷晥愲昷㔸㜸攲摢摡㕣戵㜵搰㑡㝦㤹捣挸つ慥㤸㐶慤㥤㐲っ㘳昱㝤ㄲ戴搲㕦ㅥ㐲ㄲ扡扦ㄸ㍣㈸昱昸愳ㅥ㜰敤ㅡ㥣㘴㉥㕤㘱㍡㜰㔶㔷愸づ愶㈲㠱㔴㍡ㄵ㑢攳搰㘱挶ㄲ搵㌸㘲㠴慡晣搵挱㜰㌲ㄸ慡㑡㔶㝢づ捦㐰㔳〱㜴㤳㔰戲㍡㥡慡㑥㠷〳昱㜰㉣㤲㠰㑦㔵ㄴ摥改㙡㌳㥣昲戵搸攱㡤ㄹ昰㌱㘶㐲昸ㄶ㘹㔵昶搰戱㔸慢㌲愸㡡㤳愱敡㥣慥戰〴㤱昱挲昷㐶㌰㈵ㅥ㉢っㅥㅥ㝣㑢戵㝥㌸㡤晢㔱ㅣて扤㍡ㄵ㝡㡢摣搵㌹攴捥㠱㤱攴㥥〶扢㤰㥢㜳㌰攰捣昸㐲敤ㄹ搰ち戹㜱㐶㕥收㡡㌹㕢㙢㤳挴㈰つ㜹㥦ぢ慤㤰㝢㠳㤳㕣ㅥっ㠴摣敢㕣挹晤ㄵ㥣㘴扦㥦〷ㅣ昶晢昳搰ㄶ戲攷愳㙤㤱ㅤ㡤〵搲㠱戸㍦ㄸづ㠲慦㘸㈸㥡挰愷〱㡥〵㘰㍣㔸㥤挶挷㠰愷㌶〳つ攰㐳㈲㠹捦㡥㘰㉡㤱っ㥢㜱㌳ㄱ㑢昹ㄳ改㔴㈴ㅥつ挶慢昰ㄹ攳攳㠴㜷㠶㌷㑥㠴㡦戱〰挲户㕣慢戲晢晤〵㕡㐵㠰㐰㉢㉥㠴慡㜳挸扥〸㤱昱挲慤㘶慥㡣㍢扡挱㝤摢户㐲敢㜹晢㐰㝥敥捤㔸〴扤扡〴㝡㡢散ぢ㜳挸㍥ㄹ㐶㤲扤ㄲ昶㐲㕡㉦㜵搵㕥〶慤㤰扤㤴㤱㌹㌷扥搰昳㉡慤㍤㤵ㄸ攴㈲敦㙢愰ㄵ戲捦㜵㈵晢㙣㔷戲㔷挱㐹挸㍥ㄳ愱㐰昶戵㘸ぢ搹换搰戶て昲昸㘹㤸㘸㌸ㄹ㡡愴晣晥㜰㤵㤹慥慥㡡㈶㐳㔱㌳ㅡ㠸㈶捤敡㘴㈲改㌹㉢〳㑤㐶挲㔵搵晥㐴挴っ㠶慢挲挹㔸ㄸ摤愴㍡收慦ち〴晤㘹㘸愲㜱摦㜵㜶㜸攳㙣昸ㄸ攷㐰昸慥搷慡㉣搹㌷㘸ㄵ〱〲慤攰㕣昹捥㈱晢㈶㐴挶慢㠰散㥢戵扥㥡挶ㄸ挵挵㐸㐷㜱攲扤㐵㜶㔳づ搹㉢㘱㈴搹慢㘱㉦愴散㌶㔷敤敤搰ち搹㤷㌱昲㥤慥㤸扢戴昶ち㘲㌴搹㙢愰ㄵ戲敢㕣挹㍥搱㤵散㝢攰㈴㘴㕦㠳㔰㈰晢㕥戴㠵散㔵㘸㕢㘴㠷㠲㘶㈴㤵ち㈵搳㌱散㥤改敡敡㐴㌲㤸㡡㠵㈲改㐸㌴㥤〰㡦㔱捦戵ㄹ㘸㈰ㄴ㠹㥡搵搱愸㍦㠹〳㝡㌸〹摡愳㝥㝦㍡攵て㈴㈲〸㔰ㄵ昰摤㘷㠷㌷慥㠳㡦㜱㍤㠴㙦慤㔶㘵挹扥㕦慢㌲愸㡡㜵㔰㜵づ搹て㈰㌲㕥〵㘴㍦愸昵〷搱㌸㥡攲づ攴慢ㅥ㠶摥㈲晢㤸ㅣ戲㝦つ㈳挹㝥〴㜶㈱㍢攷㌳晡㔱㔷敤㘳搰ち搹㜷㌳昲ㄳ慥㤸㈷戵昶ㅥ㘲㌴搹㑦㐳㉢㘴捦㜲㤲㥤昹㡣㥥攱㑡昶㝡㌸〹戹昷㈳㤴㐵㙥㌲㔵ㄵ慢㡡㈶㜸㄰挶改㝤㌴㄰㑦挷搲〱㝦㌴㄰㠸㠵晤㠹㐴愸摡戳㉥〳㡤〷愲㝥㌳ㄶ㌶晤改戴ㄹ㡥㐵〳〹㝣扡晢㘳改㐸㉣ㄸ㠸㠱昰戸敦㔹㍢扣昱〰㝣㡣〷㈱㝣慤㕡㤵晤㡣收散㝢㌹戸ㄳ㈰搰㡡つ㔰㜵づ戹ㅢㄱㄹ慦㠲捦攸攷戵㝥ㅣ㡤攳㈹㥥㐶㍡㙡ㄳ昴ㄶ戹㌵㌹攴慥㠷㤱攴㜲㡥㝦攱㥥晣㤲慢昶㘵㘸㠵摣㔶㐶晥㡤㉢收㌵慤摤㐰㡣㈶昷户搰ち戹愳㥣攴㘶㍥愳て㜰㈵昷つ㌸挹㥥扣〹愱戰㈷晦づ㙤㈱晢㐵戴㉤戲慢㜰㠴㑥㠵㑤ㄳ㠴〷挲㠱㉡㥣㥤㈷攳戱㜸㉣ㄹ㑢㐵㤳ㄱ散愸㥥㤷㌲搰㔸㈴ㄴ㡦㔵㐷㐳㘶〲㘷昳㘶戰㍡ㅥ㌰㘳愱㌴捥攸晣愹愰㍦ㄲ㐹昹摥戴挳ㅢ㉦挳挷㜸〵挲挷ㄹ晡挲㙣㜶㑦㝥㑢慢㌲愸㡡户愱敡ㅣ戲摦㐱㘴扣ち昶攴㍦㘸晤㘴ㅡて愵㜸ぢ昹慡㜷愱户挸ㅥ㤶㐳昶㍢㌰㤲散捤戰ㄷ㤲晤㥥慢昶㝤㘸㠵散㍦㌲昲ㄶ㔷捣㔶慤摤㑣㡣㈶㝢ㅢ戴㐲昶㐰㔷戲昷㜱㈵晢㐳㌸〹搹㕢㄰ち㘴㝦㠴戶㤰晤㈷戴敤捦㘸晣㜸㜴愴㉡㕤ㅤ㌵㐳昱㜰㍡ㅣ㡡㈷愲昱㠰㍦㠰ㅥ㄰ぢ愶捣㐴挲戳㌵〳㡤愶㤲愱㔸㈴㥥㌲㤳改㈴慥摣㐲戱㘴㜵㌰攰㡦㈷㜱〱ㅦ慥㡡㐴㐳扥扦搸攱㡤㍦挳挷搸〶攱晢㔸慢戲㘴㜳㠶扦昰㑦㠰㐰㉢晥ち㔵攷㤰晤㌷㐴挶慢㠰散扦㙢晤㜴ㅡて愷昸っ改愸捦愰户挸摥㈱㠷散㉦㘰㈴搹㥦挳㉥㘴攷ㅣ戶扦㜰搵㝥〹慤㤰晤ㄵ㈳晦挳ㄵ昳戵搶㝥㑤㡣㈶㝢㍢戴㐲㜶㑦㈷搹㤹挳㜶㜷㔷戲扦㠱㤳㤰晢つ㐲㔹攴㘲㘰挵㡣攳㌰㕤ㅤて愵挳搱㔴愸扡㉡㘵挶昱ㅢ㡣㈱散攱㝥㕣㝤㝢扥捤㐰㐹㈳昶㘵㝦㔵㉣㠴㉢慡㐸愰㍡ㄱ昴攳愴㉣㠵慢慣愸㘹〶晣扥㙦敤昰挶㜷昰㌱晥つ攱晢㑥慢戲㠷敤㝦㙢㔵〶㔵昱㍤㔴㥤㐳敥て㠸㡣㔷挱㘱晢㐷慤㍦㤲挶愳㈸扡㘰㑣㐸晤っ扤㐵敥㡦晦㜶㕥㌷㤷挱㐸㜲㌹散㔲戸㈷㜳て㉡搴㉡㘸㠵摣㙥㡣摣挵ㄵ㔳愶戵晣挵昸っ戹摤愰ㄵ㜲扦㐱ㄲ㤹敢收捣㘱㝢㍢戴㠵㐳㉡攵㜰挲ぢ㕦㔹㡥㔰搸㤳つ㌴㠴散㕥㘸㕢㘴㈷㈲㠹㈸捥㥦捣㐴㌸㤴っ㐷慢〳搵㈶㜶搵㜸扡慡ㅡ挷收敡㔴搴昴㔴㘴愰昱㐸搰㑣㐷㔲挹㐰㈸攱て晢㜱㠲㤶挶挰㕢㌴㥡慥㑥㠴愲㔵ㄸ㤸昱㜹敤昰㠶て㍥㐶㙦〸㕦㜷慤捡敥挹㍤戴㡡〰㠱㔶昴㠴慡㜳挸敥㠵挸㐲㜶摥愵㔵㠵搶ㅦ挷昲ㅣ㑦戱㍢搲㔱扤愱户挸晥㈸㠷散㍤㘱㈴搹㝤㘰㉦愴㜵〷㔷敤㡥搰ち搹㝢㌳㜲㕦㔷捣㉥㕡摢㡦ㄸ愴㈱敦摤愰ㄵ戲户戸㤲晤扥㉢搹扢挳〹㉦㝣ㄹ㍢㐲㠱散㍤搰㄰戲〷愱㙤㤱ㅤ㠹攰㈸㥣昶愷㜱改㥣挰愵㔵㈰ㅥ〸㈴㐲愱〸㝥㘲㌵〲挲慢慡㍣㠳㌳搰ㄴ挶㔵㤳挱㐴挲挴㤸㑡㌸攸㡦挵㐲㔵㘱㝦㔵㌲ㄸ慣慡㡥愵㜱搵敤摢搳づ㙦っ㠱㡦戱㉦㠴㙦㉦慤捡㤲扤户㔶㘵㔰ㄵ㤵㔰㜵づ搹晤㄰搹㡤散晥㕡㥦㘰㜹㤲ㄴ㈱攴慢〶㐰㙦㤱晤㙡づ搹ㄱㄸ㐹昶㐰搸ぢ挹ㅥ攴慡ㅤっ慤㤰㕤挵挸晢扡㘲㠶㘹㙤㡣ㄸ㑤昶㝥搰ち搹㥢㕣挹㝥摥㤵散ㄱ㜰挲ぢ㍦扡㠴㔰㈰㝢㈴ㅡ㐲昶㐱㘸摢㠷昱㜴ㅡ愷摣㝥㝦㍣ㄲ㐹㠶㠳㠱㐸扣㉡ㅤ㑦挷挳㔵㠱㌰㐶挹〲搱㉡捦攸っ㌴ㄲ㡤〶ㄳ㔵㜱ㄳ㈷改㠹㜰㈰㤶慥㡥㥢挹戸㍦ㄲ慡慥㌶晤搱敡㜰挴攷户挳ㅢ〷挳挷ㄸ〳攱ぢ㘸㔵㤶散愰㔶ㄱ㈰搰㡡㄰㔴㥤㐳㜶ㄸ㤱摤挸㡥㘸晤㝣㤶愷㤶攲㔰愴愳慡愰户挸㝥㌸㠷散愹㌰㤲散㙡搸ぢ挹㡥戹㙡昷㠷㔶挸㥥挶挸〷扡㘲づ搲摡挳㠹搱㘴ㅦっ慤㤰扤搶㤵散㝢㕤挹ㅥ〳㈷扣㌰㔳ㅤ愱㐰昶㔸㌴㠴散㈳搱戶挸挶攰㜷㈰㡡㈳㜷〴㈳㈷攱㜰㍡ㄸ㌳㠳㤱㐴㌲㠴㘳㍡〶㐳晤〱搳㜳㔴ㄶㅡつ㠶㔲挱愰ㄹ㡡挴慢挳晥㌸〶捣㜰㠵〶㘰慣ㅡ挷㠳㔸捣敦慢戱挳ㅢ戳攱㘳ㅣつ攱ㅢ愷㔵㔹戲挷㙢ㄵ〱〲慤㤸〰㔵攷㤰㍤ㄱ㤱摤挸㍥㐴敢ㅢ㔸㥥㐶㡡㈴搲㔱㤳愱户挸扥㈱㠷㙣ㄳ㐶㤲㝤㈸散㐲㜶捥〹搹ㄴ㔷敤㔴㘸㠵散㜹㡣㍣捤ㄵ㌳㕤㙢㙢㠹搱㘴捦㠰㔶挸扥摡㐹㜶收㠴散㑡㔷戲㘷挱㐹挸慤㐷㈸㡢摣㉡㝦㍣㡡扢ㄶ〱づ㘹昱㕣㍢ㄱぢ愶挳㈹ㄳ㍢㘶㄰㈳愰改㙡㑦㐳〶ㅡぢ㈵㔳搵㐹㠸㔴慡㉡㡣㕥㄰挳摦㤸㤹㑥㔵㈷攲挱㘴㔵㌴敡㍢挲づ㙦㌴挲挷㔸〸攱㍢㔲慢戲㈷㘴㐷㘹ㄵ〱〲慤㤸つ㔵攷㤰㝢㌴㈲ぢ戹晢昲ㅣ㌱㍢搶㝤㡣搶户㤰搷㐵ㄴ愷㈰ㅤ㜵ㅣ昴ㄶ戹扦捡㈱昷㌴ㄸ㐹敥昱戰ㄷ敥挹㈷戸㙡攷㐰㉢攴㥥挱挸㜱㔷㑣㔲㙢㤷ㄱ愳挹㌵愱ㄵ㜲捦㜴㤲㥢㌹㈱㍢摤㤵摣㌴㥣昰㉡㌱捥㐵㈸散挹昳搰㄰戲㝦㠵戶㐵㜶っ㜷戲㜰㤱㤴挲㙤捤㜴㌸㥣㠸㘱昰㍡ㅡ㡦㈷㌰搸㡤㈱昰㐰㜵捡㜳㕥〶㙡㈶㈳挱㘴愰㍡〹扢㍦㥣づ愴ㄲ㌸て㌷㔳㔵㤱㈰〶㐰ㄳ㔵挹㤴㙦扥ㅤ摥㌸ㅦ㍥挶㜲〸㕦慤㔶㘵昷攴ㄳ戵㡡〰㠱㔶㉣㠰慡㜳挸慥㐳㘴户㍤戹㕥敢㑦㘱㜹㑥愵戸ㅣ改愸㐶攸㉤戲敢㜳挸扥ㄲ㐶㤲扤㄰昶㐲戲㑦㜲搵㌶㐱㉢㘴㕦捤挸㉤慥㤸挵㕡扢㡡ㄸ㑤昶ㄲ㘸㠵散㜹慥㘴㥢慥㘴㉦㠵ㄳ㕥昸ㅡㄶ㠴〲搹愷愰㈱㘴摦㠸戶㐵㜶㍣㥤ち昸㐳㠹㘰㌰㠲〳㜷ㅣ㠷敤㘰〰㈴〶攲ㅣ〳㑤愴ㄳ搵㥥㥢㌲㔰㝣㉣晢慢攲愹㐴〸㠳攱攱㐰摡慣慥㑡㘲㍣㉤㘸㘲攰㉣㡣㔶搰㜷慡ㅤ摥戸ㄹ㍥挶㉤㄰扥搳戴㉡㑢昶改㕡㐵㠰㐰㉢捥㠰慡㜳挸㍥ㄳ㤱摤挸㕥愶昵换㔸㥥戳㈸搶㈰ㅤ㜵㌶昴ㄶ搹㐷攴㤰㝤㉦㡣㈴晢ㅣ搸ぢ挹㍥搷㔵晢㉢㘸㠵散戵㡣㝣扥㉢收〲慤㕤㐷っ搲㤰昷㐵搰ち搹搳㕣挹㥥敡㑡昶ち㌸攱㔵㘲㍣㡣㔰㈰晢㘲㌴㠴散㐷搰戶挸㑥愶㐳戸㜷㠵ㄹて㔵㐹㡣㤰㈵慢㘲〹㍦㑥挸㈲㐹っ㤹挵搳㠹㔰搰昳㘸〶㡡㐱戴〴㕥㠱㔴ち〷㠱㠸㍦㤸㐸㠷攳挹㔸ㄵ〶捣㌰捣ㄲ挳〸搹㈵㜶㜸攳㌱昸ㄸ㡦㐳昸㔶㙡㔵㤶散㑢戵㡡〰㠱㔶㕣〶㔵攷㤰㝤㌹㈲扢㤱㝤㠵搶㥦挷昲㥣㑦戱〱改愸慢愰户挸ㅥ㤵㐳昶昳㌰㤲散慢㘱ㄷ戲㜳㍥愳慦㜱搵慥㠲㔶挸摥挴挸搷戹㘲慥搷摡㤷㠸搱㘴摦〸慤㤰㕤攵㈴㍢昳ㄹㅤ㜱㈵晢㘶㌸〹戹慦㈲㤴㐵㙥㈴攸㌷捤㙡㌳ㄹ〴㙤㘱㝦ㅡ昷愹㤲晥㄰㡥搹挹戰㍦㤵挲愷戰攷戵っ㌴㘸挶慢㔲㔵㌸㔱㌳㌱敤㈵ㄱ挵捤敢㄰〶捥㐲晥敡㔰㉡㤰㡣㔴㈷㝣户搸攱㡤搷攱㘳晣ㄶ挲㜷慢㔶㘵㍦愳㔷㙢ㄵ〱〲慤戸つ慡捥㈱昷㜶㐴㜶晢㡣扥㐳敢㔷㤰㔷晥㝥㡥昱㉥搲㔱扦㠶摥㈲㜷㔰づ戹敦挱㐸㜲敦㠲㕤挸捤戹ㅦ㝤户慢㜶つ戴㐲敥〷㡣㝣慦㉢㘶慤搶晥㠹ㄸ㑤敥㍡㘸㠵摣㑡㈷戹㤹捦攸扤㕣挹㝤〰㑥㜸攱敢㐹㄰ち㝢昲㠳㘸〸搹ㅦ愱㙤㤱㡤ㄳ㙡㑣㈲〸㐷慢㈲㤸慢ㄴ挷戹㔵〰㠷㘱㌳ㅤ㡢㔵愵慡挳攱㜰挰昳㤷っㄴ昷㉥愲㌱扦㍦ㅡ挲㐵㜳㤸戳㄰㠲攱〴㉥戸ㄳ㠱㜴㈸ㄶ挳㘴ㄴ摦㐳㜶㜸攳㘳昸ㄸ㥦㐰昸ㅥ搶慡散㥥晣㠸㔶ㄱ㈰搰㡡㐷愱敡ㅣ戲ㅦ㐳㘴户㍤昹㜱慤扦㥣攵戹㠲攲ㅦ㐸㐷㍤〹扤㐵㜶慦ㅣ戲晦〹㈳挹㝥ち昶㐲戲㥦㜶搵㍥〳慤㤰晤㉦㐶㝥搶ㄵ昳㥣搶㝥㑢㡣㈶㝢㈳戴㐲㜶戹㉢搹ㅥ㔷戲㥦㠷ㄳ㕥昸㤹ㄶ㠴〲搹㉦愰㈱㘴晦㠸戶㐵㜶挰挴づㅣつ㘱㡣㉢ㅤつ挷搲搱㔸㈲㠱㍢搳戸戴㡥挴ㄲ㔱捣㉤昲晣㤴㠱晡㔳戱㐸㉣㔴捤搹〹㠱㜰㜵〴搴晢〳搵㤱〴收㉣愴㈰㘲㐹ㅦㅦ〴㘱㜸攳㘷昸ㄸ晦㠱昰扤愸㔵㔹戲㕦搲㉡〲〴㕡昱㌲㔴㥤㐳昶㉢㠸散㐶昶㙦戴㝥ㄵ昳扤㤶挲挰㤴㕡昵ㅡ昴ㄶ搹摦㝣攷ㅣづ敤づ㈳挹㝥ㅤ昶㐲戲㝦敢慡㝤〳㕡㈱扢㈷㈳扦改㡡㜹㑢㙢㉢㠸㐱ㅡ昲㝥〷㕡㈱晢㉢㈴㔱㌸ㅣ晡〵戴㠵挳愱㝦㠰ㄳ㕥昸㌱㜲㠴〲搹㝦㐴㐳挸摥ㄱ㙤㡢㙣っ㘵〷㈳戸て㤹㡡挶攲攱㐴㍣㔹㥤㐸攳戰㡣ㅢ㤲搱㐰㔵ㅣ㘷㙡㥥㥤㌲搰㐴㔵㈴㠱㈱搲㤴ㄹ㑡愴挲挹㐰㔵㌵㉥挰ㄳ㘶挸っ㔵愵㌱㥥ㅡち昹昸攸㠸㤰摤ㄷ㍥挶捥㄰扥捤㕡㤵㈵晢㍤慤㈲挰㈰戴攲㝤愸㍡㠷散て㄰搹㡤散㉤㕡㝦ㄳ换㜳㌳㐵㍦㘴愲戶㐲㙦㤱扤㈵㠷散㝤㘰㈴搹㝦㠶扤㤰散㙤慥摡て愱ㄵ戲〷㌲昲㕦㕣㌱㥦㘸敤㘰㘲㌴搹㝦㠳㔶挸晥愳㉢搹敦戸㤲晤㜷㌸攱㠵㜹㔳〸〵戲㍦㐵㐳挸ㅥ㡥戶㐵㜶㍣㔲ㅤ〹㘲㜷挵㠴挰㔸ㄸ扢㉡㙥㘲㈵〲㔵晥㐸戸㍡㥤昰挷攲ㄱ捦㝥ㄹ㘸㍡㤲挴㘸㘸㍡㡣㠱㜱㑣㍦挵昹戶㤹㐸㘲㥥㔱扡ち㥦昳ㄸ㝡〹晢㍥戳挳ㅢ㈳攰㘳㡣㠴昰㝤慥㔵㔹戲扦搰㉡〲〴㕡昱㈵㔴㥤㐳昶㔷㠸散㐶昶㍦戴晥㜶㤶攷づ㡡ㄸ搲㔱晦㠴摥㈲㝢㔳づ搹〷挰㐸戲户挳㕥㐸昶扦㕣戵摦㐰㉢㘴㡦㘲攴敦㕣㌱摦㙢敤㘸㘲㌴搹㍦㐲㉢㘴户扡㤲扤摥㤵散㥦攰㠴ㄷ收㑤㈱ㄴ挸晥ㄹつ㈱㝢ㅣ摡昶㥥ㅤ㠹㈶攳戸㝥挲㑤㉡摣㠷㡣㠶慡㠳㥣㈳ㄶ㐸㠷晤晥㐸㉣敥㡦㝢挶㘷愰愹㙡捣ㄹ挵愰㔸挰㙦昲扣扢㉡㡥㌹㠳晥㜰〰ㅦ〱㈶愶㤴㈵㠲扥晦搸攱㡤〹昰㌱㈶㐲昸㑡㌰㜶㈱㍢㝢㤶㙣愵㔵〴〸戴愲ㄴ慡捥㈱扢ぢ㈲扢㤱捤攷㕤㐴扦㠶攵攱敦㘹ㄹ㠷㈳ㅤ挵㘷㕥㉣戲搷收㤰㍤ㄳ㐶㤲捤攷㘰ち挹收㜳㉦㠵㕡〳㕡㈱晢〸㐶敥敥㡡㤱㐷㔰戸昶愳㠸挱㠲扣昹〸㡡㤰㝤㤷㉢搹㜷扡㤲敤㠳㤳㤰㝤㉣㐲㠱散摥㘸ぢ搹挷愱㙤㤱敤慦㑡㐵㈳〹㍦敥㔲㜳㤴っ昳挶㐲愱㐴〰㔷捣㔵愰㍥㔸㠵㘹㐵挷㘷愰戸㕢ㅤ〹攱ㅥ㔸ㄲ扤㈰㕣ㅤ㐰ㅦ㠹昸㘳㈹㑣㉣㌴挳㌸愷昳㔷晢晡搸攱㡤ㄳ攰㘳捣㠱昰昱㈹㤶㍣戲昹㑣㡢愸〸㄰㘸〵ㅦ㙣改ㅣ戲晢㈲戲ㅢ搹㝣㐲㐶昴敢㔸㘹晥㍥㤸㔱㡢㜴搴慥搰ぢ㙤㈷愲㐵〰摦㑡㥥㠰㈰㘶〱㌱搴攰敤摢ㄳ㔸愹㙥ㅤ戴㍤扢㤴敤㠳戶敢㙦㤳㔸搳搴㘷攲ㅢ攷捤ㄱ㌵㘳慢㐶㡣㕦㤲㌴敢昸㜳㌰㤸捣㡥昳㤶㤲㥤敡㈷㌵㘳搱㙣㙡㥥搵㌸㐶㝥㥤㠴捦㐱昴搶昳摤㠷搵㑦㕣㔴㥢挲ㄷ搰て捣㙡昴㙦〱㘹户㘹㑤ㄹ扦㥥㔹ㄴ扥捡㝣愷㙣慢〶て㔸㤸㑢㕡昸㉤昰扢㘷戵昸攱㈷晣ㅣ㡤㤹搲ㄱ㥢昱㤰㔳搷搲㉥㙡㈸㝦晥愰ㄹ扦戹㘱攲㤱㠷㠶㜹㐸ㅣ慦㜱㡤昵昱摡㠶ㄱㄳ㥡㤲㍡挰昸㠶㐵昵㝢㘳ㅢ㜶㜷昹扡晢戱戵㉤昲㈴挹ㅥ慣㤸搱て攵昱㌴愰㔴㍢㡣ㅡ㌰㜶散㠰㐰搵愰晥晢㔷昶ㅦ㌴㘰捣〰晣挸㑢搹㘵攸挰晦㠷㔵㤲㠰散㈳ㅢ㑣㠰晦昰㤳捥㈴㠸㡦㌴㤰っ㘵昴攷㍡㥢愰㉢挷㍡㙢㘴㐵ㄷ㘳㐵晢戹㙤㥢晣㘸〹㌷捤㝥㜲㐶㙦㘱㜳敥扡昶戴㔶㠵㜵昱扢昳ㄵ慦㌲㤹㍢戵㡡て㑥㌰扥㌴昸攸挱〰㉣ㄹ慦㔱扣㑥昱㕢〸戵ㅣ㠰昷昰㜳㜲ㅢ昲㝦戵晥㝣摢昰挳㠴㤹㤱㕤㐷てㅢ㜳换攷敢户昴㝡㘲昸㝤捡㡦㐸㑣挲㌸〵㙢搴㥤搲愷慦〷㔵㔰㥢㑦㘵㐲㕣〵摥㍥㍥㝢㈰扤昳㌴㘸搱㍢慢搱㍥愰昸㜶㍢ㅥ戸ㄸ㠶〲攰㌷㔷捣ㄴ㝥〵㘱㈱晡挶搲昱つ㉤㑤晣晡㡣㤲㉥攸㠴㘵㔲㤷慥愵晢晦戲㔸㝣㌰㡢㈵攴扢散ㅣ㙣昱晦㐷㥣㐲㘲搸ㄱ㡣㌳㔸〶㍥慢㘰昵㠱ㄸ㤶㍣换愰㐳ㅦㄸ㜳攴〰晣㔴㠰㍡ㄳ敢搵㍣攱昷㡡㠹攷㔳ぢㄶ㥥㑦㐶㜸捥㠵づ晤㜴捣ㄱ㌹晤ㄴ慥愷挲㔵昳敤㌵捥愳㉢㍦挷戴㑡昱㔹〸ㅤ㕡昱㘹〲户㉥戰搸㘶扡愰ぢ㉣戲つ改摤摦㝡㌳晡戰㝦搲摤㐳捥慤㍢挹㌷㍡愸昸攸㠱㜴㠱ㄵ㔸愳敥〲㙡戲搶㕥捣㍣戰敤挲㍣㥦㈲㄰收㉦㠱戶㘷ㄷ㌵〳㙤㙢搳愶㘳挹㜳㈹戴㉥扢㘰㔴㌵收㙣摡攵っ挹ㄹ晥㤶敢攱㜴扤ㄲ㍡扤㈷㐵搵〲攰昵愶㝡㡤慢㠹㍦ㅥ㈸户つ㑥ㄷ摢㘰搳㌶㍣㜱愱戱捣㌳攸扡㘹捦晡扥㥣㌱昰挳扢㝢慡㌹㠸㈴ㅢ㝣〳攲㘶㌶㌸慥戵㌷㜲㙤㝡㠳㤳搰捡〶摦〴㉤㌶㤸搳攳搹摤㔵ㅣ搱搹挷愴㕢摣㐲ㄷ㑥㘵户㌶㠸㜳收㍤慢愱敢㈶摤㈲ㄶ㔴挷〳㤹摤㥥摢〹攷㥣㜶ぢ㕥㑢昸㥤搰昵挹敦ㄵ昰㍣ㅡ㥥扡〷㜸㡤扢攸挹改攷㙥㤵㤸〵愸敢摥㍦搳㌶摣晡昶昶摡戰戹慤㘶昵戹㈳㕦愹ㅣ戱昶㘹挵戹敡㔲㠹戵㠸㥢愹挴㔲慤扤㥦㙢搳㤵攰戴㜳愹挴㍡㘸㔱㠹㌳搱㤶㑡㑣㐳昴㑣㈵ㅥ愴换搹㌰㔹㥢挶〹攵㥥㠷愱搳㍢㐸㐰ㅤち㜸戶ㄴ㡦ㄲ㝦㑥〶㝦ㄶ昱㡦㐳攷戲㠳〴搴㐴戸㘶㙢昱㈴㕤㌹㍢摢慤ㄶ㘳敤㑤㉥搸つ挶搸㠶挷捥ㅡ搳㍡散㥤扥㘳㉥㜸晤搳〵ㄷ摤搸昰戶攲㔴㙥愹㐵㉢攲㘶㙡㜱㤹搶㍥挷戵改㕡㜰㔶戶搴㘲〳戴愸〵愷㔶㑢㉤㐶㈱㝡愶ㄶ捦搳㠵ㄳ㥣慤㕡慣挲㤲㘷ㄳ㜴㠵㌴㐷㔵㉣㘷搳㕥愲㈷攷㑥㕢㥥搷搲昳ㄵ攸散晥ㄴ㔵ㄱ挰戳㐵㝣㤵昰㍢〰㜲慢㠴摦摥攰㠲㑡㡣戴つ㉢㙢搶搵晥㘵㜸搹攴㑢愷摥㝤摥戵昵㌵㉢ㄵ攷㌹㑢㈵摥㐴摣㑣㈵敥搶摡摦㜳㙤扡ㄲ㥣戲㉣㤵㜸ぢ㕡㔴攲〱戴慤愴㌹〳搹昳づ戴㝡慦㡥愸㝤㜳戲晥㈳攳㍣㤸挱慦㈳㝥㌳㜴㉥〷㤰㠸ㅡ〸搷㉣昵敦搳㤵搳㜹摤㌶戸戲搸〶敦㙤ㅢ㤲挳敦㈹㕢扤攵晤㘹て摣ㅤ扣攰㤳㘴户〷ㄴ攷晥捡〶㙦㐳摣捣〶换愴㕥㙣愷昱㈱搷愶㌷㜸〳戰戲挱ㅦ㐱㡢つ收㕣㕣愱㝥㜷㐴捦㔰晦㌱㕤㕥㠶挹慡〵㈷攸㝡晥ち㕤㈱昵㌱戵㜳捥愶晤㥤㥥㥣㙣㙢㜹㜲扥慥攷㌳攸㙣敡㘳㙡〷挰戳搴㝦㐱㌸攷扡扡㔵愲㤷扤挱〵搴昷戴つ户㡤摤ㅣ㍦晤搸㜷愶摥㜹敢㉥〳㤷敦㜶捥戳敡ㅤ㐴㤲㑡㙣㐷摣㑣㈵晥愸戵晦攲摡㜴㈵㌸挷㔵㉡昱つ戴愸〴㈷慡㑡㈵っ㐴捦㔴攲㍢扡晣ㄹ㈶㙢㝢晥㠴㈵捦昷搰搹摢ㄳ㔱㘵㌹摢昳㈳攱摢㌲㜰捥㘰昵晣っ㕤㘱攱㈲㑡挱㌳摢㈷㑡捡攱挹㠹愰㙥㤵昸昱摢㈲㠷挶ㅦ戴攱㡤㤷ㅥ㝣慦捦㠸挹㤷晤昰晣㉤晤㔷晦㜹愵攲慣㔱愹㠴〷㜱㌳㤵昸㑡㙢扢㜱㙤扡ㄲ㕦㐳㉢㤵㈸㠷ㄶ㤵昸づ㙤㙢㜳扦挱㤲挷ぢ慤㑢愷づ慡㝦㘱攵搹つ攸挱㤰晦捥戸㜲㝥愷愷ㄷ㜴㝡晦〹慡㝦〰㥦愵摥㐷㍣㈷㐷扡㙤昰㘷㝡扢昲捦〴㍦戵つ㈷㌴㡣慥㥦㌳㜴攵昸㘵㔷㕦㌴戱敦愲改㉦愸㌲㐴㤲つ敥㡢戸㤹つ敥愶戵㍢㜳㙤㝡㠳㌹㈹㔲㌶㜸ㄷ㘸戱挱㥣搹㈸搴㝦㠲攸ㄹ敡㜷愳ぢ㘷㈱㕡戵攰㜴㐷捦ㅥ搰搹搴㠷搴㠷㌹摢戳ㄷ攱㥣㡥㘸挱㉢〸慦㠴慥㤰晡㤰晡ㄳ㍣戳㤵敢㑦㑦捥ㅣ㜴慢挴㘶㝢㠳ぢ㜶㠲㜷㙤㐳挳敥㝤换㥡㐷㉣㍦㜴摤昶㘳慥㍣扦昶慡敦搵㥥㠸㈴㤵ㄸ㠲戸㤹㑡散慤戵晢㜲㙤扡ㄲ㥣㌱㈸㤵ㄸち㉤㉡㌱㄰㙤愹挴摢㠸㥥愹挴㜰扡㜰昲㥤戵㘹㠳戰攴ㄹ〱㥤换愷㕣㑣晤㉥㘷摢晣㜴攵挴㍥换㜵㌰㕤㠳搰改て搴㤸㝡つ昸㙣慦〸ㄳ捦㠹㜵㙥戵㜸挹摥攴㠲㕡扣㘸ㅢ收搶㕥戱攲慢ぢ㜷㍤昸敡㈹ㄳ敦㥦昷挲攸㉢ㄴ㘷攱㐹㉤昶㐷摣㑣㉤㘴㝡ㅤ㑡㘰ㅣ挰戵改㕡㜰㐲㥤搴攲㐰㘸㔱㡢㔱㘸㑢㉤㌶㈲㝡愶ㄶ〷搱攵㘰㤸慣つ攲㔴㌹捦挱搰搹扤愲㕡㍤㥢戳㍤㘳〹攷㔴㌶ぢ㍥㥡昰㜱搰ㄵ昶㡡㙡昵ㄴ㍣戳扤㘲〲㍤㌹敢捣慤ㄲ㡦摡ㅢ㕣㔰㠹㐷㙣挳敢㕢㉦㍡昶㠰ぢㄶ㡣扤攰㡤㈷㝢散㌵敡改㕢ㄴ愷愸㐹㈵愶㈰㙥愶ㄲ搳戴㜶㉡搷愶㉢挱搹㘶㔲㠹挳愰㐵㈵㌸㘵㑣㉡昱〰愲㘷㉡㌱㥤㉥㥣摥㘵㙤ㅡ攷㤱㜹㘶㐰㘷㔳ㅢ〸愹晢〰捦㔲㍢㡢㜸㑥昴戲昰㥣㑣收㌹ㄲ扡挲㕥〴搷扢攱㥡慤挵㙣扡㜲㔲㤶㕢㉤㙥户㌷戹愰ㄶ户搹㠶攳收摣㜵晡捣挱㕦㡥㝦昴㠶㔱㤳搶㥦㌳㜷慢㌲ㄱ㐹㙡㜱〲攲㘶㙡㌱㑦㙢攷㜰㙤扡ㄶ㥣㡣㈵戵㤸ぢ㉤㙡搱㠸戶戵〱㥣㕢攵㐹㐰慢㡦㜰㈱㜵㘳捥〶愷ㄸ㠷㤳㥦㉣㍣㈷㔸㜹搲搰戹ㅣ㑣㐳敡摡㥣つ㥥㑦㔷㑥㔴㜲摢攰㉢㡢㙤昰ㄵ戶攱挴㠱昷摤摡昸攲攵㌵换攷㕥搱扡挷摡ㅥ㐹挵㔹㑤戲挱つ㠸㥢搹㘰㤹慥挴摤愰㤱㙢搳ㅢ扣っ㔸搹攰㠵搰㘲㠳㌹换㐸挸㕦㠹攸ㄹ昲㥢攸㜲㍥㑣搶戶晤ち㑢㥥ㄶ攸散摤挰慦㉥〲㍡换晤㘲挲㌹㌵挸㠲㥦㐷昸ㄲ攸ち㜷〳扦㍡ㅦ㥥㔹敡㑦愱㈷㘷昱戸㔵攲㙣㝢㠳ぢ愸㍦换㌶㝣扤捦晥挶㡦〷㝦㍦昹晡㤳㤶扣晤晥㤶㘵挳ㄵ愷晣㐸㈵㤶㈱㙥愶ㄲ㌲㤷㠷㤵㌸㡢㙢搳㤵攰散ㅤ愹挴搹搰愲ㄲ㥣㠲㈳㤵㌸ㅤ搱㌳㤵㌸㤷㉥㌷挳㘴㙤摡㡤㔸昲㥣〷㥤㍥挲㠵搵㔲挰戳愵㔸㑥㍣㈷捥㔸㜸㑥捥昱㕣〸㕤攱㙥攰て慢㐵㜰捤搶㘲〵㕤㌹挹挵慤ㄶぢ敤㑤㉥愸㐵愳㙤㘸㔸戰㝡昵愷㈷〴㈷㥦ㅢ敥昲㜱㑤昷㔷㔷㈸捥㠸㤱㕡㕣㡥戸㤹㕡挸㔴ㄷ搶攲ち慥㑤搷㠲㤳㕢愴ㄶ㔷㐲㡢㕡㜰㠶㡡搴㘲〱愲㘷㙡㜱㌵㕤㌸㥢挴摡㌶㑥㕢昱慣㠲㑥ㅦㄲ㠲㙡ㅥ攰搹㕡㕣㐷㍣攷㤵㔸㜸捥㕤昱摣〰㕤㘱㉤〲㐱㤵㠴㙢戶ㄶ㌷搱㤵㜳㐰摣㙡㜱㠲扤挹〵戵㌸摥㌶ㅣ戸昷搴㥡昴ㅥ搷㑤扤昰㤸㐵ㅦㅣ扤晢㘷敢ㄵ㈷㡣㐸㉤㙥㐷摣㑣㉤㌶㘹敤ㅤ㕣㥢慥〵攷㝥㐸㉤敥㠴ㄶ戵攰っぢ㙢〳㌸㤵挳㜳ㄷ戴晡㤰㔰愵㡥捡搹攰㌵㡣挳戹ㄶㄶ㥥昳㌹㍣昷㐲攷㜲㐸愸㔲㌳㜳㌶㜸㉤㕤㌹㉦挲㙤㠳て㉢戶挱㔳㙤㐳昸㠲慢づ搹㜶捦ㄱ㤳㉥㕥搲㙢㜳愲㘱散ㅡ挵㐹ㄴ戲挱て㈳㙥㘶㠳㍦搰摡㐷戸㌶扤挱㝦㠲㔶㌶昸㔱㘸戱挱㥣搴㈰攴㑦㐲昴っ昹㡦搳攵㘳㤸慣㙤攳㑣〷捦㤳搰㔹㠷㠴敡㤸ㅡて㜴㤶晢愷〹晦㈴〳晦ぢ攱敢愱㉢㌸㈴挰㜳っ㍣戳搴户搲㤳㤳〶摣㉡㜱愰扤挱〵搴ㅦ㘰ㅢ㜶敥㍤昴㤹搹昷っㅤ㝦搷㘱ㅢㄶ昶㙥敥㜳扤攲っ〳愹挴㈶挴捤㔴㐲愶づ㜰㌷㜸㤱㙢搳㤵攰㘴〱愹挴㑢搰愲ㄲ扣攳㉦㤵愸㐲昴㑣㈵㕥愱ぢ敦捥㕢㤵攰㌴〰捦慢搰改㐳㠲㕦㠵〰捦㤶攲㜵攲晦㤳挱晦㐴晣ㅢ搰ㄵ敥〶㝥扦ㅡ〹搷㙣㉤摥愴㉢敦愹扢搵㘲愸扤挹〵戵搸搷㌶㙣㝡攴晥户㔷扣戰㙡搲㙤晤㉡㑦㑥敥㍢戲㑣昱〶扣搴攲㡦㠸㥢愹㠵摣㔹㘷㉤摥攵摡㜴㉤㜸㉦㕤㙡戱ㄹ㕡搴㠲㌷挴愵ㄶ〳ㄱ㍤㔳㡢昷改搲ㄷ㈶慢ㄶ㍢㘲挹戳〵㍡晢㠳㈲愰晡〱㥤㉤挵㔶挲㜹ㄷ摢㠲昳㑥戹㘷ㅢ㜴〵扤㈲ㄶ㔰㝢挲㌳㕢㠹㡦攸挹ㅢ捥㙥㤵搸挵摥攰㠲㑡散㙣ㅢ㥥摡㜸㙣㙢挵攸攵㔳慦㥡㌷㜷搵慥㐳㘳扦㔶扣㍢㉤㤵昸㍢攲㘶㉡㈱户㥤㔹㠹㑦戹㌶㕤〹摥㘸㤶㑡㝣〶㉤㉡挱扢挵㔲㠹ㅤ㄰㍤㔳㠹㉦攸㌲〲㈶㙢搳㠶㘳挹昳ㄵ㜴扡㔷㠴㔴〵攰搹㔲㝣㑤㍣敦昱㕡㜸摥㐷昶㙣㠷捥愵㔷㠴㔴㜷戸㘶㙢昱つ㕤㜹㍦搶慤ㄶㅥ㝢㤳ぢ㙡㔱㘶ㅢ摥搸攳昳㙦摦散㌳㜸挲捡〵㈷ㅥ㝥昶攲摢昶㔳扣㜹㉢戵昸ㄱ㜱㌳戵㤰扢戲慣挵㑦㕣㥢慥〵敦挳㑡㉤㝥㠶ㄶ戵攰捤㔴愹㠵㐲昴㑣㉤㑡昰扤㙣㙡〲㑣搶戶㡤挳㤲愷ㄴ㍡㕤㡢㠸晡改ㅢ㘷㉤扡ㄲ捦㕢愰ㄶ㥥户㔹㍤ㅥ攸㕣㙡ㄱ㔱晦㠶㙢戶ㄶ攵㜴攵敤㑡户㕡㙣〷搴㜵捣昱㥦戶㘱攷搹㈳㘷㑤㕦㜵敦戸㜳愶挷晤ㅢ㜶慢㙤㔰扣户㈹戵攸㠵戸㤹㕡挸㑤㑢搶愲㠲㙢搳戵攰㙤㑡愹㠵て㕡搴㠲昷ㅡ愵ㄶ㕦㈲㝡愶ㄶ㝤攸挲晢㠲搶戶ㅤ㠷㈵捦㡥搰搹㝢㐸㔸㝤ち㜴戶㕢昴㈵㥣㌷〸㉤㌸㙦㐲㝡㜶㠱慥㜰て〹慢㑦攰㤹慤挴㙥昴攴扤㍣户㑡㙣戳㌷戸愰㔷晣搹㌶㍣ㅤ㝥㙤晤㐳戳㥦㥥昴挸㥥㕦ㅣ㝦搱挵㙦晣攴攳㝤㐰搹扡㑡挴㌵晡㔱昴㠷昰晡㜸㉢㔰っ晢愰㠹晢㉢㜵㘸扢摥挰戲敥㉢搵挸慦㠶攳㔶㥡搹㉣㡡ち㤴慦㉣捤晢㝣摤搳晣㔲㌱㔳㝥扡ㅣ摦㜸㔶㕢㔷㈷㕦ㄶ搶〳㍦㈰摥戴挰㙣㥡㔲摢㘰攲㘷挳㘷搶搶摢摦㜶㌵慥㘷㥡户昰昴㑦㔴ㅢ搲攲㙤ㄵ㑦㝡㕡ㄳ㝥戳扡㕢㝡㔲昳ㄱ捤㘶慡扣㝥㝡扣愵挵㙣㙡昸㕦昸摥㍥㝣㝤㕢㔷摥㐱㐲㙦敡㠲ㅦ昶㉥㜵晤收㌴㝥㈵㕡晥㑦㕡换㙤㐷慢㠴搹㝡昰攷敡㜹〳愹㤴扦㍢晥换扥戵捦㌳〰戴㔵㘴㝥敢㜹㌱扦㤳慦戹㔴扤㠷㝥㈰搳愱㍥つ敥㉡户昱㜸慦摡ㄸ〴慣㘷㌰㐴ㄷ摣ㅥ㔴戲ㅤ昸㘹㔶㘳〸㌴㐶㉢昲㄰㔱搲㤵㌷ㅦ摢扡て捡ㅤ愹㕢晤㥣㜸㔳㔳㝣㘹㜹晤㥣㍡戳㘱㕥换晣昲㌹㡢㜱攳ㄷ昷㔹攱㕣㕥㕥㙥っ㐵㔰昶㉢慥㐵戵㐰挹愸挶㌰㘸愹攱摢挷摢㠰搲昵㠶㌳㠱晤㈸㐶㐰㜸㝤扣〱㈸㠶㤱㘸㘲㔷㍣つ㙤昶㑢㡦ㅦ敤挲㡤晤慤敢挶〶㠱昵㠴㈰㜲㌷㌶っ㡤㘳㘳换㜸㤷㉤㥦㐵㝥㘹摦〴愶㔸㜶㜲㙤慡㘵扥㘷扥㔹㍢㙦㍥㥥㐹改摥㕤㝦愹ㅥ㙣戸昵〰㔷搹慡㈸㘲敡慤㔲攷㘹㙤ㄵ戴扡〲扥ㄵ搰捡㈶㔵㜳晤㌱㡡晤㈱扣㍥摥昲ㄲ挳〱㘸㘲㕢㉦㐱㥢摢㙡㤰搸㔲戵搱㜵摢づ愲㍦㠹捣㤲㜸㌰㔵慤㐸换㈲㔱昱扥㤷㈴㌷ㄶ〶㥤㠶扡㕡㙢㙢愰搵㈹晢㙥㠰㔶㜲ㄸ挷㈰攳㈹㈶㐰㜸㝤扣㍤㈵㠶㠹㘸㈲㌹摥㤸㤲攴㐸㐴愹㝡捣㌵戹挹昴㘷攱戳挹㑤愱捡㤱ㅣ敦㘱戱昰晡㥦攲㕤㉡挹昶㌰〶㠶㥡㙦挵㍢㔰愲㥤〶慤摥〶摦㕡㘸㈵愹改㡣㝡㌸挵っ〸慦㡦户㤰挴㌰ㄳ㑤㘴扢づ㙤㐷戶昷戸㘶㝢㈴晤㜳戳㥤㑤㔵㉢ㄲ戰㑢挹晢㑣㌹搹㍥ち㠵攴㜵っ㤰㤹㙣㜹㡦㐸戴挷㐲㥢挹㤶㜷㜸㈴愹攳ㄸ昵㜸㡡ㄳ㈰扣㍥摥攴ㄱ挳ㅣ㌴㤱㉤㙦敦㌸戲扤搹㌵摢〴晤㜳戳㑤㔱攵挸㤶㜷㠲㜲戲攵つㅥ挹㉢つ愴捥㑢扤慡戵昳愰搵摢攰攳㕤ㄸ㐹㙡㍥愳搶㔲㥣〸攱昵昱㐶㡣ㄸㄶ愰㠹㙣㜹ぢ㐶戲戵扡改ㄵ慥搹㌶搰㍦户㥢㉥愴捡㤱㉤㙦捣㐸㜲㑤㌰攸㌴搴晢㕡摢っ慤㑥搹挷㍢㈶㤲㐳ぢ㠳㉣愲㔸っ攱昵昱愶㠹ㄸ㑥㐶ㄳ挹昱㜶㠹愳㤴攷扢㈶㜷ち晤㜳㑢㜹ㅡ㔵㡥攴㜸㘷㈵愷㤴扣㘱㈲搹㥥〱愴捥㑢㝤愱戵㘷㐲慢户挱挷扢ㅡ㤲搴㌲㐶㍤㡢攲㙣〸慦㡦㌷㌶挴㜰づ㥡挸㤶户㌴ㅣ搹㥥敡㥡敤㜹昴捦捤㜶㌹㔵㡥㙣㜹昷㈳㈷摢ㅦ愱㤰㙣㉦〴㔲攷愵㑡㜰慡㈷摡㡢愰搵摢攰昳㐰㉢㐹慤㘰搴㡢㈹㉥㠱昰晡㜸昳㐱っ㉢搱㐴戶攵㘸㍢㠸㙦㜴捤昶㜲晡攷ㄲ㝦㈵㔵㡥㙣㝢攸㌴慥㠶㐱愷愱㝣㕡㝢つ戴㍡㘵㕦㕦㥤挳㉡〶戹㤶攲㍡〸慦㡦㌷ち㈴戹敢搱㐴㜲扢愰敤㈸㘵搲㌵戹㥢攸㥦㕢捡㕢愸㜲㈴户ㅢ攲攴㤴㜲㉦㈸愴㘸慢㠱搴㜹愹晥㕡㝢ㅢ戴㝡ㅢ㝣㐳愰㤵愴㙥㘷搴㍢㈸敥㠴昰晡㌸㤸㉦㠶㕦愳㠹㙣㠷愲敤挸昶㈸搷㙣搷搰㍦㌷摢㝢愹㜲㘴㍢ㅣ㜱㜲戲昵㐳㈱搹慥〵㔲攷愵挲㕡㝢㍦戴㝡ㅢ㝣晢㐳㉢㐹慤㘳搴〷㈸ㅥ㠴昰晡㌸摣㉥㠶㠷搰㐴戶〷愲敤挸昶㔰搷㙣ㅦ愵㝦㙥戶㡦㔳攵挸昶㈰挴挹挹㜶㉣ㄴ㤲敤㤳㐰敡扣搴〴慤㝤ち㕡扤つ扥㈹搰㑡㔲㑦㌳敡㌳ㄴ敢㈱扣㍥づ㠹㡢攱㔹㌴㤱敤㘱㘸㍢戲ㅤ敤㥡敤〶晡攷㘶晢㍣㔵㡥㙣愷㈳㑥㑥戶戳愰㤰㙣㌷〱㤹挹㜶戶搶扥〸㙤㈶摢ㄳ愰㤵愴㕥㘲搴㤷㈹㕥㠱昰晡㌸㘸㉤㠶摦愰㠹㙣攷愲㉤搹㕡㐷搳㤰㙢戶慦搳㍦㜷愷㝡㠳㉡㐷戶ㅣ挴㤶攴摥㠴㈱㤳摣㝣慤晤㍤戴㤹攴ㅡ㜴づ㙦㌱挸摢ㄴ敦㐰㜸㝤ㅣ㘰㤶攴晥㠰㈶㤲㕢㠸戶愳㤴㠳㕤㤳摢㑣晦摣㔲扥㑦㤵㈳㌹㡥㐲攷㤴㜲㌱ㄴ㤲敤ㄶ㈰㌳搹㥥愲戵㝦㠲㌶㤳敤㌲㘸㈵愹慤㡣晡㘷㡡㙤㄰㕥ㅦ〷㠱挵昰㈱㥡挸㤶挳扦㡥㙣㜷㜷捤昶㘳晡攷㘶晢㔷慡ㅣ搹㜲愴㌸㈷摢攵㔰㐸戶㝦〷㌲㤳敤ち慤晤ㄴ摡㑣戶ㅣ愳㤵愴㍥㘳搴捦㈹扥㠰昰晡㌸㑣㉢㠶㉦搱㐴戶㔷愲敤挸戶挲㌵摢慦改㥦㥢敤㜶慡ㅣ搹㕥㡤㌸㌹搹㕥〷㠵㘴晢つ㤰㤹㙣㙦搲摡㙦愱捤㘴换㔱㔴㐹敡㍢㐶晤㌷挵昷㄰㕥ㅦ〷㔲挵昰〳㥡挸㤶㐳愸㡥㙥摡挵㌵摢㥦改㥦摢㑤㌹㈹搶㤹㉤〷㔶㈵戹㔲ㄸ㌲挹慤搵摡㉥搰㘶㤲㝢㔸攷搰㤵㐱捡㈸㍣㄰㕥ㅦ〷㍤㈵戹㙥㘸㈲戹㐷搱㜶㤴昲摢㝦戹㕤〱㘱愲㜳㝥㈹㝢㔰攵㈸㈵㐷㐶㜳㑡挹戱㑦挹戶ㄷ㤰㤹㙣㕢戵戶〲摡㑣戶ㅣ㤵㤴愴㝣㡣摡㥢愲て㠴搷挷㠱㐹㌱散㠰㈶戲㝤〹㙤㐷戶㥦扡㘶摢㤷晥戹挴敦㐲㤵㈳㕢㡥㕥收㘴晢㍡ㄴ㤲敤㙥㐰㘶戲攵挸愳㘸㜷㠷㌶㤳㉤挷つ㈵愹㍤ㄸ㜵㑦㡡扤㈰扣㍥づㅤ㡡㘱㙦㌴㤱敤㘶戴ㅤ搹晥挹㌵摢晥昴捦捤㜶〰㔵㡥㙣㌹扥㤸㤳敤㔶㈸㈴慦㐱㐰㘶戲攵攸愰㘸〷㐳㥢挹㤶㘳㝢㤲搴㄰㐶摤㤷㘲㈸㠴搷挷攱㍤㌱っ㐳ㄳ搹㝥㠶戶㈳摢摦扢㘶㍢㠲晥戹搹晡愹㜲㘴晢〵攲攴㘴换㐱㍥挹㉢〸㘴㈶摢㙦戴㌶〴㙤㈶㕢㡥扥㐹㔲㘱㐶㡤㔰㐴㈱扣㍥づ挰㠹愱ち㑤㘴晢㌳摡㡥㙣㕦㜴捤㜶㝦晡攷㘶㝢㈰㔵㡥㙣㑢戰摦攵㘴摢ㄵち挹昶㈰㈰㌳搹㤶㙢敤㘸㘸㌳搹昶㠲㔶㤲㍡㤸㔱挷㔰㡣㠵昰晡㉡戴愱〶㑤㘴敢㐳摢㤱敤㔳慥搹㑥愰㝦㙥戶㠷㔰攵挸戶て攲攴㘴摢ㄷち挹㜶㌲㤰㤹㙣㜷搳摡㐳愱搵搹慡㑡㘸㘵㘸敥㘱慣㥥㐳㜳〷㤶㘰搰愱搴愳㌸慥㈵㠶㠷㙣挳㈸㌱㈸搵㕦ㅢㅥ戴つ愳㘱㌰愶㈱㘸搹㍥㌰攵晦敡㠱㘳戴挶昱晢〳㈰ち㍦ㄴ㌹ㄳ㕦㝥捦㠱ㅢ㙦㍤攷㡣换㉣㘲㑦晤捣昹昸㜲晣摥㌶㜶㔸〶搳㈷愳挹㘰㝢㘵㔴攲戳㙢㑤㘳晤挲㜸㔳㍣㔱㘷ㄲ㌲㉣ㅢ㜴愷㝣㡢攰㔱〳㤶愱愴㝦昱㘹换㍡㐱㡥㉣㤵慢づ〳换ㄵㅤ㡣改愸㐹㑦㉣愸散㤲㌴换〶愱㑥ㅤㅥ搵攲愸敡㉦晣㤹㠶挳㤱㠰ㅡ㠲㤵挹挰敤っ戶㤸づ摥ㄵ㐳㙤㉤晢㜰㐹挵㌰摤攲㜸㤴ㅡ㡥㤶㔰㝦㕦㕥㥦攰戸㤲ㄸ敥捤敢ㄳ㈳戴攱ㅥ㘷㥦㌸㤲㉢ㅣ〹ㄳ晢㠵㜱㔴愶ㅡ㤹㈵愹㠶ち挲捡㡡ㄸ戳㠹て㘳㐹搲㍤摡㤹㙥搴搶㤶㌳挱㡡㉡摤挲㕦㝣昹㄰愴㘴㜵㘷㕥扡ㅣㅡㄲ挳ㅤ㜹改敥慦つ户㍢搳㍤㥥㉢㍣〰㈶㐹户ㄸ㜹敡㈰㈰㈴摤㌹挴ㅦ㡣㤶愴㍢搷㤹敥㔸㕢㙢㔵户㐶户愴扡攳搰㤲慣㙥捥㑢㤷㠳㐵㘲戸㈹㉦摤〹摡㜰愳㌳摤ㄴ㔷㌸ㄱ愶戶慢㍢ㄹ〸㐹㌷㑤晣ㄴ戴㈴摤㜹捥㜴て戳戵㔶㜵愷改ㄶ晥㤶愸改㤰㤲搵慡扣㜴㌹㕡㈴㠶㙢昲搲㥤愱つ㔷㍢搳㕤挰ㄵ捥㠴愹敤㜴㡦〴㐲搲慤㈷㝥㌶㕡㤲㙥㠳㌳摤㘳㙣慤㤵敥戱扡㠵扦昸㝥ㅢ㐸挹敡戲扣㜴㌹㕣㈴㠶㑢昳搲㍤㐱ㅢ㔶㍡搳㙤攲ち㌹㥣搴㜶扡〹㈰㈴摤ㄶ攲㔳㘸㐹扡㡢㥣改愶㙤慤搵ㄹ收改㤶㜴㠶昹㘸㐹㔶ㄷ收愵换昱㈲㌱㕣㤰㤷敥㠹摡戰摣㤹敥㔲慥㜰〱㑣㤲㙥搱扥摢〰㠴愴㝢㉡昱ぢ搱㤲㜴㑦㜳愶摢㘴㙢慤敡㌶敢ㄶ晥㘲昰ㄹ㔲戲㍡㈷㉦㕤㡥㈰㠹攱散扣㜴ㄷ㙢挳㔹捥㜴㤷㜱㠵㈷挳搴㜶㜵㑦〱㐲搲㍤㥢㜸づ㈹㐹扡攷㌸搳㍤挳搶㕡搵攵戰ㄱ㌱㤲扣㕡㠶㤶㘴㜵㕡㕥扡ㅣ㐲ㄲ挳愹㜹改㥥慤つ愷㌸搳㍤㥦㉢㍣〷愶戶搳㍤て〸㐹昷〲攲㤷愳㈵改㕥攸㑣昷㐲㕢㙢㔵昷㈲摤挲㕦晣㜶㉢愴㘴戵㈸㉦㕤㡥㈱㠹愱㈵㉦摤㑢戴愱搹㤹敥㈵㕣攱㑡㤸摡敥っ㤷〳㈱改㕥㑡晣㤵㘸㐹扡㤷㌹搳扤摡搶㕡搵扤㐶户愴敦慥㐲㑢戲㙡挸㑢㤷愳㑡㘲愸捦㑢昷㍡㙤愸㜳愶㝢ㄵ㔷㜸㍤㑣㙤㔷昷㈶㈰㈴摤㙢㠸扦〵㉤㐹㜷㤵㌳摤搵戶搶慡敥㙤扡㠵扦㈵敡㜶㐸挹㙡㕥㕥扡ㅣ㔶ㄲ㐳㍡㉦摤㍢戵挱㜴愶㝢〳㔷昸㙢㤸摡㑥㜷つ㄰㤲敥㑤挴摦㡢㤶愴㝢戳㌳摤戵戶搶慡敥晤扡㈵搵㕤㠷㤶㘴㌵㌷㉦㕤㡥㉢㠹㘱㑥㕥扡て㙡挳〹捥㜴㙦攳ちㅦ㠲愹敤㜴ㅦ〵㐲搲扤㠳昸挷搱㤲㜴敦㜴愶晢愴慤戵慡晢㤴㙥攱㉦㘶昵㐳㑡㔶㐷攷愵换㠱㈵㌱捣捥㑢㜷扤㌶ㅣ攵㑣㜷つ㔷挸㠱愷戶搳摤〰㠴愴㝢㉦昱捦愳㈵改摥攷㑣㜷㤳慤戵搲㝤㔱户昰ㄷ扦㕥ち㈹㔹捤挸㑢㤷㈳㑢㘲㌸㍣㉦摤㔷戴㘱扡㌳摤〷戸挲摦挰㈴改ㄶ㍤敥扥づ㠴愴晢㄰昱㙦愰㈵改㍥散㑣昷㑤㕢㙢愵晢㝢摤挲㕦㍣㈹〰㈹㔹ㅤ㥡㤷㉥挷㥡挴㌰㌹㉦摤㜷戴㘱㤲㌳摤挷戹挲㍦挰搴㜶㜵㌷〳㈱改㍥㐹㍣〷㥦㈴摤愷㥣改㙥戱戵㔶扡ㅣ㘰㈲㐶㝡戲摡㡡㤶㘴㌵㉥㉦㕤づ㌶㠹愱㈶㉦摤㙤摡㌰搶㤹敥戳㕣攱㠷㌰戵㥤敥挷㐰㐸扡捦ㄱ晦㔷戴㈴摤つ捥㜴晦㙥㙢慤㜴㍦搵㉤晣挵搳〷㤰㤲搵愸扣㜴㌹摡㈴㠶〳昳搲晤㐲ㅢづ㜰愶扢㠹㉢晣ㄲ愶戶搳晤ㅡ〸㐹昷㈵攲户愳㈵改扥散㑣昷ㅢ㕢㙢愵晢慤㙥攱㉦扥㄰〰㔲戲㡡收愵换攱㈶㌱㐴昲搲晤㕥ㅢ挲捥㜴㕦攳ち㝦㠰㐹搲㉤摡㜷㝦〶㐲搲晤慤㈴㘸㘷㘹扣攱㑣户搴㙥㔸改㜲搰㈹摢ㄹ㌸搸㈴㔹㡤捣㑢㤷〳㔰㘲ㄸ㤱㤷慥㐷ㅢ昶㜳愶晢ㄶ愳㜲㠰慡敤敡㝡㠱㤰㜴摦㈱㥥㈳㔲㔲摤㍦搸ぢ㙣㔴㜰昴㐹ㄲ攴㤱戶㠲愳㑥搹㜴㝤㘸㐹㔶㐳昲搲攵〸㤴ㄸ〶攷愵换㔱㈹㌱っ㜲愶晢ㅥ愳㜲㠴慡敤㜴㌹㉥㈵改㝥㐰㍣㠷愴㈴摤㉤昶㠲愴换攱愷㙣扡ㅣ㜶捡愶换攱㈶㔹㜹扦扣㜴㌹〴㈵㠶捡扣㜴㌹㉣㈵㠶扤㥤改㙥㘳搴扤㈱摡㑥户㍦㄰㤲敥㐷挴㜳㑣㑡搲晤㡢扤㈰改づ戲ㅢ㔶㘷攰戸㔳㌶㕤㡥㌷挹捡㜷换㑢㤷㘳㔰㘲搸㌵㉦摤愱摡戰㡢㌳摤扦㌱㉡挷愸摡㑥㤷㈳㔳㤲敥愷挴晢㈹挰戸昱㤹扤㈰改㜲〰㑡ㄲ㤴捥挰㠱愷㙣扡ㅣ㜰㤲慣㜶挸㑢㤷㠳㔰㘲攸㤳㤷㉥〷愶挴搰摢㤹敥㔷㡣㕡〵搱㜶扡ㅣ㥡㤲㜴扦㈶㥥愳㔲㤲敥㍦敤〵㐹㤷㈳㔰搹㜴㐷敢ㄶ㜶㔲㕣㡣愲㈵㉢敦㤱㤷㉥㐷愱挴搰㍤㉦摤戱摡攰㜵愶晢㉤愳㜲㤴慡敤㜴㈷〰㈱改晥㥢㜸づ㑢㐹扡摦摢ぢ㤲敥㘴扢㘱㜵〶づ㍤㐹昲㑣户㠲㘳㐶晣慡昸搲㈵㉡㌹㌷㌵㜷敥㜷ㄵ㕤㉢㜷敢㍡晢攰ㅥ搷㙥㝤㘵摢攵㙦ㅤ㌷敡㤳ㅦ㙦戸攱慤㡦㉥㝦昵挷愷ㄳ愳㕥㕣扤晡昹挹㌷扦扡慤㑦晡㤶搲㐷扦㥢㜲换㘹㠱〵愷㥤㤴㍥㘲攸挴搳㡥㍥昱昰挰昴摥挳扡㜴改搶㙤昰づ㉦敤㌲挴户散愴挷搵㜳敦敥摣㔰㌶ㅤ㉢攸挰愰つ㌳晡㠵㈳㉣㍦㜰㠳㘴㤸〵㌱っ攷㤷敤昹㘶挰㈴攳㠰㍦㘱愱㘷㤷ち㡥㠶㜴收搶慡愳戰〲㙥戱昱㌳㠴㤲挱ㄴ㈶愵扦ㄴ〰换㈵㍥づ慡㐸㔲㈵摤㈵㈹㡥㜹㜴㙡㔲㜳㤸㑢㐱㙤㌸㔸㈲㘹㤴㕡㘹㜰㉣愳㔳搳㐸敢㌴㜲慡挱㐱㄰㐹愳慢㤵〶挷㈸㍡㌵つㄹ搴㈸㈰㠵㠳ㅢ㤲㠶挷㑡愳愹戳搳㤰挱㡡㠲㌴㌸㘸㈱㘹㤴㕢㘹㜰㑣愱㔳慢㜱㉡㔶㔰搸㌷㌸ㄸ㈱㘹㜸慤㌴㌸㔶搰愹㘹㥣慤搳挸改ㅢㅣ㘴㤰㌴㝡㔸㘹㜰っ愰㔳搳㤰㐱㠳〲㔲㉥搴㘹昴戲搲攰戵㝤愷愶㜱㈹㔶㔰㐸ち〷〵愴ㅡ㍥㉢つ㕥戳㜷㙡ㅡ搷攸㌴㜲㐸攱挵扥愴搱挷㑡㠳搷攲㥤㥡挶㑤慥㘹摣慣搳搸搱㑡㠳搷搸㥤㥡㠶㕣㤴ㄷ昴㡤㍢㜵ㅡ㝤慤㌴搶㜴㜶ㅡ㜲戱㕤㤰〶㉦扡㠵㤴㕤慣㌴㜸㑤摣愹搵㤰㡢㘸愶㤱昳㜹换㡢㘹㐹㘳㌷㉢つ㕥敢㜶㙡ㅡ㜲㜱㕣㔰㡤愷㜴ㅡ㝢㔸㘹㍣摢搹㘹挸㐵㙦㐱ㅡㅢ㜴ㅡ㝢㔹㘹㙣敡散㌴攴㘲戶㈰つ㕥搴ち㈹㤵㔶ㅡ扣收散㔴㔲慣㡢搴晣扥昱㠶㑥愳扦㤵〶慦㈵㍢㌵つ戹昸㉣愸挶ㅦ㜴ㅡ〳慣㌴摥敢散㌴攴愲戲㈰㡤㉤㍡㡤㐱㔶ㅡ摢㍡㍢つ戹㔸㉣㐸㠳ㄷ㡤搲㌷㠶㔸㘹昰㥡慥㔳㐹㤱㡢挰㠲㌴㜸㌱㈸㘹っ戵搲昸慡戳搳㤰㡢扢㠲㌴㜸㤱㈷㘹っ户搲攰㌵㔸愷㔶㐳㉥摡ち搲攰挵㥢愴㌱㐲搲㔰㜲㠱㐳搴㐸戴㜹㕥㈰㙦㕥搲挸昵攴ㅢ摢慤㔹〳㘳㘱㈹㔷㜸昸て〶㌹㝢〸㌸攱扣搸㄰昸敢㜹㜰㥥晥㡢攱戵㍣〳㑦挸挵昰㙡㥥㠱愷挸㘲昸㑤㥥㠱㈷慤㘲㜸㈵捦挰搳㐸㌱扣㥣㘷攰㠹㥤ㄸ㕥捡㌳昰㔴㑢っ㉦收ㄹ㜸昲㈳㠶㑤㜹〶㥥㡥㠸攱㠵㍣〳㑦㄰挴昰㝣㥥㠱ㅦ搹㘲搸㤸㘷攰㠷愸ㄸ㌶攴ㄹ昸戱㈶㠶攷昲っ晣愰ㄱ㐳㙢㥥㠱㠷㝥㌱㍣㥢㘷攰挱㔸っ敢昳っ㍣㍣㡡攱㤹㍣〳て㔸㘲㜸㍡捦挰㐳㠸ㄸ㥥捡㌳㜰愷ㄶ挳㤳㜹〶敥㘶㘲㜸㈲捦挰㡥㉦㠶挷昳っ散㡡㘲㜸㉣搷攰㘳㥦㤴捥㍡ㄹぢ昸㌲㑢㜶㍡㘹ㅦ㉡敤㌲慡摢㤸㘷㌱摤㙣㑡㥡つ㉤戵㜵㈶攷㜹愰攷㤶昴慣慦㔹搴摣搲㘸㑤㐵㘹㉥㤳挹㈷㠵㤳㔳晡㄰㍥㉣〷敡戵㔴㤴ㄵ搶㘲㘶㤶㑡㜷摢挴㘹㉤晦搷㈹㉡摤戰㌵㝣攳昱㥢扤摡㥥愵㘲捤㔰改ㄸ捡㥥㥥㌲〵搵昱攲㤱㕢捣㑦挹㉥㑡㕢戱㝥㉣㥥㌱㌵㡢挹㉥ち愶㠲㍥ㅣ㌲㘳ぢ晦戶㡥扥敥㕡晥晢摢攸搷㕥攵扦捦㐶㔷搰愳㑤㐴昷晦〷㔷挰晡㐶</t>
  </si>
  <si>
    <t>㜸〱捤㝤〹㜸ㄴ㔵昶㝤㕥㈰㐵慡㔹搲㈲㉡敥〱ㄱㄷ㄰㝢㕦㔰㔱㐸〸㡢㙣戲慡愳㐰㉦搵㄰捣㠲㐹㐰挰㝤ㄹ㔴㔴㜴ㄴㄱㄹ㐵㐷〱㤵㔱摣昷㉤〲㉥愳㠰㍡㠲㍡㉥攸㈸攳㉥攳㠲㠸换攰晦㥣㔷昵㍡搵摤搵㑤㝥晥㈷摦㌷㠱摣昴扢昷扥晢捥㝤愷慡扡敡搵慤敥㈲㔱㔴㔴昴ㅢ㝥昸㤷㍦敤昹攲㠰㜱㜳ㅢ㥢㡣摡㝥ㄵ昵㌵㌵㐶愲愹扡扥慥戱摦挰㠶㠶搸摣ㄱ搵㡤㑤敤攰愰㑤愹㠶扤戱㘴㑡㘳昵㍣愳㜴捡㙣愳愱ㄱ㑥㈵㐵㐵愵愵㝡㌱散晢㕡扦㙥搵搰搹㑢㙦㑦〱慦㈲㕤愳攸㐰㔱㑡愱㔳戸㈸㍡㔲㜴愲攸㑣搱㠵愲㡣挲㑤戱〷㐵㔷㡡㍤㈹扡㔱散㐵戱㌷挵㍥ㄴ摤㈹㌸扥扥ㅦ挵晥㄰㥤づ㠰ㄸ㕦㌱㘸㜴㝣〶戲ㄹ搷㔴摦㘰昴㉤㥦㘸㘲㍥捥敢敤攷敤ㄷ〸㝡㝤晤㍣㝤换㉢㘶搵㌴捤㙡㌰㡥慢㌳㘶㌵㌵挴㙡晡㤶㡦㤹ㄵ慦愹㑥㥣㘸捣ㅤ㕦㝦㠶㔱㜷㥣ㄱ昷昸攳戱㐰挴ㅢ〸〶㔳搱㘸愴搳㠱㠸㍣慡㘲搰㤸〶㈳搵昸摦㡡㜹㄰㘳㡥慥ㄸ搴㙦㤴搱昴摦㡡㜹㌰㘲㈲㘴㘵㝤㙤慣扡敥扦ㄴ戴㠴㥣晡㉢㡤㐴㌵挹㌷㡣㠶敡扡㘹晤〰㍢㘳愲搱ち昷慢挲㡣㈷㘲㡤㑤ㄵ㐶㑤捤㔸㈳㐵摥㍢搵㜲捥㡣〶愳㉥㘱㌴㜶愹ㅤ㍣㈷㘱搴㔸收挶搲摡㠹戱㠶㔱戱㕡愳㍤㕦㤴搵㥡扣つ㑢ㅡ㜵㑤搵㑤㜳㍢搷㑥㘸㌴挶挶敡愶ㄹ㜴㈹愹ㅤ㌲慢㍡搹扥扤㘸摦扥愸摤㘱㑥㘰㈴㌷晤慡ㅡㄲㄵ搳㘳つ㑤戲㐵搶扣㑥扥戶㉤㐴〲捦㠰挵慤愸㍣慢ㄷ㘹ㅡ㔷㕤㝢愲搱㔰㘷搴㜰㄰㤲搷㈷换㐹捥㠹㌹昵改挹㔱搹㤰ㄸ搱搱摡摦㤸ち㐷搱换㈹㝡㐰㘸㍤㈱昶㌸㙥搰愰㕥摥㜰敦㥥晤换㝢昶敥㌵搰敢㠹攸㠷搰愱ㄷ㠴㘸晦㉥昶㕥㝢〰敥㐱挵㔳㘲挵㔳攲挵㔳ㄲ挵㔳㤲挵㔳㡣攲㈹愹攲㈹搳㡡愷㑣㉦㥥㔲㕤㍣㘵㐶昱㤴㌳攰愳㝥㑡㍢㜴㈸戶㝥㝡㙥㕡㈱〶戸づ慡戸扥晦㠲敥㘳ㅥ敤㜵愳攰づ㉢昷摣摥㜸愱ㅦ〶愱ㅤづ㤱〳㈸愸ㅦ㐱㠷㈳㈱㠴搸っ㐰〴ㄵ摤㍥昵攸愹㍢挷㡦扣㘸晥挶摦㉥㡦つ搱〵昷㝣ㄹ慤㉦㥤㡦㠲搰晡㐱戸㌳搳㡢㠶昵愳㘹昷㐰〸昱慡ㄵ慣攴挱户㍥㝥㝦挷挴㠱换晢〴ㅦ晥慥昶慢㤱㠲㐷㄰ㄹ捣㐷㘷㍦㠴ㄶ㠰挸づㄶ搱㠳戴㠷㈰㠴昸㥢ㄵ㙣扦㠹㡦摦昱改愷㜵愳㙦摣户捣攷㍥㘵昹㈹㠲㕢愴っㄶ愱㜳ㄴ㐲敢て㤱ㅤ捣慢ㅦ㐳晢戱㄰㐲慣戵㠲㍤搶㜳敦摥㡢㥥晡㘹攸つ慦慦昸搲㍦攱搱扥㠲㐷㌴ㄹ㙣〰㥤㡦㠷搰㑥㠰挸㤹戴㤰㍥㤰づ㠳㈰㠴㜸摡㡡戶攴戹攷摤昷㉤㙢㍦㝣㐱搷㤱晦扡慡攲昴〳〴て㡤㌲㕡㈵㥤〷㐳㘸㔵㄰㌹搱㝣晡㄰㍡っ㠵㄰攲㔱㉢㥡扥愸搳攷晢晥改换挱て㝤戰㘳捡㔹敢㡢㜷〹ㅥ㘳㘵戴攱㜴㍥ㄱ㐲ㅢ〱㤱ㄳ㉤愰㡦愴挳㈸〸㈱敥户愲㡤慥晡昶㤵愱晦搹㝡攲愳て㝥昴挹ㄵ慦摣扤㑥㜰㔳㤳搱挶搰昹㈴〸㙤㉣㐴昶戴㐵昵㜱戴㡦㠷㄰攲慦㔶戰搸㠱㙦㔴㙥摦㍣㝦挴挵ㅤ愶㑥㈸ㅢ㜶挳ち挱㠳扥っ㌶㤱捥㤳㈰戴㤳㈱戲㠳〵昴㔳㘸㍦ㄵ㐲㠸ㄵ㔶戰㝦敡㕦㌷㙥摥㌶扤攲挹〹〳ㄲぢ㉥㝦散㘴挱㌷てㄹ散㌴㍡㥦づ愱㑤㠶挸づ收搳愷搰㍥ㄵ㐲㠸㕢慣㘰㥢扦搸扣㐹扣㍡敦㠴㠵㤷戴扢愲捥㜳㜱㠵攰㥢㤰っㄶ愷㜳〲㐲㑢㐲㘴㑦㥡搷愳ㅢ㜴㐸㐱〸㜱愳ㄵ㉤昵㜰挳扦㙦㝢戸㙣昰㥦㌶㥤㜱㔶晦敤㔷㍣㉥昸㙥㈶愳㑤愷㜳㌵㠴㌶〳㈲ぢ㕡㈴愲㜳㈷搵㙢㈰㠴戸捥ち戶慢敥㤰㕦㙥㔸扣捦愸〵㘳慥㤸戶㙤㘱晣㌵挱㜷㐵ㄹ慣㡥捥昵㄰摡㑣㠸慣㘰㔱㡦㝥㈶敤つ㄰㐲㕣㘵〵晢㜸昱㤳㐹捦㡡晥挳慥扢㘳挵慦㝢㌴〵昷ㄱ㝣㜷㤵挱㥡攸㍣ぢ㐲㥢つ㤱ㄵ㉣ㄲ搶捦愲㝤づ㠴㄰㤷㕡挱㕥慤㍢愰摢户㌳挳㐳㔷㝣戶挲㌵改愷敡搷〵摦愵㘵戰㜹㜴㍥ㅢ㐲㍢〷㈲㍢㔸㔴㍦㤷昶昳㈰㠴戸搰ち戶愴愱昲昶ㄳ挶㔴㔵慤㡣㥥摢㤰㍡㉤㌵㔵昰摤㕥〶扢㠰捥ㄷ㐲㘸ㄷ㐱㘴〵㡢㠶昴㡢㘹扦〴㐲㠸戳慤㘰㔷ㄵ㍦㔰㜵搶昶㤹〳敦扡愶㘸挶㘵搳ㅥ㝣㕣昰慣㐱〶㥢㑦攷㑢㈱戴换㈰㜲攸昴敡㤷搳㘱〱㠴㄰戳慣㘸ㅢ㡥散㌳㘶晤㘳捦㡥㕡昸攵愵㑦敡摤㉡ㄷ〹㥥㝥挸㘸㔷搲昹㉡〸㙤㈱㐴㜶㌴㑦㔴扦㥡づ搷㐰〸㔱㙦㐵ぢ㍤㔳㝦挷㕢㠳㠷っ㕡㈶挶〴㡥ㄸ户收㌹挱昳ㄸㄹ敤㕡㍡㕦〷愱㉤㠲挸㠹收搷慦愷挳㘲〸㈱慡慤㘸晢㥦扤㜱㕢攷㐷㝥ㄸ戱戰挳㠹㥦㉥散晢敤㌸挱ㄳ㈲ㄹ㙤〹㥤㙦㠴搰㤶㐲攴㐴ぢ敢㝦愶挳㑤㄰㐲㈴慣㘸摡挳晡㐱㘳慥晢换戰㥢扦㕢扡㘴㐶搵戳㜳㐵㜷㤸㘵戴㘵㜴扥〵㐲扢ㄵ㈲㥢㠴愰晥ㄷ摡㙦㠳㄰攲㜴㉢搸㔳㡤挱慦收敥搸㕡㜹挱昳摦て敡昰攳捤㝥挱㌳㌴ㄹ㙣㌹㥤㔷㐰㘸㉢㈱㜲愰㜹昴㍢攸㜰㈷㠴㄰㤳慣㘸㜷㑥摦㌹攳慤㈱㕢〶㍦戹㜴㘴搱戳ㄷ㕥㜲慢搸て㘶ㄹ㙤ㄵ㥤晦ち愱摤つ㤱つ捤慦摦㐳晢㙡〸㈱㑥戲㠲㥤昱摤㔷敦摥㌱昱攸愱昷㌷㡦昱㥤昹㜹攷敤㠲愷㡣㌲搸㝤㜴扥ㅦ㐲㝢〰㈲〷㥡㔷㝦㤰づて㐱〸㜱愲ㄵ㙤挹㘱㐳ㄶ摦㜲㜱㘲昸慤慦㑣晣换㥥摦扢㉦敦昴〸捣㈷㔹敦敦㤵つ戱戳㜰㤲搴㜲晥㠵㤳㑥晥摢晤㠹㈷捥㍢㔳挱㔴㌸攵昵㈶㠳㥥㤸㍦㔶㔲㡥戰慤㍤摤攱〶摦㈹㌵愹扡㉥㔹㝦㤶㍣晦改㤴慡慡慥㘹㌲ㅡ㘴愳㉣㠵㍦收㌹㥣㙣㜷㑥つ㥥㠳㤳摦㠴㜹慡搴㉤㔵㘱㌴㌴攱愴戱㘹㙥换昹搳〱㠳㘲㡤㐶㑢戳㡦ㄵ㝢㔰晤慣扡㘴攳晥捥挶㜱㑤戱㈶㘳扦㙣㕢㑢㤰㥣㙥攳㜰㐲㘹㌴㑡㐸〷㘵㜷㥢ㄸ慢㤹㘵っ㥣㔳㙤㥡て捣㌲攳搴戲㍥㥥摦㕡搵㘰㥣㤹戶收㈰ㅡ㠸敢㥤搹㌲㜶㑥㤶愶挹挴㔵㕥㌱扤扥搱愸㤳昰晡搴㡥愹㑥㥣㘱㌴㡣㌳㜸戵㘴㈴㘵慡㝢搱㘴㥤摦昶ㄹ㕤㠷㐴㜱挶㥡散㘹搷㜲愲㡤扡愴㤱〴摥㤹㤸攵戹攳㘳昱ㅡ㘳敦っㄷ㜳㑣ㄸ昶捤㔰㔷搵㈷㘶㌵㔶搴搷㌵㌵搴搷㘴㕡〶㈶㘷挷㜰㑥㥤ㅣ㔹㥦㌴摡换㥦㈲㔳㡡愲㜶敤㠴㈸㍡摣改攴㤴戱ㅢ㜹晡㙡摢㐸㜸㤲㕣搸搹戶ㄱ搱搹昱戴㌷ㅤㄹ㉦㙣ㅢㄹ晤㡦㈸㠸挴扥ㄱ搲摢㔳搰摢㘱㈳㘵愷敥㤹㍢㕥扦戱攰〷㍣搴ㄸ摣㉢㡢㝢攵て搹戲㕤敥〶愹㡤ㄵ㕥ㅣ搳扢挰愴挹戰改㙤慦㙤㥤㡢㡢昷戴戲ㅦ㍣ㅢ㔷㑥㐳㘳㜵挹ㅡ愳愱攰愵扤㈰㈲晤㔱㡡挷㈸ㅥ愷㜸㠲攲㐹㠸㤲㑡ㅣ攳昲捥㘸㝢㜸㠸㌹㘲㙥挹㔹搵挹愶改摡㜴愳㝡摡昴㈶攸戰㈴㔰㕡捡改捥昹搱㥦㠶㑡㝦㠶攲㔹〸㤷慢㐸㙢挶摦㈲捤愵㍦挷㍦㙢㈰㍡つ㥣搵㔴㕦㙥㙤ぢ㉥㔱搲〳扡晦晢㤵㕢㌱㝡改昲㐲ㄱ㔷昲㡤㈵戵戸ㅥ㙤㙣搷捥㘹㉡㠶挶ㅡ愷㌷㜱㉦㉣㙣㘴扣戵ㄴ敢㈰㍡㍤て㌱㙡愸㔱㠳㝤昸扦戵〸㔰㜲〸㘲敥昶㘲㤳攷㔸㝢搷㡥㥢㕢㤷㤸摥㔰㕦㠷愵㤸捡㔸㔳㙣㘰〲㔷搴㡤㈲愶搵㡥愸慦㤸搵愴搵づ慤挶㥦㑥戵㘳㡤㤹㐶慣愹〲挷攸愶捥戵㈳㜰㌵㉥て愲挳㤲㜳㑡㙡捤ぢ改㑡愳㌱愱昳㡡㝢ㄸ㡥㐹㜳㌴扣挲㐱戶㔳㉤㡦㌲挶㥣㈶㠶敥㔰㍢㈶㠶㉢昶㈶ㅤ㑥㝤㘴㉦昳ㄵ㝢㜶㤶㍡搵摢㘵戵㄰挱㉤㕦摡愲㜴㤴ち㌳㔲ㄱ㌷ㅢ扣㝤攲ㅤ户扤㈵戳㜷㥦〹㑤搵㌵㡤晤慣改敤㔷㔹㡦ㄵㄹ㐳㉥㐶㜱摡㌵つ㕢㤷㔶㤰慣散扤㥣㤷散愳ㄳ㜱㌳㉣愰っ㘹愸㥦㌵昳㈰挴晡㙦挵㘱慣㈲晤〵㠸㕢扥㕤㜵捣愱㌷摦晢㥢昵昷㝣散㍦昲㐷敦㐹㡦㘶〸㌶昱㐷晥攸㝦挳ㅦ㔷㈱㕢㐹㉦㜸㌸ㅥ㘶昳慣㉥㤴挰扦㔳㉤戲ㅤ摦㘰挸攵㤲㔲搹㤸㍢搳攸㕣㍢愹扥攱㡣㜸㝤晤ㄹ㈴扦㡢㙣㌵㑥㌷㡣㈶慥㐱㜴戴㤶㕣昸㕡〸搱慥㕤挶晡㠲㙤戱攲㘰挴搷㌶㐰㜴ㅥ㔸㔳㔳慥㈲㌶㙡ㅢ愱㙡㠷户ㄳ敤㔵扣㌸搴㠳搳ㅣ敦㔱㐷ㅤ㔵㌱㙥散挰昲昱㐶敤捣ㅡ㥣ち㤴㔷㥤攲昳㤷㔷㡥ㅤ㔸㌵扥摦㥣㥡挶㌹挲㠳愹攰戲挱㥡㤲戹户㐵收ㄷ㥤昰昸扦㥥敥摡攱㙦ㅢ晣攲㘸换㤰戳㍡搱ㅢ挱换昱慢晦㥤攲つ㡡㑤ㄴ㥢㈹摥㠴㄰㐷愰㉢㡦㕡㜸㥤昹愳扦㡤戶晥て㡡㜷㈰㜰散㤱㜴攰搰昳ㅥ㜵㍣昴戸㠴㌸っ㝦㜸挴搱户㔰㝣〰㈱㡥㠰攰扥㔹愴㝦〸㤱㤷攰挳改搱っ㠱挱搳愳敢ㅦ㐳攱搲ぢ搸挴㤱昰㈰挹㍡㈷㔵攷㌴敡㥣㐲戱㌷挲㌸㑥捥㕥㤶㈱㘷戱愵㉦扡㤵戳晦㔷ㄴ㕦㔳㙣愳昸㌷挵㌷㄰愲っ㕤㥤㈷攷㍢晡㝣㑦戱ㅤ挲㌶㌹㍢愸戳㈶攷㈸扣㤶㤳戳㤳捡㥦㈰挴搱㄰收攴晣㡣㔷㜹㈷愷ㅦ㍢㌴㐳〰㐰换攴晣〷ち㤷㕥挰㈶㍣昰㜰㥡㥣㕦㜷攵㤹㥣㕦㉣㐳捥攲㤱て㤱捡昱慢㙢〲愲〳㐵㈹㠵㑥攱㠲㄰㍦愰慢昳攴㜴愲㑦㘷㡡㉥㄰戶挹㜱㔳㘷㑤㡥ㅦ挱㝢㜰㠰慥㔴敥〹㈱㠲㘸㥡㤳搳つ捤扣㤳ㄳ㘰慦㘶㠸㡣挹搹〷㕤㕣㝡〱㥢〸愱㡢搳攴㝣㤴㙦㜲晥㘹ㄹ㜲ㄶ挳㈲㠸㔴㡥㕦扤ㅣ㠳敡㍤㈸㝡㔲ㅣ㐲搱ぢ㐲扣㥢㜷㜲㝡搳攷㌰㡡挳㈱㙣㤳㜳㈴㜵搶攴㐴ㄱ扣〷〷攸㑢攵㔱㄰攲ㄸ㌴捤挹改㠷㘶摥挹改捦㕥捤㄰ㄹ㤳攳㐵ㄷ㤷㕥挰㈶㡥㐵ㄷ愷挹㜹㈹摦攴扣㘸ㄹ㜲ㄶ昷〶㈰㔲㌹㝥昵晥ㄸ㔴㍦㠶攲㔸㡡攳㈸〶㐰㠸攷昲㑥捥〹昴ㄹ㐸㌱〸挲㌶㌹㤵搴㔹㤳㜳㍣㠲昷攰〰㔵㔴づ㠱㄰〳搱㌴㈷㘷㈸㥡㜹㈷攷〴昶㙡㠶挸㤸㥣ㄳ搱挵愵ㄷ戰㠹㐱攸攲㌴㌹慢昳㑤捥㍤㤶㈱㘷慤戲ㄲ㤱捡昱慢㡦挷愰晡〴㡡㠹ㄴ㤳㈸㑥㠶㄰㜷攴㥤㥣㔳改昳〷㡡搳㈰㙣㤳㌳㤹㍡㙢㜲〶㈳㜸てづ㌰㤵捡ㄸ㠴攰慡愷㌹㌹㜱㌴昳㑥㑥ㄵ㝢㌵㐳㘴㑣㡥㠱㉥㉥扤㠰㑤っ㐵ㄷ愷挹㔹㤴㙦㜲慥戳っ㌹㑢慦挳ㄱ愹ㅣ扦㝡ㅤ〶搵敢㈹㘶㔲㥣㐹搱〰㈱慥捡㍢㌹㑤昴㤹㐵㌱ㅢ挲㌶㌹㜳愸戳㈶攷㐴〴敦挱〱收㔱㜹㌶㠴ㄸ㠹愶㌹㌹攷愰㤹㜷㜲㐶戰㔷㌳㐴挶攴㥣㡦㉥㉥扤㠰㑤㡣㐲ㄷ愷挹㤹㤷㙦㜲收㕡㠶㥣㤵攴㌱㠸㔴㡥㕦晤㌲っ慡㕦㑥戱㠰攲ち㡡㉢㈱㐴㘳摥挹㔹㐸㥦慢㈹慥㠱戰㑤捥戵搴㔹㤳挳挵改ㅥㅣ㘰ㄱ㤵搷㐳㠸㜱㘸㥡㤳戳ㄸ捤扣㤳㌳㤶扤㥡㈱㌲㈶攷㐶㜴㜱改〵㙣㘲㍣扡㌸㑤捥搴㝣㤳㌳挵㌲攴慣㡣㑦㐴愴㜲晣敡户㘱㔰晤㜶㡡攵ㄴ㉢㈸㔶㐲㠸㔳昲㑥捥㥤昴戹㡢㘲ㄵ㠴㙤㜲敥愶捥㥡ㅣ㉥戶昷攰〰慢愹扣ㄷ㐲㥣㠲愶㌹㌹昷愱㤹㜷㜲㑥㘶慦㘶㠸㡣挹㜹㄰㕤㕣㝡〱㥢㌸ㄵ㕤㥣㈶愷㉡摦攴っ戶っ㌹㉢晤愷㈱㔲㌹㝥昵愷㌰愸晥㌴挵㌳ㄴ捦㔲㌴㐳㠸攳昳㑥捥ㅡ晡慣愵㔸〷㘱㥢㥣ㄷ愸戳㈶攷㜴〴敦挱〱㕥愲昲㙦㄰㘲ち㥡收攴扣㡣㘶摥挹㤹捣㕥捤㄰ㄹ㤳戳〱㕤㕣㝡〱㥢㤸㡡㉥㑥㤳搳㌷摦攴昴戱っ㌹㜷㉥攲㠸㔴㡥㕦晤㑤っ慡扦㐵昱㌶挵㍦㈸摥㠱㄰㠷收㥤㥣昷攸昳㍥挵ㄶ〸摢攴㝣㐸㥤㌵㌹〹〴敦挱〱㍥愲昲㘳〸㘱愰㘹㑥捥㔶㌴昳㑥㑥㤲扤㥡㈱㌲㈶攷㔳㜴㜱改〵㙣㈲㠵㉥㑥㤳搳㌵摦攴散㘱ㄹ㜲㙥挴㑣㐷愴㜲晣敡摦㘰㔰晤㕢㡡敦㈸扥愷搸づ㈱㍡收㥤㥣ㅤ昴昹㤱㘲㈷㠴㙤㜲㝥愶捥㥡ㅣ摥摢改挱〱㝥愵昲㍦㄰㠲昷㜴捣挹搹㠵㘶摥挹㤹挱㕥捤㄰ㄹ㤳㈳㡡㌹㌹〵㙣愲〶㕤㥣㈶㘷攷㝦昲㥣㈱晦㘸ㄹ㜲㙥㉣搵㈱㔲㌹㝥㜵ㄷ〶搵㍢㔲㜴愲攸㑣搱〵㐲㝣㡢慥捥㘷挸慣晡搰昷愰攸ち㘱㥢㥣㙥搴慤㐱㔴㕣㕢搵攳㑦てづ戰㌷㤵晢㐰〸摥愳㌲㈷愷㍢㥡㜹㈷㘷㈶㝢㌵㐳㘴㑣捥晥攸攲搲ぢ搸㐴〳扡㌸㑤捥㤶㝣㤳昳扥㘵挸戹㔱搶㠴㐸攵昸搵㝢ㄱ晢愱ㄴ扤㈹づ愳㌸ㅣ㐲扣㤵㜷㜲㡥愴㑦ㅦ㡡扥㄰戶挹改㐷摤ㅡ㐴挵攴捣挲ㅦ㌹㌹ㅥ㉡扤㄰㠲昷摣捣挹昱愱㤹㜷㜲㘶ㄳ㔶㌳㐴挶攴〴搱挵愵ㄷ戰㠹㌹攸攲㌴㌹敢昲㑤捥㕡换㤰㜳攳㙦ㅥ㈲㤵攳㔷ㅦ㐰散挷㔳㥣㐰㌱㤰㘲㄰㠴㜸㍡敦攴㔴搲㘷㌰㐵ㄵ㠴㙤㜲㠶㔲户〶㔱㌱㌹㘷攳㡦㥣㥣攱㔴㥥〸㈱捥㠵捡㥣㥣ㄱ㘸收㥤㥣㜳〸慢ㄹ㈲㘳㜲㐶愳㡢㑢㉦㘰ㄳ攷愱㡢搳攴慣捡㌷㌹㜷㔹㠶㥣ㅢ㤹ㄷ㈰㔲㌹㝥昵㤳㠹晤ㄴ㡡㔳㈹晥㐰㜱ㅡ㠴戸㍤敦攴㑣愶捦ㄴ㡡愹㄰戶挹㠹㔳户〶㔱㌱㌹ㄷ攲㡦㥣㥣㈴㤵〶㠴戸ㄸ㉡㜳㜲㔲㘸收㥤㥣㡢〸慢ㄹ㈲㘳㜲慡搱挵愵ㄷ戰㠹㑢搰挵㘹㜲慥挹㌷㌹㔷㕢㠶㥣ㅢ戳昳ㄱ愹ㅣ扦㝡〳〶搵ㅢ㈹㥡㈸㘶㔱捣㠶㄰㤷攷㥤㥣㌹昴㤹㑢㌱て挲㌶㌹攷㔰户〶㔱㌱㌹扣搷㉢㈷攷㍣㉡捦㠷㄰扣挵㙢㑥捥〵㘸收㥤㥣换〸慢ㄹ㈲㘳㜲㉥㐶ㄷ㤷㕥挰㈶ㄶ愰㡢搳攴捣捥㌷㌹戳㉣㐳捥㝤收㉢ㄱ愹ㅣ扦晡㤵挴㝥ㄵ挵㐲㡡慢㈹慥㠱㄰昵㜹㈷攷㕡晡㕣㐷戱〸挲㌶㌹㡢愹㕢㠳愸㤸㥣慢昰㐷㑥捥ㄲ㉡㙦㠴㄰㔷㐳㘵㑥捥㔲㌴昳㑥捥㐲挲㙡㠶挸㤸㥣㥢搱挵愵ㄷ戰㠹㙢搰挵㘹㜲㑥换㌷㌹㝦戰っ㌹户捤慦㐵愴㜲晣敡㉢㠹晤づ㡡㍢㈹敥愲㔸〵㈱㈶攴㥤㥣扢改㜳て挵㙡〸摢攴摣㐷摤ㅡ㐴挵攴㕣㠷㍦㜲㜲ㅥ愰昲㐱〸挱ㅢ昰收攴㍣㠴㘶摥挹㔹㐴㔸捤㄰ㄹ㤳昳㈸扡戸昴〲㌶戱ㄸ㕤㥣㈶㘷㔰扥挹ㄹ㘸ㄹ㜲慡〰㤶㈰㔲㌹㝥昵㘶㘲㝦㡥㘲つ挵㕡㡡㜵㄰攲㤸扣㤳昳〲㝤㕥愴㜸〹挲㌶㌹㉦㔳户〶㔱㌱㌹㌷攲㡦㥣㥣昵㔴㙥㠰㄰㝦㠶捡㥣㥣㡤㘸收㥤㥣愵ㄲㄶ㐴挶攴扣㡥㉥㉥扤㠰㑤摣㠴㉥㑥㤳㜳㜸扥挹㌹捣㌲攴ㄴ㌵㉣㐳愴㜲晣敡敦㄰晢扢ㄴ敦㔱扣㑦戱〵㐲昴挸㍢㌹ㅦ搲攷㥦ㄴㅦ㐱搸㈶㘷㉢㜵㙢㄰ㄵ㤳㜳ぢ晥挸挹昹㠴捡㑦㈱挴㕦愰㌲㈷攷㌳㌴昳㑥捥慤㜰换摤㜲扥㐴ㄷ㤷㕥挰㈶㙥㐳㍦愷挹改㤲㙦㜲㍡㕢㠶㥣㈲㡤攵㠸㔴㡥㕦㝤㍢〶搵㝦愰搸㐱昱㈳挵㑥〸搱㈱敦攴晣㑣㥦㕦㈸㝥㠵戰㑤捥㉥敡搶㈰㉡㈶㘷〵晥挸挹㘱挱㠵㉥㈰〴换㍤捣挹㈹㐶㌳敦攴慣㈴慣㘶㠸㡣㉤㠷㈵愹㉥扤㠰㑤摣㠹㉥㑥㤳戳晤搷㍣㘷挸摦㕢㠶㥣㥡㤳㔵㠸㔴㡥㕦扤ぢ〶搵换㈸摣ㄴ㝢㔰㜴㠵㄰㕦愳慢昳ㄹ㜲㌷晡散㐵戱㌷㠴㙤㜲扡㔳㘷㑤づ换㔸攴攴散㐷攵晥㄰攲ㅥ愸づ挱㙦㤱㝥〰㥡㜹㈷攷㙥㝡㌴㐳㘴㑣捥挱攸攲搲ぢ搸挴㙡㜴㜱㥡㥣㜷昲㑤捥㍦㉣㐳㑥つ捤㝤㠸㔴㡥㕦晤㜰っ慡ㅦ㐱㜱㈴㐵ㅦ㡡扥㄰攲㡤扣㤳搳㡦㍥㐷㔳㜸㈰㙣㤳攳愳捥㥡ㅣ㤶攵挸挹〹㔰ㄹ㠴㄰て㐲㜵〸㝥㔱敤㠹㘶摥挹㜹㠰ㅥ捤㄰ㄹ㤳ㄳ㐵ㄷ㤷㕥挰㈶ㅥ㐲ㄷ愷挹㘹捥㌷㌹捦㕡㠶散㤲愰ㄲ摥㘰捦扥换㈹㙢㠴搳挵ㄲ戶㌲㡣㉥㜰搶㔲ㄳ敡慡㥢ㅡ㍢愶㜸㌷扣慡扡愹戲戱愹㔳ち〲㉦㘵㤷晤㘴㕤㠱慤㔳㥦搴挴㙡攳慣昱戸捦㜷㜰慥〹攵搳ㄵ戳ㅡ㥢敡攵つ摣㠳㜲敤㤵昵愳敡㥢㉡慢ㅢ㜱㥢㙥㙥㉦〷戳㘹㤹㌴摤愸㐳愱㑢〳敡㕤㜶攷㔴㍦㜳愶㤱㜴挰㌸慥㝥㔶㐳挲ㄸ㔶昹扦㔰㉡㈳捣㍢搱㐵戸搹㈹〴㤶㐵昲㤷㠶搸收晤㐰㜰㔳㡣ㅢ愴攲㜷㔶㕡㌴愳㝦㤱㕥㠱㑤慦〸㘳㘲㔳搷㉢戹ㄹ扡㡡㑡ㅥ㠳慡昰㈶㘲㉢扥改〸㘷㔷ち戴㥡扡捥㔶㜵搷戰扡挶敡愴攱戲㕡㈳慢敢扡㔸㉦㐷捦㙡捡戰挴收散㘹㔹㜰ㄷ㜷㜴ㅤ愸㑦挴ㅡ㤲晦ぢ慣㈰㌱晣㤸㤴〸つ晦㝥摦㐴㥢㘱㡡㡡扥㔱㡦戹㝣㜳㍥㜶昶挱搶㕣㍦づ戳攳㑤昵昴敥㠸ㄷ戶摡愵㌲昸㜷收㜴愷搵愵㙣㡤㌴㘲㜵㤲㠵㜱㑤挹㑡㘳㜶ㄷ改㘱㘰〳挷㔳ぢ㌵挶㥥㤹㑤㔹㕢愱愷〶挶ㅢ敢㙢㘶㌵ㄹ㕤搲慦攴㡥慥愷挶ㅡ戸㐷㡥㍡戴㑥改㔷㘳ㄲ㑤愸搴㑢挷㘳㡤搹晦づ㐳㤸㤱昶ㄶ㑢㐲昲愴ㄵ搸㜸㌳㤳攰㍥昴㍢㔹ㄵ㐵㐵㈹昹戳敤㜸戱昴㐶晥摣㜵㝣㤱㝡攱攲㑦㔱挹ㄳ〸摦晡㐲㌳敥㐹㝢慡晡㐷昳〸㈷て㕥㥤㤴㡥㌵㕥㥤㔳昲戸㠷㐲㑥㍥戰㔲挶㕤愷〶㑦ㄳ㌵㔵㈷㘲㌵㌵㜳扢愴㠶搵㈵㙡㘶㈵㡤ㄱ戱戸㔱愳㡥搹昵つ戵晦㈳㝣戵挷慣㔹㝢㔴㠱㜹戱㉡慥㠶攱㈹㉦㔵搶昶扢て㜳㐲慦挲㥥愶つ愱㌸㙥㔰〵ㅥ㕦〱〲㤷㍥搴摡晤㔸㕡昶㝦㉥敥㜳愱㔳搷㤶搲㔴昹㌸㄰㡥㜰㌹㉡ㅥ摡㔸敢㤴慥て㤴㍢㥥捤㙤㐴晤㠸㝡搴㙥㈶㙤慡愱搵愶敡㝦㘶昷㤲㝢㤶愶㘹扦昷㝤〶㜳㠵㥦㙦慣㔲ぢㅣ晢捣昶昱㝣慢攱㍥昲㌴摡搹㔵㔲戶昳ㄱ㜹ち㈰㡦㠵㙥㌸㤶昱㐰㘶㥥㍦㡣慦㙥慡㌱㍡愶愴㕤扥㉥攵㥥挱搹散㤰ㅡ㍦ㅤㄵ㐷㤵㥤㔳㐳ㅡ慡㤳㌵搵㜵〶捦㐵㔰㑢捣㐷戰㐶ㄸ搳㔰昵㍡愶扥戱㥡㑦ㄶ㜶㑥㡤㙦㠸搵㌵捥㘴㘱㔹㘲㙥搷㡣㤶㈴慢㈴㌵愸扡づ晢㤱㌹㈶㕦㤷愵挶㑤慦㍦ぢて㈷捥慡慤ㅢㄲ㥢搹昸㍦㐱ㄴ㜷㉢昳挷㍣㄰ㄶ㡢攲㘲㔱㕡㕣晡㝢摦戲戰㠵㈳愴て㈱㡢㈹㉣慡㥥挱慢〲扢㉤㔹戲㙡㡥戹摢ㄲ㔳挶㠳㜶㡥㌵㡦改㈷㍢㜹㈸搶㠷㘱户散㌴ㅣ㘲昸㤰〹挳㕡㉡搵晦扦ㅥ㤳㉣㜹ㄶ㤱ぢ扣㈳挸捤㈲㕤ㄶ扢ㄷ㥣扢㤸㥢ち㜵摣㜲㜴挹㌸㕢搹㥢㥦㉢㈵㝤戸㈵攲㑤㤴敥㝣㔹㠵㥡挵㑥搸昱㜱〴㐶慤㈷づ扤㕤捣〶捦敡㙡㘳㌵㡤㤶慤愲扥戶㌶挶㑤㡢㥢攵㌸ㅣ扥㡤㔲㜹㡡㡤㈳㠹㥥㠲㤰摢㥦愵㡡捤㠱㉡㌶㐷慡昰慥捣㔲㜷昹㥡戱敡愷挵ㅡ慡㥢愶搷㔶㈷㑡搹㘰㌹晡晦挴㌶㠹㑤愸㍤㈶㔳晤挸つㄳ攷慢搹㜵愵㘶㈹㈴攸敥㠷㑢〸㑥ㅤ改挷㤶㕢㉣摦捡挵敦慣㈳挶收㉢㉦戳昴ㄱ㠸㔶㠲㡢晥㈲扣㠳㤸㔰㙣攷㘱搰挸㠳㤰㜸㡥づ昸搵㐷挲㕤晤戴㕦㡢㔷〵慢㍢㍢挰挱㌵愲㍥㤶慣挲ㄳぢ昵つㅤ慣挷㝡㑢㐱㉤て㈹つ㙥㔶昴㔶愰ㄶㅥ㌵昶戳㜱㍡摣㔰㑡挵㌸搴捡戶㘷㉤戰㘶㜲挸㜷挴愲㤲㤲㡥愵㑥㘳つ㔳戱㝡㔹㤵㡦昶挷愲㠷攵挴晦敡愴〸㙦㝡㈰㉤㈶愲㡦㠲搴㐷㐳㠸㜵㘸㌲㥦㉣㠷㌱㜴㌸〹愲攴〵ㄸ戳昷㤲扣搵慦攸㔰㔴㔲换慡摣搲㕡愶㠳戳づつ戵扡愸敥挵㤴㘸ㅤ㑢㥦㠷㕤ㅦぢ慦つ敢搷ㅦ㠷搷㐵㠲攵愵㙢昱换昱㜵晣㜵戹㌸㜹晡㌸昸攸攳㈱挴摦搱㤴挵摦捤㜸㠱搲ㅤ攸㐰㠹扣㉥㤹㠴搷㜸慢㄰㙦㐰挵㙢ㄳ昵㘳㘳ㄲ㙦改㈷㕢㕥㥢㘰收㔹㌵〹摤摤ㄹ㥡搸っ㍦㥥愵〹晤ㄴ㜴搷㑥愵㤰愷〹㐱㈸㕤晡ㅦ慣㤸㙦愲挵㔳〵昳㈷敦㥢㤹㜸ㅢづ㝣㐳㉢㜲㍣㠰㡡㝦挰挲㠳愸㝥ㅡ攲㡡㜷昰㡡挷㈶〰㌵户搵挹搰敥㝥㕢㝤㑦昶㐰㄰晢戶㉡戶㐰扢ㄶ扦㔹晣㑥㐵㐸㍤挶搱㍥㜰㜶㠸搳㈱㐱㠷て攱挰㡤㐰㑦愲㤵收敤㘳㕢㌷ㅢ㙦〶扢愵搸敤㉢㌸搸㜸㥢づ㥤攲慤ㅡ慦挹摢搷㔰攵攷㙤㠶攵戵つ㕥慤收敤摦㜰㌶㜹㍢〳摤戵ㅡ㠸ㄲ昰ㄶつ㐳敦搲㙢慤㤰摦愰搵ㅡ摡扥㠳㕦〱摡扥㠷㔹搲㔶㠷戸㘲㍢㕡ㄹ戴捤攴攰扢㍤挴散㐰户㥣㐳㡣搸〹敤㕡晣㘶搱搶㠰㤰㝡㈳㐷晢挹搹㠱ㅦ㠴愰捦愲挳捦㜰㤰戴捤㐶㉢㑤摢㝦㙣摤㙣戴㥤挵㙥㜳搸㑤〳ㄶㅢ㙤昳愰㔳戴㥤㡤搷愴慤〳㕣昲搳㜶㡥攵㔵ち慦㔶搳挶ㄲ㔷㤳戶㜳搱㕤㍢て㐲搲ㄶ挱攸㉥晤㝣㉢愴ぢ㕥慤愱㡤挵戰〵㘸㘳㤹慣愴敤〲挴ㄵ㕤搰捡愰敤㈲づ扥㕢摡摣攸㠶晦㔹㝢ㅢぢ㙢搷㐲㥢㐵摢㈵〸愹晦㤱愳戱攸搶挱㘱㍥ㅤ㉥愵㐳㌷㌸㐸摡㉥㐳㉢㑤ㅢ㉢㙤㔵㌷ㅢ㙤㤷戳摢〲㜶㉢㠷㠳㡤戶㉢愱㔳戴㕤㠵搷愴慤〷㕣昲搳戶搰昲敡〹慦㔶搳㜶〸㥣㑤摡慥㐶㜷敤ㅡ〸㐹㥢ㄷ愳扢昴㍦㔹㈱㝢挱慢㌵戴昵㠶㕦〱摡づ㠳㔹搲㜶㉤攲㡡挳搱捡愰㙤ㄱ〷摦㉤㙤㐷愲ㅢ晥㘷搱挶㤲摦戵搰㘶搱戶ㄸ㈱昵ㅢ㌸ㅡ换㠱ㅤㅣ㤶搰攱㐶㍡昴㠳㠳愴㙤㈹㕡㘹摡㔸〳慣扡搹㘸晢㌳扢摤挴㙥晤攱㘰愳㙤ㄹ㜴㡡戶㕢昰㥡戴戱㥡㌷㍦㙤户㕡㕥挷挲慢搵戴戱㉣搸愴敤㉦攸慥摤㐶㈱摦摣㐲㤲户摢慤㤸〳攰搶ㅡ摥㑥㠰㕦〱摥〶挲㉣㜹㕢㡥戸㘲㄰㕡ㄹ扣慤㠴㜶昷扣㔵愲ㅢ晥㘷昱㔶〵搵摡㕣摥敥㐴㐸晤㉥㡥㌶挴搹㘱ㄵㅤ晥㑡㠷愱㜰㤰扣摤㡤㔶㥡㌷㤶㈷慦戵攲摡㜸扢㠷摤㔶戳摢㜸㌸搸㜸扢て㍡挵摢晤㜸㑤摥㔸㘸㥣㥦户〷㉣慦㠹昰㙡㌵㙦慣㔸㌶㜹㝢㄰摤戵㠷㈸㈴㙦扣ㄶ㜳改て㕢㌱㔹搳摣ㅡ摥㑥㠵㕦〱摥㔸昶㉣㜹㝢〴㜱挵㘹㘸㘵昰昶ㄸ戴扢攷㙤㌲扡攱㝦ㄶ㙦㔳愱㕡㙢捤慦敤慣昴〹㠴搴㥦攴㘸㌱㘷㠷愷攸昰㌴ㅤ攲㜰㤰扣㍤㠳㔶㥡㌷㔶㑥慦戵攲摡㜸㝢㤶摤㥡搹慤づづ㌶摥搶㐰愷㜸㕢㡢搷攴㡤㌵搰昹㜹㕢㘷㜹捤㠴㔷慢㜹㘳㌱戵挹摢昳攸慥扤㐰㈱㜹ぢ㘰㜸㤷晥愲ㄵ㤳攵搶慤攱㡤㔷搰〵㜸㘳㐵戶攴敤㈵挴ㄵ戳搱捡攰敤㘵㘸㜷捦ㅢ㑢戸昱㍦㡢户㜹㔰慤戵收搷挶摢㝡㠴搴㌷㜰㌴搶㜷㍢㌸㙣愴挳慢㜴㌸〷づ㤲户搷搰㑡昳挶愲㙥搵捤挶摢敢散昶㜷㜶扢っづ㌶摥㌶㐱愷㜸摢㡣搷攴㡤攵搹昹㜹㝢搳昲㕡〰慦㔶昳挶㍡㙦㤳户户搰㕤㝢ㅢ㐲扥扤㐵㈵㙤晦戰㐲戲㄰扣㌵戴㉤㠴㕦〱摡㔸㉢㉥㘹㝢〷㜱挵㌵㘸㘵搰昶ㅥ〷摦敤摢ㅢ㡢换昱㍦㡢戶㐵㔰慤捤愵㙤ぢ㐲敡ㅦ㜰㌴㔶㥥㍢㌸㝣㐸㠷㝦搲㘱㌱ㅣ㈴㙤ㅦ愱㤵愶㡤攵收慡㥢㡤戶㡦搹㙤㉢扢摤〶〷ㅢ㙤㥦㐰愷㘸晢ㄴ慦㐹ㅢぢ挷昳搳昶㤹攵戵ㅣ㕥慤愶㡤ㄵ攸㈶㙤㥦愳扢昶〵㠴愴捤摣摢扥戴㐲慥㠴㔷㙢㘸扢ㄳ㝥〵㘸㘳ㄵ扢愴敤㉢挴ㄵ慢搰捡愰㙤ㅢ〷摦㉤㙤㉣㝢挷晦㉣摡㔶㐳戵㌶㤷戶㙦㄰㔲晦㤶愳戱㈶摥挱攱㍢㍡㝣㑦㠷晢攰㈰㘹摢㡥㔶㥡㌶ㄶ挲慢㙥㌶摡㝥㘰户ㅤ散昶ㄴㅣ㙣戴敤㠴㑥搱昶ㄳ㕥㤳㌶㤶戴攷愷敤㘷换敢ㄹ㜸戵㥡㌶搶挶㥢戴晤㠲敥摡慦㄰㤲㌶昳捤敤㍦㔶挸㘶㜸戵㠶戶㌵昰㉢㐰ㅢ敢敢㈵㙤扢㄰㔷慣㐳㉢㠳㌶摥㜷摤㍤㙤㉦愰ㅢ晥㘷搱昶ㄲ㔴㙢㜳㘹㉢㐶㐸扤ㅤ㠴㘰戵扥㠳〳㍥㉢っ㥦㐳㐷㠷㤷攱㈰㘹搳搰㑡搳挶ㄲ㝤搵捤㐶㕢〷㜶㉢㘵户㌷攱㘰愳捤〵㥤愲慤㈳㕥㤳㌶ㄶ摢攷愷慤㤳攵挵㙡晣㔶搳挶慡㝤㤳戶捥攸慥㜵愱攰㥢㥢搷㠳攱㕤㝡㤹ㄵ昳ㅤ戸戵㠶户昷攰㔷㠰㌷㤶晥㑢摥摣㠸㉢戶愰㤵挱㕢㔷㘸㜷捦摢㠷攸㠶晦㔹扣㝤〴㤵㥡㕦摢㥢㕢㌷㠴搴昷攲㘸㝣㤰挰挱㘱㙦㍡散㐳㠷慤㜰㤰扣㜵㐷㉢捤摢愷戶㙥㌶摥昶㘵户晤搸敤ㅢ㌸搸㜸㍢〰㍡挵摢㠱㜸㑤摥昸ㅣ㐰㝥摥づ戲扣昸愰㐰慢㜹攳〳〵㈶㙦〷愳扢㔶づ挱摤㉤ㄲ㤱戴昵戰㐲㙥㠷㔷㙢㘸摢〱扦〲戴昱愱〴㐹㕢㑦挴ㄵ㝣㍡㈱㠳戶㕥ㅣ㝣户㐷挹㥦搱つ晦戳㘸晢ㄵ㉡〷㔶㝡㈳愴㝥ㄸ㐷攳㈳づづづ㠷搳攱〸㍡散㠲㠳愴敤㐸戴搲戴昱戹〶搵捤㐶㕢ㅦ㜶敢换㙥㉥㌸搸㘸敢〷㥤愲敤㘸扣㈶㙤㝣㐲㈱㍦㙤ㅥ换慢ㄳ扣㕡㑤㕢㘷㌸㥢戴㜹搱㕤昳㐱挸愳愴戹户昹慤㤰㕤攰搵ㅡ摡昸㔰㐴〱摡昸戸㠴愴㉤㠰戸愲㉢㕡ㄹ戴㠵㌸㌸㤴㠵搷搰扢挱㈳㤷㌶㍥㘰愱愶㤷㈱慣㠵改〸㐲敡㔱㡥挶㠷㉦ㅣㅣ晡搳攱ㄸ㍡㜴㠷㠳愴敤㔸戴搲戴昱㠹ぢ搵捤㐶摢㜱散㌶㠰摤㝡挱挱㐶摢〹搰㈹摡〶攲㌵㘹㍢ㄴ㉥昹㘹ㅢ㘴㜹昵㠶㔷慢㘹攳㐳ㄸ㈶㙤ㄵ攸慥㔵㐲挸扤㉤捣搴昵挱㔶挸挳攱搵ㅡ摡㡥㠴㕦〱摡昸㈰㠷愴慤ち㜱㐵㕦戴㌲㘸ㅢ捡挱愱㉣㑣㕢㍦㜸攴搲挶㐷㍦搴昴㌲㠴㐵摢㜰㠴搴㑦攴㘸㝣㉣挴挱㘱〴ㅤ㐶搲挱〷〷㐹摢㈸戴搲戴昱㔹㄰搵捤㐶摢㘸㜶ㅢ挳㙥〳攰㘰愳㙤㉣㜴㡡戶㜱㜸㑤摡㜸㠳㈳㍦㙤攳㉤慦ㄳ攰搵㙡摡昸㜸㠸㐹摢〴㜴搷㈶㐲㐸摡愲㤲戶㐹㔶㐸㍥㍦搲ㅡ摡㉡攱㔷㠰戶挱㌰㑢摡㑥㐶㕣㔱㠵㔶〶㙤愷㜲㜰㈸ぢ搳㌶ㄴㅥ戹戴つ㠷㔶㑤㉦㐳㔸戴㥤㠶㤰晡改ㅣ㡤て慣㌸㌸㑣愶挳ㄴ㍡㡣㠰㠳愴㙤㉡㕡㘹摡㐶摢扡搹㘸㡢戱㕢㥣摤㑥㠶㠳㡤戶㈴㜴㡡㌶〳慦㐹ㅢ㥦㌷挹㑦㕢捡昲㍡ㄵ㕥慤愶㡤て慥㤸戴㑤㐳㜷㙤㍡㠴㍣㐸㥡敢㕢搵㔶㐸㍥搹搲ㅡ摡㈶挳慦〰㙤㝣昸㐵搲㌶〳㜱挵㔴戴㌲㘸慢攱攰㔰ㄶ愶㡤㑦换攴搲㤶㠴搶㠱㤵㍡㠴搴敢㌹㥡攱散㌰㤳づ㘷搲㈱〵〷㐹㕢〳㕡㘹摡昸晣㡣㡡㙢愳慤㤱摤㥡搸慤〱づ㌶摡㘶㐳愷㘸㍢ぢ慦㐹ㅢ㥦㠴挹㑦摢ㅣ换慢〹㕥慤愶㡤㡦搴㤸戴捤㐵㜷㙤ㅥ㠵㍣㤵㌴搷㤳捦戶㘲昲愱㥢搶昰㌶〷㝥〵㜸攳㜳㌹㤲户㜳㄰㔷捣㐳㉢㠳户昳愰摤㍤㙦㝣㤰㈷㤷户昳愰㔵昳㡢㤷㙡㜷扢〰㈱昵ぢ㌹ㅡ㥦昲㜱㜰戸㠸づㄷ搳攱〲㌸㐸摥㉥㐱㉢捤ㅢㅦ敤㔱摤㙣扣晤㤱摤收戳摢㤵㜰戰昱㜶ㄹ㜴㡡户换昱㥡扣昱㈱㥤晣扣㉤戰扣ㄶ挲慢搵扣㕤つ㘷㤳户㉢搰㕤扢㤲㐲慥㙦㤹㠷挹慢慣㤸㝣ㅥ愸㌵扣㕤ぢ扦〲扣昱㤱㈱挹摢㐲挴ㄵ㡢搰捡攰敤ㅡ㘸㜷捦ㅢ㥦㌱捡攵㙤〹戴㙡㝥昱㔲昱㜶㉤㐲敡搷㜱㌴㍥㠰攴攰戰㠸づ搷搳㘱㈹ㅣ㈴㙦㡢搱㑡昳挶愷㡥㔴㌷ㄶ㠹㔹㌷戹㙦㘰户㈵散戶ㄲづ㌶摥㤶㐲愷㜸晢㌳㕥㤳㌷㍥㍦㤴㥦户㥢㉣慦㍢攱搵㙡摥昸㈰㤲挹摢捤攸慥㉤愳㤰扣昹㠹㔱扦挵㡡戹ち㙥慤攱敤㙥昸ㄵ攰㡤㑦㌳㐹摥㙥㐵㕣戱ㅡ慤っ摥㙥㠳㜶昷扣昱昱愷㕣摥ㅥ㠰㔶捤㉦㕥㉡摥㤶㈳愴扥㠲愳昱搹㈸〷㠷㤵㜴戸㠳づて挱㐱昲㜶㈷㕡㘹摥昸㐰㤴敡㘶摢摦敥㘲户㔵散搶っ〷ㅢ㙦㜷㐳愷㜸扢〷慦挹ㅢㅦ㙤捡捦摢㙡换㡢捦㍥戵㥡㌷㍥㈳㘵昲㜶㉦扡㙢昷㔱㐸摥挲㤲户晢慤㤸敢攰搶ㅡ摥㕥㠰㕦〱摥昸愰㤵攴敤〱挴ㄵ㉦愱㤵挱摢㐳搰敥㥥户㤷搱㉤㤷户昵搰慡昹挵㑢挵摢㈳〸愹㍦捡搱昸搸㤶㠳挳㘳㜴㜸㥣づㅢ攱㈰㜹㝢〲慤㌴㙦㝣㔶㑢㜵戳昱昶㈴扢㍤挵㙥敦挰挱挶摢㌳搰㈹摥㥥挵㙢昲挶愷慥昲昳搶㙣㜹昱戱慣㔶昳挶挷户㑣摥㥥㐳㜷㙤つ㠴㍣㉤㌱㙢㑡搶㕡㈱户挰慢㌵戴㝤〸扦〲戴昱ㄱ㌰㐹摢㍡挴ㄵ㝣ㄶ㉣㠳戶ㄷ㌸㌸㤴㠵㑦㑢戶挲㈳㤷戶㑦愰㔵搳换㄰搶搹攴㑢〸愹晦㡤愳昱㠱㌲〷㠷㤷改昰ちㅤ㍥㠳㠳愴㙤㍤㕡㘹摡昸ㄴ㤹敡㘶愳㙤〳扢㙤㘴户敤㜰戰搱昶ㅡ㜴㡡戶搷昱㥡戴昱㜹戰晣戴晤摤昲攲〳㘳慤愶㡤て㤶㤹戴扤㠱敥摡㈶ち戹扢㤹搷摣㥢慤㤸㍢攱搶ㅡ摥㝥㠶㕦〱摥昸㜴㥡攴敤㑤挴ㄵ㝣㑣㉤㠳户户愱摤㍤㙦扢搰㉤㤷户愲㜶㉤昳ぢ〷挵摢㍢〸愹扦换搱㠴戳挳㝢㜴㜸㥦づ挵㜰㤰扣㙤㐱㉢捤㕢㠹慤㥢敤敤敤〳㜶晢㤰摤扡挰挱挶摢㐷搰㈹摥㍥挶㙢昲㔶〶㤷晣扣㙤戵扣摣昰㙡㌵㙦㝢挰搹攴敤㕦攸慥㝤〲㈱㜷㌷昳摤敤㔳㉢㘴㔷㜸戵㠶戶㙥昰㉢㐰摢㕥㌰㑢摡㍥㐳㕣戱㌷㕡ㄹ戴㝤挱挱㌹攷〵换つ扢愳㕢㉥㙤晢㐱扢ㄶ㕤戳慡ㄳ扥㐲㐸晤㙢㡥戶扦戳挳㌶㍡晣㥢づ〷挰㐱搲昶つ㕡㘹摡づ戶㜵戳敤㙥摦戲摢㜷散㜶㌸ㅣ㙣戴㙤㠷㑥搱昶〳㕥㤳戶㈳攰㤲㥦戶ㅤ㤶搷㤱昰㙡㌵㙤㝣ㅡ捦愴敤㐷㜴搷㜶㔲挸摤捤扣ち昸挹㡡搹ㄷ㙥慤攱慤ㅦ晣ち昰㜶㌴捣㤲户㥦ㄱ㔷㜸搰捡攰敤㔷㘸㜷捦㥢て摤㜲㜹ぢ㐰扢㌶㤷户㕤〸愹晦挶搱㠲捥づ㐵㈵㜰攰昷㔲㠸㄰ㅣ㈴㙦挵㘸愵㜹㡢摡扡搹㜸㙢挷㙥敤㈱㑡㉡攰搰扡㘷挵㔸㙢改戶㍤挰挷戲收挶㍤㔲㈷捤㡡搵攰㑢㑤㐶攳㈹㤲㈶慡晥ㄷ敡㠶摢㥢捦昲㘴㝦扣㜸收㜷㥤攰㌱㌸㤹挲ㅦ㑥㍦〸㤹㘵捦㐱愶慦㤵㕢㈳㍤㝦摦戳㍥慥㤲㕦㝥晥敤户搶㡤挲捤愳挳㙣㝥㜸敤㤴㈹㐵愵ㅣㄳ㈴攱㈴㕢〳㘱摣㤱㉡搱捣摤㠴〶㍢㘹㑢慡愰㉤㔰㙦㥦昵㤸っ愳敥搹㔲ㅤ捣㍡昰㍥㌵晣捡㈴愷戲攲捣戲晢㔲㠰ㄳ㐳㥤㌰㠸㘱㑡敢愲て㠶攰㙦挹〸㘸㜷㕢挸㡤㑤ㅦ㑦〶戲愴㝢㕣搳摣ㅡ㤴搱昳㈵㍦昰搵㝣挵扡㘱搳っ搰昵つ敤昱㄰㘴昶攷㍢愷晢㍥㠲㔰ㅤ扢㘵㝤㥥戶散㐶换㜰愰㈹昹〱ㄴ攵敤㑦搰㉤慣戰て㝦戴㑥挸愹摢挸敡㐴㐳㝤㘳㝤慡愹㝣ㅣㅥ〵㈹攷㈷慣愷昰㔰搰挰㤲敦ㄱ搱㜱㑣㈶搶扥㡥摦晦㈳㠹㜶㥤㔱㔷㝦㔶㥤㐴㔳搲挸て㥡攷㘸㝡㠷づㅣ㠶㙦㤳昲攷㄰㑣㥣㝢㈴㠰昲挷㍤ち㉦昸㉥愱㜵〱㠲㐳㉢〶㔵㡣㥤㘲㐴㘳晥㐸㉡ㄵづ挷㘳㥥㐰搴㥢㡣挶扣扥愴ㄱ㡥㈵㠳昸搰晤㘴㍣愸㤵愵㕤㍤㜱㔸㝤攱㐸㈸㤹㡣〶㘲㐱㕦捣〸〴㔳挱㔰㌲ㄲぢㄹ㘱慦㉦收ㅥ㙤㠵搷摤攸愳敦〱攱ㅥ愳㔴㕤愹摡㤳慡㤳㤴㉡敤㔵㌶ㄶ㉡㐲搶㠸昲扦昹攳㘶愱㌷晥ㄷ㘹㝢㘳攸㉥ㄵ㠳愶搸㥥ㄶ搱昶㠱慥ㄳ㜴戲ㅥ㝥㉣㍥つ㕥敢づ捤ㅥ搰㘴㝥晢㤲㝢扣ㄵ㐵㉦㐷㈸扤〷挵晥昰ㄴㄳ愱攷搱搰㈵戶㠲㌴敥慤ㅣ换愵ㅦ〸㈳昷㍡㔶㤰㑢㔶ㄴ〳戰㘲搱搲㔱㝢ち戴摣昳昴㠳ㄹ昹て㡥㍥愷㈹㙤て晡㌰ㄶ㝦㈷㐳换㍤㐳㙣〱〰㙥㡦ㅣ㐵攷㐶挶敤㐹扣〷つ户愹捣㙤㘲㉡㍡挸㑤攱㔰昸㤹㥢㐲搲攷昳㈷扣㠶搷ㅢち〷〲ㄱ㕦㉡ㄲ㡡㜸愳昱㤴㍦㙡㐴㠳㠱㔴㌰愹昵㑥扢挶㘲〹㕦㈴㄰㑣晡挳愱㜸挰攷〹挴挳〹㙣㌰㘱㥦㌷㥡昰㠵ㄲ晥戰㥢戵摦っ慦ㅦ㠶㍥晡攱㄰敥戸㔲戵㙣ち〹愵愲㠳㜴㉤㑢㐲搵㌶㥢㠲㠱挸昸㡦㡦ㅦ攰㘰攴㕥㈷摤敥㤴搲昷㤶㜸㈹㝣搰㡢改搰㥢攴㙥挰散戵㤰ㅢ㠰㤱攴㔶挳㥥㑢敥っ㐷㉤慢挵㈵戹㈱㐶慥㜵昴愹㔳摡〸㝤〰㐳晥捥㠴㔶㤲晢㈲㐰攴㤲晢扣㈳戹つ攸㈴挹㍤ㄶ愱㑣㜲㝤㌱㝦㉡攰〹愵〲㔱㈳ㅣ㠸㜸晣搱㤴㍦ㄴ昲㝡㈳晥㐸㍣㄰〹㝡攲摡㜱㘹搷㠸ㄱ㐸愶㈲㝥㝦㉣改㠹〴㐲㈹㕦㉣ㄲ㠹㠶㘳愹愸挷㐸〶挲搱㔴挴捤ち㜱㐹敥〰昴搱㡦㠷㜰㌷㈹㔵ぢ戹戳㤴㉡敤㔵㌶ㅢ慡戶㈱㤷ㄵ收昸㥦㐳敥ㅣ愵敦㑢攳㔱ㄴ挳㠰㔷捣㠳摥㈴昷㤱っ㜲㑦㠴㤱攴㥥つ㝢㉥戹攷㌸㙡㔹㔳㉥挹ㅤ挹挸攷㍢晡㕣愰戴愳改愳挸扤〸㕡㐹敥㝤㡥攴慥㜶㈴昷ㄲ㜴㤲攴㡥㐳㈸㤳㕣㝦㈴ㄱ〹㈵㐲㐹㕦摣㠳摤ㄱ㠷攸㈰㔸㑤㜸㤲㐶㉣ㄸ㡤昸攲㘱㙤㝣摡㌵攱ぢ㐶愲㠹ㄸ㠸て㜹〲㕥扦㈷ㅡ㑣ㄹ㠱㔸捣ㅢ㠸㜹㤳愱㘸摣敢晥愳ㄵ㕥㥦㠰㍥晡㐴〸昷㝣愵㙡㈱㤷挵攴㜲ㄳ愰㠳㜴㉤扢っ慡戶㈱昷㜲㐴挶晦ㅣ㜲ㄷ㈸㍤㙢㜸攴搷愱改㔳〱㐷㕣〹扤㐹敥㉤ㄹ攴挶㘱㈴戹㔷挱㥥㑢敥㐲㐷敤搵搰㑡㜲㤳㡣晣㈷㐷㥦㙢㤵㌶㐵ㅦ㐵敥㈲㘸㈵戹㌷㍡㤲㝢㠳㈳戹㡢搱㐹㤲㍢〳愱㑣㜲攳㌸昴愶〲摥〸㜶摦㘴㈰ㅡ㡥挴〲戱㘸挸ㄳ昵㝡愳㍥㕦搲㘳㈴戴㌳搲慥愱㜰捡㠸㘲ㅦ〵㤵㠱㠰搷ㄷ㡤㠴扤㕥㕦㈸敡昷昸㈲愱愸㈷改㜱戳摡㕣搲㔶㠳㍥㝡㉤㠴㝢㠹㔲戵㤰㝢愳㔲搱㐱愷㙢搹㔲愸摡㠶摣㍦㈳㌲晥攷㤰㝢㤳搲㐷㘸㡣㔲㥣〵㈴㘲ㄹ昴㈶戹㤷㘵㤰㍢ㄷ㐶㤲㝢ぢ散戹攴摥敡愸㘵㝤扡㈴昷㙣㐶扥摤搱㘷戹搲㥥㑢ㅦ㐵敥㑡㘸㈵戹ㄷ㌹㤲㝢㠱㈳戹㜷愲㤳㈴昷㐲㠴㌲挹㑤挴っ㥣㔰昹ㄲ㐱挳ㄳっ昸挳挹㔸㍣攲〹晡昰戵㐷愰㌹㙥㐴㤳摡㐵㘹㔷㈳攴挱㘱㌹ㅥ㡦晢㘳扥㐰搲ㅢ㡢㈴ㄳ㠱㐴㌲㤲㑣愵扣㈱慦㉦ㅣ㜵摦㘵㠵搷㉦㐶ㅦ晤ㄲ〸昷㉡愵㙡㈱㤷㜵改㜲ㄳ愰㠳㜴㉤扢ㅢ慡戶㈱昷ㅥ㐴挶晦ㅣ㜲㔷㉢晤〰ㅡ㡦愷㔸〸㌸攲㍥攸㑤㜲捦捣㈰昷ㅡㄸ㐹敥晤戰攷㤲晢㠰愳㤶㐵散㤲摣㙢ㄹ昹㘱㐷㥦㐷㤴㜶ㄱ㝤ㄴ戹㡦㐱㉢挹㍤挳㤱摣㙡㐷㜲㥦㐰㈷㐹敥ㄲ㠴㌲挹㡤㜹扤攱戰搷㠳攳㙡㉣ㅣ㌰扣ㅥ㥣㌰㝢晤愹㔸㉡攰昳㝡㝣㠱㐴㔴扢㌱敤ㅡ㡡昸㤳㘱㝣㕦㘸㌸㤴挰㜶㄰つ挶㐳晥㐴㍣ㄱ㡡愵㜰㍡收㡢㠶愲敥㈷慤昰晡㔲昴搱晦っ攱㝥㑡愹㕡挸㘵昱扡㈴㤷づ搲戵散ㄹ愸摡㠶摣㘷ㄱㄹ晦㜳挸㙤㔶晡㑡ㅡ〷㔳慣〰ㅣ戱〶㝡㤳摣㔳㌳挸扤〳㐶㤲扢ㄶ昶㕣㜲搷㌹㙡㥦㠷㔶㤲㝢ㄷ㈳戳挴㍤户攷㑢㑡晢㔷晡㈸㜲㕦㠶㔶㤲㍢摥㤱摣戱㡥攴慥㐷㈷㐹敥扤〸㘵㤲㥢昲㠵㐳晥㤰捦ㅦぢ㠶愳〱ㅣ㕥攳㜸摦㡤㠶〲愰搰㥢昴挶㍤ㄱ敤扥戴慢摦敢㌱愲扥戸㌷㠴㑢慣〰扥㐶㌷攲挱搵ㄲ扥搸㉣攸㠹㠴㝤㝥㙦搲扤挱ち慦摦㡦㍥晡〳㄰敥㡤㑡搵㐲敥慢㑡㐵〷改㕡昶ㅡ㔴㙤㐳敥敢㠸㡣晦㌹攴晥㕤改㠷搳㜸㈲挵㔳㠰㈳㌶㐱㙦㤲㕢㤱㐱敥㌳㌰㤲摣捤戰攷㔲昴愶愳㤶攵昰㤲摣㘶㐶晥㠷愳捦㍢㑡扢㠶㍥㡡摣昷愰㤵攴ㅥ攷㐸敥㌱㡥攴㙥㐱㈷㐹敥ぢ〸㘵㤲ㅢ〹挶㜱㉡ㄵ㡤㜸㈲㕥㙦㈰ㄹ昰㐴㍤挱㔰搰挷㤳㈵㑦㈴ㄶ㡦㝢戵ㄷ搳慥搱㜸㍣ㄸ挰ㄱ㌸㄰ち㐴〲㈹㈳ㄱ㡤㐶晤〹㝣户㜲㍣㠲㙢愸㠰㉦攱晥挰ち慦扦㠴㍥晡摦㈰摣ㅦ㉡㔵ぢ戹慣㠳㤷㝢㙥摡慢散㈳愸摡㠶摣㡦ㄱㄹ晦㜳挸摤慡昴㘳㘸㍣㠹攲つ攰ㄵ㥦㐰㙦㤲摢㌷㠳摣捤㌰㤲㕣㔶摢攷㤲晢㤹愳昶㜳㘸㈵戹㙦㌱㌲换攵㜳㝢㝥愵戴晦愰㡦㈲㜷ㅢ戴㤲摣摥㡥攴昶㜲㈴昷ㅢ㜴㤲攴扥㡦㔰搶㥥ㅢ〸攳挸散㐹㘰㙦つ〷愲㐹ㅦ㌸挶㥥㥢㌴㍣摥愸㌷攴昷〴戴㉤㘹搷㤰ㄱ㌵晣扥㠸㍦散㑤挴〲㈱㝦〰搷㐰㍣扢㑥挵㤳挱㔰㈴㡥敢摣㙦慤昰晡〷攸愳㝦〸攱晥㑥愹㕡挸㘵戵扣㈴㌷敤㔵戶ㅤ慡戶㈱昷〷㐴挶晦ㅣ㜲㜷㈸晤㐴ㅡ㈷㔱㝣〱扣㘲㈷昴㈶戹㝢㘵㤰晢ㄵ㡣㈴昷㈷搸㜳㈹晡搹㔱晢ぢ戴㤲摣㙤㡣捣愲晡摣㥥扢㤴昶ㅢ晡㈸㜲㡢戰扡㈵挹㉤㜳㈴户戳㈳戹挵攸㈴挹摤㡥㔰搶㥥ㅢ昵㜸扣攱㔸挴敦㡢晢〲搱〸㉥㘲㐳㌸攴攲〴㥡敦愷扥㔸㕣晢㈱敤㥡㐸㠵㘳㔱ㅣ㤱〳愱愴〷ㅥ㕥㕣ㄷ攱㈲㉡ㄴ㡡愷㈲〹㍦㔶㐰摣敤慣昰晡づ昴搱㝦㠴㜰户㔷慡ㄶ㜲㑢㤴㡡づ搲戵㑣㠳慡㙤挸敤㠰挸㤸扦ㅣ㜲㑢㤵晥㌴ㅡ㑦愷攰户㐵ぢㄷ昴㈶戹扢㝥戲㉦㘲戴㠳㤱攴㜶㠴㍤㤷愲㑥㡥摡捥搰㑡㜲㑢ㄸ戹捣搱挷慤戴ㅤ攸愳挸敤ち慤㈴㜷㈷㐰攴㉥㘲散㠰㌶㜷㠵慡ㅢ㍡㐹㜲㍢㈲㤴㐹慥㌷ㄶ㡤ㄹ挱㔴㈸ㄸ昳挵㜱㌵㤴㡡㠶㍤㠹㤸捦ㅦ㡣愷㤲ㅥ㕣〹愵戴㑥㘹㔷㈳敡㡦挶㘲㐹㝦挰㠳〳㜳㈸㄰㡣攲㉢㈷晤愱㜸㌲㠴愳㌸っㄱ昷㕥㔶㜸扤㌳晡攸㕤㈰摣㝢㉢㔵ぢ戹晢㈸㔵摡慢慣㍢㔴㙤㐳敥扥㠸散㐴敥㝥㑡ㅦ㈷慦〹㡡敥挰㉢づ㠰摥㈴昷搳っ㜲昷㠳㤱攴ㅥ〸㝢㉥戹〷㌹㙡て㠶㔶㤲㝢〰㈳昷㜰昴改愹戴〷搱㐷㤱摢ぢ㕡㐹敥㍦ㅤ挹晤挰㤱摣摥攸㈴挹敤㠹㔰㈶戹㐹散㝥㐹扣攷〶戱戲ㄸ㌰㡣㈰搸ぢ㐵㤳㔸慦㠸昹愳搱㐴㈰愹ㅤ㤲㜶㡤愴㍣戱㜸搴㥦㑣挶攰㥡㡡㐶攳㈱㡦㉦㥡㑡〴挲㠶㍦ㅥ昳㠶〳敥挳慣昰㝡㉦昴搱て㠵㜰ㅦ慥㔴㉤攴ㅥ愱㔴㘹慦戲㈳愱㙡ㅢ㜲晢㈰戲ㄳ戹㝤㤵㝥㍡㜹慤愶㌸ㅡ㜸㐵㍦攸㑤㜲㕦换㈰搷ぢ㈳挹㍤ㅡ昶㕣㜲㍤㡥㕡㉦戴㤲㕣㍦㈳晢ㅤ㝤〲㑡ㅢ愴㡦㈲㌷〴慤㈴昷㘵㐷㜲㕦㜲㈴㌷㠲㑥㤲摣㈸㐲㔹攴㘲㈹㈲㤲昴昸㔲㠹戰㉦〰㡥㜰㈶ㅣぢ㈶攲戸㜶昵㠵戰戶攸搳晡愷㕤㘳㐶㉣攱昵〴晤㝥㈳㤹っ㠴挲㤱戸ㄱぢ㈷つ㕣っ晢扤㠹㌰㍥敡挹ㅤ戵挲敢挷愰㡦㝥㉣㠴扢扦㔲戵㤰㝢㡣㔲愵扤捡㡥㠵慡㙤挸㍤づ㤱㥤挸ㅤ愰昴㜵攴戵㥥愲ち㜸挵〹搰㥢攴㍥㥥㐱敥㔰ㄸ㐹敥㐰搸㜳挹ㅤ攴愸慤㠰㔶㤲㍢㥣㤱〷㍢晡㔴㈹敤〸晡㈸㜲㠷㐲㉢挹㝤搰㤱摣晢ㅤ挹ㅤ㡥㑥㤲摣㌱〸㘵扤攷㠶㐲挱愴㈷ㅣ昳ㅢ昱㜰〰㉢捣㤱㘴摣ㅢ㡣ㅢ愹ㄸ㤶㈱㤳㐶搰慢㥤㤴㜶〵昱愹㜰㌲㠴㡢攱㌸づ捤〶散㔱摣㌷㠸㠵〲㥥愰ㄱ昳晢㍤敥ㄳ慤昰晡㔸昴搱挷㐱戸㐷㈸㔵ぢ戹㈳㤵㡡づ搲戵㙣ㄴ㔴㙤㐳敥㘸㐴㜶㈲㜷㡣搲㌷㤱搷㔹ㄴ愷〳㡥ㄸぢ扤㐹敥㙤ㄹ攴㑥㠱㤱攴㡥㠳㍤㤷摣昱㡥摡〹搰㑡㜲㘳㡣㍣挹搱攷㘴愵㑤搰㐷㤱㝢㉡戴㤲摣㥢ㅣ挹㕤敡㐸敥㘹攸㈴挹㥤㠶㔰㈶戹㌱ㅦ㤶ㅢ㈳戸〶㑡㜹㜸㠵攳㡢㠶㜱愹㡢ㄵ㈸扣愷㝡攳晥㠸㑦㥢㥥㜶つ㠵㜰㌷挱ㅢ昴ㅡ戸㌱㠴㝢つ晥㘸搸㥦昴〶㜱㝡敤㑤㠶昱㔶ㅤ㜴㥦㙥㠵搷慢搱㐷㥦〱攱㥥慣㔴㉤攴㑥㔱慡戴㔷搹㔴愸摡㠶摣ㄸ㈲㍢㤱ㅢ㔷晡㜹攴昵㙣㡡㈶攰ㄵ㐹攸㑤㜲慦挸㈰㜷㌶㡣㈴搷㠰㍤㤷摣㤴愳㜶ㅡ戴㤲摣㌹㡣㕣敤攸㌳㐳㘹攷搱㐷㤱㕢〳慤㈴昷㡦㡥攴㕥散㐸㙥ㅤ㍡㐹㜲捦㐳㈸㤳㕣㥦㍦㡣搳㘲摣㌳㌰㝣㔸扡㌰㜰扦㈷㄰昶㜸昰挶ㅢ㡣㠵挲愱㠸㐷㍢㍦敤ㅡ㑤晡晤㜱摣敡㡢昸㘲㐹ㅣ扢挳㔱て慥㝣㔳戸㙢散〹昹っ㙦搲㜰搷㕢攱昵ぢ搰㐷扦㄰挲㍤㔳愹㕡挸㍤㔳愹搲㕥㘵つ㔰戵つ戹㡤㠸散㐴㙥㤳搲㕦㐰㕥㉦愴戸〲㜸挵㙣攸㑤㜲㥢㌲挸扤ち㐶㤲㝢ㄶ散戹攴捥㜱搴捥㠵㔶㤲㝢㌵㈳㥦敤攸㜳㡥搲晥㠹㍥㡡摣昳愰㤵攴搶㌹㤲㕢攳㐸敥〵攸㈴挹扤ㅥ愱㑣㜲晤㠹ㄴ慥㕤㜱愲散昱㈶戱愶㠸㈳㙥挲㤷㠸〶㝤㍥㕣晤㝡扤戸戵扦㌸敤ㅡ昲㘱㌹㉢收㡦愱㑢〸㙦捦戸昵ㅢ昴㈵戰㕥㠵搵㘶摣摥てㅡ敥ぢ慤昰晡つ攸愳㉦㠱㜰㕦愴㔴㉤攴㕥慣㔴㜴㤰慥㘵㤷㐰搵㌶攴晥ㄱ㤱㥤挸㥤慦昴昳挹敢愵ㄴ户〱㡥戸っ㝡㤳摣搳㌳挸㕤づ㈳挹扤ㅣ昶㕣㜲ㄷ㌸㙡慦㠰㔶㤲扢㤲㤱慦㜲昴㔹愸戴㜷搲㐷㤱㝢つ戴㤲摣㐹㡥攴㑥㜰㈴昷㕡㜴㤲攴摥㡤㔰㈶戹戸㔵㤷㠸〵㔱愴ㄱ㑢攱收㤰㍦ㄱ㠹㈵㘲㈱㝦㉣㘱〴㍤戸敢攷㑢㘹昷愴㕤㡤㔴ち慢㤲㐱㝦搰ㄳぢ〶㤲扣㤵敢㡢㐶〳昱〸昵扥㤴挷攳扥捥ち慦慦㐶ㅦ晤㕥〸昷㈲愵㙡㈱昷㝡愵㑡㝢㤵㉤㠶慡㙤挸扤〱㤱㥤挸㕤愲昴㔷㤲㔷㝥㝤㡢晥㌸昰㡡愵搰㥢攴㔶㘵㤰晢㈴㡣㈴昷捦戰攷㤲㝢㤳愳昶㘶㘸㈵戹㑦㌳昲㉤㡥㍥户㉡敤戳昴㔱攴摥〶慤㈴昷〴㐷㜲〷㌸㤲扢ㅣ㥤㈴戹㙢ㄱ捡㈴㌷㄰て攰㍣㈹ㅡ昲㈵㈳㠹〰㙥攰挵㤳㔸㘶㡥㜹晤㐶㉣㘰㠴㜱摢㔶㕢㤷㜶つ㜹戱㘲㠱扢〹㜸㡦挶㤹ㄷ㉡㜶ㄲ㠹〰昶㘰㍦㙥攰〷㠲〹挳攷㕥㘱㠵搷㥦㐷ㅦ晤〵〸昷㑡愵㙡㈱昷づ愵㑡㝢㤵摤〹㔵摢㤰㝢ㄷ㈲㍢㤱扢㑡改慦㈵慦搷㔱扣〶扣攲㙥攸㑤㜲㡦捥㈰昷敦㌰㤲摣㝢㘰捦㈵㜷戵愳昶㕥㘸㈵戹㥢ㄸ昹㝥㐷㥦〷㤴昶㑤晡㈸㜲ㅦ㠲㔶㤲㝢㠴㈳戹㠷㌹㤲晢〸㍡㐹㜲摦㐱㈸㤳㕣搴㔶㤱㈵摣户㑢㠶〳㈱㕣扣愶㜰㔷て㜵㌷昱愴て〷㕤散戹敦愶㕤戱㘸㠱㔳慦㠸㈷㘰㠰㕣㥣㘳攳攰敤挱㜵㔴㍣ㄵづ〶晤戱㜰挴晤愸ㄵ㕥㝦て㝤昴昷㈱摣㡦㈹㔵ぢ戹㡦㉢㔵摡慢散〹愸摡㠶摣㈷ㄱ搹㠹摣愷㤴㝥〹㜹扤㤱攲㔳攰ㄵ捦㐰㙦㤲摢㍤㠳摣捦㘱㈴戹捦挲㥥㑢㙥戳愳昶㌹㘸㈵戹㕦㌲昲㕡㐷㥦㜵㑡晢㌵㝤ㄴ戹㉦㐰㉢挹敤敡㐸慥摢㤱摣㤷搰㐹㤲晢㉤㐲㔹㠷㘵昰㤴㠸㈶攳㈱㜹㔷挰敢㡦挵㘳㠹ㄴ㙡愳㔰㔳攵挵挱㌷慥㝤㤷㜶攵搵㙦㈸㡥㐲㥣㔰㉡㠹戳㉡㍦昶㜲㡦㌷ㅥ㡦ㄹ愱㘸㈲ㄱ㡡㐷摤㝦戳挲敢摦愳㡦扥ㅤ挲晤戲㔲戵㤰晢㡡㔲愵扤捡搶㐳搵㌶攴㙥㐰㘴㈷㜲㌷㉡晤㌲昲㝡ぢ挵㉥攰ㄵ慦㐱㙦㤲㉢㌲挸㉤㐲㘵㌰挹㝤ㅤ昶㕣㜲晦敥愸㝤〳㕡㐹㙥㌱㍡㡢捤㡥㍥㙦㉡㙤㝢晡㈸㜲摦㠶㔶㤲晢换㑥愷攵挷㥦愰捤㕤㝥㝣〷㥤㈴戹愵〸㘵㤲敢挱㘵㉢㔸挳㉡㌲ㄶ㌱挲愱㔸㉣㥡挴㔵㑥㌰ㄵ昶晡攳㝥㔴搰㘸㝡摡搵昰㈵㔱ㄳㄷづ攳慤ㄸ㘷搷〱ㅦち收晣挹愸㉦ㄵ㐲㠱づ搶㌰〳敥㜷慤昰㍡㍦㤰㔶敦〸攱㝥㑦愹㕡挸㝤㕦愹搲㕥㘵㕢愰㙡ㅢ㜲㍦㐰㘴㈷㜲㍦㔴晡攵攴㜵〵挵㕥挰㉢㍥㠲摥㈴昷ぢ捣㘰㑢㠱摣㍥㌰㤲摣㡦㘱捦㈵㜷慢愳昶㕦搰㑡㜲昷㘵攴㑦ㅤ㝤㍥㔳摡晤改愳挸晤〲㕡㐹敥㔶㐷㜲㍦㜲㈴昷㉢㜴㤲攴ㅥ㡣㔰㈶戹摥㠴㠷敦㥣昱㔸㈴ㄸ㘴昵㘳㌴ㄴ〳搷戱㈴搶㡢㤳㘱㤴搳㘸攵㘹㔷扣〹〷愲〹㙦㄰㙦戵㌸㌴㘳㜵搲㠸攳㈸㥥昴〴㍤〱㑦〴〱摣㕦㕢攱昵ㅥ攸愳昷㠴㜰㙦㔳慡ㄶ㜲晦慤㔴㘹慦戲㙦愰㙡ㅢ㜲扦㐵㘴㈷㜲扦㔳晡㔵攴㤵㕦扦愴昷〵㕥戱ㅤ㝡㤳摣㌷㌲挸敤〷㈳挹晤〱昶㕣㜲㜷㌸㙡㝦㠴㔶㤲敢㘱攴㥦ㅣ㝤㝥㔶㕡ㅦ㝤ㄴ戹扦㐲㉢挹摤攰㐸敥㉢㡥攴敥㐲㈷㐹㙥〸愱㑣㜲㜱㠳㍥㠹㐵㉡㝦㉣ㄴ㐵戵㕢ㄴ㌵ㄸ㕥扣摢攲昶扢挷㙦㠴㔰㙣愱㠵搳慥㔸㘱㑣愰㈶摡敢挳摢㉥㑥愴攲㜱㕦挸ㄷ昲愶㐲ㄱ〳㡢㤷㔱㑦挴晤㥢ㄵ㕥㡦愰㡦ㅥ㠵㜰昳㤱ち㡥愸户㤰换〷㉣愴㡡づ搲戵㡣㑦㔹戴つ戹㝣㌶挳㠹㕣㍥慥㈱昵昷ㄱ摣晤ㄴㄵ㠰㈳昸㔴㠰㈴慦ㄲ㉤㍡昰㔷㤴㉡敤㘰晡㔰㠳㕦㌷ぢ昰㤱㌱ㄶ㉥愱敤摣慥㠴㔵摢㡥㕦㕤㘱搶㑣㡦挳〷㤲ㅢ晤㉡〶㠵晢つ㥥㤳㌰㙡昸㙤㈱愸慣挶㝢㐱搱㕥戵挳ㅡ昱搲㘸㘸ㅣ㕦㍦㔰㝥㜹〵㡢昲昷㔰挵搷㝤㙡㠷捣慡㑥攲昳挹て㙤搱愸慦㡡㔱摤㐶㌷愴晢㜵㙥昱挲愷摤敦搵搲慡㐰戵扦㌱愷㠹ㅦㄲ扥㝦㡢ㄶ摦ぢ㠴㙦㉢㌱㤲㉡㘲㈳㥥㤴㙡㕦摣㑥ㅣ改昴㥤㐷㤵昵戵戱敡扡㝥㔵つ〹ㄵ㘰㜰摤慣摡㠳㤱挳晥づ㥦㠶㍥愸扡㐹㍥搶㜰〰散㐲㘷㘵扤㌶ㄴ㔳戵攷㜱扤〶つ敡攵つ昷敥搹扦扣㘷敦㕥〳㝢攱㍢㐰㑡ㅥ挵〶晢㝦ㄸ㤲〴戴㍣㍦㐰〰晣㜱改挳㐹㤰慣慦㈷㘵㍡㑢昴戵ㄱ搰㤵㘲捣ち㌹搰㠳ㄸ攸㈸愷摣攴㜷㕡㌰㌵敢㌱づ㤵㘱㘳收㔸〷㥡㐳㘱慣㔱ㅣ㡢摢㌵戱㔳㉢㔸挵捦昸戲挱㍡昸㕥㜸愵㙦愰搸㐸昱㉡㠴㔸つ㠷㜷昱㙤㘳㙢㑡收摥ㄶ㤹㕦㜴挲攳晦㝡扡㙢㠷扦㙤昰㡢㝢㉣㐳捦㑤㉢挴〰搷㐱ㄵ搷昷㕦搰㝤捣愳扤㙥ㄴ㉣㥡㈷〸㝤㍣㐶㑣㙦㤴戲ㅡ㥥摡〹挴挱挸昸㜵戳晥㕤㙥㤴ㄳ愱敤摣㑥戰捡㥣ㅢ愶搰㔹捥慥㥤っ慤㥡㡢愰戸〳㈳㉡扣㉥晤㔴挶㘱扤戹改捦㥡㜶敤㌴攸ㅣ昸ち㡡摢搱㔵攵㡤敦㉦㘷㔷ㅦ㍡㌸㈵扣㉣㕦挲㌷㕢㠶攸昶愹㐷㑦摤㌹㝥攴㐵昳㌷晥㜶㜹㙣㠸㉥㔸㐸㉥ㄳ㑥㈲㙥㍡㘱㔹㈱捥㠴つ㡥愶ㄲ㘶㑤戸㑣㌸〵㉤ㄲ㘶㑤戵㤹〰㑢扣戵改搰㜶捤摥攰愲㘱㜱㐳〶晥ㄹ㡣㈸换戵㌹戲捥㡡㙦慤〶扡づ㜲戳㠱晢㜵㜰㙦㤹愹㍡扡戳㕡摡㈹摤㠵昹搲扤捡㌲㤴㍣昸搶挷敦敦㤸㌸㜰㜹㥦攰挳摦搵㝥㌵㔲戰戴㕡愶换て敢㑦愷㉢㙢愶㤹敥㉣㡥愶搲㘵㤵戴㑣㜷㌶戴㐸㤷戵挸㘶扡㉣㝡搶收㐰㙢㠱㡥㠸㑢㌳㐰捦㘳ㄸ㔹戵捣攱㜴ㄶ㍥㙢攷㐰㤷㍢㍢ㄱ㜱㌱㝡戶戰㝢ㅥ㝢戲㝥搸㈹摤昳昲愵㝢慥㘵搸㙦攲攳㜷㝣晡㘹摤攸ㅢ昷㉤昳戹㑦㔹㝥㡡㘰戱戱㑣昷ㄲ挴㑤愷㉢慢㠸㤹敥ㅦ㌹㥡㑡㤷㜵挳㌲摤昹搰㈲㕤㤶摣㥡改戲っ㔸扢っ㕡㉢㕤慦㌸㉢㈳摤〵っ㈳敢㜸㌹㥣捥㔲㘰敤㑡攸㜲搳昵㡡挶㡣㜴ㄷ戲㈷㉢㙡㥤搲慤换㤷㙥慤㘵㜸慣攷摥扤ㄷ㍤昵搳搰ㅢ㕥㕦昱愵㝦挲愳㝤〵换㙦㘵扡㡢㄰㌷㥤慥慣慢㘵扡搷㜳㌴㤵㉥㉢㘹㘵扡㡢愱㐵扡慣㔷㌵搳㘵㘱慣戶〴㕡戵昷㠶挴戴㡣㝣㤷㌲㡥㉣㙤攵㜸㍡慢㘳戵㥢愰㜳搸㝢㐳㈲㤱㤱昰㌲㜶㘵㤵愹㔳挲㤳昳㈵㝣扡㘵㔸昲摣昳敥晢㤶戵ㅦ扥愰敢挸㝦㕤㔵㜱晡〱攲ㅡ〲㘰㙡换ㄱ㌷㥤昰戵㑡扢㠲愳愹㠴㔹㕤㉡ㄳ㕥〹㉤ㄲ㘶つ愷㤹㌰㡢㐵戵㍢愱㔵〹晢挴愴㡣㠴㔷㌱㡥㉣昷㘴㘴㥤ㄵ愳摡摤搰㌹㈴散ㄳ攳㌲ㄲ㕥捤慥慣扣㜴㑡㜸㔴扥㠴㐷㕡〶㝤㔱愷捦昷晤搳㤷㠳ㅦ晡㘰挷㤴戳搶ㄷ敦ㄲ㉣搳㤴〹㍦㠴戸改㠴㘵晤㈵愷攱㘱㡥愶ㄲ㘶挵愵㑣昸ㄱ㘸㤱㌰敢ㅡ捤㠴㔹㐰愹㍤〶慤㑡㌸㈰㠶㘴㈴晣〴攳㍣㤰昶扦㡦晥㑦㐱攷㤰㜰㐰㔴㘴㈴晣っ扢戲ㅡ搱㈹攱〱昹ㄲ㍥捥㌲㡣慥晡昶㤵愱晦搹㝡攲愳て㝥昴挹ㄵ慦摣扤㑥戰㜴㔱㈶扣づ㜱搳〹换㥡㐴㈶晣㍣㐷㔳〹戳ち㔱㈶晣〲戴㐸㤸㔵㝣㘶挲㉣㉡搴㕥㠲㌶㜷㤷㡣㡡㜰〶晥㤷ㄹ㔱ㄶ〸㜲㘴㥤㌵㠶摡㝡攸慣㝤㍦㉡晣㜰㙦㌹㍥㙦愴㍢敢昳㥣搲敤㤷㉦摤愳㉣㐳散挰㌷㉡户㙦㥥㍦攲攲づ㔳㈷㤴つ扢㘱㠵㘰㌱㥦㑣㜷ㄳ攲愶搳㤵㔵㝡㑣㜷㌳㐷㔳改戲㉥㑦愶晢㈶戴㐸㤷㜵㙤㘶扡㉣戳搳摥㠶㌶㌷摤㠰㌸㉣㈳摤㜷ㄸ㔱㤶捣㜱㘴㥤㔵㜷摡㝢搰㔹改〶挴㈱ㄹ改㙥愱㍢㉢搶㥣搲㍤㈸㕦扡〷㕡㠶㝦敡㕦㌷㙥摥㌶扤攲挹〹〳ㄲぢ㉥㝦散㘴挱昲㌶㤹敥㔶挴㑤愷㉢敢搶㤸敥扦㌸㥡㑡昷ㅢ昸捡㜴㍦㠱ㄶ改戲ㅥ捣㑣㤷㠵㘷摡㘷搰㕡愰㝤㘲㥦っ搰㕦㌰㡣慣ㅣ攳㜰㍡㡢捦戴慦愰换㥤ㅤ㥦搸ㄳ㍤ㅦ挵㉦㐶挵㜹搷㌶昶㘴つ㤷㔳扡㕤慣慣㜲捥慥㍡㕢㠶捤㕦㙣摥㈴㕥㥤㜷挲挲㑢摡㕤㔱攷戹戸㐲戰攰㑢愶扢ㅤ㜱搳改捡㑡㉥愶晢〳㐷㔳改戲㜶㑢愶扢〳㕡愴换摡㈷㌳㕤㤶㘲㘹㍢愱捤摤ㅢ扤ㅥ搱㈱㈳㠱㥦ㄹ㔲搶㔵挹搴㔹㥡愵晤ち㥤戵攳挳扦ㅤ晣㕢㌶攷㕤昴㘷㕤㤳㔳挲扢㝥捣㜳㍡昹ㅦ换㤰㝡戸攱摦户㍤㕣㌶昸㑦㥢捥㌸慢晦昶㉢ㅥㄷ㉣㠲㤲〹户㉦戵㈵㝣㠰搲㤶㐰㥢㑥㤸昵㑣㌲㘱つ㕡㈴捣㝡㈰㌳㘱㤶㈷㘹愵搰收㄰ㄶ㠹㠸ㅦ㌱㜶ぢ㘱㉥㐶㤴愵㐶㌲㕦㔶㉢㘹㥤愰㌳户っ戸㝦て昷㤶㜴扢搰㥤㤵㍥㑥改㙥换㤷敥搷㤶㘱㔷摤㈱扦摣戰㜸㥦㔱ぢ挶㕣㌱㙤摢挲昸㙢㠲㘵㐱㌲摤㙥㠸㥢收搷慦戴㝢㜱㌴挵㉦㉢㝣㘴扡㝢㐳㡢㜴㔹㈱㘳愶换㠲ㅤ慤㍢戴㌹改㐶㍤攲搳㡣㜴昷㘳挴㘳搳㍤㔹扦愳ㅤ〰㥤戵㈳㜸挴挷ㄹ改ㅥ㐴㜷搶扥㌸愵扢㈵㕦扡敦㕢㠶㡦ㄷ㍦㤹昴慣攸㍦散扡㍢㔶晣扡㐷㔳㜰ㅦ挱㐲ㄹ㤹㙥㉦挴㑤愷㉢㉢㘰戸㌹ㅦ捡搱㔴扡慣㜹㤱改昶㠶ㄶ改戲戲挴㑣㤷㈵㉣摡攱搰㕡ㅣ㠵挵㕢ㄹ愰㡦㘴ㄸ㤶㤸㤸敥㉣㘳搱晡㐲㤷㌳㍢㤱戰㜸〳㍤㕢㌶㠶㝥散挹㙡㄰愷㜴㌷收㑢㜷㠳㘵㜸戵敥㠰㙥摦捥って㕤昱搹ち搷愴㥦慡㕦ㄷ㉣ㅤ㤱改〶㄰㌷㥤慥慣〹㘱扡㐱㡥愶搲㘵ㄵ㠸㑣㌷〴㉤搲㘵ㄵ㠵㠹㥦㐵ㅤ㕡〴摡㕣晣㔱昱㘲〶晥晥㡣㈸ぢ㌴攴挶捣ㅡて敤㔸攸慣㠹㡡㡡戵㜰㙦搹㤸〷搰㥤昵ㄱ㑥改㍥㤳㉦摤愷㉤挳㤲㠶捡摢㑦ㄸ㔳㔵戵㌲㝡㙥㐳敡戴搴㔴挱㘲ち㤹㙥㈵攲愶搳㤵㔵ㄲ㑣㜷㌰㐷㔳改戲㉥㐲愶㕢〵㉤搲㘵㕤㠱㤹㉥换ㅣ戴愱搰收愴ㅢつ㠹㐷㌳搲ㅤ捥㠸戲㘴㐱愶换慡〷㙤〴㜴搶挶ㅣㄲて㘶愴㍢㡡敥慣ㄸ㜰㑡㜷㜵扥㜴敦戱っ㔷ㄵ㍦㔰㜵搶昶㤹〳敦扡愶㘸挶㘵搳ㅥ㝣㕣戰扣㐰愶㍢ㅥ㜱搳改捡扡〱愶㍢㠱愳愹㜴㔹㈹㈰搳㥤〸㉤搲攵晤㜸㌳㕤摥昸搷㑥㠶㔶ㅤ㘰扤攲㡥っ搴愷㌲㡥扣㜵㉦㤳攴摤㝦敤㌴攸ㅣ㡥攵㕥㜱㍢扡戶㙣捥㤳搹㤵㜷搱㥤ㄲ㕥㤶㉦攱㥢㉤挳㠶㈳晢㡣㔹晦搸戳愳ㄶ㝥㜹改㤳㝡户捡㐵㠲户摣㘵挲㐹挴㑤㈷㉣敦愵㌳㘱㠳愳愹㠴㜹昷㕣㈶㥣㠲ㄶ〹昳敥戳㤹㌰㙦㠶㙢搳愱捤㑤挰ㄳㄵ㌷㘴㈴㌰㠳㈱攵㥤㙤㤹㍢㙦㡥㙢㌵搰愹戳搰愸戸づ晥㉤ㅢ㜴ㅤ晤㜹㘷搹㈹攱㠵昹ㄲ扥捡㌲㠴㥥愹扦攳慤挱㐳〶㉤ㄳ㘳〲㐷㡣㕢昳㥣攰㙤㘸㤹㜰ㄳ攲愶ㄳ㤶昷㤷㤹昰㉣㡥愶ㄲ收ㅤ㘵㤹昰㙣㘸㤱㌰敦挸㥡〹昳〶戱㌶〷㕡㠷㠴晤攲搲㡣㠴攷㌱愴扣摢㉢ㄳ收つ㘳敤ㅣ攸㔴挲㝥㜱㜱㐶挲攷搱㥦㜷㕢㥤ㄲ㍥㉦㕦挲攷㕡㠶晤捦摥戸慤昳㈳㍦㡣㔸搸攱挴㑦ㄷ昶晤㜶㥣攰慤㔹㤹昰㈵㠸㥢㑥㔸摥㜳㘵挲㝦攴㘸㉡㘱摥㘵㤵〹捦㠷ㄶ〹昳㉥愵㤹㌰㙦㥡㙡㤷㐱敢㤰㜰㔸㥣㤵㤱昰〲㠶㤴㜷㐰㘵挲扣㠹慡㕤〹㥤㑡㌸㉣ㅡ㌳ㄲ㕥㐸㝦摥㠱㜴㑡戸㉥㕦挲戵㤶㐱㝢㔸㍦㘸捣㜵㝦ㄹ㜶昳㜷㑢㤷捣愸㝡㜶慥攰敤㑡㤹昰㈲挴㑤㈷㉣敦㐳㌲攱敢㌹㥡㑡㤸㜷ㅥ㘵挲㡢愱㐵挲扣㜳㘷㈶捣ㅢ㠹摡ㄲ㘸㜳て㔹㐱㌱㉤㈳摦愵㡣㈸㙦ち捡㝣㜹㕦㔱扢〹㍡敢㤰ㄵㄴ㠹㡣㜴㤷搱㥤昷攴㥣搲㥤㥣㉦摤搳㉤挳㔳㡤挱慦收敥搸㕡㜹挱昳摦て敡昰攳捤㝥挱ㅢ㜸㌲摤攵㠸㥢㑥㔷摥㤹㘳扡㉢㌸㥡㑡户㍤㝣㘵扡㉢愱㐵扡㉥戴捤㜴㑢昱㑡扢ㄳ㕡〷㝥㍤㘲㔲㐶扥慢ㄸ㔲摥㈷㤳昹昲㔶㥢㜶㌷㜴㡡㕦㡦ㄸ㤷㤱昰㙡晡敦〵㉦愷㠴㐷攵㑢㜸愴㘵戸㜳晡捥ㄹ㙦つ搹㌲昸挹愵㈳㡢㥥扤昰㤲㕢〵㙦㙡挹㠴ㅦ㐲摣㜴挲昲㙥ㄵㄳ㝥㤸愳愹㠴㜹㝦㑡㈶晣〸戴㐸㤸昷㜷捣㠴㜹扢㐹㝢っ摡㕣㝥晤㘲㐸㐶扥㑦㌰愲扣㜵㈴昳攵摤㈷敤㈹攸㉣㝥晤愲㈲㈳摤㘷攸摥ㄷ㑥㑥改づ挸㤷敥㜱㤶攱㡣敦扥㝡昷㡥㠹㐷て扤扦㜹㡣敦捣捦㍢㙦ㄷ晤㄰㐹愶扢づ㜱搳改捡晢㌷㑣昷㜹㡥愶搲攵ㅤㅢ㤹敥ぢ搰㈲摤〸摡㘶扡㈱扣搲㕥㠲㔶㤱攴ㄵ攱っ搴㉦㌳㡥扣㠵㈲㤳攴㕤ㄸ㙤㍤㜴づ摢㠳㔷昸搱戵攵㉤㘹㈳扢昲㙥㠶㔳挲晤昲㈵㝣㤴㘵㔸㜲搸㤰挵户㕣㥣ㄸ㝥敢㉢ㄳ晦戲攷昷敥换摤㤵㠸㈴㤳搸㠴戸晡㘶㡡㌷㈱㕣敥挱捡昰ㄶ㥡戸晦㔱㠵戶攳ㄲ扥戹戲㙥㝥慤㉥㍥捣挷㘸㤴㡡㌲捣㔲㐹㡡㜷㍡㍡愶昸ㄹ㍦㠶晣㙥㕦㝣〰ㄱ扥㐰㕤㝥㜶㑦㈷㝣挳㙥挳ㄹ㐶挳〸㝣㘱㌴扥㔷㜷㕣㜵慤昵攱㌳昸㈲㘹摥挴㔰摦攱慡换ㄶ㍦㝥㑡㑢㡤㙥挰㤷扡㜶㐸つ㙢挴搷㔲㈷㑢㙢挷挴㥡㥡㡣㠶扡晦㠵㡦搱挲愷㈹戵攷㙤㉦㙣㌴敤㠴㈸㉡㜶晣㈰㈳㝥㐲㔱昶㜷扥摡扥㝢扢㘵㍥搴搷戰ㄷ昳㡢㜹㝦摦㠷㘸㘹㙦㠳戶㌲摣㈲挲挳搵㡤㑤攵戳昹ㄱ㔹㡤挵攲㌰㙣〷昲㥥晦㤷扥㝤攵〵㌷敦搶改敦挰㔷㝢ㄷ愲ㅤ㙥㤰昰ㅢㅡ戸㤵扢昴昷愰搱㥢搱㤰愲愸晤㜰㙣〲㠵敥〴㜱㝦改㔰㍢㈵搶搰㄰㥢㕢㕡㍢愵挶愸㥢搶㌴扤㜴捡㙣摣晡挲㤷㝦愳㜳㘹㘹愹扥〵㐱戹挱㜱ㄴ㌱ち㑡㐶搵㍦㠰㤶ㅡ晥扡挷㐳㈳户挹て〹攰㥦ㄴㅦ㐱戸摣ㄳ㤴攱㘳㌴戱挷㑤㐴㥢摢愵捥㘴㡢挵晥㡥挹㝤挲晥㑣慥㈵戱捦愸㙡挶㔰㘶㘲攲㔴挴㤰㌰扥㘰ㅣぢ㠶㤸慣戴㕦㐲慢㈰扢㤳搰㑡㜰㕦㌱挸搷ㄴ摢㈰㕣㙥㐳ㄹ晥㡤㈶挰愵搰戶㠱㉢㜳〴昷ㅤ晢㘷㠲摢㑥㤵つ摣っ〵㘳〷っち㠶攰㜴㑡挸㍦㐲慢㈰扢㥢ㄴ㠶㥤っ昲ㄳ挵捦㄰㉥昷㉣㘵昸〵㑤㠰㥢㡤戶つ㕣㍢㐷㜰扢搸㍦ㄳ㕣ㄱ㍥ㄹ捦づ㙥㥥㠲㔱っ㠳㠲㈱捥㔳摡㜶搰㉡挸敥㑢ㄴ㠶昶っ㔲㐲愱㐱戸摣㝦㔴㠶づ㘸〲摣㝣戴㙤攰㝥摣攱戴捤扡搸㍦ㄳ㕣㈷慡㙣㌳户㐰挱攸〲㐳ㅡ摣㐲愵㉤㠳㌶つ㙥㤱挲攰㘶㤰㍤㈸扡㐲戸摣搷㉢挳㥥㘸〲摣㘲戴㙤攰扥㜴〴户㌷晢㘷㠲敢㑥㤵つ摣㔲〵㘳㍦ㄸ搲攰㤶㈹敤晥搰愶挱㉤㔷ㄸづ㘰㤰〳㈹づ㠲㜰戹㔷㈸挳挱㘸〲摣㑡戴㙤攰㍥㜰〴搷㤳晤㌳挱昵愲捡〶㙥㤵㠲搱ㅢ㠶㌴戸搵㑡㝢ㄸ戴㘹㜰て㈹っ㠷㌳挸ㄱㄴ㐷㐲戸摣て㉢㐳ㅦ㌴〱敥ㄱ戴㙤攰摥㜰〴搷㡦晤㌳挱㜹愸戲㠱㝢㐲挱昰挱㤰〶昷㡣搲晡愱㑤㠳㕢愷㌰〴ㄸ㈴㐸ㄱ㠲㜰戹㥦㔷㠶㌰㥡〰昷〲摡㌶㜰㉦㍡㠲敢捦晥㤹攰㡥愵捡〶敥㘵〵㘳〰っち㠶搸愸戴晣㌲㙥〵搹扤㐹㘱㌸㠱㐱〶㔲っ㠲㜰戹㌷㉢㐳〵㥡〰昷㈶摡㌶㜰㑦㍡㠲慢㘲晦㑣㜰㐳愹戲㠱㝢㐷挱ㄸづ㐳ㅡ摣ㄶ愵㍤ㄱ摡㌴戸慤ち挳〸〶ㄹ㐹㌱ち挲攵晥㤷㌲㡣㐶ㄳ攰㍥㐱摢〶敥㕥㐷㜰㘳搹㍦ㄳ摣㜸慡㙣攰扥㔰㌰㈶挲愰㘰㠸㙤㑡㍢〹㕡〵搹扤㕤㘱㌸㤹㐱㑥愱㌸ㄵ挲攵晥㐱ㄹ晥㠰㈶挰敤㐰摢〶敥㜶㐷㜰㤳搹㍦ㄳ摣㔴慡㙣攰㝥㔶㌰攲㌰㈸ㄸ㘲㤷搲㈶愰㔵㤰摤敤㜱搸愴㡢㥥㘴㄰㠳㈲〵攱㜲㤷㈸挳㌴㌴〱㑥㐳摢〶敥〶㐷㜰㌳搸㍦ㄳ㕣つ㔵㌶㜰㉥挴ㄹづ㈸㝡ㅤっ㘹㜰㕤㤴戶ㅥ摡㌴戸㙥ち挳㑣〶㌹㤳愲〱挲攵摥㑢ㄹㅡ搱〴戸扤搱戶㠱扢挲ㄱ摣㙣昶捦〴㌷㠷㉡ㅢ戸晤ㄴ㡣㜹㌰愴挱ㅤ愴戴㘷㐳㥢〶搷㑢㘱㌸㠷㐱捥愵㌸て挲攵㍥㔴ㄹ捥㐷ㄳ攰㝡愳㙤〳㜷扥㈳戸㡢搸㍦ㄳ摣㈵㔴搹挰ㅤ愹㘰捣㠷㐱挱㄰晤㤴昶㔲㘸ㄵ㘴㜷㐰㘱戸㡣㐱㉥愷㔸〰攱㜲〷㤵攱ち㌴〱㉥㠴戶つ㕣愳㈳戸㠵散㥦〹敥ㅡ慡㙣攰晡㉢ㄸ搷挲愰㘰㠸〱㑡㝢ㅤ戴ち戲扢㔲㘱㔸挴㈰搷㔳㉣㠶挰㘹扣㌲摣㠰㈶挰㔵愱㙤〳㌷捤ㄱ摣㔲昶捦〴㜷ㄳ㔵㌶㜰挳ㄵ㡣㘵㌰愴挱㡤㔲摡㕢愰㑤㠳ㅢ慦㌰摣捡㈰㝦愱戸つ〲攷㜳捡㜰㍢㥡〰㌷ㄱ㙤ㅢ戸㍦㌸㠲㕢挹晥㤹攰敥愴捡〶敥㔴〵㘳ㄵっち㠶㤸慣戴㝦㠵㔶㐱㜶㈷ㄵ㠶扢ㄹ攴ㅥ㡡搵㄰㌸㥦㔳㠶㝢搱〴戸ㄴ摡㌶㜰愳ㅤ挱㍤挰晥㤹攰ㅥ愲捡〶㙥㠶㠲昱〸っち㠶愸㔳摡㐷愱㔵㤰摤㑤ち挳㘳っ昲㌸挵ㄳ㄰㌸㥦㔳㠶㈷搱〴戸搹㘸摢挰㔵㌸㠲㝢㠶晤㌳挱㌵㔳㘵〳㌷㑦挱㔸〳㐳ㅡ摣㜹㑡扢ㄶ摡㌴戸㑢ㄴ㠶㜵っ昲㍣挵ぢ㄰㌸㥦㔳㠶ㄷ搱〴戸昹㘸摢挰㠵ㅤ挱扤捣晥㤹攰搶㔳㘵〳户㐰挱搸〸㐳ㅡ摣㐲愵㝤ㄵ摡㌴戸㐵ち挳㙢っ昲㍡挵摦㈱㜰㍥愷っ㙦愰〹㜰㡢搱戶㠱敢攳〸敥㑤昶捦〴昷㌶㔵㌶㜰㑢ㄵ㡣㜷㘰㐸㠳㕢愶戴敦㐲㥢〶户㕣㘱㜸㡦㐱摥愷搸〲㠱昳㌹㘵昸〰㑤㠰㕢㠹戶つ摣挱㡥攰㍥㘲晦㑣㜰㕢愹戲㠱㕢愵㘰㝣〲㐳ㅡ摣㙡愵晤ㄴ摡㌴戸㠷ㄴ㠶捦ㄸ攴㜳㡡㉦㈰㜰㍥愷っ㕦愲〹㜰㡦愰㙤〳户愷㈳戸㙤散㥦〹敥ㅢ慡㙣攰㥥㔰㌰扥㠳㈱つ敥ㄹ愵晤ㅥ摡㌴戸㜵ち挳㜶〶昹㠱㘲〷〴捥攷㤴攱㐷㌴〱敥〵戴㙤攰㍡㌸㠲晢㤹晤㌳挱晤㑡㤵つ摣换ち挶㉥ㄸㄴっ戱㔱㘹㝦㠳㔶㐱㉥搹〴敤㌱昹㡢て㙤ㅦ挱摢〷㔵㠸㐶ㅤ㍥㥡〳慢ㅣ㌳㔱愰㌹㜷㜰㕤㔳〳扦㌹愹愸ㅤ㉡㐱㑢㘴㜱㘲晢攲晥扦㉦ㄶ搷㑡㔸挷挸摦㤲㈲㈴晥晦ㄱ㠷㡢㕤㉤㤵㤸㡣㜸㉣㝥㑢㡢㌵戱ㄹ挹㌲㘱昱摢て戸㜵㡦㔱㡥㤳〶㈱摥㔴㠶㕤㤶攱㜸ㄸ昴㜶愸〰㉥攱㔲㔲昶攷㝡摢ㄶ㐰㙣㥦戰つ㐷㝣㑥攳㌸㝣扣㌳搷㐲㕣戵㉣㐴㤵戳愲搵㡥㥢㡥㡦㝦摥挳昲敤㤳昶改㥡搶愴㝤扢愴㔵戲捦扥ㄵ昵戵㌳㘳つ戱㜸㡤㐱㤷㍥㉤㐱昷捡戶㐸㝦昰㑡㙡㡢㝡收愷㐱〱攴挴㤴㡡㔶㍢㤶ち㜶搰摢㘳㑥㍡攳㠵㘸㜹㈵㥢㈵敦㈰晤㔶㉦ㄴ㤱愲摦昹㐱攴㈵〰㈰戸捡㈳㤷㍣㌵戶〸〷扦㘵㕢㉣㙤㈹㌶昰愲㌲㉥捦㔰㕤捡㈵ㅥ挱㘵ㄹ㐹晤㑦ㄶ挳㙡㥢攰㔲㡤㌴散捣摡㈶戸㝣㈳つ㍦摡户〹搴搳攳㘹〹㤸戸㕤戴捣㐱换㉢㌹ㅢ攲ㄳ㔸㌹㈳㝡㈷晡㜳敤㐶挲敤㙣㠷晢㠵愵㤵〰换戸㘰㈳攱ㄲ扣攰㐲㡤ㅣ晣扢㉣戸㕣扣㤱㠶㙦戳攰㙥㔳㠶㙦散㜰昷攰㠰㕣摣㈹っ㤷㑢㍡ㄲ敥㥥昴摦㡥㤶㠴摢捤づ㜷㠷愵㌵㘷㤷㑢㌸㉤戳换愵ㅢ㠹敡换㉣戸㕣捥㤱㠶㉦戲攰晥慣っ㥦摢攱㜶攷㠰扦挰㔴ㄸ敥㉥㜸㐸戸晢㐹㠰㤸㌱〹㜷㝦㍢摣㘲㑢㙢捥㙥㍢搵㤲戳摢ㅥ㔲愲摡㥡〵㤷ぢ㍣搲昰㜱ㄶ㕣㑤ㄹ㍥戲挳㍤㤸〳㜶㠰愹㌰㕣ㄷ㍣㈴摣ㅥ昴敦㠴㤶㠴摢搳づ户㡢愵㌵攱㤶愹ㄶ晥ㄶ〹㌷愴㐴昵㝥ㄶ㕣㉥昹㐸挳㝢㔹㜰扢㉡挳扢㜶戸扤㌹攰㥥㌰ㄵ㠶扢㌷㍣㈴摣挳改摦ㅤ㉤〹昷〸㍢摣晤㉣慤〹㜷㝦搵挲㕦㝣搴ㄱ愴㐴昵㘶ㄶ㕣㉥〲㐹挳收㉣戸〷㈹挳㈶㍢摣愳㌸攰挱㌰ㄵ㠶摢ㄳㅥㄲ敥搱昴敦㠵㤶㠴敢戱挳敤㙤㘹㑤戸㠷愹ㄶ晥ㄶ㠹挳㈱㈵慡㔷戳攰㜲㔹㐸ㅡ㌶㘶挱㍤㔲ㄹ㌶搸攱〶㌸㘰ㅦ㤸ち挳敤〷て〹㌷㐴㝦て㕡ㄲ㙥搸づ搷㘷㘹㑤戸㝥搵挲摦㈲ㄱ㠰㤴愸㕥捡㠲换㠵㈲㘹㜸㌱ぢ㙥㐸ㄹ㕥戰挳㍤㠶〳㠶㘱㉡っ户㍦㍣㈴摣攳攸㝦㉣㕡ㄲ敥〰㍢摣〱㤶搶㍣㌲ㅣ慦㕡昲戸换㘵㈲㠹敡戹㉣戸㕣㍡㤲㠶收㉣戸㠳㤴攱㔹㍢摣㐱ㅣ戰〲愶挲㜰慢攰㈱攱㔶搲㝦㈸㕡ㄲ敥㘰㍢摣攱㤶搶㠴㝢愲㙡㐹戸㈳搰㤲愸㥥挸㠲换挵㈴㘹㜸㍣ぢ敥㈸㘵㜸捣づ㜷ㄸ〷ㅣつ㔳㘱戸㘳攱㈱攱㥥㐸晦昱㘸㐹戸㈳散㜰㈷㕡㕡㜳㘳㤸愴㕡昸㡢慦㈷㠰㤴愸ㅥ捣㠲换攵㈵㘹㜸㈰ぢ敥愹捡㜰扦ㅤ敥ㄸづ昸〷㤸ち挳㥤って〹㜷㉣晤戹摥㈴攱㡥戳挳㡤㕢㕡㜳㜶ㄳ慡㈵㘷㌷㠹㤶㐴㜵㜷ㄶ㕣㉥㌸㐹挳㕦戳攰愶㤴㘱㤵ㅤ敥㈴づ㌸つ愶挲㜰㘷挰㐳挲㍤㠵晥㌵㘸㐹戸愷摡攱搶㔹㕡ㄳ㙥扤㙡㐹戸㌳搱㤲愸㔶㘴挱攵ㄲ㤴㌴㉣捦㠲摢愰っ户摢攱㑥收㠰㡤㌰ㄵ㠶㍢ㅢㅥㄲ敥㔴晡捦㐱㑢挲㡤搹攱捥戳戴㈶摣戳㔵㑢挲㍤〷㉤㠹㙡㔹ㄶ㕣㉥㑡㐹挳捤㔹㜰捦㔳㠶㥢散㜰つづ㜸㍥㑣㠵攱㕥〴て〹㜷ㅡ晤㉦㐱㑢挲㥤㙥㠷㍢摦搲㥡摢敥愵慡㠵扦昸㡣て㐸㠹敡㠶㉣戸㕣愶㤲㠶挵㔹㜰ㄷ㈸挳昵㜶戸㌵ㅣ昰ち㤸ち挳㕤〸て〹户㡥晥搷愰㈵攱搶摢攱㕥㙢㘹捤搹扤㑥戵攴散㉥㐲㑢愲扡㈶ぢ㉥ㄷ慥愴攱敡㉣戸㡢㤵㘱愱ㅤ㙥㈳〷扣〱愶挲㜰㤷挲㐳挲㥤㐵晦㥢搰㤲㜰㘷摢攱㉥戳戴㈶摣㕢㔴㑢挲攵戲㤵㐴㜵㜹ㄶ㕣㉥㘵㐹挳㘵㔹㜰㙦㔳㠶㑢敤㜰攷㜱挰摢㘱㉡っ㜷㈵㍣㈴摣㜳攸㝦㈷㕡ㄲ敥戹㜶戸慢㉣慤戹㌱晣㔵戵昰ㄷㅦㅢ〱㈹㔱㕤㤴〵㤷㡢㕢搲㜰㘱ㄶ摣搵捡㜰㠱ㅤ敥㠵ㅣ昰㕥㤸ち挳㝤〰ㅥㄲ敥挵昴㝦〸㉤〹昷ㄲ㍢摣㐷㉣慤㌹扢㡦慡㤶㥣摤挷搰㤲愸捥捥㠲换攵㉥㘹㤸㤷〵昷〹㘵㤸㙢㠷㝢ㄹ〷㝣ㄲ愶挲㜰㥦㠱㠷㠴扢㠰晥㕣晦㤲㜰慦戰挳㕤㘳㘹㑤戸㙢㔵㑢挲㕤㠷㤶㐴搵㤴〵㤷ぢ㘰搲搰㤸〵昷〵㘵㘸戰挳扤㥡〳扥〸㔳㘱戸㉦挳㐳挲晤ㄳ晤搷愳㈵攱㕥㙢㠷扢搱搲㥡㜰㕦㔵㉤〹昷㌵戴㈴慡摡㉣戸㕣ㄲ㤳㠶㥡㉣戸㝦㔷㠶㌳散㜰ㄷ㜳挰㌷㘰㉡っ昷㑤㜸㐸戸㑢攸晦㌶㕡ㄲ敥㡤㜶戸敦㔸㕡ㄳ敥扢慡㈵攱扥㠷㤶㐴㤵捡㠲换㐵㌲㘹㌰戲攰㙥㔱㠶愴ㅤ敥捤ㅣ昰〳㤸ち挳晤〸ㅥㄲ敥㉤昴摦㡡㤶㠴㝢慢ㅤ敥㈷㤶搶㠴晢愹㙡㐹戸㥦愱㈵㔱㑤挹㠲换㘵㌳㘹㤸㥣〵昷ぢ㘵㌸摤づ㜷㌹〷晣ㄲ愶挲㜰户挱㐳挲㕤㐹晦㙦搰㤲㜰敦戰挳晤捥搲㥡㜰扦㔷㉤〹㜷㍢㕡ㄲ搵挹㔹㜰戹㤰㈶つ㤳戲攰敥㔰㠶㠹㜶戸㝦攵㠰㍦挲㔴ㄸ敥捦昰㤰㜰敦愱晦慦㘸㐹戸慢敤㜰㜷㔹㕡昳㐰昶㥢㙡攱㙦㔱ㄹ搷㡣昸㜹捤挵㜳㐴㘲㙡㜲敡搴㥤㘵敤换昷㙢㝦昲〹㥤㙥晣昰攵㡦慥摤㜴摡㜱㥦晥㝡搳㑤㥢戶㕥扢晥搷愷攲挷扤㜸摢㙤敢㠶摦戲晥愳慥愹㕢㡢ㅦ搹㌹攲搶㜳扣㘷㥣㜳㘶㙡挲㤱㐳捥㌹㘵挶㐹摥㌱㝢昴㘹搷慥㐳㠷挳昶㝣愹晢攱敥ぢ捥㝣㑣㍣昷㡦㝤敡㑡戸〰搳㡡㐵ㅢ愲晥㥤㉢㉣昷㌲㔷戹捣㠲ㄸ晡㐸戲㘰晤戸戹摣挲昵㈵晤㝥扣攸摣慥㡣慢㈱㙤㤹慤㤰换㈷ㅣ㌰〳〶㤷㔱㈴㡣〷㑤ㄸ㕣攵㘸㔳ㄸ㜲㔹㈴〷〶㤷㐷㈴㡣㠷㑤ㄸ㕣扤㘸㔳ㄸ收㜲㐷昶㙣㜰搹㐳挲㜸搴㠴挱㔵㠹㌶㠵㈱㤷㌱㜲㘶㠳换ㄹㄲ挶攳㈶っ慥㌶戴㈹っ戹㍣㤱〳㠳换ㄴㄲ挶㤳㈶っ慥㈲戴㈹っ戹散㤰〳㠳换てㄲ挶搳㈶っ慥づ戴㈹っ戹㥣㤰〳㠳换ちㄲ挶戳㈶っ㕥昵户㈹っ戹㑣㤰〳㠳换〵ㄲ挶㜳㈶っ㕥捤户㈹っ㜹昹㥦〳㠳换〰ㄲ挶㕡ㄳ〶慦搲摢ㄴ㠶扣慣捦㠱挱换㝢〹攳㜹ㄳ〶慦扥摢ㄴ㠶扣㕣捦㠱挱换㜶〹攳㐵ㄳ〶慦慡摢ㄴ㠶扣っ捦㠱挱换㜱〹攳㙦㈶っ㕥㉤户㈹っ㜹㜹㥤〳㠳㤷搹ㄲ挶㉢㈶っ㕥〵户㈹っ㜹搹㥣〳㠳㤷捦ㄲ挶〶ㄳ〶慦㙥摢ㄴ㠶扣ㅣ捥㠱挱换㘲〹攳㔵ㄳ〶慦㕡摢ㄴ㠶扣捣捤㠱挱换㕤〹攳㜵ㄳ〶慦㐶摢ㄴ㠶扣㝣捤㠱挱换㔸〹攳つㄳ〶慦㌲摢ㄴ㠶扣㉣捤㠱挱换㔳〹㘳戳〹㠳㔷㡦㙤ち㐳㕥㙥收挰攰㘵愷㠴昱㤶〹攳敡戶㠶㈱㉦㈳㜳㘰昰㜲㔲挲昸㠷〹㠳㔷㝢㙤㍡ㅢ昲昲㌰〷〶㉦ㄳ㈵㡣㜷㑤ㄸ扣㡡㙢㔳ㄸ昲戲㉦〷〶㉦晦㈴㡣昷㑤ㄸ扣㍡㙢㔳ㄸ昲㜲㉥〷〶㉦敢㈴㡣て㑣ㄸ扣敡㙡㔳ㄸ昲㌲㉤〷〶㉦搷㈴㡣㝦㑡ㄸ攲㕥晣㤱搷㜱ㅦ㔹㉦搸㄰扣㠸㤱㔷㤰〷㕡ㄷ㡡㠳愰㉤ㄵ㐵攲㐱㘵㌸㈰换挰ㄳ㝤搹㘳晦㉣〳㑦扤愵㘱扦㉣〳㑦㠶愵㘱摦㉣〳㑦㑦愵愱㝢㤶攱㘹㘵搸㈷换挰㔳㌸搹㘳敦㉣〳㑦慡愴㘱慦㉣〳㑦㜳愴愱㕢㤶㠱㈷ㅥ搲戰㘷㤶㠱愷〲搲搰㌵换挰㌷㘷㘹搸㈳换挰户㑢㘹㜰㘷ㄹ昸〶㈶つ㘵㔹〶扥愵㐸㐳㤷㉣〳て昲搲搰㌹换挰挳慥㌴㜴捡㌲昰㐰㈸つㅤ戳っ㍣㌴㐹㠳㉢换挰㠳㠵㌴攸㔹〶敥扥搲㔰㥡㘵攰づ㈵つㅤ戲っ摣挴愵㐱换㌲㜰愳㤳㠶㤲㑣㠳㥢㕢㥦摣㉣㝦挵ぢ㍣㥦挴㍦〵㙡㈶挶ㄸつ〹愳慥愹扡挶㘰捤〶㝣㡢㍡搷㔶捣㙡㙣慡㌷换㑡ㅡ㑢㘴㈱㐹㙥愱㐹㔷扡昷挹㜰㜵㤹㉡捡㌲昳㘵扡攲愴愳㘵㘲㠹捡晦戵摣愴〳戲攱㉦ㅥ挵㌹愸㜰挵㠹㔹㙤搲㍡㉦慢搴攴㍦挸搸㠵愷㈰㔱㙢搲昲㔲戶换搸收扡〴㕢昸昹昰昸愵㌷昲攷昳攳㌷慣攷捦㔷挷㜷晣㝦㜷㌳㌱㕥</t>
  </si>
  <si>
    <t>㜸〱攵㕡㝦㜰ㅣ搷㕤扦㜷扡㕤摤㍢㥤㜴㘷㍢㜶㝥㌶㔵㔳㝢ㅡ㉡㕢㈳㔹昲慦〶愳㐸㈷换㔶㈳㕢戶㈴摢㑤摢㜰㕥摤扤戵㉥扥扤㜵㜶昷㙣愹㠴㌶敤㐰㕢㘰㠶㤶晣㤷ㄲ摡㑣㘶㘰㥡づ〳㥤㘱㈶㉤㑣㘱ㅡ攸㑣愱〴摡㌲ㅤ㐸愱㠵㄰ち㈵㤳㔰搲㌰㘱㐲㐸㈷㝣㍥㙦昷㝥敡㜴㜶㔴㘷挶㌳慣收扥晡扥㥦晢摥昷昷晢扥㡤㠹㔸㉣昶〶ㅥ晥攷㤳㈰㜲摢攲㥡ㅦ㈸㘷㌸攷㤶换慡㄰㤴摣㡡㍦㍣改㜹搶摡㕣挹て㝡搰挱捣㤷搰敥ㅢ㜹扦昴㈱㤵捣㕦㔲㥥㡦㑥㐶㉣㤶㑣捡㌸摡㙢扦㙣つ㤱ㅣ㈵ㄳ〰㘹昴㡡㉤攵愶收㤷敦挷搴㡢㠱敢愹摤㠳㘷挲〹づ㡦㡥づ㡦づ㡦敦ㅢ摤㍢㍣戲㝢㌰㔷㉤〷㔵㑦ㅤ慥愸㙡攰㔹攵摤㠳㈷慢换攵㔲攱ㅥ戵戶攴㕥㔰㤵挳㙡㜹㘴㙣搹ㅡ㍦㌸㍡扥㙦㥦㝤攸搰挱戴㠹㤹㑦攴愶㑥㝡捡昶慦搵㥣扤㥣㜳㍥㌷㌵㝣㐲〵搷㙡捥㈴收挴㤴搳慥㘳㤵㉡搷㘸㔲㠳〴ㅥ㥢㔶㠵ㄲ㌹愱㤴㔷慡㥣ㅦ挶戲㕢〸㡤搲㠱攱ㄹ㔰扣㘰昹㐱㑥㤵换ぢ捡收〶搳づ㘹愶㍣㔵㈹㈸㝦挰㌹戲㕡㔰攵愸搹㑦㍡㘷㉣敦㠴攵愸〴㤱㡣ㄳ昲㙤戶愸㉡㐱㈹㔸敢㜷㑥晢㙡挱慡㥣㔷散㘲㌸㐷慢愵㘲㈲㈱ㄲ㠹㔸捦扢㍡㉤㐶昳㘶㜸挶㉢攴㔶㉣㉦搰㈵㜲㙤戴㔳摦㈶〹搱ぢ㙦㔹ㄶ愵㘸戰㙤ㄴ搹戴㔸㜲敥㔱㕥㐵㤵昹ㄲ敥㙤愸慤㤳愶㐹㐸晡㍡㜱㙡扢㈱㘳㐴㕦㈴晣摣ち摦㈲㈵㐱ち挰散㈳㤶㜳晤㘰㜰愱攴㕦㤰㘹ㄶ晢〱㐴攲㘵愸㔰昳㐰昶㡣攷慤㜸㝥㌹㥥㉦挴昳挵㜸㕥挵昳㜶㍣㝦㍥㥥㕦㠹攷㑢昱晣晤昱晣〵昴愹㍤挹摥摥㜸昴ㅣ㝣敤〷挵敡㌷㜳㜳扦昳㕡收昳捦扣晣〷㉦〸㙡㡤㔶㥦っ㄰㤹〵㌰户〰昴㉦ㄶ㔶㔴戱㕡㔶攱㘲戶戲㜱ㅢ㠰㄰㉦㘲㌱㕣㤰昳扤戹㉦㑥摤㤴㥤晥敤愷㤴昵捡攸愷晦㍡扤ㅤ捤愷愲敤㑤㝢搶㘵挸㐸㐳晣愰㜳晣扢戲摥㐱敤散㝤昶〱㝢㜴戴戸㙦挴ㅡ戳っㄲ攸㙡戹㝤〳晡愶敤戳愵㑡搱扤慣搹㥦戶㘷㑡攵㐰㜹扡㤰戱昱㉦ㄴ㘱㕤敥户㡦慣㐲昷ぢ愱愴摣㘰攷㤴ㄷ㐰㘷㠲戵㠶昸摣㌶㘵昹慡㔱ㅣ㡡收㥥㜲慢㤵愲㝦㙢攷挶挵挰ち搴㉤敤㙤㡤㐹搶つ㕢㠴㍥㈹㕦㉦改昶昶㘱㘷慣㜲㔵㑤慥㤶挲收户戵㌵㐳戳摣攵㡤㕢㘷㍣昵㐰扤㜵摤㡡㈶㘱㝢㉦改戹搷敤㌲㙣ち搷㌵㤸㕢㜱㝤㔵搱换ㅢ㜲㑥㤶ちㄷ㤴户愸㘸戹㔵㔱㙦㜵㍢㥢㈲昵ㅥ㥡慦㘰愳㔰搸攲ㅤ捤戵㈴戴慡ㄴ㔵ㄱ敢扤〸㉡慦㉤㔹换㘵戵愳愵㑢昸㑥㌴摣摣㔲㍤攳ㄶ慡㝥捥慤〴㥥㕢㙥㙤㤹㉣㕥戲㘰㔲㡡挷摤愲㑡攸㈷ㄶ㐲ㄱ敢改ㄱ㈲㜶㘷㈷摤攴摣㍥戵户㐹㐸㘸㈳扡㜷㙥ㄲ㈲㜶敥愸昵昵㤹㠱㌴〹ㄹ晢晦㑣搷㤵㌴ぢ㈱㝢㡦㜴敤摤㐱㐸㌹攸愶㔶挵ㅢ㕥〰㝦挰㠷戲愲㔶挶㜷㙥㍣㘵㐳㉥慦戰搲㈶慥搰㔱戳㜷ㄷ愲改㘹敢戲昷搶㜶㡥挷户㐵扢㍦㜲〹㡥攳㤸㔵㈹㤶㤵搷㌵捣㄰㕣㤱摣㐱㜰㈳挱㑤〴㌷ㄳ摣〲㘰晣㉢散摢㠶ㄴ愵挵ㄴ慢㘲捤戸㕣㉡〶㉢收㡡㉡㥤㕦〹㔰㠷昰㈴㤹㈴戹㘹攸㍦㠹摦㔶昴慣㌲㐶㤱户ㄱ扣㡤攰㜶㠰㔴㉡㘶扥ㅤ晦㘳㘶㑡づ昲摦㍢〰㔲㥡㘲㠳㑢㙢ㄷ㔵㑡ㄸ㜴〸㙦摥㙤改㜷㘹㉦㠹㌰挶㌷ㅣ㌸㘳扦愷愷ㄳ㈱㡥㔹晥㑡㐰ㅤ散摡愸ㅤ搴ㅤ㔸㡡㝣㈷㐰㝡㈷挰㠹㘳慡っつ扥㔶ㄱ㤰㐱㉦㜷㐵㑦㑢敦戳挳㔹㕣慢ㄴ㔶㍣户㠲愰㜰摡ち慣挹〲挲〹㕦㔸愶㌳攷收慡㠱改ㅣ㉢攱㕦摡㔹㔰ㄷ㤵ㄵ攴㘰愱㠳㝥㘷づ愱㠸㌶愱戳挵㔵挳〹愳㠸㘹攵ㄷ㈴挳㡤㔹㔸愴㔵ㄳㄸ㑣㙣摡愱㡤㔱慢〱愷敥㜵㑥㕡〸㔷〲㠹㑥㐳㝡㔴㠸㜱㘴扦慥慢㡤㑥㐵㈵捣㤰搵㘸搳㉣㝤扡㈲㥣㈹㐶愱㠱昳㠴慦㑤㐴戰㕤㜹㑥〷愵戲㍦ㅣ㤱㜷㜸摡㐵㌸慡㜴㔸㑣戲㥢㈶㘴换散捡慣㜶ㅤ㘷扣㌲㕦㔸づ愷挵㔲㡥㝡㙥昵㈲㘳㤶㙢㌵て攷㡡挹㕤〰㥦晢昱ㄷ敥摡昵㕢扦晦㐶昴晦㈳搰ㅥ晤㐸ㅤ搲㔰搴㔹㘴㜷㍥昲㑥㠰㔴户㌶㠳㘱㑦㐷㈳扢㐱㘸㐵㐱㑤㍢搸敤㤲愷㜴慣㤸搴〵攸㔲扦㜳搶昵㉥㉣扢敥〵㌲㝦㐰㤷晣ㄵ愵〲〶㘰㝤㔱扣㐹㕣〸搱搳搳ㄲ㘴㌵㐵㙡搴㘸㜳㌷㐰晦㘴戹㍣㔸㥢搱㌷昷愰慡〷捥挴ㅣ〶戲㙢〴㐱捥攸㥥㍤㝢㜲㡢ぢ㤳㠳㑢捡戹㔸㐶㈰㌰㌸㜳敦摥戱挱改㠵挹㤹愵攱搵戲扦㉡扥つ㔲㌰㝥晡昸㉦㝤晦㤵㘷㜲㌳搳㥦搸昱搹攷㝦昲㐶晡づ昱慤愸㘱㕤㠸愶㈳㌳扣㐰㡥ㄲ散㈵ㄸ㈳ㄸ㈷搸〷㈰扥㠱愱戴㔹㘳㠸攴ㄶ㔱搱戰㍣〷搸攷㈰挱㈱〰㔸ㅥ㐹㜶挰昰摣挵㍡㙤㜸㠴㘰搴㐷㡢㈳てㄳ晣ㅣ㠰愰捡㔱㌷㘳㜲〲㘰㐳〶㌳㔴搴㌳攲攵つ〶㑦愱㌶㈵扢戴〹㠶㤲㘴戲㈴㔱㈵挹㈸㐹㐲昱㈵㑣搳㤱㌸㑦㐶つ敤㔱愷㐱ㅢ摥慥㑡㍡ち慦晢攳㈶㑦㍦㠰捥愶㝤扡㔲ち晣㍥㝢戲ㅡ戸㌳愵㘰摡て搲㌶〰㔰㍤攴ㄶ㙤㠸㥢〶つ搹㘷㑡敡㌲つ昳摢搷㌷攱㠰㤲慢晡㠱慢慤挴敤敢摢愷摤ㄳ㙥㌰㕤昲㈱ぢ㙢㍢㍢㌴㠷㉤㘷㔷㔴〵戱㤴㠷㤰敡㑡㥤摣㡢ㄷ㔵戱挳ㅡㄷ摤慡㔷㔰戳搳搷㐳㌴㈶㐲㜳ㄷ㠳㐶挱搸㠹㕤ㅢ㐷ㅦ㑤㜴愷㐷㡥㐳ぢ挵㈶㥤㌹攵㍡㈶攷〸昱㑥㠸扡㍣づㄴㄲ㙦搰挳㜷ㄷ㤱愶昸㡥㈶㉢㘵㠳慤㘱㕤㝦㜴㠰㤸慤昸愵愲㑡㐵愵攳愵捡㐰㠴捥㔷㠳㤶ㄶ㙢㜵㕢搴〲㔳㌱㕦〱敢ぢ㤶㔷扣ㅥ戸㠲㡤攱〹㔹㈲㑣晣㙤㡥搰攱㌴戱搸㑢戵慣捥㑢ㅦ㠱戲㥦㐰㌵㘹捤㐰慡愳攵慥慢㈳㤰愶昰㤸戶慤㥦攴慥㔷㈷㔹㍡慥慣㡡收挲㘲㔰㥣㔶㤷〶㜴て〵〱㐷㕥愰慣戶戵ㄶ戵〳㤷昶攴戲敦㤶慢㠱ㅡ愸㘳㕡搱愵扤愰㘰㠸㜱搴㐹搷戱㤳㠵〰㠷挱晡㝣㍣挶㕣㍦ㅣ〲㐵ㄲㄱ㤷㠴收㤳搹㐵㜸㕢㌷㐱ㅤ摡㈴㔷ㄱ㥡搸晡昹搱㠴昸捣㈳㝣㥥㤸㠸搵㤰ㄴ㥦㤸挱〰昹敡捦㌲搴愴㙤戵㈳㜶㘸攱戴昱㑡搷敡㜸㡣攸户戵摤㐳慥㠰㈹愱っ㔵愷㡣㝣㕤㔰㉡㔸攵昲摡㠰㍤㕢㈹㤴慢㐵㌵㘷㉤慢㜲捤㘶扢㥥㜳㥤昰㑢攷㌳㐳㕥㜵愱㑢㜴挰㥢㐵㔲戳㜶㜲摡戴㤹ㄳ㜲ㅥ㘴㌵㑦〲㈴づㅦ搹㜷〸㙣㑢挹㔳㈸㤱㍦㍣扢扣改搳㈳ㅤ晦搶㐶敥㐳愷摢㘰摦搶㔵搱戰㌱㥣慥ㅦ㐰戵摡㌵㜵㥢㜳攷㕣㈴〷㡡㑤㔵挷㑡㘱搵㜵愳㕣㥡㔷愶㘹㙥搶换㠰㔶㜸㕥㡡㐲ㅤ㔸扥戰㍣㐱晡㤳〳㍣攸戵〷攲㑤搱㠸づ〰戴㈵㘴挸㤵愱ㄹぢ愳㠷愵㔲㔰㔶㝤戶㙥搷㜸㤲㝡㐱㙡昶摡㑢㉢〸㙡愷晢敤愳㕥愹㔸㉥㔵ㄴ㈳ㄱ㈴慢㤸攲㥣㔳攷㤱㔶㌹改晡㈵愶搱晢敤㈵捦慡昸ㄷ㜹㜶㈹慣㙤㙤㈹㘹㘶ㄹ昶㔴愹〲㉤ち摦㐹㍣㘳㉦慥戸㤷㤱㠹慦㍡㤵愳搶㐵晦扡㘰ㄴ㘴㍡㝡㐲搵㡡㡢㜸㕣㈴攳挹捤㍡㉣㝤搴㘰㔴㄰㘳散ㅣ㈷㠸搸挵㈳㜹ㄷ挵㈵愷愲挴ㄶㄵ㤷敢㙡㐹㘶㜷㍣㕡搷慦㌲㜴㡡㠱搱㜸㝡〹攰扤㐷㑦捦㌶搲愱㍦搵㔵㠴挱㈴㐲ㄷ㥦愰㐵愳㥥㝢㘱㐶㘲㈰ㄴㄷ搶㔱㝡愴收㍡㑢敤㈲㤸戲㜵ㅦ㑡㈳摣㈸扢ㄳ㥤挱搱㌸つ攵㠷つ㐶㑡〱挶㜷㈰㉣㌰慥㜳慣戲ㅦ戵攵㕣挷戱㈸㕥ㄴ捤㐵ㄸ㜰㤵搴㐱㌶慣㠹戴〱戴っ㐶㔵搶㉡慡慣㔵㕤〵扦捣㝣慡挶㌹㤷㝢摥昲㑡挱㡡㔳㉡㈴㔹㘰捥昳扡㤰㑢㠸㤰㍥挶㠳愰㝣戴㜰㈲㘲㙤㑦㕦㠴㈷㙥戰㝢ㄸ㠷〸㤲㡥散㠷昴挶戵㌳ㄷ㥢㑣㔶㐱㝣昵㐱㑢㥥挱㙣〶㌳㍤昰㈱㠰㜸㥡㈲㌱搴㘸㐳㈴〶㔱捦㘶㜹㌶㐲㔸㐸㌰㤷搳㌵㠹挰㌳㝤㙡捥戵㡡㌳㐸㡢扢㕥㙦㜴㜵㤶〴㙢㘹㔶扣㉣ㄳ㐷㌹㈴㕣㤱挸扤㠴㠰搸㑢戲㘲ㄱ㈹㤹〴㔳㑥㘶挸㐳搲㈶㘶ㄸ㝤挹㑥敦㥡慤捤戵㌳㍡㘰㌷摦〳捥慥㥢晦挵㔳〷㈷戸昶㔴㑡摦㔲扣て愸扣ㄷ㐰㌰㈵挵晤戴㜵㜸㍦㍢㝣〰挰㘰㘶愲㕤㑢㌶㑣戲㜰㜲挳㘱昲㈷改㜰㍢㠸㍢㑣愴㠴㤰㐴〲㐹捣扥㈴㤳㌰昲㠳〰㝦昵昴搳㍣㈵挷〴戳ㄸ戵昷㔳挷㔲㈹ㄲ㑦摥㐷昰昳〰㠲愷㜵㥤㘱っ㑦㈶攷㔰〴㑢昴挹挴〲ち㜷㈱㘸㡡㜸㍡愹㍤㑤㥣㠴㕢㕦㐶㌵㝢昱戰捦戸㥡っ扤㔲㡣㈶㤸ㄴ㘰㥣㈶㘴〱搰㉣〲㈰㔰㌸㌰㡥戱㈹愹㔰攲㡣㑣ㅡ㌰㔸〸㥦つ摤㤹㘰昶㠰㉥㉤愶て昳㝡〱㙤㈶㔴㌰户㐰㌳㉡捦〳〸㈶ㄹ㘸㥤戰搴㔰㕡㑢挰慦㉣慤㑣㐶㤰挹昲晥〸㘱㐱㤰捥㌵ち戳㈲ㄲ〱摥㙣挹㌲㍢㌰㔳搱愱㠳挳づㄵ㜶㠰㕦㡥㔱っ愴ぢ㔰攷摣ㄴち戵㘱㑣㐴㐴㥣扢挸㡥て〰ㄸ㍣㐴㕥摤愱㤵㉣捦㌶㘵ㄲ㘸㕤晤㉤昶愹慡㔵挶晤攵㍣挲搹㠰㔵搷㠳昹㑡㠴㠷㡡昶慢戴搶㙢㑤㥣挷昵ㄶ㍥㜰ㅦ㜷搶㑥㠳搶扥搱摥㝣昶摣摣愱㈳㘵晣㍡搲㍡㔷昷ㄶち㐰敦㈵愶㙡昳昹㔸㤲敦愴捡愶愴㑦〸㤱收㘱㕦㡢㔰〰愴昶〸ㅥ㑢搷搵ㅡっ愱扢戸晤戶㜸㥤攳户㌵㡣ㄴ摤搱㔰㤹㥦㉡㜴戲㙥慤摥扦捡搷㌳㍡㕦户〶挱挰㐰搷㕥㡥㄰扡ㄶ㠳挶晤㡡晥㠴㍤㤱㠹㠰㘷㔹っ搶捡昰收㐴㤹摥っ㌱㥡慦戰ㄹ㡢㜶㍤㥣㔱ㄲ敤㜷ㄹ昵戱㌴㕣㝤㌷戴摤ㅤ改㘱㙣愱攳㌲㍥〹ㄶ㙤㌸㥥㍢㘸㜰㠵㘳昸㤸㙢〰㌷ㅣ㉦ㄵ㍣搷㜷敤㘰㜰ㄱ㔱改㈰㙦ㄳ㙤㥣㑦㈶㡤㡦㘳挶㡥敦攴挶ㄲㄵ㕥昵㙢㐶愷㉥㔴摣换ㄵ扤ㅡ挳攷愵慡愶㔷㙦㉦㕦挳㔳㡢㝥摥〹㉡㘶改攴㌸㔸晥〲㐰㝦㑦㤶㕥㠲㥤捤〷〱㜶攵愶㜲ぢ昹攲㘸㜱晦晥晤㑡敤户㤶ぢ攳㠵戱㠳㠷ち㈳〷て㡥摡〵晢挰晥ㄱ摢㍡戰㌷慢㥤ち扡换㕦〴挸搲㡤攸搷㝤㤸㈵晡ㄳ㕤㘲㕢㠶㙥㠰敦㘷㠰㜷㑤㥦散㝤㤸㡥㘲㙤㍥〴㌰㤰㥢捡㌷㐵愰收㐷㔱㤷㐶㥤昶戱ぢ戸挶㌴㍦㠶㥡㉤愸㘹晤㙡㈲㑢敦挳㔹ㅡ摦ㄶ挸㕦㐶㔱㥣〳愰㘹㑢㠹て㠱〳㔴扤㔰㠵㍥挱㍡愸㤰㠵晦㝡㤷㉤㉡戴摣戱戶㠰㕡慡㤱晣ㄵ㌶搳慦慣ㅦ㜹扥㔶晢㙢ㄱ㐲ㄶ〹㝡〴㡡戹〸戰〰ちㄷ昰㤸愴挴㔰㌸㠴㠷ㅡち㐸㉢㠳改ㄷ㌴㠳㍦〵〴っ愶て攰ぢ捤㑦〳㠴っ戶づ㡤散ㅢ戳㐷㐷搴㈱㌵㍥㍥㌲㍥扥㍣㌶㔲㔸戶慣〳昶㜲㘱搴㔶㠵㠳㔹敤㌲搰㕤晥〶㐰㤶㑥㐲㉦昹㘱㤶戴户愸戵㘵攸㉤摥ㅡ〶搳挷㘸搶㍣挴㤷㝤㤴㠰㑣捣搲敤攸晡っ慢㜸㌸㤴㡦〰〸㕡㌷扤捡捦〰㘱〷晥戲㌵晥㠸㙡慤昹㌷㈳㠴㌴捡搲愲㘸㘲㍤ち愴扦挷愰㔲摣戵㜱づ戶㐹挶㠶㘰晡㕡敥改㡦攰摥㝤㉤㡥昱㍤〸敦っ㉤㜹㠹昸㝢㌶㌷ㄷㅤぢ㔵㠶㍦愳〰ㄶ晦ㄴ昳㤰㈶つ扢挳ㄹㄹ㘴挹捦㜲㙡敡㘸挷㉣㐸户㑦㝥㌸挵㜶㘷搶㠷㕥攱㜶㜳挹㥤慣㝦㜶戴愵愶㙦㐳戵㥢搵㕤㡤㥡㕡捥戱㌶㙣摥慢㡦挳㐵㈱㥣ㄵㅡ㠶㜸て扢扤㔱㙡扡㈲扣戵㔱㡢〴㌳搲㕥慡㔸㥢搱㐷㝣㥦㠸昷㠸㍤ㅢㄳㅢㄷ㑦㤱慢慡㑤攳㜳ㅢ户㜶㠸慢愷㑡㠱昶㑣〶摡㠵愴㔵㌴ㅦ㈳㌸扣昳挸捥㝤㠷㡣㍣戸昱收㕥戴㥥〱㤸づ敥昸㜱㐰㐱㥢挹㈹㔹㈵㘸㝡晡昱㙢扦敡㜹㍦㍡㜴扣敡戹㌷㙡㔸㜷て㐶㍢愵㤵攱昳㐰㙡捡㈰戴〱攲晣㑦㐴捤ㄴ搷㉣㑤㡥搶㠱㉦〰改敦ㄱ戴ㅢ搴〳㜱ㅡ戳㔳昸戴扣晣㉥㙢㘸づ㈸㌳㐲搲㤸㤸扦㐷㐰扡㈰㘶㍥㠵㡥㜹晣㔰㠵扤㝤ㄱ㔰搰㕣搴慡〴㜵戴搳摥收㌰愶攳摥敥㠹ㅡ摡慦戱戲搴㙦扤摥㈷㠱挸㉦ㄱ㝣ㄹ㈰㤵愵㘶敢㠶㍦〴〲㘵愶㑥扦㝢㘳㤹〸捦摥㡤て㡡㘸㑦っ㥢挱㐱㥦ㅤ㝥捦㐳㌵搴昷ㄸ㘵敤㔹搳㌸㠶㝢昸愴㘷づ㤹㈵ㅣ扥昱㠵㕢攴㑤㤰㜱攲㜱愸㜶搰㤳扡愴㜵搸㥥昷㜰昲敢戵㘷㝤攴慦㡡㐹㕣㤶〷昸挴慡㜲㍤〴戹㠸㜵ㄲ攴㍦攴㠳㔷㑦昱㡥㘱〶攳㠷昶㠳㘱㔳㤲慥㐱㡦㕡戶㌶捥搳晢收㐲㕣昳㡦昰戲㑣敤慢挸挱㑢戴〹㝥㕣ㅣ㠱ㅣ㘸㉦昷挲摥㥢戵㜴㈱㐳㄰㤳㕦㐱㕦昳㡦戹㜸愸戶搰晢挰㜱㔱晥〹㙡挲搳ㄴ㠵㌶㘶搰捡戵㙦㡣㐱摦っ㐷戴㝤㤵搲搷挷摤㍥㌱昱晣摤ㅦ扥晢㔷㈷ㄳ㡦愳搰捤㍥㔰慢㝡㥤扣挵捦㜱㤳㑥扥慣㉡攷㠳㤵晡㈷戸㠸扡昱ㄹ㠲晣㉡㍡昱㔵晣㘵愹㡢㕡㍥㥦〲㈲晦㤴攰捦〰㔲㔹慡愳㙥昸ㅡ㄰㘸㈰ㄵ㤱挲㉢㐹㤱戸㜸㑦㐷ち㝣㥤ㅤ㐸㠱挶敥晦㠲㔵㕡㕢昵敥〵㜵㤶ㄴ愸敤㐹㔰㉤戹㉦昹㤷〰戵㜵〹敡㤱㔶昸㜱扣㠸ち晦戳愸㐸挶㑤㐱摤搲つ㘳㔱挳㘱摤㈰〴昵㑤㌷散㡤ㅡ㈶㔰㈱扦〹㘰㔰昷摡㡦㈹㑤ㄲ搳㜴㘰攰㤷〲搲攱㠵ㄲ㠵㈷攵ㅣ愹㔴挳て㑣㑣㠷㤹搶捡㤶愸敦㔰扤捦搶㝡㑤扤敦㐰扤㑡㡦戹㌹捣㤸昰㜳ㅤ㜶ㄹ㙡㑣扡扤扤㐵昷〷搵㐹昸搸ㅤㅢ㥢㠹摡〲改㉦㤲攲慡㍢㈶挳敦愶扥㠵㔱㌴㝢㐲搶㌱㕤㌴㈸挰㔷慤㔹㌴攵㥢㍣㔷㝤㥢㉦愷㕡㘸㜷昰㌷㐰㙡㝣捦㝣㌵慡㑤㔲㤴〵㠵㔲昳㜴㑦㥢ㄴ㔰㔰㜵挳敥㌶㈹愰昰敡㠶愱㘶㈹昸㕢㑥㐶㐱愶㈴挸扦〳〸昷㕦挷㜴㔱㔰㝣㐹〳昹っ㠰愰攴敡〵㝥ㄷ㐸㝤㠱㤴㔲搶敡〵㘶㈸㕥㘷搹扣㉡ち攷㡡攷捥扤㥡㐹っ摥㤲㜸摦摤改㐷㥥晤挶㜳て㝦攷㠳㠷㝦昸晡愳㡦㝥攷〷て㍦晤晡㔷㤶て㝦晤昱挷扦昶摥捦㍤晤摣㔶晢戱昸㤳慦捥㍤昶攰攸㠵〷ㅦ戰㑦扦晢攸㠳昷摥㝦㙡昴攴㤶愱㥥㥥摥摥㜷㙤晢昳㥢敥捣㍥昴挰㤷挵㔳摦扤戱㘲㤰㐳㔷挱㕦慥㘸㤳捣昸㝢っㄵ㥡㈳㐰攴㍦戰㠴ㅦ昷㥢㈵㘷㈸㡡昲㝢〴摦〷攸㡦㘷㐸换户㜲换㠲㑣攱戶攵㍦〲〸捤ち㤶晥㠹㈵晣昴捡挸ㄲ扤戲㘷㠱挸㝦〶攸㡦ぢ扤ㄳ㤶㥦〳㘰㔷晥戲摣㤱敥晡㉦㐰㘰挸戸ㄷ㉤㈱户㐵ㄲ㌲㠵㡡㈴㌲㝢摣㥦㙥戸㌵㙡挸愲㐲晥ㅢ㠰搰㉢㘱改㠷㉣㐵扦㉣㔷愴㘷晥㜷㈰㤸昹㔹晣搳ㄳ摣搸㌶㌳搷愷ㅢ㜶㌴捦晣〲㙡戳㕣慡㥥攳㐵㈰㠸て戸挸㉥㌷㔰つ攷昶晦挲㔲晤㐷㐴ㅤ㈱敢ㄸ㠹㈵〴戹愲㌵昵㐷㐰戲攴㡡㈶攲㝦〲〱㈳挸てㄲ㔲扥ㄴ㌵㠸〶ㄶ㡥㈷敤昵昸ㅦ〳㌱㐸晢㉥㜶慦昵㤲㥥㈷换㝥㈷扣㠳搳㠱㍢扥搴愴㍤㕥敦㉣戶戲㝡愸愵㙢㉡慣㈲捣㠴㘸摤㙢昴㐵㑤㜴㌳㙦搶㘵昴㘲㔷晣㈱晥戸扤扢搷〸㍤挶搵昵㡡摣挵换㤸㌶愵挹㈶ㅢ㘸㐸㐶㜲㐵慢敡㝦〱ㄱ攴〵㤵㐳搶て戸慣㈰㑦㐸㘰昹ち㐰㌴㑦〳つ攷㈱㥦昴㍣晦つ㐴㤰㈷敢收挹昰摤㝣㑣愱㕦〶㑣扥ち㔰搳挶っ攷攴㘳ち㍤〹㌰昹㍦〰戵昶㉣㍢昳㙤昲㌵〰攴㈰搸愸换晦慢换㠲搵㝡㥤慦〳㐹㤱㑥㐲㌶㔰㕤ㄶ散慡晢晣愴搱愷㠱敡㍥ㄹ㡥改挱㡦㈵㍣捦㑥㠴㕦㘱㍣㍦㠱〴㌶㥥ㄷ㈷㌲ㅣ搱戵㐷摦晦〱ち慢㈵挳</t>
  </si>
  <si>
    <t>㜸〱捤㔸㝤㜰ㅢ挵ㄵ搷敡换㍡搹㈶㈲㥦攴㡢㠸搴搰〶㈷㈲㡡㙤攲〴㐲㉣㑢㤶攳挴戱㡤慤㌸〵愶㈸㘷㘹㘵㕦㉣改捣摤挹㡥〳㐳〹㘵〲愴戴攵て㔲㤸㐰改㐰〹㐹㕡愶㤴〴搲愱〴㈸㌴戴ㄳち㘵㍡愱㝣っ㌰㑣昹㘸㠷愱㉤㠵㑥愶㉤戴㑤摦㙦敦散㐸昶〹㐲㥡捥㜰㠹㥥㜷昷摤晥敥摤敥㝢扦昷昶ㅣ捣攱㜰ㅣ愷ぢ㝦㜱戹搱㤸搷㌳慡ㅢ㍣ㄷ㡡慡搹㉣㑦ㄹ㡡㥡搷㐳ㄱ㑤㤳㐷摢ㄵ摤㜰搱つ摥愴㐲㝡摤㤳搴㤵慤摣㤷ㅣ收㥡㑥㌷㜹ㅣづ㥦㑦㜲㤲㝥散ㄷㄸ㙢㐸㤸㈵戹㐹㔴搱㕤㡥㐴戴戹戳㙦㌳㐱昷ㄸ慡挶ㄷ〷㝢㑤㠰㔵攱㜰㈸ㅣ慡㙦〸㉦ぢ㉤㕤ㅣ㡣ㄶ戲㐶㐱攳慢昲扣㘰㘸㜲㜶㜱戰慢搰㤷㔵㔲敢昸㘸㐲ㅤ攴昹㔵扣㙦㘹㕤㥦㕣摦ㄸ慥㙦㘸挸慣㔸搱㔸攵㈵攴慥㘸昳ㅡ㥥ㅤ㈲扣搳㠵㕡㐱愸ㅤ搱收㉥㡤㘷㑥ㄷ愶〷慢ㄱ㡥昱㤴㠲㘵攳㕣㔳昲晤愱㘸㌳晤㉦㕡ㄵ敡㉤て㜵昶昴昰扣慥ㄸ捡戰㘲㡣㘲攵愴㕣㘷慡慦㔷捥ㄶ戸㌷㈷㑣昲攵㝡㘵慤㐳捥昱敡摣〶㥤㜷换昹㝥㡥㥥㈷搷㕡㔰搲㙥摡㑥搷㈲扢〷㔹㡢ㄴ敡㡣㌶㐷〷㘴捤㌰㈱改〱ㄷ搸摤㉤㥥ㄴ㉡㌲㐵捣ㄱ愳㔸ㅥ㔶㘹㌹っ㥥㈹慣昴挱㔴㠹㠴搷㑦㘲㕡搱捣愰㤸ㅡっ㌳昷㌱㜲扢攲㠹㤵㜴愷㌳㈹㍢㤳㝤捥㘴捡㤹㑣㍢㤳摣㤹捣㌸㤳晤捥攴㠰㌳愹㌸㤳㥢㥤挹㐱扡㘷散昲㔵㔴㌸慤慢㈳摣昵摣挶敦搷㌴摤户㉢摢㜶㜰摢昵て㌲㜸㥡㜰戹㉡㙡㐸搵㈴扣㘷㤰戰㌱㘴ㄹ㘳ㅦ㤲㈱㌰收晤〵搱㠵扦㍡昳㠲㡥ㅢ㡣㌷㝥昸晣㜹换摦慣ち搰㤴づ㕡愱㔰〷㌷㑥㤳㍢㜹戰㌲㈷扦㈳㌰摦㤳㌳㌷㌴挶昵㤴㠴摤㙥换愷昹ㄶ㉦戵挸ぢ慡㜲㔱㌵㙦昰㉤㐶㑣㌶攴㡡㕣㤷慣昱扣㈱搱㑤戵㘲㤶搹挲捣㙡㌱㌶㌶摢㙦昵〸㈱㈰㥡㐵㈸㤵㘲挰㐴㘲㐴〷㉥户㈹㝤㕥㍢㕥㔸㈳敢〳㠶摣㤷攵㌵ㄳㅣ〷敢㐶扥扡挱㔰戲㝡㠸㈰㕢㌵戵㌰㠴ㄵ㍤㕤㌸〸㜷〹敥攵㥤㑡㐲戰ㄸ晥搲〳㥡愴㘹昴挷㉦㤴ㄲ㤴戴戹挷愱㌹愱慢㥡㐵ㅤ㌲㌱愶收㘴㈵㝦㥡㌶户敡㉣〲扤搴㡡㠵㤸㈶㡦㔰㕣㥦㠰㈶㔲挳扦捦㈶㌶攲戵㑣㐳㘶㜹㈶ㅣ㑥㌷㉣㤵敢㘴て〲改昳挶攵㜴㥡㔳㤵摢愸攴搳敡㠸〸搴愹㌹㡡㐲ㄱ㝣㠹搱㈱㉥㠶慡㌲〹㔹敢攷ㄴ晣㕡㕢㙣㝡㈶慡㙡ㅡ捦捡〶㑦㡢〱㤰晤慣搲㐱㍤慥愹㌹㡣捦㙢㤶㜵㝥㠲〴㙡㌳收㠳㥡搵㐲㍥慤捦戵㔷昶ㄸ〴㍤㘷愲敥〴挸愴㘹㍤㐴㡣㕣ㄷ㤶㥥㍤㜱㥡㜰晥挸ㄶ挵㔴捦㥦愰㈶㙡㔴晢捡㙢攳ㅡ扦㙡㕣㍢挹愲〸㘵扣㘱づ晤愴户㌴㔵愶㕤㐴㘴慡捥昳挲扣摡㕣㤷㤲ㅡ攴㕡て㐷扥攴㘹昱慡㌳愰攲ㄴ㡦㈹慥搷㜶㘲改㠹㥢搳ぢ㡢㐷㌳㉤㕢っ㑥搱㥣㈶㝢㈹㘷ㄹ愳〹㐴搲捣㤲㕢捣㘷㤲㘲㜶挹㜰㕣㑤ㄵ㜴㐴慤愶㘶㑢㌵㤱昴戰㑣捦㑣慦㔷搳摣敤㜶扡ㅣ㙥㠷ㅢ㤷㠳㜲㠱㡢㐲㜹改㠴㐰ㄵ㠹〷搸㝡㌱挳ㄷ㜹づ㈸扥敥愴㈶㤵扡ㄷ收搹㔱挶㜸㈹挱捥㉡㡤㤵㔰㌷慤ㅥ慤㔲㤶㈳㤰㥣ㄳㄹ愵挸搰ㄳ㕥㠳㠷搸昲愹昹㐶㐵㙢〶扦挵摤㕦㈹晦㉡〲㜶摣㌳晥扦㌷㍢㥤搳慣户㙦ㄹ㈶捥㕥㈳攷搳㔹慥㝤晡㝡挱㈲㘹㌶挴ㅣ㠸戹㄰昳㐸㌰捦摢挴㜰㘵㔷ㄳ搹㤰㙤㘱愳㥥ㄱ㈵㙤っ㜸〷戸搲㍦㘰搰ㄸ㤵㙢㍥ㅦ㤶晡づ晡㘵改昷ち攵捣㡢㔰戳㐹㘷㐳㉣㈰攱昷晢ㅤ㠲㐳扤㝥改ㅣ敡㝢ㄷ㤲愸㘸攵㜹㑥㌵㤹㥦㌱㘴㈸㤱敤㤱㕦㈷㤳敤戹㌴敡㤷㍥㐵挷㤰㥣㐱㜰搲㈲㠸昳㈱㙡㈱ㄶ㤳㘰散㈸扤ㄷ摥敤扢搴㔳攸昷㉡㔹搸㈴㉣っ攱愶ぢ㐸ㄴ㕢ㄸ愶扥㜷ㄹ〹㕦㔴愳ㄲ㔵㔳㘴㍦㜳㈳ㄹ搸慤敢㜸敡挲戲晡摢㔵㌹ㅤ㤷㔳㔴㤰㔶㔸攵愸㉦慡收㠶㈸愱㙡〱摣ㄹ愵㜰愲㌰ㅤ㔶搲㕣昳㘱愰㠷㙡㕦㌷㔵愳扡㔷㤰㤱㑥㤹搲攵昰㜸㉡㝤㜶捦㙡ㅢ挳慡戱㌶扤戸戶㙥㥢㠴晦愷㑢ㅢ㔷攳㉤晤㝥㔱挵搴㔱㔳慡㈷攱挱收㝦敥〰㥥㐲㤳㘶收㝡〶搴㤱㌵戴昳㕣㌷慢㍤ㅤ㑢㌴㙢昲㌰㘵㝥㌹㌷㕢㡣户㙡㥣㌸㕢㑢㄰㜵㠹㜷挴㡣㌹戶ㅡ㌱㘹㡥㠸㥦㈲收愸捤昴㉡㝣〴昹㘶挱㘴ㄵ㤵慢搱㠲㙥愸愲㔰㌹㝢戲㍥愶㜶愸㐶㑣搱㠷戲昲㘸㡤㡤摡搴㙣ㅣ攰㜹愲㕢㡤㔸昷戳㙥㔲㠷㠶㜸摡挶挶ㅥ戵愰愵㜸㕢散㡢㐰搸戴㔳收挵〴㔷㌳ㅦ昳㍡ㄹ㕤愷挶ㄵっ敥攲戸㝡晡㡦㕢㝦扦昵㠶搵㕥捡〰捣敦㤷ㅡ㘸㡣愲摡〳づ㌹ㄵ㕥㐷戴㔶㤷㔴ㄳ㌳㜰昶㔸㑦攷㌵㘵㈸换㥢㘵㡤㥣㕢搵㜴㈹㌷搶㌴㥤慦攸ㄴ㘰㐶捣ㄷ㘱挱㈹㌹㥡㘹㌱㔴㍥㉤ㄴㄹ㉥晣㄰づつ捥㘰搳㈷攴㉦昱摥㈰搴㔳摣㉦捦戳㐴㜵㥦搳㄰ㅣ搸㉢㠶㜱ㄶ㐸㈶ㅤ㍥㤸㠵㡢㜹㡥㄰㤴慤㝤挸〶敥㍣捥㠸㘲㤶㝦㌰慦㡥攴㠵攵ㅥㅤ㈵ㅡ〰愵㡡ち扣〶慡㙢㜱㌵㤸慥〳慦㐱搲愹戵㕢㉢戳㤴ㅥ㍦挴戶愵㈹慢㔹愷搶㉡㥣㕡ㄳㅡㄷ㐷㔳㥦攸搰ㄲ㔶攷㌶慡摡㘰㥦慡づ攲㠰㜳㠶攸改〳㥣ㅢ㌸㐶㔶收捣戳㌰摡攴晦㉥㔷挹㔱搱㕡㜷㈸㔱挸㥢〹㙡〵戵㕣㜱㉤㈵㝡散ㄹ㝡㝦㥣敡戶摦昰挶戱㔷愲昱搸㡤㌳敦㝥敦摦挷慢ㄶ戲挳㤶㈲昷㝡晢㑦㥡捦ち挴㜶㍦挵攵㘳攱㕢㝦挳㐴㈶〵摡㉡ㄲ㌸㕤攰攷㐱㈶㍣愹㑡〴㘷㥢㈹㤹㜱㔶㑢㈸㐶㤶㔷㘶㑣㠷㐱摢㤷㈱㥥愲㉡㌱㕤㤱㐹っ搰㕡挴慡㌳慤㥡㤲捥㉡㜹づ㠷愲晡ㅢ〷昱㜶摥㑦ㄵ㘱㤷㡡㐳扦㥡慦捥㈴㌴㌹慦㈳ぢ攵㔳愳㔳㑢㝡㈲㠶㍣㤹㘶㈵慦搳㘳〴㤳愲㍤㈵〳愲愷晤㉣攴昲慤昲㤰晥㐵〸㌲昲㥥戱换愴㌵㈷㜳㍡㤹捦改㍢挵㌸㜱㜸㉦㈱扣㌹㐵㜱戹㌲搸㤳ㅡ攰改㐲㤶〷扢ㄵ㥤㍥ㄳ㄰㍥挸捦㠹㘲〰㈵〲㜹㉥捡㤹㤳㉦ㄵ㘱㜲㤵昸挶㘲搵昰㉥扢扣㍥㕥换㡡搲㙣㌵捤㘱攷㐰搰㑦㙡戲ㅡ攸㌰ㄴ㐲㈸㐴㈶㘴昶〸つ㐹捤戸〱攵て㉣㘶㈲攸㈶㜲㜶㤴㌴昴づっ昵ㄱ㜸㥢ㅤ㈲㉦〶㕢㔰㥢捡愴挷愸㠵㠰户〹㔸㠶㙡㑡㔴㡡㌸〹㑢〸ㄲ㌳㐰㝥㑡昷摢〶挸㐱㑢搱昸昱㍢改挲ぢ搱昶晢㍦㥥戲昷㤵㡦づ扣捦㐴㐹㠶昹敢㐸愰㙥挳㡦愱㄰㐳㤰㌸扣敤㈴㘶㤶㙣㑡㔴搵㡤戲ㅢ挲㔰扤㘱㔳愴昵㈴ㄸ㙡㌷戱㙥ㅤ㔶〳㥤〰㑡ㅦ㔴㐲摥㑥ㄲ㘷㐴㥢㤳㐵ㄵ扤户㡢挶捥愴㌱㤳㉡挶ㄸ㈷㠰㑡㐹搴㠸挸㔴㔲㌷〹㠶㥣㈷挰㝢慣㠶〰㐷愰㡢攲㌵㐱つ㘹〳㐴㉦挴㐶㠸慦㐲㕣㐶愲摡挹挴挶愲㝦㌹㠹戱㉢搰㐴㉤戰愹㜴〵㠹㙡㔷㈰㐲㝦挴㜳㘱慢〴攳〲搸㕡㌱㈴捡摣㈴昵ㄸ戶㔲㤸戲挹㙡〸㔳戰愴㘰㄰㐹㠶攸㠳㐸㐱愴㈱㌸㐴〶愲ㅦ㘲〰〲搵戰戴ㄹ㘲㄰㈲ぢ㤱㈳㔱敤㘲㘲㌹搱㉦戱ㄶ换㉡慣㔵捤扢戰㉥昰ぢ敦㄰晡㤱㙣㌶㌸㐶挷扡昷㉡っ㤵㝥ㅢ搴㘸攸摣愵昴ㄱ㈳扣㘴挹㤲㘸㑦㜷㈴㤸攰㌹慡捤っㅥ㡣㕦戶慣㉥ㄸ敢㡥挴ㄳ愱㉤㔹㝤ぢ晢㤶攵㐰愱㥤ㄷ㑥㍢㜳晦㙤昱㠳晤搳晣晢ㄶ戵㉣㘷户㔸㡡㠹摦敢〲搸ㄵ㘱㕢〱て㜶㌱散挷戸捦㝡㐷愸攷㡡攸㌹搳㙦㙦戴㐰㥥昶㡣摥摢戸摤搱昴攸扢㡦㑦慤㌸昲㝣ㅤ摢㙥㈹昶昳㥢㙥㝦㈲昰挷戵㍦慡晡慤㜶昷㜹㡢㕦㘳搸搸㜱㌴〹㘸㈶搲㌷捡㈱㕤㙦㈹扥㔷昹㠷て㍡捦㍦摣㝡㥦㝦捦昰摣〳㙦㙤㘳昰づ㍢愴慦㤷㐳扡搶㔲㝣攴㝡攸愱㜵てㅦ㕤昷挸㡡㘵㍣㜸㐷敤㕦ㄸ㕣捣づ改敡㜲㐸㕢㉤㐵晤晤㡦㕥㍦㤴㌰㕡㝥㌰㘳搷㥥㕤㠷收捤㘲昰㔳㍢愴㤱㜲㐸挳㤶攲㥡攸㑢搷愶ㅥ㍣ㄲ㜹㜲摤戱㠶㔹〳㤹てㄹ㥣摤づ㐹㉦㠷愴㔹㡡挲慥㡤ㄷ㙥摤晢㔰挷扥搰慢捡散㘳㡦㉦て㡣㌹㥥攷ち㠲扣挸慥㕡㤸㜴㍣慦㥤昸㉤愴㠵扥㙤㡣㈲㜶㕣㜴挸昲㠸㙣攷㜶慥㍣㌵慣戱㡡つ㉣敤戹㡡慣晥ㅦ㜰㄰慥愵〵㤷攰戰㕢㘹㤸㈱挰挵ち㈲愶㈴㐴㤱㠴戸㘱㔹㙢愱㈶㐵挴愰愵㤸昸敤㌹戰㠹愶㠹㠸挰挹㤷㈲〲戴㘰户㌷ㄹぢ㘰㔲㌴㜰㑢搱戱晥挰㉤晦晣攰攵昶㍢㕦㥡晦晡㈳攷㕣扣㠳㠱㕢散㤰晡捡㈱挹㤶㘲捦〳㜵㤹搷㥥㝢戱攵㥥摢㥥搹ㅢ㜹昹㥤攵っ〴㘵㠷㜴㘵㌹愴慦㔹㡡㑤挷㌷扤㕤ㄳ扡㝣捤㡥㕦敦㝤昸㘲摦扦㡥㌲戰㥣ㅤ搲攵攵㤰㉥戳ㄴ昱愷㌶㘵敥㤸㝦㝢摢㤳ㅢ昶散晣挵挱㥢愷㌰㔰愵ㅤ㔲㙦㌹愴つ㤶㐲㕡昰戳㥡㜹扢愴搶㝢㍥㝥攱换扢扦戴㘸㉥〳摦摡㈱㜵㤷㐳扡搴㔲摣ㄶぢ昹㝦改㔹戰㝥㥢㑦晦收戴ㄷ㠳晢ㄸ㐸摢づ愹愳ㅣ搲㝡㑢昱㡦愷㥤㔲㘰昷搴㡥摢㔷晥攷㜷㙦㉦扤敥ㅡ〶收户㐳㕡㕢づ愹捤㔲愸昷㝣昲户戵㠳㝦㙤㝦㜰昳ㄳ㠷㌷扣戳晤㈶㠶昴㘱㠷ㄴ㉦㠷搴㘲㈹㉥扥昲摣挶昸㜷㝥扥昶摢昷㍥搶晢昸㝥敦っ㠶ㅣ㘴㠷搴㕣づ㈹㘲㈹㜶㍥㕢昷㐸㡢摢搵㜴攸挸愱㜸攳愱挰㘱㠶㐴㘶㠷㜴㐹㌹愴㔵㤶㘲㜶晢搱ㅤ㉢㍦捣慦扤捥晢敥㥢昱㈵㉢㌵㠶㙣㘸㠷戴戲ㅣ搲ち㑢戱捡㜸㙢㘶㝤捤㕤㉤㌷捦晦㝢㘱晢捥摤て㌰愴㔴㍢愴ぢ换㈱㌵㔸㡡㥢㙦㍡㜰敦㡢㜷昹㈳㜷㍥ㄳ㑣敦晦㘴敡㥦ㄹ搲敥ㄵ昴㘳昵㜴〷㌸㐸搰挶昳ㄸ㐱搶ㄳ慡㘵㤶ち㥣敥㜳㌲て㐸㘵攲㈱づ摦㥤攲攰挵〹㥦昳㉡㉢㜱㘴摢户晡扤愶㙢㥢㜶㐴ㄸ㜸㐳㘰㠶㑢㌱ㄹ㥥〸摣戱㍢㉢晦ぢ㌶攰㠶㜳</t>
  </si>
  <si>
    <t>㜸〱敤㕣㝢㜸㕢挵㤵搷挸搶戵㐶戶㘳攵挱㥢㠲愱〹㡦㍡㌱㤲㙤搹ㄲ攰㈶㡥㥤㠷㐹㐸㐲㥣㠴戶㐰捤㤵㜴㠵㐵昴〸㤲㥣搸㙤户戰㝤搱〷㠵㝥㜴㜷扦㡦ㄶちㅦ戴戴戰㙤㜷㘹晢戱㐰㜹散㙥㕦散㉥㤴㙥㑢㑢愱敤昲㈸㝤戳㉣㝤㐰改搲㤶晤晤捥扤㤲慥ㅥ戶搳㌴昹㌶㝦昴摡㍡㥡㌹㜳㘶敥戹攷捣㥣㌹㘷㘶慥㍣捡攳昱扣㡡㡢摦扣㕡㤹㌸㝥㘲戶㔸戲戲扤愳昹㑣挶㑡㤴搲昹㕣戱㜷愴㔰㌰㘷㌷愷㡢愵ㄶ㄰ㄸ㤳㘹㤴ㄷ㝤㤳挵昴㕢㉣晦攴㕥慢㔰〴㤱捦攳昱晢戵㤷攵捥㈷㔸捥㘸搶搲慤〴愰昲㘸ㄲ攸㌶〲㍦㐰㠷〶搸㌱扡㜶㙢晣㔲摣㙥愲㤴㉦㔸㉢扢㜷搹㡤づ㠷挳扤攱摥㠱㐸戸慦㌷戴戲㝢㜴㍡㔳㥡㉥㔸挳㌹㙢扡㔴㌰㌳㉢扢户㑤挷㌳改挴㈶㙢㜶㐷㝥户㤵ㅢ戶攲愱晥戸㌹㄰つて㐴㈲愹㔸㉣摡ㄱ㐰换㕢㐶搷㙥㉢㔸愹攲挱㙡戳㥤㙤㙥ㅤ㕤摢扢挵㉡ㅤ慣㌶㍢搰㈶㥡ㅣ换㘷捤㜴敥㈰㌵敡愳搰晢挷慣㐴㥡摡戱慣㐲㍡㜷㐹㉦搸慥ㄱ㌴㜲㐳扤敢㈱昱㠴㔹㉣㡤㕡㤹捣㜶㉢㐵挵㜴㘴㈹㌳慢㘰攵ㄲ㔶㜱㔱㜶摤㑣挲捡㌸挵㐵㝦㜶㤷㔹搸㘲㘶慤㔶㈶扡戲戶摥挶㤳㔶慥㤴㉥捤㜶㘶㜷ㄶ慤敤㘶敥ㄲ㡢㈴扥散㠶改㜴戲戵㔵戵戶㝡㕡㑥㙤挶㡣攸愶㜷㝤㈱㌱㍡㘵ㄶ㑡㤲愳搶挲捤㘸㕤㍤㐴ㄸ慦㘱㡢扤愸扢慥ㄶ搵㌴㤱捥㙥戲ち㌹㉢挳㥢㔰㜹㍤㜵㐴㈲ㄳ㕢昴ㄵ攱㤴㥦㠶㡡㔱敤捥㠰攰愳昰㉥扡㤳㘰ㄱ㠰搱〵㄰ㅣㅥ搹戹㍣㍣㜴捡挹㘷㜶㥦㝣捡昲㤱愱戰づ戲㝣㌱㠰㙡㝤ㅥ愳换㕤㥦っ㜸㈷㑤敦㘴摣㍢㤹昰㑥㈶扤㤳㤶㜷㌲攵㥤扣挴㍢㌹攵㥤㑣㝢㈷㉦昵㑥敥〶㑤昹昲户戵㜹㥤㙢捦㐳昷っ㝦㝡搷敡つㅦ㝥昶搷㕦扢攲㡢愷㍣愷㌸愰㘴㘴㉤㐵㐲㉦〳㌰㡥〰愸攷㈷慡㡦㘴昹㔱〰㑡晤ㄴ晣㤰愷㤹敦摦戶散㠲㔸改㥣㉢㝦㜵敤㑢㍤㡦㍥㝦㥢攲挰㤴挶㡥㈱昱戱〰挶㜱〰昵㡤昵敢攳㔹晥ㅡ〰愵㥥㜱ㅡ摢昶搸㡢㝦㝦搱扢㤶慤扢攱〴晦搵㔷㕦㝣晡慤㡡〳㕣ㅡ㍢㤱挴摤〰挶㐹〰昵㡤挵昴挹㉣㝦㉤㠰㔲摦㜷ㅡ扢昵搵晢㥦晤攵㤹搷㙣戸攳慤昹ㄵ㑢㕥搹㜷㡥㘲㝦㤴挶㔶㤰昸ㄴ〰攳㔴㠰扡挶〶㘳晡㌴㤶㥦づ愰搴㜷㥣挶㉥㕢搴晥昱㉦㍤晤㠱㜵㔷㙤摥昱㑡改慡捣㜳㍥ㅡ㥣㐸戳づ㔰摦户㐶㡡挵改散ㅥ㕡㍦愷摦戳愶捥㡥ㄵ㑢摢捣㐲戶㜸㜰〷〸㠶挷㐲㈳㘴愴㤸㍤昴㈳〴㌷㌹㈸㈳挴攸㠱戰㑥摤㤹㑢愷昲㠵散捡㜳搳戹攱扥㠱㠱ㄸ慥㕥㝣㔶㥥㙢捥って挴㐲扣㝡㐳愱戰㕥㐹挹慥〲㌰㝡〱㡥ㅢㅥㄹ㜳つ愷扥搰㈹㈷㜷慦攲挸ㅡ敤ぢ改㌳㐸ㅡ〲㔰敡ㄱ㐷挵㉢敦㜸攰挱㈷摦昲捣摡昷っ㝦攴昶㑦晣㙣昵愶㡥㍥ㄴ㥦攷っ搹戱㠲戹て㜶慦㙡㔲㌱㡦昰㙦攱戹〴㔳㐹㉡㤲ㅡ㑡㠵挳挹㐸挸散㌷㝤ㅣ昴晢㙢挱㌸ㄶ㍢㔲攷愷㜳挹晣㍥㌱㘹ㅤ愹昵改㑣挹㉡㐸愶㉢㠵㉦摢㉣㑢扥㌳戵㙥〶昳㔹挲戶㝥换㔲愳㔶愱㠴㜹愰㌴㕢㔵昸昱㙢捤愲㔵捤昶㌸㙤慦捤㑦攷㤲挵攳㥡ㄷ㑥㤴捣㤲㜵㙣㝤㔹戵㤱㠶㙡ㄳ㤸㈳慣愲戰㜴㐲㝤戵㕤㘶㘶摡ㅡ㤹㐹摢挵慦愹㉢挶㙣㤱㡦捦㕤扡扥㘰㕤㔶㈹㙤攰㘸〴㍥挶㕥㘹扢攱㈹敤㈲㥢慦敥搱愹㝣搱捡〹㝢㍤搹㙤改挴㙥慢㌰㘱搱㐳戱㤲昲愸㐷戰挸㤹戲㝡戶收昰愰㤸㠴㤲㈷扢戱ㄴ戴㤵㑢㕡㐹昰扢〷㔲㥥摤㘱挶㌳搶㤱㌵㈴昶㍤㔱㜰㑣つ㝡㝤㍥㌱㕤ㅣ捤攷㑡㠵㝣愶戶㘴㈴戹搷挴㌴㤹㍣㌷㥦戴㕡攵昲搸㔰㜹㕡㕡㤴昲㥣搶捣摣戰敤㈲㘷㈴㔷㈷攱扣㌷㍦戱慢ㄳ㤱戸改㑣㔶㘹ㄹ〹㔷㈷㈳晤改昳㜲攲敥㠴愴づ捤㑢摤愴㤳戲搲搱戵〳慦㜷㍢昴〳㍤㘴㉣㡥㑡敦昲戹㥢慣昶换〵㌸㜵㘹㠵づ㈹愹攷ㄱ㥡㌴㕢改㝢㠷㤶搸敢㕤敡㍣晤扡扤㜰㠶㌶㥡戹㘴挶㉡捣敢㑥㉢㜲愴晢〹〶〸㈲〴㠳〴㐳〰扥〷㘱攳收㤴㈸愷㝦㌵愳㘶㝤晢搲挹搲㤴㌱㘵愵㉦㤹㉡〱〷㌷摣敦愷戸ㅢ㉥ㅤ〳㑡㥦㐹㜰ㄶ㐰㈰攰㌱捥㈶㤱ㄱ搰挳晣㝡㍤㐰挷挸㜴㈹摦敤昴㠵㠰昲搱捤昹搳㥤㌱㝡晥㕡㝣㍦㌸攷㐵㕦ㄶ㉥㘶戱愵愵㤹㈸㌶㥡挵愹ㄲ㐷攱扣㠵攲㜶慤㘶愳㙢〰㍡㐶〰戶㙣戴㌲ㄸ挳〷换慦昷搱㘹㕢搰㝦㕣〲愲㈳戳ㄳ戳戹挴㔴㈱㥦㐳昸㌳㘶㤶捣㤱〴㥣攴愲㌲㡤散收晣攸㜴挹挸㙥㑣攳慢㈳扢摤摡㘳㤹愵㔱搸攸㔲㘷㜶㌳ㅣ㙣㌱愲攳挹ㄹ㕦搶昶㡤挷慣㘲㐲搳㠹ㅥ㠷㑤㥡㌱㤰㠲㤱敤挸搲捡㔸㌳㈵㌶摤㤶㠵户㠱扥愴㐱搴㈳戵散ㄴ㙢㜶ち慥㕣㍢攰攴搰㐲㔰㤲慥㔶摡〵㘱户攴㘱户挱昴〹㥦慡搵㠱昵挳㘷㘷㈹㥤㈹昶㍡攲敤ㅤ换㈳挸戲㈴〰愴搸つ〳扤换㤸㔷㔹昵愳㥣㕥昸搶㐴摣㙥ㄶ慣㙣㈸攴愷昷搰捦㌸㔸敤戰㉤㡦㕥ぢ㜰攳㉦㙦㍦㙢挵つ晦昰慡昳㝤㌹挶㡦㕣㥡㡥扡㘶㘷㘷ㄶ㕦㜲改㜵昸ち捣㔷收愳ㄷ摦搴捣捥ㄱ㌰搰㡤敥挸攲㘹㜷ㄴ㉣㠹㠰晣㤲㤹摤㘳㜵㘶捦捦ㄷ㜶挷昳昹摤㔴晥㈲挹ㄵ愷㉣慢挴戰愲摤㠹愲㤸㔶㑡戵戴搴挴っ慥昸㠳〱㠹㌱づ搰㌹㤲挹㜴㤷㕢㉣ㅡ攷〰搵㠲改挴搸㠴挴㡡㄰摣㥣昰慡㔵慢㐶㈷戶㡦㜴敦戰戲㝢㌲㜰〵扡搷扦戱慦扦㝢㙣晢挸晡ㅤ扤㌳㤹攲㡣晡〲㐴挱㔸攰㕦㝤戳㌷㐷摦攳㔹㜳昷㡦敥㕢搲昶㙦て昷慢捦㍢〵つㄱ〷〳つ〹㝥戶㈰愱户ㄲ㙣㈳㌸㡦㘰㍢㠰晡っ慡搲㙡㈱㕤㝢改ㅤ挸敢㥤〴扢〰㘰㝢㐴ㅤ㌰㍤㙦㈰㡥愶㈷愰ㄴㅤ㈷㕡ㅣ晤㈶㠲ぢ〰ㄴ㠳ㄷ㡥㑤㡦扥㄰㘰㑥〵㌳昲㘹㔴昰㈴戰〱㍤㑦㤹㘲㔸㐴㈵㙢ち㔵㔳㡣㥡㈲㔴ㅦ㜱㘴搰㈰㥣敢㥣㠲㠶〸㡡㠱㤳〸㘷㡡㡤愴〹㉥㈵搸㑤㤰〱㔰ㅦ㥥㔳㌸㌹搲攴〹昶〰戸㠴㔳㈰捥ㄱづ㠳㌲ㄱづ慤扣㥥〶㔰っ挶㙣攱散㐵㙡㑥攱㌰㤲㙢ㄴ捥㉣戰〱㍤㑦㤹㘲㤸搷㑣㌸㔷捣㈵㥣换㥤㠲㠶㠸昰㐴戴㈴挲㜹〷㔹㜹㈷挱扢〸摥㑤昰ㅥ〰㌵㍢愷㜰摥㑢㥡昷ㄱ扣ㅦ挰㈵㥣慢㠸㜳㠴搳㡤戴〸攷㙡㈲慦〱㔰っ㉥㙤攱㝣〸愹㌹㠵挳挸戴㔱㌸ㅦ〶㌶愰攷㈹㔳っ㕢㥢〹㈷㌵㤷㜰㉣愷愰㈱挲㘵㘰㉢挲戹㥥慣摣㐰昰㌱㠲ㅢ〹㙥〲㔰㤳㜳ち攷㘶搲摣㐲昰㜱〰㤷㜰㙥㈵捥ㄱづ㠳㘶ㄱ捥愷㠸扣つ㐰㥤〶㘰ぢ攷㜶愴收ㄴづ㈳敤㐶攱㝣〶搸㠰㥥愷㑣㥤づ㡡㘶挲搹㍣㤷㜰㌶㌹〵つㄱ晢㑡戴㌴㑦摣㔵ㄳㄷ昳㠱㙡攲慥㠶㠸挲㜶户晦ㄲ㌷ㅤ㜶㜱㔳㙤捣昴扡〵〲㠵扡愸㘹㑥ㅦ㤹㙥昰㕦愲㡥晡㐵㝣㍢敡戸ㄳ戲㔱攳㜳ㅡ㤶扢㔰慣敦㈶戸〷挰㘵㔸敥戵戳㙡ㄵ扥挵愸摣㐷愲晢〱㝣㘷〰捣敦㐳㘳戸㜶㠱愸㤵ぢ㘹㥤搹㌱㉢㘵㘲㑤㕦晣㕥㘵晥㝦扡挵慤搸晢㜰昹挴昳㍦〴㜸愷换㘹搴挷搳戵换捤㔸〴㑦㙥戰㜲㍢攰晢ㄵ㐹㝥戰扣摤㠳搵づ㜹搲て〰㤴㉦摦ㅡ㜴㠶晤㝦㈶㠸换搳戶㤷㈱换攴愴挷捦搶㠸搱扤〴㘷〳愰戱㔷昱㈵㤷晥ㄲ扥〲昳㤵愹㄰㈸㉡㌳㠶昱㈰㜲㉤攸㉣戶㌳㌶㠸愶㥡㝡慡ㄱ愷愰㝥ㄱ搰挷㤰扡㍥慥㤱㠵晥捡昲㠸换㠴戰ㄷㅢ㈹㉣㔷㤶㡡敤㈹挶扦敢搳㈵攸戸㈳〵㠰愴㔴㌹㔶㔶ㄲ㕣㤵㝡㔲扢搲搶㍥㙡昷挴挶㈲散㠱㡣㑥ㄷ㑢㜹〹搹㑥㘸㉣ㅦ换㙦挹㤷挶搲㐵㌸收戳换㥢ㄴ摢㈵攷㑦㔹㌹㉣㙤ㄵ戰挲戵㄰㔱㝥捦ㅥ㉢搹㠴挷㠹晣㜴㈱㘱㡤㡦ㅤづ㡢㘳捡㡥㍤㍤〸㙦㌰搶搴㡡戹㙤扣㑢敥〱攸挶㡢㤰㐸ㅤ攰摡ち㝢愲㐷㍦㑣㠸㝢挲㡥改慦㈳〹㜳收ㅢ挰昷晣㕤挴戵摣挶敥ㅤ㐸㐱慤㌶慥搳㔹捦ㅤ捦ㄵ搳㐹㉢攰攴戰搰扤挸㐹㙥㥤㉥搵㤴㤸㌳㑢㥤ㄲ挴㙤㕢㜳㔰㝤挲㉣㈴て〷慤攰挱㜰搹㉡㔱〶晥づ㑣搰㜶㌳ㅥ捦ぢ攵捤攴ㄷ㉥挷㠰㝦〴㘸捡㍡㠲敦愶㘱㜴㘵㌸㈲攱㕡慤攴ㅣ搱㐹㜱㔷搰㝥收捥戵捣㥣㘸㘱愲㤴ㅣ戳昶㉥ㄲちぢㅤㅣ㕢㡦ㄹ㙢㘹㙤㔶㘶ㄵ㥤ㅡ㠹ㄷ昳㤹改㤲戵愸㤲㤲㠱慥㔳摢㉤㐴挵㔸㜹敥愸愴戶㈵㑡㔸㥢慦戴挷㔵攵挳㐷㐳㤰㐸慢愳㈵㈵㝡㌲收改扣戵て挱㌱㜴㠰㕡㠵㐹㑦挹昵晣㙡昵㤱敢㜸摤戶摡㔳㑥〴㜸㜹㝣㠳㘸扥㝥摡愸戵戵敥愵㘵㡥愴愵攵ㅤて摢挲㠹昱敡㈸攳戸慡摢㤹ㄲ扢㠷慤ㅢ敥扥㜵㜱攸㘴㜰㈴愰㤴㑥㤸㤹捣散愲搴㜸㉥㤱㤹㑥㕡㥢捤戸㤵㈹摢㙣㙣㌵ㅤ㈶晡㤲㘳ㄴ戶慥收㤱㡢㈳㤴㜱㥣愵㈸㉦㘴ㅦ戰㤹㔳晡ㅢ㄰慢昱㥦〰扥攱㤱㕤㐳㘱㈴〲晡㥢㠴㔰㄰搷㤲て㘸㌵㝦㐹㜵㉦㑡戶昴㘱攰ㅡ㔰戴㙣㕣摣慣㙣〸挸戸㜳㤱㙤捥㙦捥㘳戳㈶改㐲㙤㑣摢愸挳㘶㜴㠹戲っ挳㌸搰㘹〶〲挶昵㠲攳敦挰昴搹昹搵㤴㍦㌵挰㠵昷晡㘵㔱搷㄰ㄱて㐰㑣㈱㈳搸㉥摡㌱摢㝤搸㤱㉥㘵慣昶㤴㤴㑢摡捦㠱㐱㘹戶愵㜶㑣㘱㠹㜱慣㌳戵愱㤰㑥㘶搲㌹㡢慥〸㌶て㜹㡣㘲戳㜵〹戶戹戶攵㡢㘹㙥㘰㜷愶㜶ㄴ捣㕣㜱て㔷㤲ㄳ戳㑢㙡㜲愲㉣㕦㙡㙤㍡㠷㘱㘴摦㤳改慥搴挴㔴㝥ㅦ㑥〰㑤㘷㜳ㅢ捣㍤挵挳㐲㔱㜴㉦敤换ㅥ㕢㕥攵昵㉡扦搷㝦愰㌳㤶昱㉤戴㜶挲㘸扥㔸敡㉥ㅦ㠱改摥㜷㐶扥㝢㝢扡戸扢㥢挳昲捣㙥戸㤱戸慢㐴㤱〴㡥㌶戹㠳㌲捦挰愶㈲㥤㝤㐸づ㙣戲㕤㜳㕣愰改㍥㐸攵㠴ㄵ㡤戵㝥㤴㜵扥つ㜰捥㠶㥤攳搵摤敢㍦敢㌴㤴㡦㝢㍥昳捣ㄹ搲㜳㉡㕢㘵㕣㌳㕤㘴昷㈶攲搸戹戴㜴ち收敡㝢㘸㈰㈵㌴散慣㤸㘶㐹捥攴㝡散㘳㜴挰㌶挰㐶㐳扥㌰捥㡢散っ晤扥慣㤹㈹㍡㘵愳昹㙣搶㘴敦㘳捦㥤㠰㠱户晣攲㠴挳搸攸ㄴ㠰㜴㔱〷㘵捥〰㘵捥〸ち昳㌶户扦㈵捤戶昲㤷㤸㠵㜴㘹㉡㥢㑥昸㤹攱ㄶ昵㘱搱㙤搱㠵㘴捦〵〲攵㈵㝤ㄷㅥ㙤㝤㠸㘹㙦㡦㐰摤扤〸㌲㈸㍡慡ㅦ㥤摢㉢㤳扤㍡挰扤㐵㜴㕦〹挶昴㘳㘸捤攷〵挰ㅣ〳㠸换攵愹〱㈳㜶㑡㜱ㅢ㤰挵晡扢㑥㠲㤹㔶㤸戱愶愷〲㉢㝢㜷㍣愲ㄳ搸㥣㌷㤳敢㜱㡡㈱㕦㘸㜳㑥敦昹愱㕡㕡㥤㐲㤰㤴愳搸ㅦ挷扥晢㕥㌸捣〵㍦ㄱㄳ搸㍦㙢攵晥愰㘱敢㤰戲昱昸㝣敤晥㘶扢㑢攳攵戶㤶㍢扢㈱敥攳㠹攳つ敤㍦㜷㕥㜴㌵㥦㌶㄰㘸〱搴㡦ㄳ㍣〱愰搶〰昰㜹敡〸扥〷㤴晥㍥㠰㙦㉤㐰晤㈸㤹㜳㐷㡣㡤晢戲摣愹昳㘷昹㌸昰㑢っ散摦㘱挷て㈲㌱摡晤㈳㙣昶〷〰て㍦昴㄰㘵敢㔱摣㜲㉡摦㕦㈳ㅤ〸㔰㜸晡扦〸㥥〴㔰㕢〰ㄸ扤㡡摡㍣晡㘹㈴愱ㄲ㠹㕣㥥㐱ㄲ戳㠹摡㡡㙦㐶㉦攵换愵㐹捣晡㍦〴㥡㔴摢昰㑤扦㥢ち㕤挸㠷㔳攷㠱㡥㝥㥣搲捦〲ㅡ㍦〲㄰㐷㈲㡡㐴㐰晦㤸㄰㑤㙥挷㌷㥤〹晢㥡㜳扡㔳㍢㐰挰㈹捦愳㘹㘲㠵㠳㍡ㅢ慡㜶〲㑤㍢慡㝦捡昲㕤〰㌴㑦攰搵敥慥㍦㐷㝡攱敥捡慤㈳昶㔰晤ぢ㈷挱㡣㝡ㄳ㐰㔹挴慥㍥昰ㅣ〹晦㥢〴ㄷ㌴㈷㜸㥥〴晦㐳㠲ぢ〱搸て昴ぢ〰ㄵ搵㑤㈲㔳㙥搷愵扡㕦㤲昰㔷〰㙡ち挰愵扡摦㈰ぢ昶㐴㜵㉦㈲㐹〹愶昱㍤户敡㕥㜲愸㉥挵昷㝥慢㙥㌷㠸㙤搵晤ㄶ㈹攳㘵〰㔱ㅤ㌹〹攸摦ㄱ攲挶ㄹ㝣敦㡦敡㜲愰㕢㐰㜵㜹㤰㠸敡㕥㐱㐲敤〱愸㔱摤ㅦ㠰㔸㔸㜵〵搶挵㐷晦搱㐹㠸敡㑡挸㤴㐵散㔲摤慢㈴㈴戹㥡㙥㑥㐰㥢愶扤㈴搸ぢ〲㔱㕤ぢ㜲ㄵ搵捤扡慡戹㔴㐷㐷㕤晢㔸敤ㅤ㈰㜰愹慥つ戸戲敡晣㐸㔳㠲敦〴㙡㙥搵㘹㠷㡡扢㕡晢慤㍡敥㝥搹慡ぢ愰扡搱づ㈰慡愳〲〲扡挳㘹㤲摢㘳晢愳扡昷㠲㙥〱搵扤て㈴愲扡㐵㘸㕢扤ㅦ戹ㅡ搵〵挹〰攵㍥敦㈴㜱ㄵ〹昰搱㡢搹㠸㤳㔱㔷㈳搱㐴㜵㑢㐰愰㤷㤲昰㥡收〴换㐸㜰〴〹㍥〴〲㔱摤㤱挸㔵㔴昷㘱㔷㌵㤷敡㡥㘲戵愳㔹敤㝡㄰戸㔴㜷㉣㜰㘵搵ㅤ㠷㌴㔵㜷〳㔰㜳慢敥㜸㠷敡㘳愰摡㙦搵摤〸㘲㕢㜵慦㐱㜵攳〴〰慡㙥搰㔶摤㠹㑥㤳㌷㠱㙡㝦㔴㜷㌳攸ㄶ㔰摤㉤㈰ㄱ搵㥤㠴戶ㄵ㌷晢㙡㔴昷㕡㌲戰愰敡戸㈹〸㐲㡦㕥捥㐶㥣㡣晡ㄴㄲ㑤㔴户〲〴晡ㄴㄲ摥搶㥣攰㔴ㄲ㥣㐶㠲摢㐱㈰慡㍢ㅤ戹㡡敡戸㑤㔸㙥搷愵扡搷戱㕡て㠰敦㑥㄰晣〹㕢㍤㕣㍡搰㤵㘵㔷㔹晤愹慥戲㜶愶摣㡢慡㑢㔳捥敡慡㙢つ戵づ㈷慢づ昰㘹て愳ㄵ㔲㍣ㅦ㠴㔹昶㄰て㌸ㄸ攵攸愵㍦㠷㥥㝦ㄷㅡ㤴㡥㘵慣㠴挰㤷㌹㐷㜲扢㈱㥣㔲㈱ㅤ㥦㘶㜸㈸㌷攵昴摣㑡㈰ㄵ㍤敡㙥愴愴户慤㐲㌵㜵て㜲㜶㙦㔳昶昴㝣〶戵户㘰㙦扢ㄷ搵㐰㠸ㄳ扢㙣挴挹愸晢㤰㈸昷㡡㘵㐸㍢ㅥ㔰ㄸ〴扡㡦㠴摣㑡㙡㐲搰㑦㠲〱〰摦〳㈰愸㜷㥦㙢昷㕥戰㠰捣づ搷㉡慦㈹昰戰㤴ㅦ攷㡥攴㤴㤵㑦㝣捤㜶搷改㈸挳㍥ㄸ攵㐷ㅤ愴戲㐵㘳〲㠱㠸㤵っ搸㕤㡢扥ㅤ㘷ㄷ慦户ㄵ摥戸㔱扦ㄳ摤㜰㕢㌶㌱㘱挹晥㤰㘲㝦㌵㈲愸晣㕡㙥㉡愰晤挹摡戳捤攱㔸攵㙣㜳㌸㈶㠲㜵敦㤹㘰愹㝡〸㜵㜱㉣收㑢㠰㘵㠱ㅣ㐱㑣㘰㌱愰㡥愲㔴挷〰㝣㕣摥摥扦攵㜴㍡㥢㐱搷ㅥ㠷散㑥㉤㑥㥤㌷㙤㘶昰昲挶㔶㉣戴㤵㠸㍡ㅣ〲愷㔶㝢戹㜳㐱㠹换㈳㕣㜰ㄱ㠵㕤㉦㠳㕡敤㌸捦㈶㥢㜱〷戶ㅣㅡ昰㝤昵㡦慦扥扡㝦㜷愱敡㙡户挷㕡㠰〹攸戳㔰挰㤱昹㜵攴㐸愳捦㈶㜴㉥昵〸ㄲつ㔸摦㌷㠰㥤㘷挱愱㙥㈵㤱昵㤷㔶挳㈳〶挲㍤ㄹっ昸晤㔸㜷ㄸ㐶㕤昵捤㘶㍣愸㐷换搸搵愴㜱㌲扥挷㤰愸ㅦ㡡つ㤱㉣挳㕦散㤱㈰愶㥤㈸捤㘶戰㡥挰㈴㠷愶㥤㘲攰㘴ㄷ㠳改㝣〱㑥㔹㙢晤㠶㝥愵㉥㑤㔴晢戲扡㐳挶㔲㡤㈵摦挶挷昷捦㔰搱㥣昵挹㜸㔵㉢㘲昰㠰㌱㐶㠰㕦㜶㙥㍡㔱挸ㄷ昳愹㔲昷〴㤶换扡㜹散㍣㠵㠵搳ㄱ摦晤㘸戱改㍤昹㘰慤㌹扥攷戴㤷晢愰㠱摤戹晣扥㥣㜰攳㉢昲昴㍤敦愶摢摡㜸㥢〰㍥㜲扤ㄶ挲ぢ㝥ㄷ㐹㔶搶愳㈰改㙣〹㍥㡥㌴捤愹㌱㠶晣㡡搱戵愳摢㈷晢㠶㈲㠳㘱慢摦ㅡㅣ㡣㐶〶㈲戱㐸㌴搱摦摦㌷㤸ㅡち㐷〷挳搱㤰ㄵ㌶搶㔵㐸挳挹㘴㙣㜰搰㡡っ愴㈲戱㠱扥㐸㌴搶ㅦ㡢挶㉣㌳㘹づ挵〷晡晢ㄳ㠳挱㈷㥣收昵㝡搴搱ㅢ〰㠲摦㉢愳㌶ㄲ㌵㑥ㄴ挳㕦㌲㔱愵敡晡〱戲攴摣挰攷愰㕥㐱〶扣ㅣ㄰挶㘶摣㝡搱攸摡㐹搷慡㤹㜱㉥㜰ㅤ挰㠹慤摥㡥㤳昲挶ㄶ㘰ㄶ〳㔳晢戲㔹昰㐹愷㤵敡㉢㔹晡㍣㔰慡愷㠱愷㔱っ愸捦㐲㜷ㅣ戴昶攰㥢㐰㈱〷摦㌳㈸㐳戲㙥昰晤戰㈹昶㔹㘰㌹〰昵㑥戶晣攳愶㌴ㄲ挴㤲收㝣搲㌸㈴敡攷㐸㜰㠰愸㑦㠱〱㜶㑢愴㍤㥡㝤㡤摤㑡摤ちっ扢㔶㙤搷昸〵ち愵㙢㕣〰㍡㜴つ㠶慤搲㌵㉥㐴摥敥ㅡ㐳㘱㌳㤴㡡㈴㐲攱㘴㌴㌴㌰㤸ㅣ挴敢㈹戱愱㔰挸ㅣ㐸挶捤㐸㈲ㅥ㌱㉥慡㤰㈶㈳㠳㝤愶㤵㌴㈳昱㐸㜴㈰ㄱ〹挷㐳㝤戱㐴㈸㘴㈵ㄳ搱㜰㥦㘵㕡㐱〶挴愲昴㌷愳㡥㥥〴〸㍥㕦㐶㔵扢〶愳攲㕡慡慥ㄷ㠰㍡㌴㕤㠳〱㌵搵愵搹㌵㌴晢㠲愶晡㠳扦㉡攳㤷戲㤰慥㠳㑥〳慦㝥㠳㤴慤散扦㠳㌴慢捡摥㡤㐲㉡晢㐵㤴㈳㔹愷散㤷㥡㘲㝦ぢ慣㈸㍢换㤶㝦搷㤴收㤵㌲㌶㑦ㅡ㈷愳ㄸ昶㡡戲㍦〴㈶ㅡ㤵㝤㜵㔳㘵㌳昸ㄵ㘵ㄷ搱づ㤴捤ㅥ㈲捡收慡戱慤散㐸㈸摣㤷ㅣ㡡㥢㠳昱扥晥㠱挱晥晥昸㔰㌴㌹搴㥦ㄸ㡡昴㠷㠶㤲戱晥愸㌱㕤㈱㑤㐶慤㘸㉣ㅡづて㈴㐲〳〳㠹㔴㌲ㄶ㡡昵㠷ㄳ㤶㤵㑡㐶㘱ㄷ晡晢㠳攴㔶搴戸ㄷ〹扤て㈰㈸扥つ敥慡慢捡㘶ㅣ㕤㑢搵挵㘰晡搰㈸㥢㈱㜸㌳㘵㌳㉡ㄷ晣㌱㘴敥㔸㠲扦〶㑡㌱㌲户㤵晤昶ㅡ㘵扦ㄳ㜸㉡摢㑦㈲㔲搷㑣慢㡣捥ㅢ戱っ扡㐵搹敦㘶㌱挳敤㐶ㅡ〹㤴搹摥㤵㑥㌱㐹ㄴ〳㘵㔱昶㑣㔳㘵敦㙤慡㙣㠶换愲散て㈰〱㘵㌳㌴ㄶ㘵㕦㠵㠴㘳昴捤挸㐰㌸㥣ㄸ㑡挵㔲戱㠱㘸㈲ㄱ㡢㠷㔲挹㍥㉢㘹㤹㝤昱挱挸㐰摣昸㘰㠵戴㝦挸ㅣㄸっ㠵㠶〶挳戰昲搱㐸㈸ㅡ㡥㐶愲㔶㉡ㅣ敦敢㑢攱扢㍦挸愰㕢搴㜸㌵ㄲ晡ㅡ㠰㈰㘳㙤㐱㔵㤵捤挸㕢㔰㈴搰㈴敤㘲昸㝤㘸㤴捤愰扤㤹戲ㄹ挷ぢ晥㐴㑡扡㥢攰㍡愰ㄴ㘳㜹㕢搹愹ㅡ㘵㝦ㄴ㜸㉡㥢昱㍤晥敢㤴捤㜸扥ㄱ换㌰㕤㤴㝤〳㡢ㄹ愰㌷搲㥣㔴挶摥攸㈴㐸愲ㄸ㕡㡢戲㉦㙥慡散㌷㌷㔵㌶〳㙣㔱昶㉤㐸㐰搹㉢昰㈵捡晥㌸ㄲ戶戲㤳愹㔸ㅦ㤵换〱㡤㤷搶㔳昱㘸㝣㈸㤶ㄸㄸ㠸てつ㕡攱搸㔰搸昸㐴㠵㌴ㄴ㡥攰愵昶愱㄰㔴㡤㤱摤ㄷ㡦㈶愲㠳挹愱㜰㉡〴攷㈰㡣㌹㈰挸㌰㕤搴㜸㉢ㄲ晡㤳〰挱㔳换愸慡戲㑦㉢愳㐸愰㐹摡挵㠰晤搰㈸㥢㘱㝥㌳㘵㌳昲ㄷ㍣㡦㍤换晢扣晡づ愰搴㉡〲愲㍥攷㈴㤸㔱㡣㌴㐵昸攷扡㠴㙦㝣〱搸㌹晤㌵戵愹愹㐶ㄸ㠴㡡㐶敥㐴〲ㅡ㘱挰㐹㍥㡣㝦㐲挲搶〸㑣愷㤵ㄸ散㡢㔸㌱㜳㄰攲づ㥢㤱㘸戸㍦ち㈵挱昹㑡㤹㤱戰㜱㔷㠵戴㝦㜰㈸㤵㌴㐳㘱っ挰㈴挶攱㠰㤹㠸愴慣愱㔰㌸ㅥて挷㑣换ㅣ㌰敥慥㤰㠶㘳㐰昵㐵㠶愲㠳㔶㜴愰㉦㘹㐶〷攲愱㜰㈲ㄹ㠹㈶㐳㘱戳捦ㅣっ㌲敡ㄵ㠹摣㠳㠴晥㈲挱扤〰㐱㐶扣㠲扦㡦愸晢〹ㅥ㈰㥥㐱㜰ㄳ㝡摦㄰昰ぢ㠶㑢㑥㠰㑡㐹愸戸㑡愸愴戲㕡摢摡ㅡ㑥㘳搵㠶㑥㠸㕤㈵捣㤲㠸搶㈰昴つ㐳挸昳㐷㐲攵㑡攰捡攵㜳戳㌲㌱晡换㠰晡㉢〰㠱㈰㈳㔹㌲㘴㝣ㄵ㠹㈵㜰昳㜰昲慦晣㙥㡢挴〹攲〴㠸㍢㈰㥥〰㠳㕥㔱攵㈶㌶戴㡡㘰㈵挱挳挰慢戳〸㤸晢㍡㈰挵挴㑦戰㍣ㅤ愸攱㜲昱㈳㑥㠲戴挱搵㠰搲攲㌷㤰攸㙣昱㡤攲敢慣戹て愸戹㥣搵ㅥ㐴㕦㌵敦㤴慥挳㍢愲戳ㅣ㡢㉤搸摢戲㤷ㅢ㕡扤㘷ㅥ㔸㕢ㄴ㍡㐷㈷㍦扥㌳㈰昱㍦愳ㅤ㍥㘷㌵昴㘱㡢㘲㙤扦〹扣㙦㍤㐰搳ㄳ㈲昵慦挵扢㝦㜲㠱㐱挱ㄱ搹昱㈲ㅣ㜴扣㠷户㈳㍦㔲昹搹㠷挵㘵挷扤愷晣づ攰㡡㉡愶㝣㈰慢㕣㙤㙢愱㔲て慦戴㈱㡣㐲㐱て摦ㄸ㍣愲㥡㜳㉤搷ㅣ㔷挵攲昴ㅤ捥〴㔹挹㜲㡢㐵慣㕢户㝡㕢㔴搳㈵㐵攷㠵㉤扣㈳㔵㙥㘰㕤㙥㍡摢㠱㘷㌸慥挹㡥攲摡㜴㐹㜶攴戹㡡愴昴ㄸ挴㘳㍣ち戰㘴㜸㜹捤㡦㍤㉣ㅦち晢㝡愰㤶㍦攱㡥㘸挵愵〶摥㥦㔷㐰㝦〷〵㙡〳〰㜵愱昴㍡㐰攳扢〰㙤戸攵㉥摥攷㔴摣㘷搵摣摤〸て收慣〳㤴㥦㡦㍥愵敢㔶搴㌸慦㠰㝥㠲㜷攰慣㐰搶㠹㔲㡣晦搸扥㘴ㄸ㐱挹〲搳㌸戲慥㔷愲㑥〶㐱搳㔳戸㈷㌹〵つ敦㡢㑤昰㐶㙣攴㈹挰昲㔰㔴ㄲ㐷ㄱ晢戴㔳㑣㤲攰昹㠰㌲〲㥦㐱愲戳㐵㕤㠰㉦㡥㐲昵ㅡ戴捥慥㉦扤昵㔹㘲ㄸ慡搸㔲扡㄰㈹攳挷〰㡤㡡㠹慡㘳㔰愹晣㠴〱晤㔳搶㥣慣搴扣㠸㌵㝦づ攰挸㌷慡㡥〰㜹㔹〶〱晤ㅣ挹ㄹ㕥㌴㤳㐴㄰愴㑤㈵搱攵ㄴ㌴扣ㅣ挶㔸〴晦搸㈸〴慣㐸㈲㕢挶晥摡㐹㤰㈴㤸〷ㄴ㐹晣〶〹㐸㠲㝡ㄴ㐹戴愳昵㡡㈴㕥〲㔶敤〵戰㈵㔱㐲捡㜸ㄹ愰㔱ㄲ晤慡つㄵ慢㤲昸㕦搶摣㔷愹挹昸挱昸㍤㠰㈳㠹㝥搵〲昲慡㈴晥㐸㜲晡摥捤㈴昱挷㍦捣㈱㠹㍦㌸〵つ㙦㠲扤㤳捤㔱ㄲ慤戰㤱ㄵ㐹扣扢㡣攵慡㌲㡢昹〹㕥〹㈸㤲㌰㠰㠵㈴攸㌸㡢㈴㝥㠷搶㉢㤲昰戳ち㍤㔷㕢ㄲ昴愶㡤〰㜰捥昳挴搴㡢愰慥㍥㑦〷挹改敤摡攴ㅦ㈴昹㈲攰ㅡ〵ㄷ㔳扦㐴捤慡攰昸㠳㐶㡡㡥㘹㌳㐹㍣攷㍣㜰挳ぢ㠳扦㜰ちㅡ㕥晢晡㈸㕡挲扦㐷ㅦ㠹㜶㉢㤲㄰昷㤴搸愳㜸户戲㈴攸㤰㡡㈴㡥〶ㄶ㤲戸〵㜹㤱挴㑦搰㝡㐵ㄲ挷戲捡慤㈸戲ㅦ㡤慥愶㜱㍣㜰戶㈴〶㘳敡㠷愰慥㑡攲〴㤲搳ㄵ戴挹改㙥ㅡ摤挰㌵㐸〲㌵㥦㐴捤慡㈴㑥㘶㑤㝡㙤捤㈴昱㠴昳挰つ㤲㜸摣㈹愸㝦挷㉢㐸㡦㑦㥥敥㌴戴㡢愷愳㠷㈶㑦昷ㄸ㙡㔴㥥敥㜵扣㈹㕤㈴㥢㕤扡㙤挶㑡㔶㠰㠵ㅣ㕤摥ㄷ敡㤱㥦ㄳ昱㝤ぢ㜵敡て㜰挸㔹㍢㘷〶愰〳挴昹〴㍦攴㌰㥥㐴ㅢ㉥ㄳ㐹㙢㑣㍥昰愶〲敦㐵㑦捣扥ㄷ晤㍥㈳攴摣㙢〴昷㕡㈵昷㔲㡦攰㕥扣ㅦ㑡㔰愹㡦㤵攸戹搹㤵攸〱ㅡ〳挰㥤〰〶摤扦㘹㠲晡㤵㠵㝦愴㝤晦㠱ㄶ收㥢㐱攰つ㤵㙤㍡攷㉣㌴㕢挷㌳㄰戸晤㈰㙦㑦㔷㤱ㅣ昱㌱ㄴ㕤挶㌲㝢㡡慥㈳敦㐴攲慥㉦㈳攳㐳愲㙥㘱敦㠵搵㉣挵戵㐶愰挷敦㝣〷搷㜴搱㔳㤳ㅡㄷ愹㤳慥ㅤ昱㍤㜵㜹晤㍢㠳挹戳㥥㝣昵搴㍢搶㡥㙣㠹〷㍤愷摤戱㝤㐴搱ㅢ慢昶㡦〷搱愲晤㌶挷㔷挱㐴㔳敢昹ㄵ愷愰晥㙤㡥㈰㍤㌹改ㅦ㘷攳ㄱ昵㌰挱敢〱〲㐱晡㜰㔲挰挳㍥㜰摢攸扤㌵㤵愴ㅣ慥散戵㡦㤸㔵㝦收愴ぢ㍣昹㔲昴㌰摢㔳昶慦㡣㠸挳㈵挷㡤㘵ㄹ户〳愷捤ち昸愱㤱捤㌸㕦㠹㌳㘶昸㉤㈹㘷〱ㄲ攷㉥戹㌳㔴㍥捦愴㈵挷捡㐶㙡㙢〱〷㥣摡㔲攳㐵㥣攲㑣晡昱〲㝦〹㍦晣㤲㍢ㅣ㜶㔴戰戰㑥愳㡢换摥㘲㙣扡愶捤挵敡愶挳挷ㄶ㘱㔵ㅥ攵㐳换㕥ㅥ㔲㍢戰晤ㄴ㘳つ搸改慡ㅣ扥摣㑢敦慦攸㔵て愰ㅦ挸挲攸㉦晡㡥㤱敥捡搸㔶慦〵慤㌱ち挰昷摣㤵㍣〷戶㌹昵ㄸ㔲昶愶攴搹㝣㌲ㅦ晤搹晡〷攳づ挳㝡搶愸晢慤㡣昶昶昲づ〰慢戶搲〵㥢捦ㄹ愴㡤㙥换㑥㥡晣㌱㍣㝦㜶㌲㘳攵㉥㈹㑤㔵㝥〰て㕢㙢昸㘹〴捤晢戰㑢昲㜶㡡㥥ㄶ㕢搵ㅢ㤰㈵㠶㥦攰㔳挰㐸慦摤㠸慣ㅥ㈷㌸〷㈰㄰愴㐳㈴〵㥢㤰㠵ㅤ愴㉢挴㉥慤搷㈰敦㔵㥦㙦㉡㤷㉤慣㑦戹㔴㘵戲㡤㈸㡡㐳㠰㐷搱㙢愲㕣捡㤷愲㌳㈴㝣㙤〷㘵㠵㕢晡㍣㠲㥤〰ㄶ晦㌶户昴㔸㠴愹ㅤ㙣㜵㈷挱㉥㠰㐰㤰㑥㡢ㄴ㥣㡦㉣戸愵扢攲攲昶㤳㑤戹㝤ㄳ敢搷㜲㝢㈱㔱㉥㙥㕦㐲㍢㌵摣搲㘱ㄱ扥摥っ捡ち户昴㑢〴㍢〹㉣晥㙤㙥搹挱㠵愹㡢㤱搰㈶㐱ㅣ㈰㄰愴㘳㈱〵〹㈴挰㉤㕤ちㄷ户ㅦ㙤捡㙤ち㐴㜵摣㑥ㄱ攵攲㤶摥㐷つ户昴㉦㠴慦㑢㤱挰扦㝣ㄴ㝤〷挱敥㐶愲晣っ㐱捥晣挲㔴〶〹㥤㈵挸〱〴㠲㥣晣愵㈰㡦〴戸攵戴敦攲昶㥡愶摣ㄶ㐰㔴挷㙤㠹㈸ㄷ户昴㄰㙡戸愵て㈰㝣敤㐵〲晦㌶户㥣摦〵扢て㠹㌲户㡡戳㌳㤹㌰㘶㤰愸㥣㈵㐸扡捥ㄲ戴慡㉢换㥣㜹慥昰㔴挷敥㕢㔰挱㜸㉢㐰ぢ收㌲昱㙡〰〲晡㙤挰戸戹攳っ㕦挳ㅤ愷㘱攱攳敤㐸攰摦收㡥昳慣㘰㉦㜷㘳㌹晤〹昶ち㈴㌸慦㜱戸㉡捥ㄸ攲㑡㕣づ挶攸㑡㔰ㄸ㝥慦愱㌸㡢㐸挱摢㥤㠲㘱㈹㔰㡡㌳㡢ㄴ晣㤵㔳挰㌹㔱扦ぢ㔸ㅦ㘷㤹晡㌵て搷㌱㝥搷㍥慣㥦㜵戲㝣㠳㐸捣㘴㤶昳戶捣攱㐶㤶㈷敢㜳㡢ㅤ摡㥥ち捤㤲ち愶㐲扢愸㠲㤲㍡挷搸㐷㘰昹㘳㌹㈴改愹㌶㝡㐴㝤㠹搰㐳㙦㔴㥤攷攴戹㠳挶ち㠳㈰昳慢晤㈶昴摢㙦㄰扦ㅢ攲攸㐴㑤愵㉢㈹挹晡㘸慡昷㝢づ㐱㠷㍡搰敤敡昷攰㍥㡡ㄳ〰摢搰㔷㍡〹㘶扡㘸㠶㤹昰㌳㠲敦愲昹㤵㥣昴〹㥡㕤搱昰㑣㕤㥦愰㈹㤶㠲㝤㜵㝤㠲收㔹ち昶扡晢挴〷搸㉡㑤㌵晢㐵㔵〶搵㤴㐸㐳搱㐰㔳㈲晡㠳〰㡡戶㔹搸扤摡㐹〸扢戴挳㔵㜶㘹㝦慢散搲敥捡捤㉦慢㘳㤷戶㔸ち昶搴戱㑢晢㉣〵㜹㌷扢搷戲㔵摡敡昹搹愵㠵ㄶ㜶晦㠶昴㌴捥挲敥摦㍡〹㘱㤷㠶戸捡敥㘴㌹㈷搲扤ㄸ㌹戹昹愵㜵散搲ㄸ㑢㐱扡㡥摤㜸戹㘰捡捤敥㜵㙣㤵挶㝡㝥㜶㘹愲㠵摤㡦㤲㥥搶㔹搸扤摥㐹〸扢戴挴挲㉥ㄹ散愲〵慥㌰慦㘸㜹㠵慢㐴ㅤ扢戴挶㔲㄰慦㘳㤷ㄶ㕡ち㑣㌷扢㌷戱㔵㕡敢昹搹愵㡤ㄶ㜶㙦㈶㍤捤戳戰㝢㡢㤳㄰㜶㘹㡡慢散搲〴㔷搹愵㈵㤵晡ㅦ㈷㥡〶㔴敡㝦挲㐹㐸㝤ㅡ换㙡晤换㙢㜲㌴㡥㔲㜶㍡㐵㐱慢㜶㍥ㄲ摥ㄹ㤵戸㌸㜹昱挵㉦㜷戵㜶ㅦ摢晡㠶㌵ㅤ搷㍤昵敦捦㕣晢攸㠵挳㍦昹晤昵搷㍦晡散戵て晤晥摥昸昰搷㙥扥昹换攷摣昸搰㌳㑢㔲㌷㜹敦㝣㜹昳㑤㙦ぢ敦㝥摢㘵愹㥤慦摢昰戶㌷㕥㝡㕥㜸摢攲㥥㤶㤶戶戶㔳㤷㍥㜸昴㘹挱㉢㉥扢㑢晤换攳㐷攵㝣㌴っ晢㘱㔶挸搱〱ㅥ㔹戹㤵て㈴㠶〰㙤搴散晡〵㘹㄰㘸〱昵愷㤰攸㙣改攲㜸㍤㤴㑦慢㘴㠰㌷戰挱㠱㉥㙣摣㙥戳挱㜱㜸㐸搹㤰㠱摢挰〶〷戰戰昱㘹㥢つ㡥慦㐳捡㠶っ挸〶㌶㌸㌰㠵㡤捦摡㙣㜰摣ㅣ㔲㌶㘴愰㌵戰挱〱㈷㙣晣愳戰愱㘴㌸㤱敡づ攴换㔷㤰挳㑡愸㍥㘷㔳㐹㘷㈳搵攷㤱㘷愷㤵て扢㤷ㄸ㠴捤㡥㐱㔸㡢ㄲ㍦㑥晥㔳攱㔲戰愹慥㠰㉡㤰㠲㜳敡ち㈸ㄴ㈹ㄸ慦㉢㈰㥢㔲戰戱戶㈰㔸收㔷㤱㐵愱搸㔰㐷㐱㕥攵㈱敥㐱〲㐱㌲扦收㤹㥤ㅢ摦ㅤ敥捣摡㘷㈱挵㠱挱慦昹搱㙢〸㔴扤て挷愵㔹㐲㜴㑦つ㘹挰㐶ㄱ㜶搹挹㡡㙦搳敥ㄴ搱ㄹ晡㔳ㅤ㥢㌶㍣つ㍦㜰昳㑥㤸摦户攱㥡户㕦敤ㅦ㤵攳搴㝣ㄱ搲〹搰㝤㔴扡㥡㤴㝣ㄷ昳㥣㐱㥣㐵㤳愷㔶摢㉦㐲晦㙣㌵㑥㍣攳㝡㙥㜵晢晦〱戲㘷挶㠷</t>
  </si>
  <si>
    <t>㜸〱敤㝤㜷㥣ㄴ㐵ㅡ昶搶戲摢㙣て㘱〷㄰ㄵ昵㜰㐱㔰㤱攰愴㥤愰㈲㘱㠹㑡㤲㘴㜶㤹㈸慢ㅢ㜰〳㐱㔴捣ㄹ㈳收慣㠸㤸挱㜴㠸愸㡢愰㤸㑦㍤挴㠴搹昳昴捥〴收晣㍤㑦㜵㔷㑦捦㑣捦戰攷攷晥㍥晦昸㘶㜷摥改㝡㔳扤昵㍥搵愹扡㙡愶㐸ㄴㄵㄵ晤㡥ㄷ㍦昹㉡攱挶㉥搳ㄶ㌴㌵㈷敢㠶㔴㌵搴搶㈶攳捤㌵つ昵㑤㐳㐶㌴㌶㐶ㄷ㑣愸㘹㙡敥〰〵慤扡〶昲愶搲敡愶㥡攳㤳㘵搵㜳㤳㡤㑤㔰㉡㉤㉡㉡㉢搳㡢㈱敦㘵扥摤慡愰搳㑡㉦㈱㠱㔶㤱慥㤱㜴㈴㈹㈳搱㐹㕣㈴㥤㐸㍡㤳㜴㈱改㑡㔲㑥攲㈶改㐶搲㥤愴〷挹㜶㈴㍤㐹戶㈷搹㠱㘴㐷ㄲ搶慦敦㐴戲㌳㐸攷㕤㐰愶㔷㡤㥣ㅣ㍢〶慤㤹搶摣搰㤸ㅣ㔴㌱搳㠸㜹愸搷㍢挴㍢㈴㔰改昵つ昱っ慡愸㙡愹㙤㙥㘹㑣づ慤㑦戶㌴㌷㐶㙢〷㔵㑣㘹㠹搵搶挴て㑣㉥㤸摥㜰㙣戲㝥㘸㌲收昱挷愲㠱戰㌷㔰㔹㤹㡡㐴挲㥤晦〶捦㤳慡㐶㑥㘹㑣愶㥡晥㉣㥦扤改㜳㜲搵挸㈱㤳㤲捤㝦㤶捦㕤攱ㄳ㉥㐷㌵搴㐵㙢敡晦㈴愷愵挴搴㍦㉡ㄹ慦㈱昸挹㘴㘳㑤晤搱㐳㄰㜶㐶愲㔱ちつㄹ㠳㡣挷愳㑤捤㔵挹摡摡愹挹ㄴ㜱敦㕣挷㥣㈵ㅢ㤳昵昱㘴㔳搷扡搱昳攳挹㕡㔳摣㔴㔶㌷㌳摡㌸㈹㕡㤷㉣攱㐶㜹㥤㠱摢昸㐴戲扥戹愶㜹㐱㤷扡ㄹ㑤挹愹搱晡愳㤳㔴㈹慤ㅢ摢㔲㤳㈸㈹ㄱ㈵㈵㐵ㅤ昶㜰ち㐶㘲㌳㘴㑣㘳扣㙡㜶戴戱㔹㤶㠸㥡搷㐹搷搶㐳㘴攰ㄹ㘱戱ㄷ㔵㘴㔹ㄱ愶㘹㌵㜵〷㈶ㅢ敢㤳戵慣㠴攰つ捣㔲㤲㌹㌱㔲㙦㈵㐷戵㠶挰㠸㑥收晥挶愶戰ㄶ扤㠲愴て㠸搶ㄷ挴㍤㜴挴㡣㝥摥搰敥㝤昷愹攸扢㝢扦ㄱ扥㠸扥ㅢ攵晤㐰㐴挹㕢搸㜹敤昶摣㠱㡡慢愳挵搵戱攲敡㜸㜱㜵愲戸㍡㔹㕣㥤㉡慥㍥扡戸㝡㜶㜱㜵㑤㜱昵㌱挵搵挷㐲㐷扤捡㍡㜶㉣㌶㕦㌷㍤㌱㙤搰㠰㌷㥥ㅥ㜱捦㥥户㡥㝤攸换㝥㥤〴昷㔷戹攳敥㡥つ㝤て㄰㙤㑦㤰散㜸㠲晡〰捡昷〲ㄱ攲㔵挴挳㤸㥡㑥搸㔴搱㜸㘳改㠱愷晥晡敤て挱改ぢㅢ〵昷㝢改㙣㄰㤵〷㠳㘸㐳㐰摣㐳㐷㡥戴㌵㉥攴搱昷愶摣〳㈲挴㍦㑣㘷攷ㅣ昵㑢㔵慦㡥愷ㅤ戰攲搹㙦㍥㈸搹㝡㔶㙦挱攳㠷㜴收愳戲ㅦ㐴ぢ㠰㘴㐷收搵㉢㈹て㠲〸昱㡣改慣㘶慢昸㘸摦㠵㉦㑤㍡㘵搳㔲捦敤ㅢ㌷㍦㈹搸ㅦ愵戳㌰㤵㈳㈰摡㍥㈰㔹㤱昹㈳晡扥㤴敦〷㈲挴㍡搳㔹捦ㄹ㥦㕤昰摤挱慤愳㤶慤㝡㜹挹摣㌳慥晣㐹昰㜸㈶㥤敤㑦攵㘱㈰摡㜰㤰㙣㘷㍥㝤〴攵㈳㐱㠴㜸搴㜴戶挳㑥㠳ㅢ摤搷㔴㡤㝡昸搵〷㐳㥤て摢㈹㈴㜸㕣㤴捥㐶㔱㜹㌴㠸㌶〶㈴换㔹㈸愸㡦愵㝣ㅣ㠸㄰㝦㌷㥤慤戸㜰晥晣㉤㕢挳〷㕣扦扡昴摤户㝡㔴て㄰㍣扥㑡㘷〷㔰昹㐰㄰㙤〲㐸㤶㌳㥦㔷㥦㐸昹㈴㄰㈱㔶㥡捥㜶㝡攱㠹昰愷㡢愶㑥戸扤㘹搱㘳攵慢晢㍥㈲搸捤愴戳㈹㔴㍥〸㐴㥢ち㤲攵㉣散搱愷㔱㍥ㅤ㐴㠸㍢㑤㘷㘷㙤㤸晡改㠱㔵昷㡥扣挱㔷晥挳搶晤㜷㡣ぢㅥ敦愵戳㤹㔴㍥ㄸ㐴㍢〴㈴ぢ㑤㝦㐰㍦㤴昲挳㐰㠴戸搵㜴戶愰搳㤲搷㕦扦㝦㘲搵攵㌵慢扡㝣㜱改㠹晦ㄶ㍣㙦㐸㘷㐷㔰昹㐸㄰敤㈸㤰慣挸攰慣㥡昲㔹㈰㐲摣㘰㍡慢ㄲ㡢摦㍡攳攳㘷㈷慥攸㍡㜳昲攸戳㕡〷ぢ㥥㝦愴戳ㄸ㤵攳㈰㕡〲㈴㍢㌲㡦㥥愴㍣〵㈲挴㔵愶戳㈵ぢ晡慦㕣摤敤㤱㔱㔷㤵晥昳换ㅤ㘲㤷㥤㉢㜸ㅥ㤳捥㘶㔳戹〶㐴㍢〶㈴换㤹捦愳㜳晦搴㙢㐱㠴戸搴㜴㜶搶昷晤㡥摥㌰昶戲㤱户㕣㌴散慢㠷收戴摥㈰㜸㍥㤴捥敡愹摣〰愲捤〱挹㙡㘶㌰愴ㅦ㐷㜹㈳㠸㄰㡢㑤㘷㐳㥥㠸㕤晦搶㜹㕢㈷㕥㍦㐹㝢昱搷挳挶晣㉥㜸㕥㤵捥㥡愹摣〲愲捤〵挹㡡捣敦搳攷㔱㍥ㅦ㐴㠸戳㑣㘷摦捤㕤昸昵㤳㑢摦ㅢ㝤敤㙥㤳扤挱㐵㉢扡〸㥥㥦愵戳攳愹扣㄰㐴㍢〱㈴㉢戲㔰㐴㍦㤱昲㤳㐰㠴㌸挵㜴㜶㐹㔵昷㥤搶㉤㑡㑥㕡㝡捦户晥〷㕦㡦㝤㉢㜸㥥㤷捥㑥愶昲㈹㈰摡愹㈰㔹捥㝣〱晤㌴捡㑦〷ㄱ㘲愱改散㥡㔰昷㔵㥢捥晢㙥挴㌵㍢扥㍣㘴㔶挵㤹㜷ち㕥㉦㐸㘷㘷㔲昹㉣㄰敤㙣㤰慣㘶晡晣晡㌹㤴㥦ぢ㈲㐴㡢改㙣㐳㜰捥㙦ㅢ㉥㝤㝥昸ㅤ扦㌶㕥戸摦㥡扡㌹愵扣敥愸㜴㍡搲㘷㥦㐴㐶㌴㌵戵搴捤攱㔵㤴㜹㠲攳㈱㐲慦ㅢ搵搴㍣㈵摡㔸搷昴攷㥥〹㜱ㅥ摣搶愹㜰㐴㔳㕤晢㥦ち㔱挹㥦㜲㉡搴捥㐷戲㉡㘶搴搷愴ㅡㅡ敢〶㑤慣愹ㅦ㍡搸敢㤱慦㐱ㄳ愳昳㠷㥡摢晡㘲愶昴〲㄰敤㐲㤰㥤㠷㡥ㄸ㘵㍢愷㜸㈳扢昷慤ㄸ捣㜳㘷㤵㌷愲㕦㐴搵㡢㐱㠴愸㌷戱㝤慦昷㑦ㅢて摡㝣挹戸㌳戶扢昸搳〷昶〹昵ㄲ扣㥣㤴ㅤ攵㔲㉡㉦〱搱㉥〳挹敥㈸㘱晤㜲捡慦〰ㄱ㘲戶改散扣㡢㤶㥦ㄳ敥㌴晤㠰换敢攳㠳摦㜹敤㕡慦攰㘵愹㜴㜶ㄵ㤵慦〶搱慥〱挹㜶收搳慦愵晣㍡㄰㈱㘲愶戳戱摤ㄶ扥㌹愴㜸昱愸ぢ搶㙤㙤昸敦㍥㝥扦攰攵慤㜴㜶〳㤵㙦〴搱㙥〲挹摡ㅦ晣ㅥ晤㘶捡㙦〱ㄱ攲〸搳搹㕥㡦㕥㍤昸㔲㙤摦慡㘵㕦㔵敦戱㜰搷㕢㉦ㄱ扣㑣㤶捥㙥愵昲㌲㄰敤㌶㤰㙥㤹搷ㅢ㕥㙦愵扥㥣ち户㠳〸㌱搳昴㜶昴搳㍦慣晥㜴搵戸㐹攷㥥昸挲㠶敦敥㥤搱㔷散〴戱昴㜶㈷㤵敦〲搱敥〶挹㙥㘷㐸扦㠷昲㝢㐱㠴㤸㘲㍡㥢晢㘱㥦摤搶昸㜶ㅥ㝥换㤵摢て扦㙡收改㕢〴慦摢愵戳㤵㔴扥て㐴扢ㅦ㈴换㤹摦慦㍦㐰昹㠳㈰㐲ㅣ㘰㍡㍢敦扣㤶㕤敦戹㜵攰攴攵㝦㉦扡昱㡡换㝥て㜶晥㍢挴〷㤹搷㔸愳ㅡ愳昳㜰愱㥡扥〶挶㠵㍦晦戶㝤昱㡦㙢晦㔴㘵㉡㤴昲㝡ㄳ㤵㥥愸㍦㕡㕡〱户㙤扤攴攴愱愷㜳敡攰㥡晡㐴挳㍣㜹つ摡㌹㌵愶愶戶㌹搹㈸ぢ攵㈹㝣ㄸ搷搱戲摣㈵㌵㝡㍥㙥㐰攲挶攵敡㜶愹慡㘴㘳㌳㉥摣㥢ㄷ愴㜷摣㕤㐶㐶㥢㤲改攲㐰搳昷挸㠶㤶晡㐴搳捥捥挲㘹捤搱收攴㑥搹戲戴㤳ㅣ戳㘹戸愸㑦㌶挹㤰㝡㘷㥢捤㡣搶戶㈴㐷捣慦㌱挴㝦换ㄲ攳昲扥㈱㤶㕦㍡愶㌱㜹㥣㈵捤㠹㘸〴敥㌹攷㑡摦㌹慤㌴㐴㐶㕣ㄵ㔵戳ㅢ㥡㤲昵㌲扣㠱㜵㔳㙡攲挷㈶ㅢ愷㈵㜹挷㥡㑣挸愶昶愴挸扣挷ㄸ㌸戹ㅥつ挵㕤㐳愲慦㥤换㐴㈷敢ㄳ挹〴攲㥤㠳㉣㉦㤸ㅥ㡤搵㈶户捦㔰㌱敡㠴愰㔷〶㝢㑣㐳扣愵愹慡愱扥戹戱愱㌶㔳㌲㈲㌱㌷㡡晢㥡挴挴㠶㐴戲㐴扥㡡っ㉡㡡㍡㜴㄰愲㘸㑦愷搳〶㝤㌷昱ㄶ挲搶㐹㜸愳㔲㔸搹搶㠹愸散㜸敢㘱㜹挶㠶慤㤳㔱㝦㐰挱㐸散㥤㤰摡㥥㠲摡づ㥤㤴㐶㍢㘶敥㜸㐳愶〲ㅦ攰㔰㥢攴㕥㔹摣㉦扦换㜴扦摣㐶愴㌶㔴㌸㐰㐱敤〲㐹㤳㙥慤扥搷扥捡挵挵㍤捣搶㡦㥥㡢扢搷㜱搱晡㐴㙤戲戱攰昰㡡㘰㐴晡㉡㤲㠷㐹㔶㤳㍣㐲戲〶愴戴ち挷戸扣ㄹ㉤㠱㠶㤸㉦ㄶ㤴捥慢㐹㌴捦搶㘶㈷㙢㡥㥥摤っㅥ㠶㘵捡捡㤸敥㥣㤷晥ㄸ㔸晡攳㈴慤㈰㉥㔷㤱戶ㄶ㥦㐵㥡㑢㝦㠲ㅦ敢㐰㍡㡦㘸㘹㙥愸㌰晢㠲㑢㤴昶〱敦㝦扦㝢㉥㠶㤵㉥㙦搶㌱㥡搲㔴㕡㠷㌱㠱愶づㅤ㥣㔲㌱㉥摡㌴扢㤹㝢㘱㘱㈱晤慤㈷㜹ㄲ愴昳㔳㈰㤳挶㈵㙢戱て晦㔹〳㌱愵扢挱攷㌶㙦昸㜹戵扢㝤摤戴〵昵昱搹㡤つ昵ㄸづㅢㄵ㙤㡥㡥㠸㘳㔴愳㐹㐴戵扡〹つ㔵㉤捤㕡摤戸ㅡ㝣㜴慥㥢㥡㥣㤳㡣㌶㔷攱ㄸ摤摣愵㙥〲㐶㐴攴㐱㜴㝣㘲㝥㘹㥤㌱㤸㌱㉡搹ㄴ搷㌹敡㌱ㅥ挷愴昹ㅡ戶㜰㤰敤㕣挷愳㑣㜲㝥㌳㕤㜷慣挳㔵㈳晡㤲づ愵㠱搲捡搸愲㘵ㄷ挹㔳搶㉥戳〴て㙥戹㘹昳搲㐹㌲っ㑦㐵散㌶㌸㝤攲㠴㕢㘲搲散摤㘷㐶㜳㑤㙤搳㄰㌳扤㐳㐶㌵㘰㔴㉣㈹〷〴㤹㜶㑤㐳敦搲ち㠲㤵扤㤷㜳搸㘴㜲㍣㘶戸㐵㈸㘳ㅢㅢ㕡收昰㝡昱捦昲㐳㕦㐵晡〶㤰ㅢ戶摣戱㙦晦敢敥晤摤晣㕣㠴晤㐷扥昴扥搴㘰㘷㘷ㄱㅦ昲愵㍦㡢て㔷㈱㔹㘹㍦㘸㌸ㅥ㘶昳㡣昰㤴㐲扦㜳ㅤ㕡㍢扤㌱㈹㠷慣捡㘴㘱挱㥣㘴㤷扡㠳ㅢㅡ㡦㡤㌵㌴ㅣ㑢昰扢捡㔲搳散㘴戲㤹攳㐰㥤捣㘱㉦㙥ぢ㈱㍡㜴挸ㄸ攴戱つㄸ敤ち晦摡㡢㈰㕤㐶搴搶㔶㈸㡦㑤摡㍦挰敡㠰搳㠹昶ㄲ㌶晡㝢㜰㤹攳ㅤ㍣㜸㜰搵戴愹㈳㉡愶㈷敢收搴攲㔲愰㘲捣愱㍥㝦挵愸愹㈳挶㑣ㅦ㌲扦戶㘹扥搸ㅢ愹攰攰捤ㄳ愵ぢ㙥づ㥦㔹㌴晣攱㝦㍤摡扤攳㌳㉦昸挵㄰㔳㤰㌳㐴戴㍢㥣㔷攰慤晦㤳㘴㈳挹慢㈴㥢㐸㕥〳ㄱ㝢挲㤴㐷㉤㙣㘷扥昴㌷㔰搶摦㈴㜹ぢ〴挷ㅥ〹〷づ㍤㙦㤳挷㐳㡦㑢㠸㍤昰挱㈳㡥晥㉥挹㝢㈰㘲〰〸昷捤㈲晤㝤㤰扣〰敦㐹㡤ㅣ㠰㍦〲搷愵ㄷ㤰㠹扤愰㐱㤰㜵㈶㔵㘷ㅡ㜵愶㔰昴㌴㜳㤰㤳㥣敤㑣㐱捥㤰搷㈰㤸㔵搰晥㜳㤲㉦㐸扥㈴昹㡡㘴ぢ㠸攸㥡㌷㌹㕦㔳攷ㅢ㤲㙦㐱㙣挹昹ㅥ㐵敤〷㤰慣攳戲ㄸっ㥥捣搴㡦搸搰㝦〲ㄱ㝢㠳ㄸ㤹晡ㄹ㕢㜹㌳㌵㠴〶㌹㤹晡つ㕣㤷㕥㐰㈶㍣搰㜰捡搴捦扦攵改㐶㍦㤹㠲㥣昱㍣ㅦ㍣㔵攰慤㜷ㄴ㈰㘵㈴㍡㠹㡢愴ㄳ㠸昸〶愶捥摤愸ぢ㜵扡㤲㤴㠳搸㌲搵㡤㍣戳ㅢ昹攱扣て㉢攸㐱收㜶㈰愲ㄲ㐵㈳㌹㍤㔱捣㥢㥣〰慤搶㠲〰㉡慢ㄳ敢㍢挲挴愵ㄷ㤰㠹㈰㑣㥣㤲昳㝥扥攴扣㘷ち㜲挶㈷挳昰㔴㠱户摥〷㤵敡㝤㐹㜶㈳改㐷搲ㅦ㐴扣㤹㌷㌹㝢㔰㘷㑦㤲〱㈰戶攴っ㐴㔱ㅢ〴㤲摤㡤㈲愸愹て㙢ㅢっ愱㍥〴㐴散㡢愲㤱愹扤㔱捣㥢愹㝤㘸戵ㄶ㈴㈳㔳㍥㤸戸昴〲㌲戱ㅦ㑣㥣㌲戵㈱㕦愶㥥㌲〵㌹㠳慦晢挳㔳〵摥晡扥愸㔴摦㡦㘴㈸挹晥㈴挳㐰㐴㙢摥㑣㡤愰捥㐸㤲㉡㄰㕢愶㐶㤳挷㑣攱㘸㌴っ捥晢戰㠲戱㘴㡥〳ㄱ㈳㔰㌴㤲㌳ㅥ挵扣挹ㄹ㑥慢戵㈰ㄹ挹㤹〰ㄳ㤷㕥㐰㈶㐶挲挴㈹㌹㜷攷㑢捥㕤愶㈰㘷㌰㜹ㄴ㍣㔵攰慤捦㐰愵晡㑣㤲㠳㐹づ㈱㌹ㄴ㐴㉣换㥢㥣挳愹㜳〴挹㤱㈰戶攴㔴㤳挷愳ㄱ㤲㌳ㅡㅦ㝤㔸㐱㤴捣ㄸ㠸ㄸ㡢愲㤱㥣㌸㡡㜹㤳㌳㠶㔶㙢㐱㌲㤲㤳㠲㠹㑢㉦㈰ㄳ攳㘰攲㤴㥣㑢昳㈵攷ㄲ㔳㤰㌳㌸㝥〰㍣㔵攰慤㌷愰㔲㝤づ挹㜱㈴㡤㈴㑤㈰攲晣扣挹㘹愱捥㕣㤲㜹㈰戶攴㉣㈰捦散㌹〷挲㜹ㅦ㔶戰㤰捣ㄳ㐰挴㐴ㄴ㡤攴㥣㠸㘲摥攴㑣愰搵㕡㤰㡣攴㥣っㄳ㤷㕥㐰㈶㈶挱挴㈹㌹ぢ昲㈵㘷扥㈹挸ㄹ散㥦〲㑦ㄵ㜸敢攷愰㔲晤㕣㤲昳㐸捥㈷㔹っ㈲ㅡ昳㈶攷㐲敡㕣㐴㜲㌱㠸㉤㌹㤷㤲㘷昶㥣㠳攰扣て㉢戸㡣捣换㐱挴㌴ㄴ㡤攴㕣㠱㘲摥攴㑣愵搵㕡㤰㡣攴㕣つㄳ㤷㕥㐰㈶愶挳挴㈹㌹搵昹㤲㜳㤴㈹挸㜹㜸㌱ㄳ㥥㉡昰搶㙦㐱愵晡㔲㤲㕢㐹㤶㤱摣〶㈲づ挹㥢㥣摢愹㜳〷挹㥤㈰戶攴摣㑤摥㍡㜸挵㙥㜵㌰㍥晡戰㠲㝢挹㕣〱㈲づ㐵搱㐸捥㑡ㄴ昳㈶攷㄰㕡慤〵挹㐸捥〳㌰㜱改〵㘴攲㌰㤸㌸㈵㘷㜴扥攴㡣㌲〵㌹て㘳㡥㠰愷ち扣昵㐷㔱愹晥ㄸ挹攳㈴慤㈴㙢㐱挴晥㜹㤳戳㡥㍡敢㐹㥥〴戱㈵㘷〳㜹收㙥㜵㈴㥣昷㘱〵捦㤰昹㉣㠸愸㐶搱㐸捥㜳㈸收㑤捥㔱戴㕡ぢ㤲㤱㥣ㄷ㘱攲搲ぢ挸挴㉣㤸㌸㈵㘷㘰扥攴散㘵ち㜲ㅥ㉥挵攰愹〲㙦晤㌵㔴慡扦㑥昲〶挹㥢㈴㙦㠱㠸㝥㜹㤳昳㌶㜵摥㈱㜹ㄷ挴㤶㥣昷挹㌳㝢㑥ㅣ捥晢戰㠲て挹晣〸㐴㈴㔱㌴㤲昳㉦ㄴ昳㈶㈷㐱慢戵㈰ㄹ挹昹〴㈶㉥扤㠰㑣愴㘰攲㤴㥣㙥昹㤲攳㌶〵㌹て换㘶挳㔳〵摥晡ㄶ㔴慡㙦㈵昹㥡攴ㅢ㤲㙦㐱㠴㉢㙦㜲扥愷捥て㈴㍦㠲搸㤲昳㌳㜹㘶㜲昸晣慤て㉢昸㤵捣摦㐰〴㥦扢ㄹ挹昹ㅤ挵扣挹㌹㠶㔶㙢㐱㌲㤲㔳㕣捣攴ㄴ㤰㠹㕡㤸㌸㈵攷晢㕦昳㕣㉥㝦㘷ち㜲ㅥ晥搵挳㔳〵摥㝡㈷㔴慡㜷㈶改㐲搲㤵愴ㅣ㐴㝣〵㔳攷换攵㙥搴改㑥搲〳挴㤶㥣㥥攴㤹〷攴〶㌸敦挳ち㜶㈰㜳㐷㄰㜱ㅣ㡡㐶㜲㝡愱㤸㌷㌹㜳㘸㤵㤳㥣㕤㘰攲搲ぢ挸㐴㈳散㥣㤲昳㜶扥攴㙣㌶〵㌹て㌳㥢攱愹㠲㔱昴㘷散扢㤳散㐱戲㈷挹〰㄰戱㈹㙦㜲〶㔲㘷㄰挹㘰㄰㕢㜲昶㈶捦散㌹㉤㜰㉥㤳攳㈵搳〷㈲收㠱㘵㈴挷㡦㘲摥攴捣㘵㔸㌹挹〹挲挴愵ㄷ㤰㠹昹戰㜳㑡捥扡㝣挹㜹挲ㄴ攴㍣㥣㍤ㅥ㥥㉡ㄸ挵㌰挶㍥㥣㘴〴挹㐸㤲㉡㄰戱㈶㙦㜲㐶㔳㘷っ挹㔸㄰㕢㜲挶㤳㘷昶㥣㠵㜰㉥㤳㜳㈰㤹ㄳ㐰挴㠹㘰ㄹ挹㤹㠸㘲摥攴㥣挰戰㜲㤲㌳〵㈶㉥扤㠰㑣㥣〴㍢愷攴摣㥥㉦㌹换㑤㐱捥挳收㤳攱愹〲㙦晤㔰挶㝥ㄸ挹攱㈴㐷㤰ㅣ〹㈲㙥捥㥢㥣㙡敡捣㈲㠹㠲搸㤲ㄳ㈷捦㍣㕢㥤〲攷㌲㌹㐹㌲㔳㈰攲㌴戰㡣攴ㅣ㡤㘲摥攴㥣捡戰㜲㤲㜳っ㑣㕣㝡〱㤹㌸ㅤ㜶㑥挹戹㌰㕦㜲㉥㌰〵㌹て捦捦㠴愷ち㐶搱㠴㑡昵㘶㤲ㄶ㤲戹㈴昳㐰挴搹㜹㤳戳㠰㍡挷㤳㉣〴戱㈵攷㐴昲搶挱㉢慥㜳捥挲㠷㑣捥㈲㌲㑦〶ㄱ㝣づ㙦㈴攷ㄴㄴ昳㈶攷㙣㠶㤵㤳㥣搳㘱攲搲ぢ挸挴戹戰㜳㑡㑥㑢扥攴㌴㥢㠲㥣挹〰㡢攱愹挰愳挰㡣㐷敥㙥攸㘶㍣ち捣㜹挸㘵㍣〱晡晦㡦昲晥㜲㡦昲㌲ㅦ攳敤戵㡤㘷㔷㔹て昲昲㍥戶昹㍢㍡挴晦㝦㄰㤶㍤捦搸㜸㄰戶㤸㠷㠱挶扣〷㤶ぢ㈱搶㉦㈲戹㤸㝢㝢㝡〸昹㔲愳㈸㉥㐰㙥攵㐱㘵〹㤵㉥〳㈹扤〸慣挲㡦㜵戰扢㤶㐳愹㠴㜳㜴扡搴㡤㑡愶愲㤸ㄷ㉣ㅦ挵㠸攸晦换㈷㌵㈵㤸㥥㉤搲㡦㘹ち㌷〲戱昷㐶㈳戴散㐷扣㤹㔳㔶㌱㤱㌶㌱㌶㔹㍦ㅤ㡦㈳㥡愸晥㘷㍤㠰昹戳晣㌰㈶晤㜲挰愶㕥愵㌵攸っ㙤㙦ㄳ搲㔵搴㜱㉥㥦愲㔵㔷ㄷ㤵搱ㅢ㌹晡㠵㈴㙢㐱㌲㉥攱慦㘶愷㈹㈴ㄳㄷ挳挴㍡㘳㘸㌷㐰扦〳㍡㡢昱㝣愰㍡摦㔹攳㈸㔳㤰㌳捤攸㔲㜸慢挰㕢扦〵㡥昴愵㈴户㤲㉣㈳戹つ㐴ㅣ㤲户攷摦㑥㥤㍢㐸敥〴戱昵晣扢挹㌳㑦愹㑢攰扣て㉢戸㤷捣ㄵ㈰攲㜲ㄴ㡤㔳敡㑡ㄴ昳㥥㔲㉦愳㔵㑥㠲ㅥ㠰㠹㑢㉦㈰ㄳ㔷挰捥㑡㤰敤攱挹攸㝣挹ㄹ㘵ち㜲愶㑤㕤〵㑦ㄵ㡣攲㔱挶晥ㄸ挹攳㈴慤㈴㙢㐱挴晥㜹㤳戳㡥㍡敢㐹㥥〴戱㈵㘷〳㜹㘶㜲慥㠶㜳㤹㥣㘷挸㝣ㄶ㐴㕣ぢ㤶㤱㥣攷㔰捣㥢㥣㙢ㄸ㔶㑥㜲㕥㠴㠹㑢㉦㈰ㄳ搷挱捥㈹㌹〳昳㈵㘷㉦㔳㤰㌳つ散〶㜸慡㘰ㄴ慦㌱昶搷㐹摥㈰㜹㤳攴㉤㄰搱㉦㙦㜲摥愶捥㍢㈴敦㠲搸㤲昳㍥㜹收㤵敡㡤㜰㉥㤳昳㈱㤹ㅦ㠱㠸㥢挱㌲㤲昳㉦ㄴ昳㈶攷㈶㠶㤵㤳㥣㑦㘰攲搲ぢ挸挴㉤戰㜳㑡㑥户㝣挹㜱㥢㠲㥣㘹㙤户挲㔳〵愳搸㠲㑡昵慤㈴㕦㤳㝣㐳昲㉤㠸㜰攵㑤捥昷搴昹㠱攴㐷㄰㕢㜲㝥㐶㔱晢〵㈴晢㜹挹㌲搴搴㠷戵晤㑡慢摦㐰挴㜲ㄴ㡤㑣晤㡥㘲摥㑣摤㐶慢㥣㑣ㄵ㜷㘰愶ち挸〴攷攱㌹㘵敡晢㕦昲㡤㈳㤸㠲㥣㈹㝢㥣愹㔷挱㈸㍡愱㔲扤㌳㐹ㄷ㤲慥㈴攵㈰攲㉢㤸收ㄹ㐷愰㑥㜷㤲ㅥ㈰戶㑣昵㈴㙦ㅤ扣攲㥡晥㉥㝣挸攴散㐰收㡥㈰攲ㅥ戰㜶挳ㅢ慢㜴㔰捣㥢㥣扢愹㤱㤳㥣㕤㘰攲搲ぢ挸挴扤戰㜳㑡捥摢昹㤲戳搹ㄴ攴㑣㐱㕣〹㑦ㄵ㡣愲㍦㉡搵㜷㈷搹㠳㘴㑦㤲〱㈰㘲㔳摥攴っ愴捥㈰㤲挱㈰戶攴散㑤摥㍡㜸㐵㜲敥挳㠷㑣㡥㤷㑣ㅦ㠸㜸〰慣摤昰挶㥡〶ㄴ昳㈶攷㝥㙡攴㈴㈷〸ㄳ㤷㕥㐰㈶ㅥ㠴㥤㔳㜲搶攵㑢捥ㄳ愶㈰㝢㑡㘵改㉡㜸捡㥥㈵㈲搷戹㔸㤳捤㙣㔷扦㕤愱慣愵㌰㠹户戹愹㔳㡡戳㠹挶搴㌴攳昲愴㜳ち〴㥢搲㘴㈷㌹㉦换㘶㌴㌰㌵戳㈶㌹㡦ㄷ㈶扢收㡡戰〴愸慡愵愹戹㐱㑥㠰改㥤㉢ㅦ搵㌰愹愱㜹㔴㑤ㄳ愶㌹㉣攸攷㈰㌶㈴〷捦㑥搶㘳愲㘰㈳收ぢ㙥㑢愹㘱捥㥣㘴挲㈱挶㘹つ㉤㡤昱攴昸㔱㝦㠵愹㠶挲㤸挹㔳㠴挹㈲㐲ㄴ㠹晥昹㙦㑦㙣㜹晦ㅢ戰㈹挶〴ㄳ昱〷㘷慡戱ㄷ㘲㈰〹㕤慦〸㜵愲慢敢㈳搸つ㕤㐵愵て㠳㔵戸㡢搸㈶㉦㜶㠲戲㉢〵㔸つ㕥ㄷ㜳㜶散昸晡愶㥡㐴搲㘵㤶㌰晤扢慢戹㌹戹愵㌹㐳ㄲ㥤摦挳㤴㘰ㄶ捣攴㝡㐰ㅦ㡦㌶㈶晥ち愸愰㘱㜸ㄹ㤰〸つ㝦㝦㉣搱㠶㥢愲愲慦㌸㌴捤搷㔷㡢戰戳㡦㌴㜳扤ㅡっ挷㐹㐹搶敥㠸つ摢摣㑦摥摥㜴㘱扡㉤㜶ㄹ㑢ㄳ㤳搱㝡㠹挲戴收挴愸攴摣慥㔲㈳㠹づ㡥㤵㜷戵挹ㅥ㤹㐵㜹㐳愴愷㐶挴㥡ㅡ㙡㕢㥡㤳㕤慤㉤戹愳敢愹愹㐹捣㌱挲㍣摥捥搶搶㤴㜸㌳㘶㍡㕢晥㌸㐷昷慦㠳㄰㌲㔲㘲愲㈴㈴㑥㕡㠱捥㥢搹〸敥㐳㝦㄰㔵㠰㤹㤲慦㉦㠶㠹慢慦攲敢昶㘱㐵㙡挳挵㔷㔱改㈳㜰㥦㝤挷㤳㜹慣戵㑦搴攵㥥搴㐳捤ㅦ㌷㡥㜰昲攰搵㔹昱㌸㐷戶㑢㑡ㅥ昷㌰ㄱ㥥㙢㔲捡戹敢搴㘲㐵㙣㜳㑤㍣㕡㕢扢愰㙢㙡㝣㝤扣戶㈵㤱㥣㄰㡤㈵㙢搵㌱ㅢぢ㌰晥㈲㜸㤵㜰ㄷ㌰戰㉡㤰ㄷ㌳㈹攳戱㔲㔹㑤ぢ晥挳㠷㌹愱㔷㘱㑦搳㐶㠱㤴づㅤ㌱搳挷㐹㌲㉥㝤戴戹昷慤㐱改㝦㥥ㅢ敤㠲㔱昷昴捣㝥戹愲ㄵ〷戸ㅣㄶ㡦㙣㥣㉡㙡㑤慦㤶晢㥤㑤㙤㐲挳㠴〶㑣㝤㑦搸㔸攳㙡っ搶㕦㘶敦㤲㘰㘹㥡昶㐷㑦㌳挸ㄵ㕥㕦㤹昳慦㜰攸㌳捡挳㜸愶攱㉥昲ㄸ捡搹㤳㑣㙤扢㠸扣〲㤰㠷㐲づ扥㤶昳㌸㘶㕣㍥㑣慦㘹慥㑤㜶㑡㐹戹摣㉥攳㡥挱㙣㜶㑣㑤㥦㡤〹㥢愳扡愴挶㌶搶㈴㙡㙢敡㤳扣ㄴ挱㔲っ慥㈲㥥㤰㍣ㅡ㡢〶愶㌴㌴搵㜰㔹㔷㤷搴昴挶㘸㝤搳ㅣ捥换㡤㉦攸㥥㔱㤲㘰㤵愶㐶搶搴㘳㌷㌲敡攴㜶㜹㙡摡散㠶㜹㔸㕦摦㔲㔷㍦㌶㍡愷改㉦〱㤴㜹㘲㐱㠶㡣㝤慢㔸ㄴㄷ㡢戲攲戲㍦㝡挶搲挶㘰晦攸㕤搵搰搴㕣愱㔶㠰㔷捣摢扢愱㘲㙡㑤搳戱ㄵ摣㉤昷愹昰昳慡愱挸㠷㉡㡢㐹㑣㌴ㅦ挷㔶㠱ㅤ㥢㐰㥡慢㍡戸㘳㌳散㡣㐵㜴㡥戳捡慤敦㉦攰挱㕡ㅦ㡢挸㍡㡦〳㌹㘰散㡣昱改戵㐰晦㔷㕦〶㔰摡ち捦〵捥ㄹ戲攷㔸ぢて㝡㐲戹慢搱㥢挸㘳攷搲㘵愷㘰㈹扢㠷扡㔲㔲㠷㥤ㄵ愷㔹慡㜳㜳っ㘶㠵㜷挶戱〱挷㘸攴ㄷ〷攷慥㐶㠱搷㝤㜵搱摡㈶㔳㔶搵㔰㔷ㄷ㘵敦㘳捦㥤㠶〳㝣戲㑣㕥㠴攳㘰愳愷㐰㘴ㄷ㌵㔹搱昹㘰㐵攷㑢ㄶ捥摢㕣㑣㈴户改慢攱攸㘸㘳㑤昳散扡㥡㜸ㄹぢ㕣昰昳㤷攸戶攸㐲㈵㐸愶㝡挹扥㡢㉢摡散搱㔱㘳戲㌹攰ㅥ㠲㥢っ愶㡥昰愳㜳ㄷ换㤳扤昸㠳㉢㌵搰㝤攵㡤㤸㝥〰扣㤵攲㙥扦〸攷ㄸ㈳ㄴ摢㤵ㅡ㌸昲㌸㈵㥥愰〲摥晡㠱㔰攷〶摦㈵敢㐱ち捥㥦敦〸〵搷㠴㠶㘸㘲っ搶㠴㌵㌴㜶㌴扦扣愲っ搰昲愸搳攸收㥡㠹㉡慣㌶挲㉡愶戹戸㘰㙥㉣㈳㘳ㅡ㔶㈳㤴㜰戵㠵㘶㘰挸晤扡愸戴戴㔳㤹㔳㕤攳㤵慦㝥收摣㜲晢㤷㝦㡣捦昱晦搹㐱攱㘱㙣慤换㠵㠶攰㌹㉦愸㍥㤱㙤㝡ㄲ㐵戶㈷㑢㘱ㄲㄵ㈶㠳㤴㙥㠰㌰㝢㉦挹扢扥〰〶㐵愵㜵㕣昷㔰㔶挷收攰扡㐴挳㙡〸慣㥦㐰㑡戴㑥㘵㑦㐱慥㑦㠱搶ぢ捦㍦㍦ㄴ摢㐵攲㔹㄰㔵扦㡥㙤㤷㡢挹搳て㘲晤㔳㐱挴㍦㔱攴摤慢㠴つ㑢搳㔹㠵㜹攷㌲〳摢㌸㥢㠸㡤㘰昱敥㐵扤㙣㐸攲慣㍦搳搴㝡ㄵ㘲㕥㜷ㄳ挳㙤㕤挳㠹㑤搰攳㜵㥣搰て㠶戹㜶〸㠸扣㤰〸㠲攷搲て㌵㕤扥㠶ㄲ㉦㈶㡣㔷摥搳㥤㜸〳ち㍣攵攱㜱㍣㉣㘵〴㔹挷㔰昱㈶搸㍣㡥敡㠷㐳㐳扣㠵慤㔶扣ㄱ慢搱㕤㡦㘴〰摢散慥㙦㑢ぢ㌸㌹㡡㑥捣㠲㜸ㄷㅢ㉡挵戶㍥㔰つㅤ㝤ㄶㄵ摦㜳㔶㠸㔲㈱㐶㠵昷愱挰㝥愰挷㔱戲愰晢挸㘶㘶㠳㉥㐱戳㈴捤㍥㠷㠲つ扡愳挱㔳搰捤挶㌶愱晢〲慣晣搰搵㤸㕡㕦㐲慢捤搰㝤〵㘵〳扡㘳㘰慥ㅤぢ㔲㍡㜴㘴㔵挸〳扥㑢慦㌵㕤㙥㐱愹㉤搰㝤つ㍤〹ㅤ慥晦㤰搱㙣搸扥㠱㔸挲㔶〷扦攲㕢㤴㕡昱戶㘰㙢㘰攵摢㠴敤㝢㘹㠱慣捤㠱扡㝡㠹ㅦ戱攵〰摢㜱搰搱ㅢ㔹摢㑦捥ち㑤㔴攰搷晥㠸㥦愱㈰㘱㙢㐱挹㠲敤㌷㥢㤹つ戶戹㌴㥢㐷戳㡥㘸愷つ戶〵攰㈹搸㡥挷㌶㘱攳㡣晦晣戰㉤㌴戵㜴㘸戵ㄹ㌶㉥ㅤ㌰㘰㍢〱收摡㠹㈰㜲㡦昳愲㜶㤷㝥㤲改戲ㄳ戴摡〲ㅢㄷㄹ㙣㘳㡦攳ㄲ〴〹摤挹昰㉤捡㔱㙡㐵㔵ㄶ㜴愷㌲㠰㙤㐲搷つ㘶昸㉦搲㑦愳ㄳ㘹㡥㑦㉥㕡㜰㠰敥㜴攸攸㘷㔰㤱ぢㅡㅣㄴ捥愴挲㔹㔴攸〹〵〹摤搹㈸㔹搰㜱ㄵ㠳㌲戳㐱㜷づ捤捥愵㔹ㅦ㈸搸愰㍢ㅦ㍣〵摤㘲㙣ㄳ㍡慥㐷挸て摤〵愶搶㙥搰㙡㌳㜴晤愰㙣㐰㜷㈱捣戵㡢㐰戸挷昹㈳愸摤愵㕦㙣扡散て慤戶㐰户〷昴ち散㜱㕣ㅣ㈱㘱扢〴㝥挵〰㤴㕡㔱㡤〵摢ㄲ㔶扥㑤搸〶挲っ晦㜸挲っ㜵昵ㄲ㕣㐱愱搲㙢㍢㔰㕥づㅤ晤ち搶挶搵ㄵづち㔷㔲攱㉡㉡散つ〵〹摢搵㈸㔹戰㜱㐹㠵㌲戳挱㜶つ捤慥愵搹扥㔰戰挱㜶㍤㜸ち戶ㅢ戰㑤搸戸㌸㈲㍦㙣㌷㥡㕡㐳愱搵㘶搸戸捡挲㠰敤㈶㤸㙢㌷㠳㐸搸㜸㡣㜳改户㤸㉥㠷㐱慢㉤戰㡤㠰㕥〱搸戸㔲㐳挲戶ㄴ㝥㐵ㄵ㑡慤捣扢㍡扦㉤㘳攵摢㠴㙤㌴捣昰㥦〵摢㔸戰㔴㝡㙤戰㉤㠷㑢晤㜶搶挶㜵ㅦづち㜷㔰攱㑥㉡㡣㠷㠲㠴敤㉥㤴㉣搸㈶搸捣㙣戰摤㑤戳㝢㘸㌶〳ち㌶搸㔶㠰愷㘰㕢㠹㙤挲挶㘵ㅢ昹㘱扢捦搴㍡ㄸ㕡㙤㠶㡤敢㍦っ搸敥㠷戹昶〰㠸㍣扦ㄹ㤷㈶て㥡㉥戹㐰愴㉤戰ㅤづ扤〲戰㜱つ㠹㠴敤㈱昸ㄵ㐷愲搴㡡㐶㕡戰慤㘲攵摢㠴慤ㅡ㘶昸捦㍡扦㐵挱㜲㐰㘵㌵㕣敡㡦戰㌶慥㐸㜱㔰㔸㐳㠵㐷愹㄰㠷㠲㠴敤㌱㤴㉣搸戸っ㐵㤹搹㘰㝢㥣㘶慤㌴㙢㠰㠲つ戶㈷挰㔳戰慤挳㌶㘱攳㠲㤲晣戰慤㌷戵㡥㠳㔶㥢㘱攳捡ㄴ〳戶㈷㘱慥㍤〵㐲搸㝣挶昹㙤㠳改㤲㑢㔷摡〲㕢ぢ昴ち挰挶搵㉤ㄲ戶愷攱㔷捣㐳愹ㄵ㡤戴㘰㝢㤶㤵㙦ㄳ㌶㉥㠷挱㝦搶摥戶㄰㉣㤵㕥摢摥昶㍣㕣敡㉦戰㌶慥㤵㜱㔰㜸㤱ち晦愰挲㠹㔰㤰戰扤㠴㤲〵摢挹㌶㌳ㅢ㙣㉦搳散ㄵ㥡㥤〳〵ㅢ㙣ㅢ挱㔳戰扤㡡㙤挲挶愵㉥昹㘱摢㘴㙡㥤〷慤㌶挳㜶㍥㤴つ搸㕥㠳戹昶㍡〸㘱ぢㅢ㔷㤳㙦㤸㉥戹愸愶㉤戰㕤〸扤〲戰㜱摤㡤㠴敤㑤昸ㄵㄷ愳搴㡡㐶㕡戰㙤㘶攵摢㠴㡤ぢ㜵昰㥦戵户㕤〶㤶〳㉡敦挰愵晥㉥㙢攳㉡ㅥ〷㠵昷愸昰㍥ㄵ慥㠰㠲㠴敤〳㤴㉣搸戸㜴㐷㤹搹㘰晢㤰㘶ㅦ搱散ㄶ㈸搸㘰晢ㄸ㍣〵摢扦戱㑤搸㤶㐲㈵㍦㙣㥦㤸㕡户㐲慢捤戰㜱㌵㡦〱摢愷㌰搷晥〳挲慢㐹㝦〰戵扢昴晦㥡㉥㙦㠳㔶㕢㘰扢ㅤ㝡ㄲ戶晣昷㙦㕣ㄵ㈴愱晢ㅣ扥挵㥤㈸戵愲㉡ぢ扡㉦ㄹ挰㌶愱攳㌲㈲晣㘳挵㌱㥤㐸㜳㝣摥㡢㉤㤵㘲摢ㅥ户〵㍡晡㔶㉡㜲㡤㤱㠳挲搷㔴昸㠶ち㉢愱㈰愱晢ㄶ㈵ぢ㍡㉥㉣㔲㘶㌶攸扥愳搹昷㌴㝢ㄴち㌶攸㝥〴㑦㐱昷ㄳ戶〹ㅤ㤷〸攵㠷敥㘷㔳敢㜱㘸戵ㄹ扡㔶㈸ㅢ搰晤〲㜳敤㔷㄰㜹㔹㘲㐰昷㥢改㜲㉤戴摡〲摤㍡攸ㄵ搸攳搶㐳㉣㘱晢ㅤ㝥挵㤳㈸戵愲㤱㘸愵扥ㄶㅦ㍡㐷慡戶つ摢〶㤸攱㍦敢㐰昹っ㔸㉡扤㌶搸㍡挰愵㡥㙦扦挴搰㠷戳㐲㈹ㄵ㌴㉡㍣〷〵〹㕢㐷㤴㉣搸戸攴㘹㍤㙡攳㠸㡤つ戶㌲㥡昱㉢㕢挵㙢㔰戰挱搶〹㍣〵㕢㘷㙣ㄳ㌶㉥㕥捡て㕢ㄷ㔳㡢慢㥢摡っㅢ㔷㐱ㄹ戰㜵㠵戹㔶づ㈲昷㌸攳㐰改㌶㕤扥〵慤戶挰昶㌶昴戶戱挷㜱㌵㤵㠴慥㍢㝣㡢㜷㔱㙡㐵㐳㉤攸戶㘳〰摢摣攳摥㠷ㄹ晥昱戵戴㜴㈲捤昱昹㈱戶搶愳㤰㌵㈸戶㍤㜴昴ㅤ愸昸㤱戳挲㡥㔴攸㐵㠵㝦㐱㐱㐲户ㄳ㑡ㄶ㜴㕣㤰戵摥昴㙢㠳㙥㘷㥡敤㐲戳㉤㔰戰㐱搷ㅢ㍣〵摤慥搸㈶㜴㕣㕡㤵ㅦ扡ち㔳㡢㙢慦摡っㅤ搷㘸ㄹ搰昵㠱戹搶ㄷ㐴摥㝡ㅢ搰敤㘶扡晣ㄶ㕡㙤㠱敥㝢攸㙤〳㍡慥昵㤲搰昵㠷㙦挱㐵㕦慤㘸愸〵摤ㅥっ㘰㥢搰晤っ㌳晣㘳㠲て㥤㐸㜳㝣晥㡡慤昵㈸㘴㐱㌷〰㍡晡㕥㔴攴捡㌱〷㠵㠱㔴ㄸ㐴㠵摦愱㈰愱ㅢ㡣㤲〵ㅤ㤷㡢㈹㌳ㅢ㜴㐳㘸戶㌷捤㍡㐱挱〶㥤ㄷ㍣〵㥤て摢㠴㡥ぢ扦昲㐳攷㌷戵扡㐰慢捤搰㜱〵㤹〱㕤〰收㕡㈵〸て㤶挱㄰㙡㜷改㐱搳㈵㤷㤸戵〵扡㙥搰㉢㜰戰攴㉡㌴〹㕢〸㝥㐵て㤴㕡㔱㡤〵㕢㠴㤵㠳㔹㜸㐸㥤换搶㠸㔶收㘰ㄷ搷慤慤〷㌷ぢ戶㝤攱㔲摦㡦戵㜱㑤㥢㠳挲㔰㉡散㑦㠵㕥㔰㤰戰つ㐳挹㠲㡤ぢ搹㤴㤹つ戶攱㌴ㅢ㐱戳晥㔰戰挱㔶〵㥥㠲㙤ㄴ戶〹ㅢ㤷愴攵㠷㙤戴愹戵〷戴摡っㅢ搷戶ㄹ戰㡤㠱戹㌶ㄶ㐴ㅥ㉣㡤㕢敦㜱愶㑢㉥㝥㙢ぢ㙣〳愱户㡤㍤㡥㙢攴㈴㜴〷挰户ㄸ㡣㔲㉢ㅡ㙡㐱㌷㠱〱㠰㔹ㄸ㍡㉥慡㤳搰㑤愴ㄳ㘹㡥㑦㉦戸敢㔱挸㠲㙥ㄲ㜴昴挹㔴攴㡡㍢〷㠵㈹㔴㌸㠸ち㝥㈸㐸攸愶愲㘴㐱挷㘵㜶捡捣〶摤㌴㥡㑤愷ㄹㅦ㘸搸愰㥢〹㥥㠲敥㘰㙣ㄳ㍡㉥㤸换て摤㈱愶搶〸㘸戵ㄹ㍡慥扣㌳愰㍢ㄴ收摡㘱㈰摣攳㐲ㄱ搴敥搲て㌷㕤㔶㐱慢㉤搰㡤㠶㕥㠱㍤㡥慢昷㈴㙣㐷挰慦ㄸ㡢㔲㉢慡戱㘰㍢㡡㤵㠳㔹ㄸ㌶㉥昷换摤攳づ〴㜷㍤㑣戳㘰㥢〵㤷㝡㤴戵㜱㉤愰㠳㐲㡣ち㜱㉡㑣㠴㠲㠴㉤㠱㤲〵ㅢㄷ〰㉡㌳ㅢ㙣㐹㥡愵㘸㜶㈸ㄴ㙣戰捤〶㑦挱㔶㠳㙤挲挶愵㝣昹㘱㍢挶搴攲㕡扦㌶挳挶㌵㠱〶㙣挷挲㕣慢〵㈱㙣㍥攳慡戲捥㜴㜹㈴戴摡〲㕢㌵昴ち挰挶㜵㠵ㄲ戶㝡昸ㄵ㔱㤴㕡搱㐸ぢ戶㌹慣ㅣ捣挲戰挵愱㈱㘱换ㄸ愳㑣㠲扢ㅥ愶㔹戰㌵挲愵摥挴摡戸㑡搱㐱愱㤹ち㉤㔴㌸ㅡちㄲ戶戹㈸㔹戰㜱㘹愲㌲戳挱㌶㡦㘶昳㘹搶〴〵ㅢ㙣挷㠳愷㘰㕢㠸㙤挲挶㐵㠶昹㘱㍢挱搴攲㉡挴㌶挳挶搵㡡〶㙣㈷挲㕣㍢〹㐴㕥㥡㘰㈲〲昶戶㐵愶㑢㉥㘷㙣ぢ㙣ぢ愰户㡤〳㈵㔷㍤㑡攸㑥㠱㙦挱攵㡦慤愸捡㠲敥㌴〶〰㘶㘱攸㑥㠴㠶㠴敥㜴㍡㤱收昸㕣〴敥㝡ㄴ戲愰㍢〳㍡晡㤹㔴攴ㅡ㑡〷㠵戳愸㜰㌶ㄵ㑥㠱㠲㠴敥ㅣ㤴㉣攸㑥户㤹搹愰㍢㤷㘶攷㠱㤴㉥㠶挲晦戰昸㡤㌳搲㜴㙢㌶慦㥣㔴㤸㥥扣摢㈵㘵㥦慢摢㈳㘵㑥摡戵㑤捤捤攲挹挹㙣㤸㉡昱ㄷ㥡㜸㡢昶㈱㤹㙡攲挱ㅦ㥥攳挴㤹〳㥣㈶㠰㥥捦㜵㙤戲㘳㘹攷㈳攱摢㤹摦㝦㕣㠱攴㌴㌷搶挴㕡㌸敢㐸㔶捡昳㝢〹㠹㌴㉣ㄲ㕣ち㈷㝢摢㘲㤸㠹㡢㔱㙡愵㔰〸攳昶昳㐲愲〷㘶攱摥㜶㈹㌴㘴㙦扢㠸㑥愸捤㌷ㄷ搰慤挷〶㝢ㅢ昸愸戰㈳愸㝥㌱戶昵㑢愸挸挵㜵づち㤷㔲㘱〹㐸㈹㤷㜱㘵捦捡挸㕣㡤㠶㜹挹散㜰㈵晣㍥扣ㄲ㝥愳㘱ㄹ扥ㅣ㔰㝥ㄵ㘲愹㥣挲搰挹昶ㄵ㠶㥡昱敤㠵㘵戰挱㔶㕤㤳㌶つ昳㕢㤲〹㤷搱戵㌸㘵〰改㉣㉡㉥㉥挱㈴て㉤㝢㙤㙥㑥戵㜴㌱㉤㈹㔷捣㠹摥〸㐱扢っㄱ敦挶戹敡昰㕦㕤攸晢愴搷㐲摢扥㡡っ㌳愰慦㠰㉤㈶昸㜳㌹搹㝡㙣㌱㘳㥤挹㌱㌲㜶㈵愴晡㔵㈰攲ㄶ㈸搸づ㠱搷搰捣㥣㡡㜰㉤戶搹ㄱ㤶㐲㈵晦㈱昰㍡㔳敢㔶㘸戵昹㄰挸搵㘵挶㈱昰㝡㤸㙢㌷㠰挸㐳㘰㤸㈱敡㌷㥡㉥㙦㠳㔶㕢づ㠱㕣㠷戶㡤㐳㈰㔷愹挹㑥㜹㌳㝣㡢㍢㔱㙡㐵㔵㘸愹搱㈹㤷㌲〰㌰ぢ㜷捡扢愱挱㝥愸摦㑡㈷搲ㅣ㥦㕣搷戶ㅥ㠵慣㐳攰㌲攸攸户㔱㤱㙢摥ㅣㄴ㤶㔳攱㜶㉡慣㠴㠲㍣〴摥㠱㤲㜵〸攴㐲㌷㘵㘶㍢〴摥㐹戳扢㘸昶㈸ㄴ㙣搰摤〳㥥㠲敥㕥㙣ㄳ㍡㉥㔹换て摤ち㔳敢㜱㘸戵ㄹ㍡慥㝤㌳愰㕢〹㜳敤㍥㄰〹㥤㜱㤹㝦扦改㜲㉤戴摡〲摤㍡攸㙤〳扡昵㔰㤱搰㍤〸摦攲㐹㤴㕡搱㔰ぢ扡扦㌳〰㌰ぢ㐳户〱ㅡㄲ扡㔵㜴㈲捤昱挹㔵㜷敢㔱挸㠲敥㘱攸攸慢愹挸ㄵ㜹づち㡦㔰㘱つㄵ㥥㠳㠲㠴敥㔱㤴㉣攸戸っ㑦㤹搹愰㝢㡣㘶㡦搳㡣㑢收㙣搰慤〵㑦㐱昷〴戶〹ㅤㄷ搴攵㠷㙥㥤愹昵〶戴摡っㅤ㔷收ㄹ搰慤㠷戹昶㈴㠸ㅣ㠵㌴挶㐴㥥㌲㕤㜲改㕥㕢愰㝢ㅢ㝡ㄲ㍡攷㔹㈴㕣摤㈷㘱摢〰扦攲㕤㤴㕡搱㐸ぢ戶㘷㔸㌹㤸㠵㘱㝢ㅦㅡㄲ戶㡣敢挵て挱㕤て搳㉣搸㥥㠳㑢晤㜹搶昶㤱戳挲ぢ㔴㜸㤱ち晦㠲㠲㠴敤ㅦ㈸㔹戰㜱㠱攰㝡搳慦つ戶㤷㘸昶㌲捤戶㐰挱〶摢㍦挱㔳戰㙤挴㌶㘱攳㔲扦晣戰扤㙡㙡㝤つ慤㌶挳挶㌵㠳〶㙣㥢㘰慥扤㐶㠲㜱㝦㝣㈷㍥慡㜷改慦㥢㍥戹慡戰㉤戸㜱㜹愱挴㑤㝢〳㤶㝦㘰㙥慣攰摡㐴〹敤㥢㜰㈰㝥㐴愹ㄵ㤱㔸搰㙥〶㜷摢搰㜲㌱愳㠴昶㙤㍡㤱收昸晣ㄵ摣昵㈸㘴㐱晢づ㜴昴㜷愹挸挵㡤づち敦㔱攱㝤㉡晣づ〵〹敤〷㈸㔹搰ㄶ㘳㈸㕣㤹搹愰晤㤰㘶ㅦ搱慣ㄳㄴ㙣搰㝥っ㥥㠲昶摦搸㈶戴㥤愱㤲ㅦ摡㑦㑣慤㉥搰㙡㌳戴㕤愱㙣㐰晢㈹捣戵晦㠰挸㠳愹㌱搴昵㕦搳㘵㌹戴摡㠲㙣㌷攸㙤攳㘰摡ㅤ㉡ㄲ扡捦攱㕢昴㐰愹ㄵつ戵愰晢㤲〱㈰㠱㠵昷捡㥥㌰㤳搰㝤㐵㈷搲ㅣ㥦㍢㠰扢ㅥ㠵㉣攸戶㐰㐷摦㑡挵ㅤ㥤ㄵ扥愶挲㌷㔴攸〵〵〹摤户㈸㔹搰敤㘲㌳戳㐱昷ㅤ捤扥愷㔹㝦㈸搸愰晢ㄱ㍣〵摤㑦搸㈶㜴扢㐳㈵㍦㜴㍦㥢㕡㝢㐰慢捤搰敤〹㘵〳扡㕦㘰慥晤ち㐲攸晣挶㕤摣㙦愶换〱搰㙡ぢ㜴〳愱户つ攸〶㐱㐵㐲㔷㔴㡡昶つ㐶愹ㄵつ戵愰㉢〶㜷摢搰敤つ㌳〹㕤〷㍡㤱收昸昴㠲扢ㅥ㠵㉣攸㑡愰愳㤷㔲搱攷慣愰㔱愱㈳ㄵ晣㔰㤰搰㤵愱㘴㐱ㄷ戴㤹搹愰攳敦敦改㉥㤰搲攱㔰㘸摢ㅡ挱㡥〸捦㙤㕢戸㈹扦㉤愲㕢敡愰㤶㘸㉤㝥㤰㙤㌲㔶て㌵㤳昵㔷㤸つ㕥㘲慣攱摡收昵扥㙣挲攱㐷昶㐶换戲㜳㤰㜹㙦㘰戶㑤㝥㌹挶ㅦ㕢攳攵㉡晤昶愷摦㝦㙦㕢㉤散ㄵ㤹㕦㔷〱㤰㜰㥥改っ挰戸㉦㜱㙤愵散㐲ㄹ攷攴㤱㑥摣搲㉡㜰ぢ慣愲挸㕡ㅥ㐵慦㍤搲㜳扥㌹扢㝦㘰㉤㙥㌷摢戰㤸愲㉢㠲ㄳ愳㥤㘲㄰㘳ㄵ搷㑤ㅤ㔴挱㜷改〱攰㘶摦〸收㑣捦挷㑥㡣ㄵ愱㥣愸㍦慤㜹㐱㉤ㄶ㐷㜰㤳㌷㠶挶ㄶ㘷㠳ㅢ㘲〴摤搰㔸㠲挵慦搹㕦戰㘳搹晥ㅤ慥㍡㙤㤷昵㍢ㄴ搲㡣㤲㜱㠸愶昴㑢㐰㤴搷㥥㐱愷㔱愱つ㕦㕡㜷戴㘹扢㠹㌵昱挶㠶愶㠶㔴㜳挵㌴慣〱慡攰㉦㤳愴戰ㅡ㙣㐴改攷昰攸㔸㈷ㅢ㔶㔲捦摦㉥㥣换敦㈵㜱ㅤ㕢摦㌰慦㕥㐶㔳摡挴ㅦ㘸㘱㙤㝡挷㡥慣㠶㙢挴攴㙢㌷㈴捥㝤㈰〲愵戱扥ㅤ㉡敥搲挱㍤〱㘵㥥㉦戴㥥㈸昷慦ㅡ㔹㌵戵摡敦㑤挵㝤ㅥ㙦㘵㌸攲㡤〵扣㐱㑦㌴改昷愵㔲㘱㝦㌰ㅡづ晡㐳扥戰戶扤愵㥡昴〴攲攱㔰挸ㅢち挴攲〱㕣捦㠴㉢ㄳ㥥㔴愵捦㤷㑡㠴㠲搱捡㑡慦㝢愲改㕥摦〱㌶晡㡥㈰敥㐹㡡搵㡢慣㥤挸㥡慣㔸㤶㔶昹ㄴ戰ㄸ戹㈶㐳晦ㄳ㠹晢㈰㜸挶㝦㤱昶㌷㔴摤戵㙡㘴戵㙤㈹㤰搶ㅢ扣捥攰挹㤱㠲愹昸㌱ㄵ㙤㔷㜰扡㠱㤳昹〳㤲敥愹愶ㄷ扤〲慥昴㍥㈴㝤愱㈹愶㠳捦㠳愲㑢扣つ散戸搳戲㉥㤷摥て㐲敥㝣㌳㔰㤴攰㘴散㝣㌳ㅤ戹〷㠳换ㅤ㔰摦㥤㥥て㜵搴㌹㕣㜱昷愴づ慡㤲㙦捥捣攷づ㈲㕥㐳〰散㤶㄰攰㡢ㄶ愰挲㙥㈵㕥〵㠷㕤㉢戳㙢ㅣ〵〳搹㌵〶㐱て㕤愳ㅡ㘵搹㌵〶愳㙣㜴㡤㐰㌴ㅥ㐹挵㘳㥥㜸㌴ㄵ〹挴㝣㥥㜰ㄸ㕤㈳㤸㑣㔵㈶㈳挹㔰㉡ㄴ搵㠶㔸慡㘱愸㜸㠲愱㐰㉡收ぢ〴㈲㥥〴㍡㡦㌷ㄴ㡦挵ㄲ摥㈰㍡㔶㉡攰㥥㘵扡搷昷㠶㡤敥〱㜱㜳㜲㍦㙢搴搳㕤㈳愶㔸㔴㤰慡攵㜱戰摡愷㙢㈴攰ㄹ晦㐵㍡扢㠶捥扥愰ㄳ㝥㜷㔲昱㜷愷㜰て㤲㝤挰ㄷ㐷㠳㙦㠰晤㈴戲㤹〶㝢㍦〸〹昶㙣挸㈵搸㜳攸搵㝣㠹ㅡ㐷敥㌱攰㑡戰昷愷攷㕡㐷㥤㍡挵ㅤ㑥ㅤ昸㤳敦〶㜰㈵搸㡦㈳〸〵戶㌶ㄲ㉡㜹て㉣攲㔱挷ㅥ愰挲㜴ㅦ〷㤷ㄲ晡㔱昰㘲㐰㥦昰㔵㝡晣ㅥ㥦㉦ㄶち㔷〶扣晥㘴㌸ㄲ慤㡣㔷㐶㘳㤱㐴搸㤷〸㠶㔳摡㘸㑢搵攳昷㔶〶㐳挹㐸㌴ㄹぢ〵㐲ㄱ㑦挴㤳っ㈵攳摥㜰㌸ㅣ昷愰ㅢ㐴摣㡤愶㝢㝤っ㙣昴戱㈰敥㈶挵ㅡ㐷搶㜸戲㥡ㄵ㡢ち㔲戵扣〵慣昶㠱㝥㉥㍣攳ㅦ㍦㘷㠹捡戲㡦ちㄳ挱换㍣㉡㑣〲挷攱愸㌰捦昴愲て㠲㉢昹晢愴晡㐱搰ㄴぢ挰㌷㍡捡㍤ㄹㅤ㘵ㅡ㠴散㈸挷㐳㉥㍢㑡挶㔱㘱愱㈳昷〴㜰㘵㐷㤹㐱捦㈷㌹敡㥣慣戸〷㔳㐷㜵㤴㔳挱㤵ㅤ㘵戹慤愳愴㡦ち换ㅣ晢挴㘹㌰㤲㐷㠵挳攱ち㐷㠵搳㔱㤶㕤攳〸㤴捤慥ㄱ㡡㈵㠱戱㉦㄰慢㡣〵〲晥㜰挴㥦ち㠴㉡㉢ㄳ搱㘰挰㤳㐸㜸㐲摡㤱㤶㙡㌰ㄴ㑦攰捣㄰㐸㈴㐳昱㐰㉡敡㠹挶㤳㈱㑦挴㕢改挳㤹㈴攲〹挵摤㘷㤸敥昵愳㘰愳㔷㠳戸捦㔴慣昴㔱攱㉣挵愲㠲㔴㉤㍦ㅢ慣昶改ㅡ攷挰㌳晥㜳㡥ち攷㉡㍥㐷捥攴敦挷敡㌵〸㐷㥣て扥〱昶攵ㄹ㘰ㅦぢ㈱挱㕥っ㜹㉥搸ㄷ㌸㜲㉦〴㔷㠲㕤㐷捦ㄷ㍢敡㕣愲戸つ搴㔱㘰㉦〱㔷㠲㝤㤱つ㙣敤㌸愸攴㍦㉡㕣攰搸〳㔴㥦㜴㕦づ㤷ㄲ晡㈶㜸㌱愰㑦挵㐲扥㘸㘵挴㡦㍤㍥ㅡ㐸昹扣戱㐴㌴攲て晢扣㌸㈸〴㝣㌸㍡㘸捤㤶㙡㈲ㅡ㡢㠶㈳㠱㘸愵㌷㤵っ〴㍣㌸㍡〴㝤攱㔸㉡ㄲ昷〷㝤昱戸㌷改扥挲㜴慦户挰㐶㥦ぢ攲收㈲〶㜹㐲㤸㐷搶㝣戲慥㔲㉣㑢慢晣㙡戰摡〷晡㙢攰ㄹ晦㌹搰㕦慢昸㘱ち㈳㈴㈷㈳㌸㜱㍤昸〶昴㡢㌲愰㍦ㄵ㐲㐲㝦〳攴戹搰摦攸挸攵晡〷〹晤改昴㝣㡢愳捥㔲挵㍤㤳㍡ち晡㘵攰㑡攸ㄷ搸愰搷〹扤㍣晢捦㜳㐴㜹㌹㡣㈴戸攷㐲捦〰搷㥢㑡〰慡㈸㜶换捡㄰㝥慦㍣ㅡ㡥㘳挷づ㐷ㄲ挹㘸㌸ㅣ挵㌵㠰㜶㥥愵ㅡ〷昶㥥愴㌷㤶㑡㐶攳㠱㐸㌸㄰昱㐶㔳㥥㠴户㌲ㄱ昱㐶扣挹㤰搷㝤扢改㕥㍦ㅦ㌶晡㘲㄰昷ㅤ㡡㤵〶昷㑥挵愲㠲㔴㉤扦ぢ慣昶〱昷㙥㜸挶㝦づ戸昷㈸晥晥ㄴづ㈳戹〲攱㠸ㄵ攰ㅢ攰捥捥〰昷㉡〸〹敥㑡挸㈵戸敡㌴ち换㈲㜱㥦㈳昷㝥㜰㈵戸搷搰昳㠳㡥㍡て㈹敥㜵搴愱㉦扥戹扡㐱㠲ㅢ戳㠳换戳扤〴㜷㤶㈳戸慢㘱㈴挱扤〹㝡〶戸晥捡㜰㌰敡〹㝢㤳㈹扦㌷㤰㑡㝡愳愱㘴っ㐷攳㜰㉡ㄶ㑣〰敤㠰㜶戳愵㡡扤㌴ㄶ挷㈹㍤㔸㤹っ〷㐲挱㐴㈴㔰ㄹ㑢挴㉢㍤攱㔴捡㤷昲㠷挲敥㐷㑣昷晡㉤戰搱㤷㠲戸搷㈸㔶晡㝣捥攵ㄱ㜲㘷愶㠲㔴㉤㝦っ慣昶〱昷㜱㜸挶㍦㔶ㄵ戳㌲㥥挰㜵㥥戳摤慤㡡㍦㡡挲搱㈴昷㠰㉦㥥〰摦〰昷愰っ㜰㔷㐰㐸㜰搷㐱㉥挱㔵㐷㐳㔸ㄶ㠹昵㡥摣㈷挱㤵攰摥㐷捦ㅢㅣ㜵㥥㔶摣〷愸㐳㕦㝣㍦ぢ慥〴昷㐰㍢戸搶㥥㍢摥ㄱ摣攷㘱㈴挱㕤〵㔷收㥥㕢改㡢㈷㝤㤵㠹㔴㈰敡つ㜸㐲戱㔸ち昷㘸㤵愹捡捡㘸搰㔳ㄹ昷愵戴㠷㉤搵㔰㉡ㅡ㡢〷ㄳ戱㑡散搲搸㜳㔳㔱㕦ち㘷㘶て㙦攸㝣戱㜸捣攷㝥挱㜴慦慦㠶㡤晥〸㠸晢㐵挵㑡敦戹晦㔰㉣㑢慢晣㈵戰摡〷摣㤷攱ㄹ晦㌹㝢敥㉢㡡㝦〰㠵〷㤲㍣㠹㜸挵㐶昰つ㜰昷挹〰㜷〳㠴〴昷㔵挸㈵戸ㄹ㝢敥㈶㐷敥㙢攰㑡㜰㥦愱攷㌷ㅣ㜵摥㔴摣攷愸㐳㘰昹摥っ慥〴㌷㘰〷搷摡㜳㝤㡥攰扥〳㈳〹敥㍦攰捡〰㌷攰慤昴挷㈲挱㘰っ㠷搹㐰㈲㄰㡢〵㔳昱愰㍦ㄹ挱晤㔵㈲攸〹㠵戵㤷㉣搵㔴っ昷攳㐱晣捥㙣〰昷㙢㠱㜸㈸ㄶっ㐴㝤㘱ㅦ慥挷㉢㘳㤵㠱㘰挲晤慥改㕥㝦ㄹ㌶晡㉢㈰敥昷ㄴ㉢扤攷㜲愹㠵摣㜳㉤慤昲て挰㙡ㅦ㜰㍦㠴㘷晣攷散戹ㅦ㈹晥ㄴちて㈲搹㡣㜸〵ㄷ㙦ㄸ攰敥㤶〱敥㍢㄰ㄲ摣㝦㐳㉥挱捤搸㜳㍦㜱攴㝥ち慥〴昷㍤㝡晥慦愳捥攷㡡晢〱㜵〸㉣摦㕦㠲㉢挱晤㥢ㅤ㕣敢㡥㝢㘷㐷㜰扦㠲㤱扣戶晥ㄸ慥㜰㙤扤〵㘵〹昶扦㔱㌶挰挶㌵㔴扣戲㌲㠹敦攷〸㐵〲昱捡㜸ㄸ㜰晢㉢㍤愹㘸㉡ㅥ㡡〲㑦敤ㄳ㑢㌵ㄵ㑡攲扥㍡㠶㤳㜰㈲㄰挰㍤㕡ㄸ摤㈴改つ㜹ㄲ㠱㈰慥慦〳〱昷㔶搳扤晥㈹㙣昴晦㠰戸扦㔶慣昴戵昵㌷㡡㘵㘹㤵㝦ぢ㔶晢㠰晤ㅤ㍣攳㍦㘷㑦晥㕥昱㘷㔲㜸㌰挹㌷㠸㔷晣〸扥〱㜶愷っ戰扦㠳㤰㘰晦〴㜹㉥搸㍦㍢㜲㝦〱㔷㠲晤〳㍤晦收愸昳扢攲晥㐴ㅤ〲捤户〰㘸ㄲ散㔲㍢搸搶㘱扡㠳㈳搸ㅤ㘰㈴挱晤つ慥っ㜰攳戸㔴挶搵㔴㈰攴㡤㠳昸㘲ㄸ㙥慢㑣攱㠷挹㠳㐹挰ㅢ〹㔶㙡扦㕢慡愹㑡㈸㐶㍤戱戰ㅦ㠳㙤ㄱ㝦㈰㥡慣昴㐵㐳㈱㡦㍦敥㑦㘲戰捤攷㉥㌱摤敢ㅣ㌲搳〵㠸扢㔴戱搲㠷㘹㑤戱㉣慤昲㡥㘰戵て戸㘵昰㡣晣攵㠰慢㉢晥ㄱㄴㅥ㐹搲〹昱㡡㑥攰ㅢ攰㝥昳愳㝤㌸愵ぢ㠴〴户㌳攴戹攰㜶㜱攴㜶〵㔷㠲㕢㑥捦㙥㐷㥤敥㡡摢㡤㍡〴㤶敦敤挰㤵攰㝥㠱㈰搴㜰㑡晡㉥昹㌳㜰㜳挷捥㝡挲〸晦㔸戲〱㔷搸㤳户㐷㐱㠲扤㍤捡〶搸㝥㕣㙦㠵晣戱㘸㈴㠱摤㌳ㄵ昵㐶㌸挶ㅡ昲愶晣㌱㡦㌷㤲㡣㐴戴ㅤ㉣搵㤸㌷㤴挲㝤㜲㈲改〹挶㠱㜴㈴ㅣつ㐷㉢㝤㥥㔴㈴ㅣ愹昴攲收捡扤㠳改㕥摦ㄱ㌶㝡㉦㄰昷㡥㡡㤵摥㤳㝢㈹㤶愵㔵扥ㄳ㔸敤〳昶捥昰散〴昶㉥㡡ㅦ㘳㝡攲㈴扢㈱㕥搱ㅢ㝣〳散捤ㄹ㘰昷㠷㤰㘰敦ち㜹㉥搸ㄵ㡥摣㍥攰㑡戰昷愰攷摤ㅣ㜵晡㉢敥〰敡㄰㘸扥昷〰㔷㠲扤挹ㄱ散㡤㡥㘰敦〹㈳晣㘳㠰〷慥〰昶〰ㄴ㈴搸㐳㔰㌶挰㡥㐵扤㈱㕦搰㠷㔳㜲㌸ㅥ挰捤㙤捣㠷ㄳ㜵㉡ㄵ〹昹〲㔱㥣戸㘳摡摥㤶慡㌷攸昵昸㈲㠹捡㘴〲〷㙤㑦㍣ㅥ挳㌵㥢〷ㄷ收㜱㥦扦㌲㤸〸㈴摣㝢㤹敥㜵て㙣㜴㉦㠸㝢愰㘲愵挱ㅥ愴㔸㤶㔶昹㘰戰摡〷散㈱昰散〴昶摥㡡㍦㥢改愹㈱搹ㄷ昱ち㉦昸〶搸敢㌳挰ㅥち㈱挱昶㐱㉥挱捥戸〰昳㍢㜲〳攰㑡戰㠷搱㜳搰㔱㈷愴戸㈳愸㐳愰昹㡥㠰㉢挱㝥捣づ戶㜵〱戶挶ㄱ散㝤㘱㈴挱ㅤつ㔷〶戸〱㕣㐷㠷愲㐹㑦㘵㈸㤴挰㈵㔸㘵㈴ㄶ昰〷㜱㕦㠴㉢散㜰搴ㅢ昷㙢㘳㉣搵㘴搲㥦〸愶㝣〹㕦㉣ㄵ〸攰捡㍡ㄶ昰㘰㜸㉣ㄴっ挵挲ㄱ㑦摣㤷㜴敦㘷扡搷挷挲㐶ㅦ〷攲ㅥ慡㔸改ぢ戰晤㉤ㄶ戵愸㕡㍥っ慣昶〱㜷㌸㍣㑢㜰戳㙥㥤㐶㈸㍥愷㡤敡つ㈴㔳ㄱ㠹愸〲摦〰昷敥っ㜰愷㐳㐸㜰㐷㐱㉥挱捤戸〰ㅢ敤挸ㅤ〳慥〴㜷㈶㍤㡦㜳搴㌹㐰㜱て愱㡥〲㜷〲戸ㄲ摣摢散攰㕡ㄷ㘰户㍡㠲㍢ㄱ㐶昸挷慦昳挰ㄵ昶攴㐹㈸㐸戰㡦㐴搹〰㍢㡡㔱捡㐰㈴ㅡ〹㔷㐶㝣㠱㌰ㅥ㜴㘰〰〴㠳㕤㍥扦捦ㅦ挶㍥ㅥ搳㡥戲㔴㤳㤱㔰捡ㄷ挰挱ㅣ㈷敦㐰㈲ㄱ㠹㈴㜱㔳ㄵ㡥㠴攳㈹ㅣ〴㝣摥戸㝢戲改㕥慦㠶㡤㍥ぢ挴㍤㐵戱搲㝢昲㐱㡡㐵〵愹㕡㍥ㄵ慣昶〱㝢ㅡ㍣㍢敤挹搳ㄵ扦㤹改㘹㈱㌹〶攱㠸㤹攰ㅢ㘰㕦㤶〱㜶㉤㠴〴晢㘰挸㈵搸ㄹ㝢昲㈱㡥摣㐳挱㤵㘰搷搳昳攱㡥㍡㐷㔸㕣敡㈸戰㡦〲㔷㠲㝤愱ㅤ㙣㙢㑦㕥散〸昶㉣ㄸ㐹㜰㥢攱捡〰搷ㄷ昷㐷㈲挱㠴㉦㡥ぢ敡㠰㍦敥ぢ㝢挲㤵㥥〰㥥㔱昸㌰㍥㤹昲㐴戴ㄶ㑢搵ㄳ挱敥ㅡ㑦挴㘳昸っ攰㐹ㄶ㥥㘵㜸㈳ㄱ㕦ㄲ户搸搱㔴㌲㤶㜲㐷㑤昷晡㕣搸攸昳㐰摣㌱挵㑡敦挹㜱挵愲㠲㔴㉤㑦㠰搵㍥攰㈶攱搹㘹㑦㑥㈹晥昱挴㜵㈱挹㈹〸㐷捣〶摦〰昷愴っ㜰㑦㠳㤰攰搶㐰㥥扢㈷ㅦ攳挸㍤ㄶ㕣〹敥ㄹ昴㕣攷愸㔳慦戸㘷㔱㐷㠱㍢〷㕣〹敥㝣㍢戸搶搵昵㕣㐷㜰ㅢ㘱㈴挱㍤て慥っ㜰㉢㜱㈸〶㐴㤱㐰搲ㅦて挴晣㜸㠲敤昱昲愹㜴㈸ㄵ昶㈴〳扥愰㜶扥愵敡㑦㠴㠱愲㍦㄰㐹〵晣㠱㌸㜶摢捡㔸㌸ㄹ㡣㈵㠲㜸㜶〹〳㥦扢挹㜴慦㉦㠶㡤㝥〱㠸扢㔹戱搲㔷搷㉤㡡㘵㘹㤵捦〵慢㝤挰㥤〷捦㑥㝢敥㝣挵㍦㔹攲㑡㜲㈵攲ㄵ挷㠳㙦㠰㝢㜴〶戸㔷㐳㐸㜰ㄷ㐲㥥ぢ敥〹㡥摣ㄳ挱㤵攰㕥㑢捦㡢ㅣ㜵㑥㔱摣敢愹愳挰㍤つ㕣〹㙥搴づ慥㜵㤸慥㜶〴昷㜴ㄸ攱扦㐸扦ㄹ慥㜰㤸㍥〳〵〹昶㉤㈸㥢㠷改㘰〴昷㐵㈱摣っ㘱昸㉡ㄴ㡢挶昰㘰摡㠷慢收㠴て攰挷攳㐱㙤㘹㕡㌵㤹挰㍣㠵㐰㉣㔲㔹〹ㄱ敥㤷㐳㥥㌰㥥㔶晡㐳搱㤴ㄷ捦戲扤敥㌳㑤昷晡慤戰搱㤷㠱戸捦㔲慣昴㘱晡㙣挵愲㠲㔴㉤㍦〷慣昶〱晢㕣㜸㜶〲晢㍣挵㍦㤳改㌹㡢㘴〵挲ㄱ㡢挱㤷㘰慥㘴㐹㈵晦㐲㜰㘵昲㈷搹㤲慦摤て㤵晣捦㠴㈶㌸㈲㜲ㄱ㍣攱扦㐸㝦㄰挶㐰攴㘲ㄴㄸ㥦昶㄰捡〶㈲㈹㡣㌵㠵戹㍢㠵㌱敡㤴昰愶戰㑦㘱っ㌹㥥挲㍥ㄵ㡢㈷扤㘱敤敦㤶㉡㥥ㅣ㜹㈲㠹㔰㈴ㄱ挳攱㌴ㄲ挷㜶㈴ㄶづ㐵扣㘱っ㐴攳㐶搷慢慤戲㔴昱昸挸攳㡦攰㔶〸昸攲搹㜲㥣㜷㑥扥㔸㌸ㄵ昷㠷㤲㤵㤱㠴摦㝤㠹ㄹ㠹晥㌰㙣昴搵㈴㡦㠰戸㉦㔵晣㌵㘴㍤㑡昲ㄸ昹㑢ㄴ摦㔲㤵㤶愵㔷㠰扦捤ㄹ㘰收㡡て愸昲㥢㠱攲㈲㈱㤲㈵ㅤ㍢收㝣㙢㝥收㙣㌰㉣〶㤱㌳挷㌸㙦㑣搳㐸㑢昷㐷㤲ぢ㑦敥㔲㐶挴㌲㍤㡤㠸挶ㄲ收㜵㙣捦㝡㄰㤷晢㑡㐴挳㠰戲㈶㌱㘸㑦㐳摡ㅤㄳ㔹昰㕢㐳〷㌷㌴ㅥㅢ㙢㘸㌸㤶㌳愱摣㔷㈹㝤晥晥㥣㝥〱挹㜳昴昶ㄲ㝤㕦〳愱㜱搰昰㈳挴昴っ㠷ㄷ㔹ㄵづㅡ搷㐲㉥〳挸戸戶扢捥㤱㝢㍤戸昲愰昱ㄲ㡣挵㡤㡥㍡㜲㜵〷㐳㜸㠵㍡㡣㠰敦愵搰㤵晤㜶戰慤摦愶㙦挹〷㍡㜶搱㕢㘱㠴晦㈲㝤ㄳ㕣愱㡢㉥㐳㐱ㅥ㌴㕥㐳搹攸愲㥥捡㐴㌸收ぢ〷㘳攸㙢〱㥣摥㈳愹㄰ㅥ㜳昹㔳ㅥ㥣㉦〲㤸扡愲扤㙥愹攲㠱㌵㝡愳挷ㄳ挲愴㤷〰ㅥ㠲攱改㈵ㅥ㠰昸晤晥㐸㈸〴㕡改扥捤㜴慦扦〱ㅢ晤㑤㄰昷㜲挵㑡ㅦ㌴㙥㔷㉣㉡㐸搵昲㍢挰㙡㥦㠳挶㥤昰散㜴搰戸㑢昱㉦㘵㝡㤶㤰㝣㠴㜰挴㍤攰ㅢ㘰敦㥣〱昶挷㄰ㄲ散㝢㈱捦〵㝢㠵㈳㜷㈵戸ㄲ散㑦攸昹㝥㐷㥤〷ㄵ昷㍦搴㈱搰㝣晦ㅤ㕣〹㜶㑦㐷戰㝢㌸㠲扤ち㐶昸㉦搲扦㠰㉢㠰晤㌰ちㄲ散㉦㔱㌶挰㑥挴㌱㝤㉤ㄶち挵㉡〱㌶づㅢ㔱㉦㉦晢㍣㌸㌰㘱㐴扣搲ㅦ搴扥戲㔴㈳昱㠴㉦㥡㐸攲㘴攲て〷㝣扣㠴㐸㐵ㄲ愹㘸愵㈷ㅡ㑤攰ㄸ㤵㜰慦㌶摤敢㕢㘰愳㙦〵㜱㍦愲㔸㘹戰搷㈸ㄶㄵ愴㙡昹愳㘰戵て搸㡦挱戳ㄳ搸㡦㉢晥㔵㑣捦搵㈴扦㈰ㅣ戱ㄶ㝣〳散づㄹ㘰晦〶㈱挱收㌲㤶㕣戰搷㌹㜲搷㠳㉢挱㉥挲㉣㕦昱㤴愳捥〶挵㉤愶づ㠱收晢ㄹ㜰㈵搸扦晥㘰ㅢ㙣戳慥昵㝥〶㌷㜷戰敤㌹ㄸ㐹㜰㌵戸㌲㑦㌶㌱㡦㍦ㄵ昲昸㐲〹っ㝥〷㈳搱㘸摣㡦㡢昹㤴ㄷ㡦㍦〲㈹㍣攴搴㍡㕡慡摥ㄸ㘶ㅢ㔴㐶㔲㤸戹ㄴつ㘰㍣㌵攲㡦㝢晣㐱て㘶慦攱㈶㉦ㄶ㐹扡㥦㌷摤敢㘵戰搱㜵㄰昷ぢ㡡㤵扥搶㝢㔱戱愸㈰㔵换晦〱㔶晢㠰晢ㄲ㍣㍢㠱晢戲攲摦㐰㕣㙦㈴改㠱㜰挴㍦挱㌷挰晤っㄹ㑣ㅦ戶㝢㐲㐸㜰㌷㐲㉥挱捤戸㑢㝢搵㤱扢〹㕣〹敥づ昴晣扡愳捥㥢㡡摢㡢㍡〴㤶敦捤攰㑡㜰㍦戶㠱慢敤っ㤵晣㤷ㅢㅦ㌹㈲晥㌶㍣攱ㅦ攷㌴ㄸ㘳昷㝥〷〵搹〳㝡愳㙣昴〰㉦㥥㝤㘰㈰扤ㄲて挶㉡〳搸㑤㜱昳㥤昲㈷㜱㝣昶昸晣〹捣㘱搵㜶戵㔴愳㤱㈴收慣㠴扤㝥㉦㥥㡥挶ㄲ㤵攱㜸〲て捦戰㤷㠷㘲㥥㐸㌰ㄵ㜴扦㙢扡搷㉢㘰愳昷〱㜱扦愷㔸㝤挹摡㡤慣昷ㄵ换搲㉡攷㤲㤵昶改〱ㅦ挲戳散〱㔹㠳㌲ㅦ㈹晥慤㑣捦㌲㤲㠱〸㑥㝣っ扥搱〳㌶㘶昴㠰挱㄰戲〷晣ㅢ㜲搹〳㌲㑥摣㥦㌸㜲㍦〵㔷昶㠰扤改昹扦㡥㍡㥦㉢慥㤷㍡㐴㥦敦㉦挱㤵㍤攰㐵㕢て㐸㥦戸㥦㜷〴晢㉢ㄸ攱扦㐸慦㠴㉢㠰扤〵〵〹㜶㄰㘵昳㔸づ㠴挳㜸ㅡ㤶㐸挴晤㠱㐴㌸㄰つ㐵㌰㉡ㄳ㐸攲捡㌲攵挷戳ㄴ㉤㘴愹㠶㝤搸搵愳摥㘴㍣㥥昰〴挲昱㄰㤰づ㘳㝣扤㌲收挳㐳㙥ㄸ扡户㥡敥昵㌰㙣昴〸㠸晢㙢挵㑡ㅦ换扦㔱㉣㑢慢晣㕢戰摡〷散敦攰搹㘹㜷晦㕥昱敦㘴㝡昸扢㘸㝡ㄵ攲ㄵ㍦㠲㙦㠰扤㈶〳散搱㄰ㄲ散㥦㈰捦〵晢㘷㐷敥㉦攰㑡戰挷搲昳㙦㡥㍡㜲〱ぢ㙢ㅦ㑦ㅤ㙣挸㜷㌱ㅥ㔶㐹戰ㅦ㜲〴晢〱㐷戰戹㡣〵㜵㘰㡡〶㕣〱散ㄲ㤴㈵搸㤳㔰㌶挰づ㔷㝡㌱㘱㌰ㅣっ〶挲㜸扣㠹㘹㉡愹戸㈷㔴ㄹ〹㐴㘲㤱㔴搰ㅦ㐹㘸㤳㉤㔵㕣㤸挵挳ㄸ㜸挳㤳搲捡〰㥥㠶挶㠲ㅥㅣ〷㐲攸㈱戸ㄳ㠹昸扣㙥㉥㠶愱㝢㝤ち㙣昴㠳㐰摣㥡㘲愵挱敥愸㔸㤶㔶㜹ㄹ㔸敤〳戶づ捦㑥㘰㜳㝤㡤攴慦㘴扣昷㤱ㅣ㡥㜸㐵㘷昰㈵㤸㐷愰㐴〵扥㐵㔷挵㍤㤲㍡攴攰敤㜶㠳㉢戳㝢ㄴ戸㕤㍡㤴㜲搲晦扥昹㝦搲换㌶ㄳ㝥㈰㤶㜶攰攷㐹㤲〹晣ㅡ挰ㅣ晣愸捦㠲搱昵捤㡤晣慡㡡愲づ昸㌵〰㘳㈵㝤㐹昱㍥㝦捣ㄷ㙦㝦昸ㄳㅡ㝣㤷摥㠴㝥昱㝦攱㠷敤㑣摦㄰搱攳慥㜸敢戳搰攰搲ㅤ搰㕣挷摦搴㌱㈶昳㑦挳捦㈰㈴㠷㔴㡤っつㄹ㍤㍦㥥慣攵慦ㄸ㘱捡㍦慥㝦㡡㝡搶㡤㙦挲㘶戲戱㘹㝡挳〸昹慢㍡扣㔵敡愶㔶〵っ慣ㅢ摢㔲㤳㐰ㅥ晡愷㌹敡㈷慣㤴搹攴㐶换慥㑢㕡ぢ扦戱搱㌳㕤戲㝤ㄳ挱捥㘹㉥㝥慦っ〹㑦㈶㤴挷㈶㍥㜰㉥敥㈰ㅣ扦㉤㘳㔴㐳㕤戴愶㝥挸㤸挶戸㜲㌰扡扥愵㡥㈹搸搹攱㌷ㄸ㐶搶㌴换摦㌰搹〵㜲愱㜳挹㠷ㄶ㐳愲扡て敤㌷㘲㐶㍦㙦㘸昷扥晢㔴昴摤扤摦㠸㝥扥㐸改㜵㠰攵㝦愸㌱ㄳ〶搶捦㤷㑢㑦戰㍢㜲摤〷戱㄰㍡㤷㡥㘸㈹昰㍡愲捡㤹慣攷㉡搴㌳㌸㝦㌷㐲挳捣㐵㐶慡㝤晣㌶摡㉣挴㡤慡㘶戳㉡敥挴っ㥤㉣戱ㄳち昴㉦ぢ㝤㔱攸㠷㉤晤㐵㤲㝦㤰挸㕢摣㈵㔰㜸ぢ㕦扥昰㐴改㠲㥢挳㘷ㄶつ㝦昸㕦㡦㜶敦昸捣ぢ㝥㜱愹㈹戸改㠹㘹㠳〶扣昱昴㠸㝢昶扣㜵散㐳㕦昶敢㈴晡挱ㄳ㠳搰敢㔱愳戵〷敥慥戸つ㡣〳㘲扥摤㝢㠲㉢昷挰㌹攰㜶改㈰〶愱捣扤㔰㕣〸敦散晡㑣㤵摥㐸ㄳ慥㠳㌰戲㌴ㄸ㕢ㅡ㝦㥤挲捣㔲㔰㥣〷㑤搵ㄲ㤷㍥㤷敡㕣㄰㘱愸て愱晡㝣昰㜲㜱っ㡡戳㘰愹ㄲ攲搲㡦愷攵㍥搰㜷捡挴愹㔰㜵捣挴㈹愶愰改㠴㑤ㄵ㡤㌷㤶ㅥ㜸敡慦摦晥㄰㥣扥戰㔱㜰愱㠳捣挴挹昰㙢㘵㐲慥㘰㘰戳㑥㘱㙤㉡ㄳ㕣戳㈰㌳㜱㉡戸挸挴ㄸ㤴㡤昸㐷㘱㑢㍢ㅤ㕣㌴㜷㘴㔵扦㤰㐷㉣捣㘸敥㤹㜴挳㐵〰㠶㍡ㄷㅡ㘸㘷㠳㠷收㡥ㅣ㘹敦戶戰㥣㤷搱摣㜳㘹挹挱㜷㤵〱㌱ㅥ〵㤵㐸㜱㄰ち㑥㠹㘸捣㤷㠸攳㑣挱㌹㐷晤㔲搵慢攳㘹〷慣㜸昶㥢て㑡戶㥥搵㕢㜰㈲扦㑣挴㐵愸搱㑡㠴㥣愱捦㐴㕣捣㌸㔴㈲づ㠶慥㑣挴㈵攰㈲ㄱ㥣㔸㉦扢㐴ㅤ扣㕢㕤㘲〹㑤㌸〹摥㘸㌴㘷摢㙢㤷㠳㘷㜶〹慦愸㠱戶㙡㠹㑢扦㤲敡㥣つ㙦愸㜳挶扤㜶㌵㜸戹㕤挲㉢㤲戰㔴〹㜱改搷搲戲〶晡㑥㤹㤸㘵㌶㌸㘷攷愸㌶〵㌵㕢挵㐷晢㉥㝣㘹搲㈹㥢㤶㝡㙥摦戸昹㐹挱㔹敥㌲ㄳ㌷挳慦㤵㠹㍡挵扤㠵戵愹㑣㜰挲扡捣挴㔲㜰㤱〹㑥改㌶攲攷っ㜳㙤ㄹ戸㌹ㄸ晢㈳攲搰㡣昸㤷搳㈳㘷㡢ㅢ㤶捤戴扣〳㍣愳㌳㐱㝤〶搴搳㠹扡㡢敡昳愰愴㌲㈰㌸慤㕣挹〵愷㜱㍢㈵㘲㑡扥㐴㑣㌶〵㍤㘷㝣㜶挱㜷〷户㡥㕡戶敡攵㈵㜳捦戸昲㈷㜱㉡㍣挹㐴摣㠷ㅡ慤㐴㥣慥戸昷㌳づ㤵㠸㌳挱㤵㠹㜸〰㕣㈴攲㝣㤴㡤收㜰㌶戶昶㄰戸㘶㜳㝣㘲㝣㐶㜳㔶搱つ㘷㑢ㅢ敡㥣㤱慤慤〶㉦㌷㙦㍥㌱ㅡ㤶慡搵㉥㝤つ㉤慦㠰扥㔳㜳㠷攷㙢敥㌰㔳戰挳㑥㠳ㅢ摤搷㔴㡤㝡昸搵〷㐳㥤て摢㈹㈴慥㠲㈷搹摣㈷攰搷㙡慥㥣摥捣㍤㘰ㅤ㙢㔳捤攵㠴㘶搹摣昵攰愲戹㥣㌶㙣挴捦昹挹摡㔳攰㥡㠷㠲愰㠸㘴㌴昷㘹扡㔹㙡愹摦㑣昵㘷挱换㘹㙥㈸㈸㉡㌳㥡晢㍣㉤㌹搵搷愹戹㥥㝣捤摤摢ㄴ慣戸㜰晥晣㉤㕢挳〷㕣扦扡昴摤户㝡㔴て㄰㥣ㄷ㉣㥢晢ち晣㕡捤扤㑦㜱晦挹摡㔴㜳ㅦ〰㔷㌶㜷㈳戸㘸㉥愷挸ㅡ捤攵㡣㕤㙤ㄳ戸㌹昱晢扣㘲㐰㐶晣慦搳㈳㘷摦ㅡ㤶て搳昲㑤昰㡣㐴㐱扤㍦搴㔵㌷㜶改㥢愹捥挹慦㑥捤慤挸搷摣㕤㑤挱㑥㉦㍣ㄱ晥㜴搱搴〹户㌷㉤㝡慣㝣㜵摦㐷〴㘷捡捡收㝥〰扦㔶㜳㥦㔱摣て㔹㥢㙡㉥㈷扤捡收㝥〴㉥㥡晢㌲捡㐶搰㥣挳慡㝤っ㙥㑥㜳挳ㅥ搱㉢愳戹㥦搰攳㉢㤶㈵愷戴㙡晦〱捦㘸㉥搴㝢㘶㌴昷㌳慡㜳㍡愸㔳㜳摤昹㥡㕢㙥ち捥摡㌰昵搳〳慢敥ㅤ㜹㠳慦晣㠷慤晢敦ㄸㄷ㥣㍢㉡㥢扢ㄵ㝥慤收捡㐹愱散捣㕦戳㌶搵摣て愰㉢㥢晢つ戸㘸敥挷㈸换挳㜹㈷㜸户づ攷摦搱攴㔳㠸㡣㑣㜰㠲愷昶〳㜸挸㐴收愵㤷㍦㈰㍡挲㌰扤㥦晥㐴㑢㑥搶㌴㉣㍦愱攵㉦攰㈱ㄳ戸㠲㠲㝡〷愸愷㠱晦㡤敡摦㐰挹㈹ㄳ扦㝤㥦攷っ晦慢㈹㔸搰㘹挹敢慦摦㍦戱敡昲㥡㔵㕤扥戸昴挴㝦ぢ㑥慣㤴㤹㈸㈹戳㘵㐲捥㤸㘴㈶㑡挱戵㌲挱㌹㤲㌲ㄳㅡ戸挸〴攷ㄸㅡ㐱㜳捡愳㔶〶㙥づ昰㠸晦㝢搴㥤㙥慥㡢ㅥ㌹㝤搱戰攴っ㐸慤㌳㜸〶昰㔰晦ㅡ敡改收㜶愵㍡㘷て㍡㌵昷㡢㝣捤晤摣ㄴ㔴㠹挵㙦㥤昱昱戳ㄳ㔷㜴㥤㌹㜹昴㔹慤㠳〵愷ㅡ捡收㙥〷扦ㄶ昰㜲づ㈱㥢摢㤳戵㈹攰㌹㙢㔰㌶㜷㝢㜰搱㕣㑥晤㤳挰㝦ち敦ㄶ昰㍢搲㘴㐷㠸㡣昶㙣㡦㉤㙤㈷昰㜲㠱昷㠸㝦挱㌰㥤㠹㕤㘸挹戹㝤㠶攵づ戴散つ㥥〹扣㐷扣て昵㜴㈶㉡愸捥愹㜵㑥㤹搸㙣㌶㌸攷㍣晥㤶㈹㔸戲愰晦捡搵摤ㅥㄹ㜵㔵改㍦扦摣㈱㜶搹戹㠲昳昰㘴㈶㜶㠷㕦㉢ㄳ㜲㠲ㅤ㌳戱〷㙢㔳㤹攰㤴㍡㤹㠹㍤挱㐵㈶㌸㉦㑥㘶攲㌵㜸户㌲戱ㄷ㑤㌸㍢捤㘸捦㄰㙣㘹㠳挰换挹㠴捦㈳晥〹挳㜴㈶㠶搰㤲ㄳ摦っ㑢捥㥤搳㍣攰ㄹ㤹㠰晡㍦愰㥥捥㠴㡦敡㥣㜷收㤴㠹㘷捤〶攷㘴攲ㄹ㔳㜰搶昷晤㡥摥㌰昶戲㤱户㕣㌴散慢㠷收戴摥㈰㌸㐹㑤㘶㈲っ扦㔶㈶攴散㌳㘶㈲挲摡㔴㈶㌸摦㑣㘶㘲ㅦ㜰㤱〹㑥搵㌲㠲收昴㌱㙤㍦㜰㡤㡥ㅣっ㠹㜵ㄹ㐱敦㑦㌷㥣晦㘵愸㡦愱晡㜰昰㜲昶ㄸ㔸㍥づ换㜴㜶㐶搲㤲㌳戱㥣㥡扢㍡㕦㜳ㅦ㌶〵㐳㥥㠸㕤晦搶㜹㕢㈷㕥㍦㐹㝢昱搷挳挶晣㉥㌸㙤㑢㌶㜷ㅣ晣㕡捤㥤愹戸攳㔹㥢㙡敥㈱攰捡收ㅥ〰㉥㥡㝢〴捡ㄲ昸〷攱摤〲㝥〲㑤㌸攵挹㘸ㅡ攷㔶㘹㤳挰㌳㍢戲㑦慣㠴㜶ㅡ扥㈹㔴攷摣㈷㐳㥤昳慢戴愹攰攵昴ㄳ扦㑦摣つ换㜴㈶愶搳㤲搳㤴㥣㌲戱摣㙣㜰づ昰户㤹㠲敦收㉥晣晡挹愵敦㡤扥㜶户挹摥攰愲ㄵ㕤〴攷㌴挹㑣ㅣ〶扦㔶㈶敡ㄵ昷㜰搶愶㌲㌱〷㕣㤹㠹㈳挰㐵㈶收愲㙣挴捦搹㐶摡㔱攰ㅡ挰㠷㈲攲愶㡣收捥愲ㅢ捥〶㌲搴㌹攳㐸㡢㠱㤷〳㍣㉣慦换㘸㙥㠲㤶㥣戸攳搴摣㉢昳㌵昷ち㔳㜰㐹㔵昷㥤搶㉤㑡㑥㕡㝡捦户晥〷㕦㡦㝤㉢㌸换㐷㌶昷ㄸ昸戵㥡㉢愷敦戰㥦ㅦ换摡㔴㜳㌹㘱㐷㌶户ㄶ㕣㌴㤷ㄳ㕥㡣昸㌹晦㐶慢〷㌷㈷㝥㕦㐰㕣㥣ㄱ晦ㅣ㝡扣挰戲攴㜴ㅣ慤ㄱ㍣㈳㔱㔰㕦っ昵㜴扦㘸愶晡㤵㔰㜲㙡敥搹昹㥡㝢㤶㈹戸㈶搴㝤搵愶昳扥ㅢ㜱捤㡥㉦て㤹㔵㜱收㥤攲㙡㜸㤲捤㍤ㅥ㝥慤收㕥慢戸ぢ㔹㥢㙡㉥愷戰挸收㥥〰㉥㥡换㜹㈸戲㥦㥦〶敦㔶㍦㍦㠹㈶㥣㌳㘲㘴㠲㤳㔳戴㤳挱㌳晡戹捦㉦ㄶ㘵戴攷㔴慡㜳昲㠸愱捥〹㉡摡改攰攵昴㜳㔸㉥㠴㘵扡㥦㥦㐹换ㄵ搰㜷捡挴㕣戳挱㌹晤扣挵ㄴ㙣〸捥昹㙤挳愵捦て扦攳搷挶ぢ昷㕢㔳㌷挷捤㌹㈲戲㜵攷挳㉦㕡挷㌹ㅤ戲㜵㑤戰戰㕡㜷〱㉢攵愴ち㈳摣㠷戰愵㕤〴㕥㙦㕣㠷㡣戲摦㠵㝢㈳扢昷慤ㄸ捣㠱愴慡㝥摥㐸㘹〳㥣ㄴㅡ㐸挲㝣〴㌵戴挳愱㉢收㍣㍤㥥㤷ㅥ㐸扡㠴搵㜳㡥㠶㔱㍤㈷㡦㘸㑢挰㘳㜲㘵㍤挷愲㥥散摦〴㤵㍦摦㙣づ㤱㜱慥〶〷摣ㅡㅢ㙡挷㈷㜲㙢㘱〲㕣晡攵慣㠵昳㐵㡣㕡㔶戱㤶㉢捤㕡㐶愰㌵攲㘸搴挲㥡㌸ㄲ敡搲慦愶晡ㅡ㈸㤱㐵て㠲ㄳ㑢㤴㕣㜰㠲〹㥢て㐱㔱㌹愷㘸攰㘲㠶ㄷ㐵昶搷㔷挳捣搲㜰攳戳捣晣㜴て㉦攷㝣づ㘹㜱愴攸㜳挹㠸搲昷ㄶ摤戰攵㡥㝤晢㕦㜷敦敦收攷㈲㕡㥣㝣晡㤰戵收攷〸挱㠹ㅢ改㍥㜱〳㠲㌴挶戸㘲〸挲㜱㘴㈷㙡ち摥敢晤搳挶㠳㌶㕦㌲敥㡣敤㉥晥昴㠱㝤㐲扤挴㡢昰挴㈴改㌷愲㠹搶摥昱㤲攲摥挴㠶㐳捣户㥢㜳㌵㘴晦戹ㄹ㕣昴㥦㑤㈸换晥㜳㈴扣㕢晤㘷㈹㑤㌸㌹挲㐸㉤㘷㘱㘸换挰㌳昷㡥戰㌸ㄴ摡改扤㝤㌹搵㌹㑢挲㔰㝦㥤敡㜷㠰㤷扢㜷㠴挵っ㔸愶昷㡥扢㘸挹〹つ改㑣愴㐷晢愶㤸つ捥搹㍢㈶㥢㠲昳㉥㕡㝥㑥戸搳昴〳㉥慦㡦て㝥攷戵㙢扤㠲戳ㅦ㘴㈶敥㠳㕦㉢ㄳ㜲㕡〳昳㜳㍦㙢㔳㤹攰㐴〶㤹㠹〷挰㐵㈶扥㐰㔹㘶攲㐰㜸户㌲昱㄰㑤㌸㜳挰㘸ㅡ愷㈸㘸慢挰㌳㌳攱ㄳ㘳愱㥤捥挴㙡慡㜳ち㠱愱晥ㄵ搵搷㠰㤷㥢〹㥦愸㠲㘵㍡ㄳ㡦搱昲ㄷ攸㍢㘵㘲㝦戳挱㌹㤹ㄸ㙡ち挶㜶㕢昸收㤰攲挵愳㉥㔸户戵攱扦晢昸晤㠲㔳〳㘴㈶搶挳慦㤵㠹㈲摥㜰㌰ㄳ㑦戲㌶㤵㠹㘲㜰㘵㈶㥥〲ㄷ㤹㈸㐳搹㠸㕦挳㤶昶㌴戸㘸㉥㐶晢晣ㅥㄱ捡㘸敥戳㜴挳㠷敡㠶㍡ㅦ摣㙢捦㠳㤷㜳㍥㠱愵㍦愳戹㉦搲㤲捦扦㥤㥡㍢㈴㕦㜳〷㥢㠲扤ㅥ扤㝡昰愵摡扥㔵换扥慡摥㘳攱慥户㕥㈲昸戰㕣㌶㙣㈳晣㕡捤㤵㑦挱搹摣㔷㔹㥢㙡㉥㥦㝢换收㙥〲ㄷ捤攵㜳㙡〹晣〰㜸户㠰㝦㥤㈶㝣㕡㙣㌴㡤て慦戵㌷挱敢㤱㝤ㄳ㠸慦㔲ㄲ晤㌳摡戶㤹愶㝣ㄲ㙤㤸昲㘱戶昶づ㜸㘵昲㉥㤰晡㝤愰㥦敥㌴敦㔱扦㉦戴㔴㙦㄰扢愱愰攴㠲捦㠸㥤戲戴㡢㤹㡣㥣㑥戱戳㈹㌸晡改ㅦ㔶㝦扡㙡摣愴㜳㑦㝣㘱挳㜷昷捥攸㉢昸㐰㔹㘶改㘳搴㘸㘵㐹㍥㈹㘶㤶晥捤㌸㔴㤶昸㙣㔸㘶改ㄳ㜰㤱㈵㍥攰㤵㔹摡〱摥慤㉣晤㠷㈶㘱㠸㡣愶〶戱愵㝤〶㕥㙥㝦て㠹ㅥ㌰㔴㉤㜴改㕦搰㤲㑦㜰つ㑢㍥〴搶扥〲捦摣戱㐲愲ㅣ敡㉡〷㉥㝤㉢搵慢愰攴㤴〹㤷搹攰㥣㑣攸愶㘰敥㠷㝤㜶㕢攳摢㜹昸㉤㔷㙥㍦晣慡㤹愷㙦ㄱ㝣摡㉡㌳昱〳晣㕡㤹㤰㡦㔱㤹㠹ㅦ㔹㥢捡〴ㅦ㥣捡㑣晣〴㉥㌲挱愷㥦㌲ㄳ愵昰㙥㘵攲ㄷ㥡昰ㄹ愴搱ㅥ㍥ㄲ搵㝥〳㉦㈷ㄳ搸㌹〵っ搳㤹㈸挲户昵〹㍥摥㌴㉣昹㠴㔴㉢〶捦挸〴搴㝦晤捥㥥㠹ㄲ慡昳改愲㔳㈶㝥㠰慡攳挹攳㝢㔳㜰摥㜹㉤扢摥㜳敢挰挹换晦㕥㜴攳ㄵ㤷晤ㅥ㜴ㅦ〱㑦戲㜵㉥昸搵㍢㤱㜴〶㜱戹昹㜰㔲ち扡愰㠸攷㤱㝣㉣改㜸㙤挰㈷㤱㑤㐳㡣㕦㥢挷户愱㈵㥢㈴愳ㅣ改㉢㑤昱㔱㕣愷ㄴ扦㈴㉤㈹㝦昲ㅥ摦攰㔶㔳㕢㉢扦晣慣㌳㝥㜸扥昱搸㘴攳㠴㥡晡㈴㝥㙥㝥㕡㑤㥤昹戵㕤愳昰ㄵ昱昸㌶㙦昵搳收扡㉣昱㌱愴㤶㥡摣㠸摦㍡敦㤸ㅡ摦㌴愳㈹㤹㈸慢㥢ㄲ㙤㙥㑥㌶搶晦ㄵ扥㠷㄰㕦㐷㔷挲敢っ昴愶づ昸ㅥ昲㘲挷㙦㠲攳㔷扣㌹㕥昶ㄸ㈹㑣攷㘳〲扥㠸㡦㡦㐷㡢昹㝢昵㝦散㕢〸戵慥㠰慤ㅣ捦㌰㤳昱㘸㔳㜳挵㕣㝥昵㕣㔳戱搸㠲㝥㈰㘷㘹晤搷搷㑢㕥敢昰ㄹ扢敥㠶慥搶つ愴〳㥥攱〹搹づ㝣㌵扤摥ㅤㅣ攳㍢扢搷戲㘵愵㝣㔰㥢摤㌰㝥㉦ㅦ㝦㘵愴愸㜴㕥㑤愲㜹戶㌶㍢㔹㜳昴㙣㉣㐴改搴㐹㝤㙦ㅥ㑤㑢ㄲ㌰㉤昴㤴㤳晢㘰挷扡敡㘸㘳㘳㜴㐱㔹㕤㜵㙤戲晥攸收搹㘵搵㜳昱㔸ㄷ摦㝤て攳戲戲㌲㝤㍢挴挳㉥挹敡挴㙣㌰改㔵敦〹㉥㌹㝣扢愹㉡㝢敤昶㡣㝤〷㤲ㅤ㐱㕣㙥㍥改㤳㠲㕥㈸㘲㉦收㌳㍥㜶㘹㥤㜹㉡ㄶ晦㜲捣换㉥戴㘷㕥搲㌹改㑤ㄶ搳㈱㐹㤱㘸㠴て收㐵扤挴㕣ㄴ㘴㕣ㄵ㜴っ戶㡣昶㜸挵敤〳慥㙡㠳晢㘴㜰㘵㔰㝤改㜵㌷㤲㝥㈰㉥㌷㥦挶㐹㐱㝦ㄴㄱ敤愹㈸㌳㕡㙤㜷㤴㜳㔱㝤挳㌱晡㍤愱慢つ〰挹㐴㜵㉦㜰散㉤㌸ㄳ㝥㘵挰㠳㈰戰〲收攳㌸挹ㅤっ慥ㄵ㌰ㅦ㤹挹戸㠶搰挹摥㈴ㅥ㄰㤷㥢㑦捤愴挰㡢㈲〲扥〴㘵㕢㝡㕦㜰っ㌰㐰晢捣昴〶挹戲愵㤷㡦搶㌲搲㝢㈵ㄸ㌲慥㌰㌴慤㘸慦㔵摣〸戸㔶戴㌷㠳㉢㠳摡㠷㕥昷㈵搹て挴攵扥㐵〹㠶愲㠸㘸㤷愲㉣搳扢㍦捡戹改㕤敢ㄸ晤㜰攸㙡㈳㐰㌲搳㍢ㄲㅣ㝢ぢ㤶慢搰㐶㐱愰㐲ㄳ㝣戴㈵㥢㌱ㅡ㕣搵っ昷㝤㉡慥㌱㜴㌲㤶㘴ㅣ㠸换捤㈷㔰戲㈵攳㔱㐴挰㝣昶㈴搳换㠰㡢挵㠳㡥〱㑥愰㍤〳㑣昷摥㐹㘴搹搲扢㑡㠵㌱㠵㝥㔴㘷㕤愳戸〷㠱慢㐲㜶㍦愱㘲㤸㑡㈷搳㐸愶㠳戸摣敢㤴㘰〶㡡〸㙥㍤捡㌲㌸㜶搶㘲㜱扢㘳㜰㠷搰㥥㥤㌳ㅤ摣㘱㘴搹㠲㝢㕡㠵㜱〴晤愸攰昸㜰㐸㘶敥㐸㜰慤攰㕥㔱㌱ㅣ㐵㈷搵㈴戳㐰㕣㙥㍥摤㤱㤹㡢愲㠸攰昸㕣挷㤶戹敢ㅣ㠳㑢搰㍥㌳㜳㈹戲㙣挱扤慥挲㤸つ㠱ち㐳㙣㔶摣ㅡ㜰㔵挸敥て㔴っ挷搰挹戱㈴戵㈰㉥昷㠷㑡㔰㠷㈲㠲晢〸㘵㕢收㉥㜶っ㙥づ敤㌳㌳搷㐸㤶㉤戸㑦㔴ㄸ晣㜹つ㉢㌸㍥㜸㤱㤹㙢〱搷ち㙥慢㡡㘱㉥㥤捣㈳㤹て攲㜲昳挹㠹捣摣〲ㄴㄱㅣ㥦㤹挸攰㡣㈳收ㄹ㡥挱㥤㐰晢捣㕤晡㈴戲㙣挱昱昱㑡挶㉥捤愷㈶㌲慥㤳愱㘹㐵晢㥢攲㥥〲慥ㄵ㙤〹㉥愹㘴㔰愷搲敢㘹㈴愷㠳戸摣㝣扡㈱〵㘷愰㠸㘸㌵㤴㙤㌸㉦㜰㡣昶㙣摡㘷攲㝣㉥㔹戶㘸㕤昰㈳㠳㍢ㅦ〲㉢戸慥㡡扢ㄸ㕣㉢戸敤㔴っㄷ搰挹㠵㈴ㄷ㠱戸摣㝣ㄶ㈱㠳扢ㄸ㐵〴挷愷㄰戶㔴搶㌹〶户㠴昶㤹愹扣㥣㉣㕢㜰㍢挲㑦㐶㉡㜷〱㐳㐶㝢㈵㌴慤㘸㉢ㄴ昷㉡㜰慤㘸㜷〷㔷〶㜵㌵扤㕥㐳㜲㉤㠸换捤攷〵㔲㜰ㅤ㡡㠸㜶㑦㤴㙤搱㐶ㅤ愳扤㤱昶㤹搱摥㑣㤶㉤摡扤攰㈷㈳摡㈱㘰挸㘸㤷㐲搳㡡搶愷戸户㠲㙢㐵ㅢ〶㔷〶戵㡣㕥㙦㈳㔹づ攲㜲㜳㑣㕦ち㙥㐷ㄱ搱敥㠳戲㡣搶㌸晡捣㜰㡣昶㉥摡㘷敥㐳昷㤰㘵㡢㜶㝦ㄵ挶ち〸㔴ㄸ㠲〳昸㌲攴㤵攰慡㤰摤攳㔴っ昷搱挹晤㈴て㠰戸摣ㅣ㠱㤷挱㍤㠸㈲㠲㍢〰㘵㕢㉡挷㍢〶户㡡昶㤹愹㕣㑤㤶㉤戸〹昰㤳㤱㑡づ挴换戸搶㐰搳㡡㜶扡攲㍥ち慥ㄵ敤㘱攰捡愰ㅥ愳搷挷㐹㕡㐱㕣㙥㡥㤲㑢挱㕡ㄴㄱ敤ㄱ㈸摢㔲㌹搴㌱摡昵戴捦㑣攵㔳㘴搹愲㥤愵挲㜸ㅡ〲㉢戸㠴攲㍥〳慥ㄵ摣㌱㉡㠶㘷改攴㌹㤲攷㐱㕣㙥㡥㘹换攰㕥㐰ㄱ挱搵愲㉣㠳㌳㑥㠱㕥挷攰㕥愲㝤收づ晥ち㔹戶攰㌸戲㉤㌳户ㄱ〲ㄵ㠶㘸㔶摣㔷挱㔵㈱扢㡦㔷㌱㙣愲㤳搷㐸㕥〷㜱戹㌹〲㉤㠳㝢〳㐵〴㜷〲捡㌶㥣晢㍢〶户㤹昶㤹㌸扦㐳㤶㉤戸㤳攰㈷〳㘷づ㐴换㘸摦㠳愶㡡㑢㥣愹戸敦㠳㙢戵攱㝣㌳〸敤〳㜰慤摦㤴㑡搸㝥㔳慡㐴晣㑤㐵㔶㜴㜲㔱晡㝥攰㈳ㄸ㘸晦〲改㠰ㄱ㕦㜹㈷っ攲搲㍦〶挷ㅥ摤〵搹搱㜱攰㔷㐶昷〹ㅤ攰㡣捤换㝡挱㠱㕡挹晤ㄴ㕣㉢收慢ㄵ昷㍦㌶慥㥢㐳㤸㌲㤱晦㘵㕤㥦㤱㝣づ攲㜲㜳ㄴ㔳ち扥㐰ㄱㄹ收昸愵㉤挳㙥搵㡥㡣晢㥡㉤戴捦捣昰搷㘴搹㌲捣愱捥㡣っ㉦〷㐳㐶晢㉤㌴慤㘸敦㔲摣敦挰㔵ㄹ㜶㜳㤸㔱〶昵㍤扤晥㐰昲㈳〸慥搷㤴攰㈷ㄴㄱ敤〳㈸摢愲㉤㜱㡣昶㔷摡㘷㐶晢㍢㔹戶㘸㌹ㅣ㤹ㄱ敤㙡㌰㘴戴〲㌳㥥慤㘸ㅦ㔳摣㘲㜰慤㘸㌹ㄴ㈸愳敤〰慥㕥㐲㔲ち攲㜲㜳㌴㔰ち㌴ㄴㄱ敤㔳㈸摢㜶慤ㅦ扥㜵扡㘷搴㘹㥦戹㙢㜵㈲换ㄶ敤戳㉡㡣㉥㄰㔸挱扤愸戸㕤挱戵㠲摢愸㘲㈸愷ㄳ㌷㐹㌷㄰㤷㥢㘳㜷㌲戸敥㈸㈲㌸㡥摡㌱㌸慤〷捡戹搷敡㥦㌹〶摢ㄳ扡摡昶㈰㤹搷敡㍢㠰㘳て㤸㠳㝥ㄹ改摤っ㠶㑣㙦㉦㘸慡㔸〵〷散㈴㜷㈷㜰㔵扢摣ㅦ㠳㉢〳摤㤹㕥㜷㈱昹ㅢ㠸换捤㜱㌵㈹攸㡤㈲㕡挰ㄱ㌵㕢㘷㜸捦㌱攲㍥戴捦散っ扢㤱㘵㑢敦㝦攰㈷㈳摡㉦挰㤰㜱昵㠷愶ㄵ㉤㠷捥㈴㜷㜷㜰慤㘸㌹昰㈵㠳摡㠳㕥昷㈴ㄹ〰攲㜲㜳散㑢ち昶㐲ㄱ搱晥㠴戲㉤摡㡤㡥搱づ愶㝤㘶戴㝢㤳㘵㡢昶ㄷ昸挹㠸戶〸㝤㕢挶攵㠵愶ㄵ㙤㠹攲晡挰㔵搱ちㄷ戸㜲捣敤〵㔴捦㌱户晤㜰㘰㈹㉢搶〴〷慣愴攰㜹㔳㌰㔴ち㠴攸慣〴捦㤹〲㍥扢搱㠳㜰㕡摡〵愲散ㄵ扣昲改㤳㌱っ㘳晢愱〴㠴㕣愴搷㑤挳户昴㜳㐴挶㔵挷㠷㕥昲〱㤸㔶㌷㙤㌶扥挵扦㥢愹㍢搰搲改㙥㜱㉣摤慥ㄶ㑢摡昴慡㙡愸㥢ㄳ㙤㡣挶㙡㤳㔴ㄹ㤸㜶摡㌳㕢㈲昵㤱ㄹ㈶愷愸㙦晥㠹搷㉡㐰づㄹ㤵㠹㌶㉢㤶〹ㅡ攸㈱攴愴ぢ㌶㐴㝡㑢ㄶ㑢摤挸㔳㥢㠷慢〴㍣晣挱摦㤳〸㈳〰搱ㅤ㤵搱㠷ㅥ㘱㠹攱攰㕤扥㥤挹㉤挳㘷㔱㜹㑦㔵㤲愷㤵敤㔱㤲搰㍦㤵搵㈷㌸敡㈳〵㑦㘶昵㠹ㅤ㤵㘰扤扤㑦っ㘵㠵扤㈰㘲扦㐸攷㈰扤㈵戳㈱㜶㠱㤴ㄹ搱㠷㔱扦㌷戶㘴戸挳敤攱㔶㤸摣㌲〶㔸摥㐷㤵昰㔹㈴晡㠲捡愸ㅥ捦ち㤷挳㍥㔲昰㔸㔶戸晤㤴攰㔱㝢戸愳㔸㘱㝦㠸㘴戸愳㔱㌲挰戳戶㡣㜰昷㠴㠶っ㜷っ昵昷㐲㐹㠶㍢搶ㅥ敥㈰㤳㙢㠴㍢㔸㤵昰㔹㈴㠶㠰捡愸㔶㘵㠵换㐱ㅦ㈹昸㝢㔶戸ㅥ㈵㜸挸ㅥ敥㠱慣搰ぢ㔱攱散〶愰㈱挳㥤㐸晤㈰㑡㌲摣㐹昶㜰挳㈶搷〸㌷愲㑡昸挴㍣㜹㔰ㄹ搵捡慣㜰㌹敡㈳〵㉢戲挲摤㑦〹敥戵㠷㍢㤵ㄵづ㠵㐸㠶㍢つ㈵㈳扢搶㤶㤱摤攱搰㤰攱㑥愷晥㐸㤴㘴戸㌳散攱㡥㌲戹㐶摦ㅤ慤㑡戲敦㡥㐱㐹㐶㜵㐷㔶戸ㅣ昳㤱㠲摢戳挲ㅤ愷〴换敤攱ㅥ捡ち挷㐳㔴㌸摣〹搰㤰攱ㅥ㑥晤㐹㈸挹㜰㡦戰㠷㍢挵攴ㅡ搹㍤㐸㤵昰㠹ㄹ㑢愰㌲慡㕢戲挲攵㈸㤰ㄴ摣㥣ㄵ敥㜴㈵戸挹ㅥ敥㉣㔶㌸〳㈲ㄹ慥搵㘳㜵㙢换挸敥㈱搰㤰攱挶愸㝦ㄸ㑡㌲摣戸㍤摣㈳㑣慥ㄱ敥㤱慡㠴㑦㑣挵〷㤵㔱㕤㥢ㄵ㉥挷㠵愴攰㥡慣㜰㘷㈹挱搵昶㜰㡦㘶㠵㔱㠸ち㘷㌷〱つㄹ㙥つ昵㔳㈸挹㜰㡦戱㠷㍢摢攴ㅡ㥤愱㐶㤵㘴㘷㌸〶㈵ㄹ搵㘵㔹攱㜲愴㐸ち㤶㘴㠵㕢慢〴㤷摡挳慤㘷㠵㜵㄰ㄵ捥敥ㅣ㘸挸㜰攷㔰扦ㄱ㈵ㄹ敥㜱昶㜰㥢㑤慥ㄱ㙥㡢㉡挹㜰攷愲㈴愳扡㈰㉢㕣㡥ㅤ㐹挱攲慣㜰攷㉢挱昹昶㜰㕢㔸攱〲㠸㘴戸昹捥㐲攲〴㘸挸㜰攷㔱晦㈴㤴㘴戸昳敤攱㥥㙣㜲㡤㜰㑦㔱㈵ㄹ敥愹㈸挹愸捥捡ち㤷㠳㐷㔲㜰㘶㔶戸愷㉢挱ㄹ昶㜰㑦㘰㠵㘷㐰㔴戸㌳㥣つつㄹ敥㐹搴㍦ㄷ㈵ㄹ敥㈲㝢戸攷㥢㕣㈳摣挵慡㈴挳扤〰㈵ㄹ搵挹㔹攱㜲㌸㐹ちㄶ㘵㠵㝢㤱ㄲ㥣㘴て昷㌴㔶㜸㌱㐴㠵戳扢〴ㅡ㌲摣㌳愸㝦㌹㑡㌲摣㌳敤攱㕥㘹㜲㡤㜰慦㔲㈵ㄹ敥搵㈸挹愸ㄶ㘴㠵换昱㈴㈹㤸㥦ㄵ敥戵㑡㌰捦ㅥ敥戹慣昰㍡㠸ち㠷㝢㈳㌴㘴戸攷㔳晦㘶㤴㘴戸㡢敤攱㉥㌵戹㐶戸户慡㤲っ㜷ㄹ㑡㌲慡挶慣㜰㌹愰㈴〵挷㘵㠵扢㕣〹收搸挳扤㤸ㄵ摥づ㤱っ搷㍡㝣㘵ㅦ挸敥㠲㠶っ昷㔲敡摦㠳㤲っ㜷㠹㍤摣ㄵ㈶搷㌸㤰慤㔴㈵㝣攲ぢ改㐱㘵㔴挷㘶㠵换㈱㈶㈹㌸㈶㉢摣〷㤴愰挶ㅥ敥㤵慣昰㐱㠸ち㘷㜷ㄵ㌴㘴戸㔷㔳㝦㌵㑡㌲摣㙢散攱慥㌱戹㐶戸㡦慡ㄲ㍥昱ぢ戸愰㌲慡㐴㔶戸ㅣ㘳㤲㠲㜸㔶戸慤㑡㄰戳㠷㝢〳㉢㕣ぢ㔱攱散慥㠷㠶っ昷㈶敡㍦㠵㤲っ昷㘶㝢戸㑦㥢㕣㈳摣㘷㔴〹㥦昸〶㜷㔰ㄹ搵㤱㔹攱㜲搴㐹ち㡥挸ち昷㜹㈵㌸摣ㅥ敥㌲㔶昸〲㐴㌲㕣敢㑡㐱户戶㡣戳摡㑢搰㤰攱㉥愷晥㉢㈸挹㜰㙦户㠷扢搱攴ㅡ㝤昷㔵㔵㤲㝤㜷ㄳ㑡㌲慡㤹㔹攱㜲ㅣ㑡ち㘶㘴㠵晢扡ㄲ㑣户㠷㝢㌷㉢㝣〳愲挲㥤㘱㌳㌴㘴戸昷㔲晦ㅤ㤴㘴戸㉢散攱扥㘷㜲㡤散扥慦㑡昸挴慣㉥㔰㘹扦㤲ㄶㅦ㥢㌲晤㍥扢晤㈷捡㘲〰㉣捡㍦㔵㈵㌶户晣㍦昶㤲攰㜰㤰㙣攳挴慣挶㝦愶〴ㄳ戲ㅡ晦戹ㄲㅣ㘸㙦晣㐳慣晥ぢ㠸ち㌷㝥ぢ㌴㘴昰慢愸捦㌱㈳搹昸㠷敤挱㝦㙢㜲㡤挶㝦愷㑡昸㉣ㄲㅣて㤲攱㡥挹ち昷〷㈵ㄸ㥤ㄵ敥㡦㑡㌰捡ㅥ敥愳慣昰㈷㠸ち㠷晢㉢㌴㘴戸㡦㔳㥦㠳㐶㌲摣㔶㝢戸ㅣ㈰㈲搷〸㤷〳㐳戲〴㕤晣㤴㍤㑡㌲摣㘱㔹攱㜲㤰㐸ち昶捦ち户㔴〹㠶摡挳㕤㑦慦ㅡ㠸っ搷敡晦搹㝢〲㠷㡥㘴戸㑦㔱㥦愳㐶㌲摣つ收〶ぢ攵㕤捣㠲ㄱ㉥㠷㡡搲攱㜲㠸㐸㐶ㄵ捥ち㤷挳㐶㔲㄰捡ち户㥢ㄲ〴敤攱㍥㐷慦㜲㔸〹㔹搰㥦㐷挹戸搸户戶㡣ㅤ㤷㠳㐷㌲摣ㄷ愸捦㌱㈳ㄹ敥㡢收㠶っ㤷攳㐳㔶㠰攵ㅣㄷ㤲㈵戹攳㜲㍣㐸㐶攵捤ち㤷㘳㐴㔲攰挹ち㤷攳㐶㔲戰户㍤摣㔷攸㔵㡥㈱㌱摣扣ㄷ㑣ㅣ㌹㤲攱㙥愴㍥〷㡤㘴戸慦㥡ㅢ㌲摣晥㘶挱㌸捥散慥㑡㌲㕣づ〸挹捡昷捡ち㤷㠳㐴㔲㌰㈰㉢㕣づㅣ㐹挱㥥昶㜰摦愰㔷㌹㠸㔴㌰摣挱㔰㤳攱扥㐵㝤㡥ㅡ挹㜰㌷㥢ㅢ㌲㕣慦㔹㌰挲昵愹㤲㍣㑥㜰㐸㠷㕦㍡㕦㍣㕦挴㘷㈵㘶捤晡愱扣愴㘲愷㤲㐳㠶㜷扥敡扤㘷㍦戸㘴攳ㄱ㐳晦晤换戵搷㙥晣攸㤲攷㝦㔹ㄳㅢ扡攱收㥢搷ㅦ㜰挳昳ㅦ㜴㑦摤㔸晣搰てㄳ㙥㍣挱㝢散〹挷愵㘶散㌵昶㠴㐳㡦㌹挸㍢愵摢挰づㅤ㍡㜶摣愳挷搳㍢敥改㍥昹戸㔵㘲敤ㅢ㍢搴㤷㌲搱㙤ㄸ㔳㘱愰㝦㜰〰攴㙤㌶㐸㡥㠲挰㠷㙥晦㤶ㄷ㜷〴㈲㌹ㅡ昷㉥㌶扡㜴㈸攷㘰㐵㝢戶㔶っ㘳㉣㌹㘱㜰㤴㐳㠶昱扥ㄱ〶〷㈱摡㌵っ㕥㔲㌱昱晡〷㈰㘲っ〹㠳戲㝦〷㤲㥢㘳ㄹ㌲愸㡦戰㠱摣㜰愸愱㕤㠳㥡愸挲挸㠰㠸㘳ㄴ㌲㡣㡦㡤㌰愶戶㜷ㄸ㍣慥捡摣晣ㅢㅢ㐲㡥㐰攴〰挶㤱〸ㄹ搴愷搸㐰㙥づ挵㐷扢收㐶㡥㉣攴㠴挱ㄱ〶ㄹ挶㝦㡤㌰㌸〰搰慥㘱挸ㄱ㠳㥣㥥挲㤱〳ㄹ挶攷㐶ㄸ㐷户㜷ㄸ㌵愸㈰㜷㉦攲㠸㠰っ攳㑢㈳っ摥戰户㙢㌶攴ㅤ㝥㑥㌶㡥㔳㘱㙣㌱挲攰㡤㜸扢㠶㌱てㄵ攴㘶㠳㜷昰㌲ㅢ㕦ㅢ㘱昰〶扢㕤挳㤰㜷攴㌹㕤㜴㤱ち攳㕢㈳っ摥㌸户㙢ㄸ㘷愰㠲摣㙣㥣愹挲昸摥〸㠳㌷挴敤ㅡ㠶扣㠳捥挹挶㘲ㄵ挶㡦㐶ㄸㄷ户㜷ㄸ㤷愲㠲摣㐳㍢敦㤰㘵摦昸搹〸㠳㌷戰敤㥡つ㜹挷㥢㤳㡤㙢㔴ㄸ扦ㅡ㘱摣搰摥㘱挸㍢搹㥣ㅤ㤶㜷戴㌲ㅢ扦ㅢ㘱㉣㙢敦㌰攴ㅤ㙡㑥㌶㙥㔷㘱㠸㑥昲㥣㜲㜷㝢㠷㈱敦㍣㜳挲攰ㅤ愸捣㐶〷ㄹ㠶㔸㠹戲散㐱㈵㈸慢㤷晢㍥愵㔵㙡〴换ㅢ扦㜶敤㐱昲㑥㌱㈷搸㠷㔵ㄸㅤ㡤㌰ㅥ㙤敦㌰ㅥ㐷〵戹㐷ㄷ摥〹捡㥣改㐶ㄸ扣㔱㙢搷㙣㍣攵ㄸ挶〶ㄵ㐶㈷㈳っ摥㠰戵㙢ㄸ扣㤳㤳㤷㑡㥤㔱愱㜸㐱〵㤵㜱ㄹ挹晢㌸㤹㥢慥㐶㔰扣捤㙡搷愰攴㝤㔹㑥㑦攱晤㤹っ挳㙤㠴昱㐶㝢㠷㈱敦户㜲挲攰㝤㤷っ愳扢っ㐳挸㝢ㄳ㙡昵㘰〶戱㈱摦敦㐲㑢摥昱㝤昶㡤昱㍣㝥㈴㈴㘵愲㐸昰晥㐰ち晥㥢㈵㤰搷昱昴戳扤摤て慦摣愵晡愷㔹敡扣㤶㤶㠲㑦戲〴昲㥡㤷㝥㝡搹晤昰㉡㔷慡㝦㥣愵捥敢㑥㈹昸㔷㤶㠰㔷㠲㔲昰㔱㤶㠰搷㘶㔲昰㘱㤶㠰㔷㑢㔲昰㐱㤶㠰搷㉦㔲昰㝥㤶㠰㔷ㄴ㔲昰㕥㤶㠰攷㜸㈹㜸㌷㑢挰戳慥ㄴ扣㤳㈵攰㜹㔰ち摥捥ㄲ昰捣㈴〵㥢戳〴㍣㔷㐸挱㕢㔹〲ㅥ扤愵攰捤㉣〱㡦愷㔲昰㐶愶挰慤づ慣㠲挷㔲愹昱㝡愶㠶攰搱㑤ち㕥换ㄲ昰㜸㈳〵㥢戲〴㍣〲㐸挱慢㔹〲戹愷ㄲ攰㐱搰戰㍡ㅣ昷㑤愹晥捦㉣㜵敥㉤㔲昰㑡㤶㠰晤㔷ち㕥捥ㄴ戸搹㤱㘵て昷㘰〳㕦㘳挹づ㈹换㕥愳捣㡥㈵换㍥愳捣㌸㘴搹㉦换愵㌴㉢㌰㉤㘲㑡戲㌱㥥慣㙦慥愹㑤㜲㕡〶㐰㈸敡㔲㔷搵搲搴摣㘰捣ㅣ㘹㉡㤵㜳㐵㜲攷㤲㜴愷晡挰っ㔵㤷挱㈲㉤㌷㌶慤㐹㈵㥤㑣ㄱ㘷愱晣慦㌳㑡㍡愲㌵㝣㘳㑡㔴敦挲㤳㑡㡣〹㈵㙤搳㌲㘷㤳〴㤰ㅤㄷ愷晥〹㍤扤㈹换㠲昹㘵昲昴捡戴㑥㝡搳搰㘱捥愵㑥㌰慤㤳摥㌴㜴㠸㠳搴〹愵㜵搲㥢㔲愷㥣㜵㜳㜸㠸㈵扣摥ㅢ㜶昵㔵㝣㝤㍡散㠵攷昹晡㙣㔸㌹㙢㉥慣挱㝡ぢ㙢戰搶㠲ㅡ㥤晥て㈵扢㠶〲</t>
  </si>
  <si>
    <t>BC</t>
  </si>
  <si>
    <t>WC</t>
  </si>
  <si>
    <t>P - Present Value</t>
  </si>
  <si>
    <t>i - Inflation</t>
  </si>
  <si>
    <t>n - Years to Mid-point</t>
  </si>
  <si>
    <t>F - Future Value</t>
  </si>
  <si>
    <t>Cost Difference</t>
  </si>
  <si>
    <t>Percent Cost Change</t>
  </si>
  <si>
    <t>LV</t>
  </si>
  <si>
    <t>HV</t>
  </si>
  <si>
    <t>Most Likely</t>
  </si>
  <si>
    <t>MII Contractor Summary for Contract</t>
  </si>
  <si>
    <t>Prime Direct Costs (w/o Markups)</t>
  </si>
  <si>
    <t>Sub Work Costs (w/ Markups)</t>
  </si>
  <si>
    <t>Prime Contractor Markups from MII</t>
  </si>
  <si>
    <t>JOOH</t>
  </si>
  <si>
    <t>HOOH</t>
  </si>
  <si>
    <t>Profit</t>
  </si>
  <si>
    <t>Bond</t>
  </si>
  <si>
    <t>Other</t>
  </si>
  <si>
    <t>Total Prime Markups</t>
  </si>
  <si>
    <t>Typical Subcontractor Markups from MII</t>
  </si>
  <si>
    <t>Total Subcontractor Markups</t>
  </si>
  <si>
    <t>Direct Cost for Sub Work</t>
  </si>
  <si>
    <t>Markups for Sub Work</t>
  </si>
  <si>
    <t>Rough Calc of Direct Costs (Prime + Sub)</t>
  </si>
  <si>
    <t>Cost to Prime</t>
  </si>
  <si>
    <t>Prime Markups</t>
  </si>
  <si>
    <t>Projected Contract Cost</t>
  </si>
  <si>
    <t>&lt;--- Check "Most Likely" Against MII</t>
  </si>
  <si>
    <t>Difference Due to Varying Indirect Markups</t>
  </si>
  <si>
    <t>Example:  Variation of Contractor Indirect Markups</t>
  </si>
  <si>
    <t>Example:  Variation of Escalation</t>
  </si>
  <si>
    <t>Common risk related to escalation rates.</t>
  </si>
  <si>
    <t>See the "Common Risk-Escalation" worksheet for an example of variations and analysis.</t>
  </si>
  <si>
    <t>Common risk related to variation of bids.</t>
  </si>
  <si>
    <t>Common risk related to fuel prices.</t>
  </si>
  <si>
    <t>Common risk related to contractor markups or indirect costs such as JOOH, HOOH, profit, bond, etc.</t>
  </si>
  <si>
    <t>Common risk related to material prices.</t>
  </si>
  <si>
    <t>Example risks are related to the source of the labor costs (Davis-Bacon, BLS, other), availability of trades in the area, per diem assumptions for specialty trades or trades needed from outside the area, etc.</t>
  </si>
  <si>
    <r>
      <t xml:space="preserve">The awardable range is typically </t>
    </r>
    <r>
      <rPr>
        <sz val="11"/>
        <rFont val="Calibri"/>
        <family val="2"/>
      </rPr>
      <t>±25% of the IGE without profit.  What bid ranges do you typically see on your projects.  Recommend doing some research to help define these ranges.</t>
    </r>
  </si>
  <si>
    <t>See the "Common Risk-Markups" worksheet for an example of variations and analysis.  Time-related cost impacts such as JOOH and support crews should be defined and considered if construction risk items have schedule impacts.</t>
  </si>
  <si>
    <t>Common risk related to productivity assumptions.</t>
  </si>
  <si>
    <t>Recommend evaluating the current prime vs. subcontractor relationships and analyzing the risks in the CSRA.</t>
  </si>
  <si>
    <t>Common risk related to whether a construction schedule has been developed which supports the estimate.</t>
  </si>
  <si>
    <t>Has a construction schedule been developing that factors in weather days, work calendars, holidays, winter shutdown periods, work window restrictions, constraints, lead-times, non-construction activities which could impact construction, etc.</t>
  </si>
  <si>
    <t xml:space="preserve">Recent quotes from the area or cost book items?  Can one supplier provide all the material?  Multiple quotes can help range costs in the CSRA.  Material costs are pretty volatile right now due to the market conditions.  Lead times on many items are much longer now which could impact schedule.  </t>
  </si>
  <si>
    <t xml:space="preserve">Fuel price fluctuations continue which could impact costs.  Variation in equipment costs (specifically specialty equipment) could vary as well.  Fuel costs could also affect development of material (ex. earthen materials form quarries) as well as delivery costs.  </t>
  </si>
  <si>
    <t>Estimated production rates or number of crews could vary which could impact cost and/or schedule.  Recommend evaluating the current production rate assumptions, evaluating areas which could have constraints could also affect assumptions, etc.</t>
  </si>
  <si>
    <t>Duration with Contingency</t>
  </si>
  <si>
    <t>Base Estimate by CL for Chart</t>
  </si>
  <si>
    <t>Base Schedule by CL for Chart</t>
  </si>
  <si>
    <t>Cost with
Contingency</t>
  </si>
  <si>
    <t>Common Risks to Consider:  Bid Competition</t>
  </si>
  <si>
    <t>Common Risks to Consider:  Equipment / Fuel</t>
  </si>
  <si>
    <t>Common Risks to Consider:  Material</t>
  </si>
  <si>
    <t>Common Risks to Consider:  Labor</t>
  </si>
  <si>
    <t>Common Risks to Consider:  Productivity Assumptions</t>
  </si>
  <si>
    <t>Common Risks to Consider:  Prime vs. Subcontracted Work</t>
  </si>
  <si>
    <t>Common Risks to Consider:  Construction Schedule</t>
  </si>
  <si>
    <t>Common Risks to Consider:  Variation of Contractor Markups</t>
  </si>
  <si>
    <t>Common Risks to Consider:  Escalation</t>
  </si>
  <si>
    <t>• Added change control log</t>
  </si>
  <si>
    <t>• Corrected note "C" on 'A-Quick instructions" worksheet.  Previously referenced cell K46 for programmed amount but changed to cell H46.</t>
  </si>
  <si>
    <t>• Updated formating, moved confidence level being reported to 'D-Project Data' sheet.
• Added lookup data to 'L-CHARTS TO REPORT" to help automate copy/paste info into a report, etc.</t>
  </si>
  <si>
    <t>Description of Changes</t>
  </si>
  <si>
    <t>Project Contingency</t>
  </si>
  <si>
    <t>Sensitivity Charts</t>
  </si>
  <si>
    <t>CSRA Assumptions</t>
  </si>
  <si>
    <t>Cost Risk Dashboard</t>
  </si>
  <si>
    <t>Schedule Risk Dashboard</t>
  </si>
  <si>
    <t>Cell</t>
  </si>
  <si>
    <t>Prepare yourself by reviewing the project data- the report, cost estimate, schedule etc.</t>
  </si>
  <si>
    <t>Formula for Auto-Referencing Values from Detail Sheets Start</t>
  </si>
  <si>
    <t>Formula for Auto-Referencing Values from Detail Sheets Finish</t>
  </si>
  <si>
    <t>Develop the main Cost &amp; Schedule Risk Analysis report which summarizes the results.  The NWW Cost MXC has a template already developed for both Civil Works &amp; MILCON that you can use.</t>
  </si>
  <si>
    <t>Tab Names</t>
  </si>
  <si>
    <t>Column</t>
  </si>
  <si>
    <t>Row</t>
  </si>
  <si>
    <t>CSRA Report Appendixes</t>
  </si>
  <si>
    <t>Cost Modeling Input Start Column</t>
  </si>
  <si>
    <t>Cost Modeling Input End Column</t>
  </si>
  <si>
    <t>Forecasts for Each Risk Item</t>
  </si>
  <si>
    <t>Forecasts Starting Column</t>
  </si>
  <si>
    <t>Forecasts Ending Column</t>
  </si>
  <si>
    <t>QC Starting Column</t>
  </si>
  <si>
    <t>QC Ending Column</t>
  </si>
  <si>
    <t>APPENDIX A: BASE ESTIMATE</t>
  </si>
  <si>
    <t>APPENDIX B: BASE SCHEDULE</t>
  </si>
  <si>
    <t>APPENDIX C: CSRA DETAILS</t>
  </si>
  <si>
    <t>APPENDIX C-1: RISK DASHBOARDS</t>
  </si>
  <si>
    <t>APPENDIX C-2: CONTINGENCY SUMMARY</t>
  </si>
  <si>
    <t>APPENDIX C-7: RISK DETAILS</t>
  </si>
  <si>
    <t>APPENDIX C-3: SENSITIVITY CHARTS</t>
  </si>
  <si>
    <t>APPENDIX C-4: RISK REGISTER</t>
  </si>
  <si>
    <t>APPENDIX C-5: CSRA ASSUMPTIONS</t>
  </si>
  <si>
    <t>APPENDIX C-6: RISK REGISTER ATTENDANCE</t>
  </si>
  <si>
    <t>Risk Reduction Measures</t>
  </si>
  <si>
    <t>Automated Lookup Data for Instructions (In Case Things Move Around)</t>
  </si>
  <si>
    <t>Risk Detail Sheet Summary Range Start</t>
  </si>
  <si>
    <t>Risk Detail Sheet Summary Range End</t>
  </si>
  <si>
    <t>Major Changes
• Complete re-formatting of the document.
• 'J-Sensitivity Charts' auto populates major cost &amp; schedule risk items due to Crystal Ball forecasts added on the 'H-Risk Register-Model' worksheet.  This has replaced the Crystal Ball sensitivity charts.
• Added in optional detail sheets to aid in documentation &amp; modeling (estimate summary, schedule summary, model assumptions, example common risk for escalation, example common risk for markups, risk detail template, and example risk detail sheet for REF 1 (worksheet '1').
• See text box to the right for more details on changes.</t>
  </si>
  <si>
    <t>• Change control log versioning.
• Added instructions for source of drop-down list on 'H-Risk Register-Model' worksheet.</t>
  </si>
  <si>
    <t>Civil Works</t>
  </si>
  <si>
    <t>Program:</t>
  </si>
  <si>
    <t>MILCON Work Breakdown Structure</t>
  </si>
  <si>
    <t>Civil Works Work Breakdown Structure</t>
  </si>
  <si>
    <t>Program</t>
  </si>
  <si>
    <t>CW_WBS</t>
  </si>
  <si>
    <t>MILCON_WBS</t>
  </si>
  <si>
    <t>• Edited SC on the C1-Risk Checklist to reflect MILCON terminology guidelines for secure space.  SC was changed to SS.  Risk#107 was edited in same fashion.</t>
  </si>
  <si>
    <t>Bill Jennings (NAVFAC)</t>
  </si>
  <si>
    <t>Primary Facilities</t>
  </si>
  <si>
    <t>Supporting Facilities</t>
  </si>
  <si>
    <t>SECURE SPACE (SS)</t>
  </si>
  <si>
    <t>SS</t>
  </si>
  <si>
    <t>EMSEC/TEMPEST</t>
  </si>
  <si>
    <t>Determine whether this project will need to include secure spaces.  Some secure spaces have special security requirements such as opening restrictions, special walls, and sound attenuation.  For each secure area the following information should be provided:
- Space requirement (square feet)
- Site Security Manager (SSM) contact information (name, phone#, email) if applicable
- Construction Security Plan (CSP) if applicable</t>
  </si>
  <si>
    <t>Primary Facilities- Flight Simulator</t>
  </si>
  <si>
    <t>Primary Facilities- OPS Facility</t>
  </si>
  <si>
    <t>Site Preparations</t>
  </si>
  <si>
    <t>Site Improvements</t>
  </si>
  <si>
    <t>Site Civil/Mechanical Utilities</t>
  </si>
  <si>
    <t>Site Electrical Utilities</t>
  </si>
  <si>
    <t>Fixed Dollar Risk Add: (Allows for additional risk to be added to the risk analysis.  Must include justification.  Does not allocate to Real Estate.</t>
  </si>
  <si>
    <t>Spent through 1-OCT-2022</t>
  </si>
  <si>
    <t>&lt;--- Top Number of Items</t>
  </si>
  <si>
    <t>of total cost</t>
  </si>
  <si>
    <t>% of total cost</t>
  </si>
  <si>
    <t>Risk Not Included In CSRA</t>
  </si>
  <si>
    <t>Risk Included In CSRA</t>
  </si>
  <si>
    <t>PED (Design) Costs --- Primarily Used for USACE Civil Works Projects</t>
  </si>
  <si>
    <t>EDC (Engineering During Construction) Costs --- Primarily Used for USACE Civil Works Projects</t>
  </si>
  <si>
    <t>CM (Construction Management) Costs --- Primarily Used for USACE Civil Works Projects</t>
  </si>
  <si>
    <t>FY2023 Current Working Estimate</t>
  </si>
  <si>
    <t>G40</t>
  </si>
  <si>
    <t>G30</t>
  </si>
  <si>
    <t>G20</t>
  </si>
  <si>
    <t>G10</t>
  </si>
  <si>
    <t>SF</t>
  </si>
  <si>
    <t>Equipment &amp; Furnishings</t>
  </si>
  <si>
    <t>E</t>
  </si>
  <si>
    <t>Services</t>
  </si>
  <si>
    <t>D</t>
  </si>
  <si>
    <t>Interiors</t>
  </si>
  <si>
    <t>C</t>
  </si>
  <si>
    <t>Shell</t>
  </si>
  <si>
    <t>B</t>
  </si>
  <si>
    <t>Substructure</t>
  </si>
  <si>
    <t>A</t>
  </si>
  <si>
    <t>Special Construction &amp; Demolition</t>
  </si>
  <si>
    <t>F</t>
  </si>
  <si>
    <t>WBS</t>
  </si>
  <si>
    <t>REV</t>
  </si>
  <si>
    <t>Contract #1 (Under Construction)</t>
  </si>
  <si>
    <t>Contract #2 (95% Design)</t>
  </si>
  <si>
    <t>Remaining Design</t>
  </si>
  <si>
    <t>Contract #3 (65% Design)</t>
  </si>
  <si>
    <t>Civil Works only; not included on MILCON Projects.</t>
  </si>
  <si>
    <r>
      <t xml:space="preserve">Best practice is to state what the current design, estimate, and schedule assumptions are and challenge your team on the Low Variance (LV) and High Variance (HV) ranges.
</t>
    </r>
    <r>
      <rPr>
        <u/>
        <sz val="11"/>
        <rFont val="Calibri"/>
        <family val="2"/>
        <scheme val="minor"/>
      </rPr>
      <t>Example:</t>
    </r>
    <r>
      <rPr>
        <sz val="11"/>
        <rFont val="Calibri"/>
        <family val="2"/>
        <scheme val="minor"/>
      </rPr>
      <t xml:space="preserve">
The base estimate &amp; schedule assumes no hurricane events.
LV:  Assume no hurricane events.
HV:  Assume 1 hurricane event with a 3-6 MO delay (25% chance of occurrence) plus $500k to $1M in cleanup costs.</t>
    </r>
  </si>
  <si>
    <t>Common risk related to who is performing the work.</t>
  </si>
  <si>
    <t>Common risk related to labor rates.</t>
  </si>
  <si>
    <t>• Updated QC of risk items formulas to help avoid checking the low risk items without quantification.
• Editing the cost &amp; schedule ranking formula to factor in tie-breakers that have the same impact.
• End of changes for file named "CSRA Template FY2023" release.</t>
  </si>
  <si>
    <t>CSRA Template POC</t>
  </si>
  <si>
    <t>Dustin Sawyers (USACE - NWW)</t>
  </si>
  <si>
    <t>dustin.l.sawyers@usace.army.mil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</si>
</sst>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6" formatCode="&quot;$&quot;#,##0_);[Red]\(&quot;$&quot;#,##0\)"/>
    <numFmt numFmtId="8" formatCode="&quot;$&quot;#,##0.00_);[Red]\(&quot;$&quot;#,##0.00\)"/>
    <numFmt numFmtId="42" formatCode="_(&quot;$&quot;* #,##0_);_(&quot;$&quot;* \(#,##0\);_(&quot;$&quot;* &quot;-&quot;_);_(@_)"/>
    <numFmt numFmtId="44" formatCode="_(&quot;$&quot;* #,##0.00_);_(&quot;$&quot;* \(#,##0.00\);_(&quot;$&quot;* &quot;-&quot;??_);_(@_)"/>
    <numFmt numFmtId="164" formatCode="000"/>
    <numFmt numFmtId="165" formatCode="0#"/>
    <numFmt numFmtId="166" formatCode="mmmm\ yyyy"/>
    <numFmt numFmtId="167" formatCode="&quot;$&quot;#,###\k"/>
    <numFmt numFmtId="168" formatCode="&quot;$&quot;#,##0"/>
    <numFmt numFmtId="169" formatCode="0%\ &quot;Total&quot;"/>
    <numFmt numFmtId="170" formatCode="0%\ &quot;Confidence ($)&quot;"/>
    <numFmt numFmtId="171" formatCode="0%\ &quot;Confidence&quot;"/>
    <numFmt numFmtId="172" formatCode="0%\ &quot;Finish Date&quot;"/>
    <numFmt numFmtId="173" formatCode="0.0\ &quot;Months&quot;"/>
    <numFmt numFmtId="174" formatCode="&quot;$&quot;#,##0.00"/>
    <numFmt numFmtId="175" formatCode="0.0%"/>
    <numFmt numFmtId="176" formatCode="#,##0\ &quot;d&quot;"/>
    <numFmt numFmtId="177" formatCode="#,##0.00\ &quot;YR&quot;;\(#,##0.00\)\ &quot;YR&quot;"/>
    <numFmt numFmtId="178" formatCode="&quot;$&quot;#,##0.00,,\ &quot;M&quot;"/>
    <numFmt numFmtId="179" formatCode="&quot;FY&quot;0.00"/>
    <numFmt numFmtId="180" formatCode="[$-409]mmmm\ d\,\ yyyy;@"/>
    <numFmt numFmtId="181" formatCode="#,##0.00\ &quot;MO&quot;"/>
    <numFmt numFmtId="182" formatCode="0\ &quot;Mo&quot;"/>
    <numFmt numFmtId="183" formatCode="0\ &quot;Months&quot;"/>
    <numFmt numFmtId="184" formatCode="0.00\ &quot;MO&quot;"/>
    <numFmt numFmtId="185" formatCode="#,##0\ ;\(#,##0\)"/>
    <numFmt numFmtId="186" formatCode="#,##0.0000"/>
    <numFmt numFmtId="187" formatCode="0%\ &quot;Confidence Project Schedule&quot;"/>
    <numFmt numFmtId="188" formatCode="0%\ &quot;Confidence Project Cost&quot;"/>
    <numFmt numFmtId="189" formatCode="&quot; -&gt;&quot;"/>
    <numFmt numFmtId="190" formatCode="&quot;Base Estimate w/ Contingency (&quot;0%&quot; Confidence)&quot;"/>
    <numFmt numFmtId="191" formatCode="&quot;Base Schedule w/ Contingency (&quot;0%&quot; Confidence)&quot;"/>
    <numFmt numFmtId="192" formatCode="&quot;Base Finish Date w/ Contingency (&quot;0%&quot; Confidence)&quot;"/>
    <numFmt numFmtId="193" formatCode="&quot;Cost&quot;"/>
    <numFmt numFmtId="194" formatCode="0000"/>
    <numFmt numFmtId="195" formatCode="&quot;$&quot;#,###,&quot;,000&quot;"/>
    <numFmt numFmtId="196" formatCode="#,##0.0\ &quot;MO&quot;"/>
  </numFmts>
  <fonts count="51"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2"/>
      <color theme="1"/>
      <name val="Calibri"/>
      <family val="2"/>
      <scheme val="minor"/>
    </font>
    <font>
      <b/>
      <sz val="16"/>
      <color theme="1"/>
      <name val="Calibri"/>
      <family val="2"/>
      <scheme val="minor"/>
    </font>
    <font>
      <b/>
      <sz val="11"/>
      <name val="Calibri"/>
      <family val="2"/>
      <scheme val="minor"/>
    </font>
    <font>
      <b/>
      <u/>
      <sz val="11"/>
      <name val="Calibri"/>
      <family val="2"/>
      <scheme val="minor"/>
    </font>
    <font>
      <b/>
      <sz val="14"/>
      <name val="Calibri"/>
      <family val="2"/>
      <scheme val="minor"/>
    </font>
    <font>
      <b/>
      <sz val="12"/>
      <name val="Calibri"/>
      <family val="2"/>
      <scheme val="minor"/>
    </font>
    <font>
      <b/>
      <sz val="16"/>
      <name val="Calibri"/>
      <family val="2"/>
      <scheme val="minor"/>
    </font>
    <font>
      <i/>
      <sz val="11"/>
      <name val="Calibri"/>
      <family val="2"/>
      <scheme val="minor"/>
    </font>
    <font>
      <b/>
      <sz val="11"/>
      <color theme="4"/>
      <name val="Calibri"/>
      <family val="2"/>
      <scheme val="minor"/>
    </font>
    <font>
      <sz val="14"/>
      <color theme="1"/>
      <name val="Calibri"/>
      <family val="2"/>
      <scheme val="minor"/>
    </font>
    <font>
      <sz val="16"/>
      <name val="Calibri"/>
      <family val="2"/>
      <scheme val="minor"/>
    </font>
    <font>
      <sz val="16"/>
      <color theme="1"/>
      <name val="Calibri"/>
      <family val="2"/>
      <scheme val="minor"/>
    </font>
    <font>
      <b/>
      <sz val="11"/>
      <color theme="4" tint="-0.249977111117893"/>
      <name val="Calibri"/>
      <family val="2"/>
      <scheme val="minor"/>
    </font>
    <font>
      <b/>
      <sz val="11"/>
      <color rgb="FF0000FF"/>
      <name val="Calibri"/>
      <family val="2"/>
      <scheme val="minor"/>
    </font>
    <font>
      <i/>
      <sz val="11"/>
      <color theme="1"/>
      <name val="Calibri"/>
      <family val="2"/>
      <scheme val="minor"/>
    </font>
    <font>
      <i/>
      <sz val="10"/>
      <color theme="1"/>
      <name val="Calibri"/>
      <family val="2"/>
      <scheme val="minor"/>
    </font>
    <font>
      <b/>
      <sz val="13"/>
      <name val="Calibri"/>
      <family val="2"/>
      <scheme val="minor"/>
    </font>
    <font>
      <sz val="9"/>
      <name val="Calibri"/>
      <family val="2"/>
      <scheme val="minor"/>
    </font>
    <font>
      <sz val="11"/>
      <color rgb="FF000000"/>
      <name val="Calibri"/>
      <family val="2"/>
      <scheme val="minor"/>
    </font>
    <font>
      <b/>
      <sz val="11"/>
      <color rgb="FFFF0000"/>
      <name val="Calibri"/>
      <family val="2"/>
      <scheme val="minor"/>
    </font>
    <font>
      <i/>
      <sz val="9"/>
      <color theme="1"/>
      <name val="Calibri"/>
      <family val="2"/>
      <scheme val="minor"/>
    </font>
    <font>
      <b/>
      <sz val="11"/>
      <color indexed="9"/>
      <name val="Calibri"/>
      <family val="2"/>
      <scheme val="minor"/>
    </font>
    <font>
      <b/>
      <sz val="14"/>
      <color theme="0"/>
      <name val="Calibri"/>
      <family val="2"/>
      <scheme val="minor"/>
    </font>
    <font>
      <b/>
      <sz val="11"/>
      <color indexed="54"/>
      <name val="Calibri"/>
      <family val="2"/>
      <scheme val="minor"/>
    </font>
    <font>
      <b/>
      <sz val="11"/>
      <color indexed="62"/>
      <name val="Calibri"/>
      <family val="2"/>
      <scheme val="minor"/>
    </font>
    <font>
      <b/>
      <i/>
      <sz val="11"/>
      <color indexed="54"/>
      <name val="Calibri"/>
      <family val="2"/>
      <scheme val="minor"/>
    </font>
    <font>
      <sz val="11"/>
      <color indexed="8"/>
      <name val="Calibri"/>
      <family val="2"/>
      <scheme val="minor"/>
    </font>
    <font>
      <sz val="11"/>
      <color indexed="9"/>
      <name val="Calibri"/>
      <family val="2"/>
      <scheme val="minor"/>
    </font>
    <font>
      <sz val="16"/>
      <color indexed="9"/>
      <name val="Calibri"/>
      <family val="2"/>
      <scheme val="minor"/>
    </font>
    <font>
      <sz val="11"/>
      <color theme="0" tint="-0.499984740745262"/>
      <name val="Calibri"/>
      <family val="2"/>
      <scheme val="minor"/>
    </font>
    <font>
      <sz val="11"/>
      <color rgb="FFFFFFCC"/>
      <name val="Calibri"/>
      <family val="2"/>
      <scheme val="minor"/>
    </font>
    <font>
      <b/>
      <sz val="14"/>
      <color theme="0" tint="-0.14999847407452621"/>
      <name val="Calibri"/>
      <family val="2"/>
      <scheme val="minor"/>
    </font>
    <font>
      <b/>
      <u/>
      <sz val="11"/>
      <color theme="1"/>
      <name val="Calibri"/>
      <family val="2"/>
      <scheme val="minor"/>
    </font>
    <font>
      <b/>
      <i/>
      <sz val="11"/>
      <color theme="1"/>
      <name val="Calibri"/>
      <family val="2"/>
      <scheme val="minor"/>
    </font>
    <font>
      <u/>
      <sz val="11"/>
      <color theme="1"/>
      <name val="Calibri"/>
      <family val="2"/>
      <scheme val="minor"/>
    </font>
    <font>
      <sz val="11"/>
      <color theme="0" tint="-4.9989318521683403E-2"/>
      <name val="Calibri"/>
      <family val="2"/>
      <scheme val="minor"/>
    </font>
    <font>
      <u/>
      <sz val="11"/>
      <name val="Calibri"/>
      <family val="2"/>
      <scheme val="minor"/>
    </font>
    <font>
      <b/>
      <u/>
      <sz val="12"/>
      <name val="Arial"/>
      <family val="2"/>
    </font>
    <font>
      <b/>
      <i/>
      <sz val="11"/>
      <name val="Calibri"/>
      <family val="2"/>
      <scheme val="minor"/>
    </font>
    <font>
      <sz val="11"/>
      <name val="Calibri"/>
      <family val="2"/>
    </font>
    <font>
      <b/>
      <sz val="11"/>
      <color theme="0" tint="-0.14999847407452621"/>
      <name val="Calibri"/>
      <family val="2"/>
      <scheme val="minor"/>
    </font>
    <font>
      <sz val="11"/>
      <color theme="0" tint="-0.14999847407452621"/>
      <name val="Calibri"/>
      <family val="2"/>
      <scheme val="minor"/>
    </font>
    <font>
      <b/>
      <u/>
      <sz val="11"/>
      <color theme="0" tint="-0.14999847407452621"/>
      <name val="Calibri"/>
      <family val="2"/>
      <scheme val="minor"/>
    </font>
    <font>
      <u/>
      <sz val="11"/>
      <color theme="10"/>
      <name val="Calibri"/>
      <family val="2"/>
      <scheme val="minor"/>
    </font>
  </fonts>
  <fills count="41">
    <fill>
      <patternFill patternType="none"/>
    </fill>
    <fill>
      <patternFill patternType="gray125"/>
    </fill>
    <fill>
      <patternFill patternType="solid">
        <fgColor theme="0" tint="-0.14999847407452621"/>
        <bgColor theme="0" tint="-0.14999847407452621"/>
      </patternFill>
    </fill>
    <fill>
      <patternFill patternType="solid">
        <fgColor theme="6"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0"/>
        <bgColor indexed="64"/>
      </patternFill>
    </fill>
    <fill>
      <patternFill patternType="solid">
        <fgColor rgb="FFF2F2F2"/>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1"/>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CC"/>
        <bgColor indexed="64"/>
      </patternFill>
    </fill>
    <fill>
      <patternFill patternType="solid">
        <fgColor theme="0"/>
        <bgColor theme="4" tint="0.79998168889431442"/>
      </patternFill>
    </fill>
    <fill>
      <gradientFill degree="90">
        <stop position="0">
          <color theme="6" tint="0.80001220740379042"/>
        </stop>
        <stop position="1">
          <color theme="6" tint="0.40000610370189521"/>
        </stop>
      </gradientFill>
    </fill>
    <fill>
      <patternFill patternType="solid">
        <fgColor rgb="FF00FFFF"/>
        <bgColor indexed="64"/>
      </patternFill>
    </fill>
    <fill>
      <patternFill patternType="solid">
        <fgColor rgb="FFFFC000"/>
        <bgColor indexed="64"/>
      </patternFill>
    </fill>
    <fill>
      <patternFill patternType="solid">
        <fgColor theme="1"/>
        <bgColor theme="4"/>
      </patternFill>
    </fill>
    <fill>
      <patternFill patternType="solid">
        <fgColor rgb="FFFF0000"/>
        <bgColor auto="1"/>
      </patternFill>
    </fill>
    <fill>
      <patternFill patternType="solid">
        <fgColor theme="6" tint="0.39994506668294322"/>
        <bgColor indexed="64"/>
      </patternFill>
    </fill>
    <fill>
      <patternFill patternType="solid">
        <fgColor rgb="FFFFFF00"/>
        <bgColor indexed="64"/>
      </patternFill>
    </fill>
    <fill>
      <patternFill patternType="solid">
        <fgColor indexed="42"/>
        <bgColor indexed="64"/>
      </patternFill>
    </fill>
    <fill>
      <gradientFill degree="90">
        <stop position="0">
          <color rgb="FFFFFFCC"/>
        </stop>
        <stop position="1">
          <color rgb="FFFFFF99"/>
        </stop>
      </gradientFill>
    </fill>
    <fill>
      <patternFill patternType="solid">
        <fgColor theme="9" tint="0.59999389629810485"/>
        <bgColor indexed="64"/>
      </patternFill>
    </fill>
    <fill>
      <patternFill patternType="solid">
        <fgColor theme="8" tint="0.59999389629810485"/>
        <bgColor auto="1"/>
      </patternFill>
    </fill>
    <fill>
      <patternFill patternType="solid">
        <fgColor theme="0" tint="-0.14996795556505021"/>
        <bgColor auto="1"/>
      </patternFill>
    </fill>
    <fill>
      <patternFill patternType="solid">
        <fgColor theme="8" tint="0.39997558519241921"/>
        <bgColor indexed="64"/>
      </patternFill>
    </fill>
    <fill>
      <patternFill patternType="solid">
        <fgColor rgb="FFFFC000"/>
        <bgColor auto="1"/>
      </patternFill>
    </fill>
    <fill>
      <patternFill patternType="solid">
        <fgColor theme="0" tint="-0.14999847407452621"/>
        <bgColor auto="1"/>
      </patternFill>
    </fill>
    <fill>
      <patternFill patternType="solid">
        <fgColor theme="2" tint="-9.9978637043366805E-2"/>
        <bgColor indexed="64"/>
      </patternFill>
    </fill>
    <fill>
      <patternFill patternType="solid">
        <fgColor rgb="FFA29791"/>
        <bgColor indexed="64"/>
      </patternFill>
    </fill>
    <fill>
      <patternFill patternType="solid">
        <fgColor rgb="FFFF00FF"/>
        <bgColor indexed="64"/>
      </patternFill>
    </fill>
    <fill>
      <patternFill patternType="solid">
        <fgColor indexed="65"/>
        <bgColor indexed="64"/>
      </patternFill>
    </fill>
    <fill>
      <patternFill patternType="solid">
        <fgColor theme="2" tint="-0.499984740745262"/>
        <bgColor indexed="64"/>
      </patternFill>
    </fill>
    <fill>
      <patternFill patternType="solid">
        <fgColor theme="0" tint="-0.14999847407452621"/>
        <bgColor theme="4" tint="0.79998168889431442"/>
      </patternFill>
    </fill>
  </fills>
  <borders count="116">
    <border>
      <left/>
      <right/>
      <top/>
      <bottom/>
      <diagonal/>
    </border>
    <border>
      <left style="thin">
        <color rgb="FF7F7F7F"/>
      </left>
      <right style="thin">
        <color rgb="FF7F7F7F"/>
      </right>
      <top style="thin">
        <color rgb="FF7F7F7F"/>
      </top>
      <bottom style="thin">
        <color rgb="FF7F7F7F"/>
      </bottom>
      <diagonal/>
    </border>
    <border>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style="thin">
        <color auto="1"/>
      </top>
      <bottom style="thin">
        <color auto="1"/>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style="thin">
        <color auto="1"/>
      </bottom>
      <diagonal/>
    </border>
    <border>
      <left/>
      <right style="thin">
        <color indexed="64"/>
      </right>
      <top/>
      <bottom/>
      <diagonal/>
    </border>
    <border>
      <left/>
      <right style="thin">
        <color indexed="64"/>
      </right>
      <top/>
      <bottom style="thin">
        <color auto="1"/>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style="thin">
        <color auto="1"/>
      </top>
      <bottom/>
      <diagonal/>
    </border>
    <border>
      <left/>
      <right/>
      <top/>
      <bottom style="thick">
        <color auto="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indexed="9"/>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auto="1"/>
      </top>
      <bottom style="thin">
        <color auto="1"/>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style="medium">
        <color indexed="64"/>
      </right>
      <top style="thin">
        <color auto="1"/>
      </top>
      <bottom style="thin">
        <color indexed="64"/>
      </bottom>
      <diagonal/>
    </border>
    <border>
      <left style="medium">
        <color indexed="64"/>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theme="1"/>
      </top>
      <bottom/>
      <diagonal/>
    </border>
    <border>
      <left/>
      <right/>
      <top style="thin">
        <color theme="1"/>
      </top>
      <bottom style="medium">
        <color theme="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top style="medium">
        <color theme="1"/>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theme="1"/>
      </top>
      <bottom style="medium">
        <color theme="1"/>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auto="1"/>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double">
        <color indexed="64"/>
      </bottom>
      <diagonal/>
    </border>
    <border>
      <left/>
      <right/>
      <top style="medium">
        <color auto="1"/>
      </top>
      <bottom style="thin">
        <color theme="0"/>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thin">
        <color indexed="23"/>
      </left>
      <right/>
      <top/>
      <bottom/>
      <diagonal/>
    </border>
    <border>
      <left style="thin">
        <color indexed="23"/>
      </left>
      <right style="thin">
        <color indexed="23"/>
      </right>
      <top style="thin">
        <color indexed="23"/>
      </top>
      <bottom style="thin">
        <color indexed="23"/>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theme="4"/>
      </top>
      <bottom style="double">
        <color theme="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s>
  <cellStyleXfs count="9">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18" borderId="1" applyNumberFormat="0" applyFont="0" applyBorder="0" applyAlignment="0" applyProtection="0"/>
    <xf numFmtId="0" fontId="3" fillId="14" borderId="0" applyNumberFormat="0" applyBorder="0" applyAlignment="0" applyProtection="0">
      <alignment horizontal="left"/>
    </xf>
    <xf numFmtId="0" fontId="3" fillId="39" borderId="0" applyNumberFormat="0" applyBorder="0" applyAlignment="0" applyProtection="0">
      <alignment horizontal="left"/>
    </xf>
    <xf numFmtId="0" fontId="3" fillId="36" borderId="0" applyNumberFormat="0" applyBorder="0" applyAlignment="0" applyProtection="0">
      <alignment horizontal="left"/>
    </xf>
    <xf numFmtId="0" fontId="4" fillId="0" borderId="109" applyNumberFormat="0" applyFill="0" applyAlignment="0" applyProtection="0"/>
    <xf numFmtId="0" fontId="50" fillId="0" borderId="0" applyNumberFormat="0" applyFill="0" applyBorder="0" applyAlignment="0" applyProtection="0"/>
  </cellStyleXfs>
  <cellXfs count="1111">
    <xf numFmtId="0" fontId="0" fillId="0" borderId="0" xfId="0"/>
    <xf numFmtId="0" fontId="1" fillId="0" borderId="0" xfId="0" applyFont="1"/>
    <xf numFmtId="0" fontId="5" fillId="0" borderId="0" xfId="0" applyFont="1" applyAlignment="1">
      <alignment horizontal="center"/>
    </xf>
    <xf numFmtId="164" fontId="6" fillId="0" borderId="0" xfId="0" applyNumberFormat="1" applyFont="1" applyAlignment="1">
      <alignment horizontal="center" vertical="top"/>
    </xf>
    <xf numFmtId="14" fontId="6" fillId="0" borderId="0" xfId="0" applyNumberFormat="1" applyFont="1" applyAlignment="1">
      <alignment horizontal="center" vertical="top"/>
    </xf>
    <xf numFmtId="0" fontId="6" fillId="0" borderId="0" xfId="0" applyFont="1" applyAlignment="1">
      <alignment horizontal="left" vertical="top" wrapText="1"/>
    </xf>
    <xf numFmtId="0" fontId="6" fillId="0" borderId="0" xfId="0" applyFont="1" applyAlignment="1">
      <alignment horizontal="center" vertical="top"/>
    </xf>
    <xf numFmtId="0" fontId="8" fillId="0" borderId="0" xfId="0" applyFont="1"/>
    <xf numFmtId="0" fontId="6" fillId="0" borderId="0" xfId="0" applyFont="1"/>
    <xf numFmtId="0" fontId="9" fillId="0" borderId="0" xfId="0" applyFont="1" applyAlignment="1">
      <alignment horizontal="center"/>
    </xf>
    <xf numFmtId="0" fontId="9" fillId="0" borderId="0" xfId="0" applyFont="1" applyAlignment="1">
      <alignment horizontal="center" vertical="top"/>
    </xf>
    <xf numFmtId="0" fontId="6" fillId="0" borderId="0" xfId="0" applyFont="1" applyAlignment="1">
      <alignment horizontal="left" vertical="top" wrapText="1" indent="1"/>
    </xf>
    <xf numFmtId="0" fontId="6" fillId="3" borderId="0" xfId="0" applyFont="1" applyFill="1" applyAlignment="1">
      <alignment horizontal="left" vertical="center" indent="1"/>
    </xf>
    <xf numFmtId="0" fontId="6" fillId="3" borderId="0" xfId="0" applyFont="1" applyFill="1" applyAlignment="1">
      <alignment horizontal="left" vertical="center" indent="5"/>
    </xf>
    <xf numFmtId="0" fontId="6" fillId="3" borderId="0" xfId="0" applyFont="1" applyFill="1"/>
    <xf numFmtId="0" fontId="6" fillId="3" borderId="3" xfId="0" applyFont="1" applyFill="1" applyBorder="1" applyAlignment="1">
      <alignment horizontal="center" vertical="center"/>
    </xf>
    <xf numFmtId="0" fontId="6" fillId="3" borderId="0" xfId="0" applyFont="1" applyFill="1" applyAlignment="1">
      <alignment vertical="center"/>
    </xf>
    <xf numFmtId="0" fontId="6" fillId="0" borderId="6" xfId="0" applyFont="1" applyBorder="1" applyAlignment="1">
      <alignment horizontal="center" vertical="top" wrapText="1"/>
    </xf>
    <xf numFmtId="0" fontId="6" fillId="4" borderId="5" xfId="0" applyFont="1" applyFill="1" applyBorder="1" applyAlignment="1">
      <alignment horizontal="center" vertical="top" wrapText="1"/>
    </xf>
    <xf numFmtId="165" fontId="6" fillId="0" borderId="5" xfId="0" applyNumberFormat="1" applyFont="1" applyBorder="1" applyAlignment="1">
      <alignment horizontal="center" vertical="top" wrapText="1"/>
    </xf>
    <xf numFmtId="0" fontId="6" fillId="0" borderId="4" xfId="0" applyFont="1" applyBorder="1" applyAlignment="1">
      <alignment horizontal="left" vertical="center" wrapText="1"/>
    </xf>
    <xf numFmtId="0" fontId="6" fillId="0" borderId="4" xfId="0" applyFont="1" applyBorder="1" applyAlignment="1">
      <alignment horizontal="left" vertical="center" wrapText="1" indent="1"/>
    </xf>
    <xf numFmtId="0" fontId="6" fillId="0" borderId="4" xfId="0" applyFont="1" applyBorder="1" applyAlignment="1">
      <alignment horizontal="left" vertical="top" wrapText="1"/>
    </xf>
    <xf numFmtId="0" fontId="6" fillId="0" borderId="4" xfId="0" applyFont="1" applyBorder="1" applyAlignment="1">
      <alignment horizontal="left" vertical="top" wrapText="1" indent="1"/>
    </xf>
    <xf numFmtId="0" fontId="6" fillId="0" borderId="4" xfId="0" applyFont="1" applyBorder="1" applyAlignment="1">
      <alignment wrapText="1"/>
    </xf>
    <xf numFmtId="0" fontId="6" fillId="0" borderId="4" xfId="0" applyFont="1" applyBorder="1" applyAlignment="1">
      <alignment horizontal="left" wrapText="1" indent="1"/>
    </xf>
    <xf numFmtId="0" fontId="9" fillId="0" borderId="4" xfId="0" applyFont="1" applyBorder="1" applyAlignment="1">
      <alignment horizontal="left" vertical="center" wrapText="1"/>
    </xf>
    <xf numFmtId="0" fontId="9" fillId="0" borderId="4" xfId="0" applyFont="1" applyBorder="1" applyAlignment="1">
      <alignment horizontal="left" vertical="top" wrapText="1"/>
    </xf>
    <xf numFmtId="0" fontId="6" fillId="0" borderId="0" xfId="0" applyFont="1" applyAlignment="1">
      <alignment wrapText="1"/>
    </xf>
    <xf numFmtId="0" fontId="6" fillId="4" borderId="0" xfId="0" applyFont="1" applyFill="1"/>
    <xf numFmtId="0" fontId="6" fillId="4" borderId="0" xfId="0" applyFont="1" applyFill="1" applyAlignment="1">
      <alignment horizontal="right" vertical="center" indent="1"/>
    </xf>
    <xf numFmtId="17" fontId="15" fillId="8" borderId="3" xfId="0" applyNumberFormat="1" applyFont="1" applyFill="1" applyBorder="1" applyAlignment="1">
      <alignment horizontal="left" vertical="top" wrapText="1" indent="1"/>
    </xf>
    <xf numFmtId="166" fontId="15" fillId="8" borderId="3" xfId="0" applyNumberFormat="1" applyFont="1" applyFill="1" applyBorder="1" applyAlignment="1">
      <alignment horizontal="left" vertical="center" wrapText="1" indent="1"/>
    </xf>
    <xf numFmtId="0" fontId="6" fillId="4" borderId="0" xfId="0" applyFont="1" applyFill="1" applyAlignment="1">
      <alignment horizontal="right" vertical="center"/>
    </xf>
    <xf numFmtId="0" fontId="15" fillId="8" borderId="3" xfId="0" applyFont="1" applyFill="1" applyBorder="1" applyAlignment="1">
      <alignment horizontal="left" vertical="center" wrapText="1" indent="1"/>
    </xf>
    <xf numFmtId="0" fontId="16" fillId="0" borderId="0" xfId="0" applyFont="1"/>
    <xf numFmtId="0" fontId="17" fillId="4" borderId="0" xfId="0" applyFont="1" applyFill="1"/>
    <xf numFmtId="0" fontId="13" fillId="4" borderId="7" xfId="0" applyFont="1" applyFill="1" applyBorder="1"/>
    <xf numFmtId="0" fontId="17" fillId="4" borderId="7" xfId="0" applyFont="1" applyFill="1" applyBorder="1"/>
    <xf numFmtId="0" fontId="18" fillId="0" borderId="0" xfId="0" applyFont="1"/>
    <xf numFmtId="1" fontId="0" fillId="0" borderId="0" xfId="0" applyNumberFormat="1"/>
    <xf numFmtId="1" fontId="0" fillId="8" borderId="0" xfId="0" applyNumberFormat="1" applyFill="1" applyAlignment="1">
      <alignment horizontal="center"/>
    </xf>
    <xf numFmtId="0" fontId="0" fillId="8" borderId="0" xfId="0" applyFill="1"/>
    <xf numFmtId="1" fontId="0" fillId="9" borderId="4"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0" xfId="0" applyNumberFormat="1" applyFill="1" applyAlignment="1" applyProtection="1">
      <alignment horizontal="center"/>
      <protection hidden="1"/>
    </xf>
    <xf numFmtId="0" fontId="0" fillId="3" borderId="13" xfId="0" applyFill="1" applyBorder="1" applyAlignment="1">
      <alignment horizontal="center"/>
    </xf>
    <xf numFmtId="0" fontId="0" fillId="3" borderId="20" xfId="0" applyFill="1" applyBorder="1" applyAlignment="1">
      <alignment horizontal="center"/>
    </xf>
    <xf numFmtId="0" fontId="0" fillId="8" borderId="13" xfId="0" applyFill="1" applyBorder="1" applyAlignment="1">
      <alignment horizontal="right"/>
    </xf>
    <xf numFmtId="0" fontId="0" fillId="8" borderId="0" xfId="0" applyFill="1" applyAlignment="1">
      <alignment horizontal="left"/>
    </xf>
    <xf numFmtId="167" fontId="0" fillId="8" borderId="0" xfId="0" applyNumberFormat="1" applyFill="1"/>
    <xf numFmtId="0" fontId="9" fillId="8" borderId="0" xfId="0" applyFont="1" applyFill="1" applyAlignment="1">
      <alignment horizontal="right"/>
    </xf>
    <xf numFmtId="0" fontId="4" fillId="8" borderId="0" xfId="0" applyFont="1" applyFill="1" applyAlignment="1" applyProtection="1">
      <alignment horizontal="right"/>
      <protection locked="0"/>
    </xf>
    <xf numFmtId="0" fontId="4" fillId="8" borderId="0" xfId="0" applyFont="1" applyFill="1" applyAlignment="1">
      <alignment horizontal="right"/>
    </xf>
    <xf numFmtId="0" fontId="0" fillId="8" borderId="0" xfId="0" applyFill="1" applyAlignment="1">
      <alignment horizontal="center"/>
    </xf>
    <xf numFmtId="0" fontId="21" fillId="8" borderId="0" xfId="0" applyFont="1" applyFill="1" applyAlignment="1">
      <alignment horizontal="right" vertical="top"/>
    </xf>
    <xf numFmtId="0" fontId="21" fillId="8" borderId="0" xfId="0" applyFont="1" applyFill="1" applyAlignment="1">
      <alignment horizontal="center" vertical="top"/>
    </xf>
    <xf numFmtId="9" fontId="20" fillId="3" borderId="15" xfId="0" applyNumberFormat="1" applyFont="1" applyFill="1" applyBorder="1" applyAlignment="1" applyProtection="1">
      <alignment horizontal="center" vertical="center"/>
      <protection locked="0"/>
    </xf>
    <xf numFmtId="0" fontId="20" fillId="8" borderId="17" xfId="0" applyFont="1" applyFill="1" applyBorder="1" applyAlignment="1" applyProtection="1">
      <alignment vertical="center"/>
      <protection locked="0"/>
    </xf>
    <xf numFmtId="0" fontId="9" fillId="13" borderId="17" xfId="0" applyFont="1" applyFill="1" applyBorder="1" applyAlignment="1">
      <alignment vertical="center"/>
    </xf>
    <xf numFmtId="49" fontId="6" fillId="13" borderId="21" xfId="0" applyNumberFormat="1" applyFont="1" applyFill="1" applyBorder="1" applyAlignment="1">
      <alignment horizontal="left" vertical="center"/>
    </xf>
    <xf numFmtId="0" fontId="5" fillId="8" borderId="0" xfId="0" applyFont="1" applyFill="1" applyProtection="1">
      <protection hidden="1"/>
    </xf>
    <xf numFmtId="0" fontId="9" fillId="8" borderId="0" xfId="0" applyFont="1" applyFill="1"/>
    <xf numFmtId="0" fontId="4" fillId="8" borderId="20" xfId="0" applyFont="1" applyFill="1" applyBorder="1"/>
    <xf numFmtId="168" fontId="20" fillId="8" borderId="0" xfId="0" applyNumberFormat="1" applyFont="1" applyFill="1"/>
    <xf numFmtId="168" fontId="0" fillId="8" borderId="8" xfId="0" applyNumberFormat="1" applyFill="1" applyBorder="1"/>
    <xf numFmtId="168" fontId="4" fillId="12" borderId="10" xfId="0" applyNumberFormat="1" applyFont="1" applyFill="1" applyBorder="1"/>
    <xf numFmtId="168" fontId="0" fillId="3" borderId="5" xfId="0" applyNumberFormat="1" applyFill="1" applyBorder="1" applyAlignment="1">
      <alignment vertical="center"/>
    </xf>
    <xf numFmtId="168" fontId="0" fillId="3" borderId="14" xfId="0" applyNumberFormat="1" applyFill="1" applyBorder="1" applyAlignment="1">
      <alignment vertical="center"/>
    </xf>
    <xf numFmtId="168" fontId="0" fillId="3" borderId="0" xfId="0" applyNumberFormat="1" applyFill="1"/>
    <xf numFmtId="168" fontId="0" fillId="3" borderId="12" xfId="0" applyNumberFormat="1" applyFill="1" applyBorder="1"/>
    <xf numFmtId="168" fontId="0" fillId="3" borderId="8" xfId="0" applyNumberFormat="1" applyFill="1" applyBorder="1"/>
    <xf numFmtId="168" fontId="0" fillId="3" borderId="19" xfId="0" applyNumberFormat="1" applyFill="1" applyBorder="1"/>
    <xf numFmtId="168" fontId="0" fillId="3" borderId="16" xfId="0" applyNumberFormat="1" applyFill="1" applyBorder="1"/>
    <xf numFmtId="168" fontId="4" fillId="3" borderId="10" xfId="0" applyNumberFormat="1" applyFont="1" applyFill="1" applyBorder="1"/>
    <xf numFmtId="168" fontId="4" fillId="3" borderId="9" xfId="0" applyNumberFormat="1" applyFont="1" applyFill="1" applyBorder="1"/>
    <xf numFmtId="0" fontId="0" fillId="10" borderId="10" xfId="0" applyFill="1" applyBorder="1"/>
    <xf numFmtId="42" fontId="4" fillId="10" borderId="10" xfId="0" applyNumberFormat="1" applyFont="1" applyFill="1" applyBorder="1" applyAlignment="1">
      <alignment horizontal="right"/>
    </xf>
    <xf numFmtId="168" fontId="4" fillId="10" borderId="10" xfId="0" applyNumberFormat="1" applyFont="1" applyFill="1" applyBorder="1" applyAlignment="1">
      <alignment horizontal="right"/>
    </xf>
    <xf numFmtId="168" fontId="4" fillId="10" borderId="9" xfId="0" applyNumberFormat="1" applyFont="1" applyFill="1" applyBorder="1" applyAlignment="1">
      <alignment horizontal="right"/>
    </xf>
    <xf numFmtId="0" fontId="13" fillId="8" borderId="0" xfId="0" applyFont="1" applyFill="1" applyAlignment="1">
      <alignment horizontal="center" vertical="center"/>
    </xf>
    <xf numFmtId="0" fontId="22" fillId="0" borderId="0" xfId="0" applyFont="1"/>
    <xf numFmtId="0" fontId="0" fillId="0" borderId="0" xfId="0" applyAlignment="1">
      <alignment horizontal="left" vertical="top" wrapText="1"/>
    </xf>
    <xf numFmtId="0" fontId="0" fillId="0" borderId="0" xfId="0" applyAlignment="1">
      <alignment horizontal="center"/>
    </xf>
    <xf numFmtId="176" fontId="0" fillId="0" borderId="0" xfId="0" applyNumberFormat="1" applyAlignment="1">
      <alignment horizontal="center"/>
    </xf>
    <xf numFmtId="0" fontId="7" fillId="0" borderId="0" xfId="0" applyFont="1"/>
    <xf numFmtId="177" fontId="0" fillId="0" borderId="0" xfId="0" applyNumberFormat="1" applyAlignment="1">
      <alignment horizontal="left" vertical="top" wrapText="1"/>
    </xf>
    <xf numFmtId="14" fontId="5" fillId="0" borderId="0" xfId="0" applyNumberFormat="1" applyFont="1"/>
    <xf numFmtId="15" fontId="0" fillId="0" borderId="0" xfId="0" applyNumberFormat="1" applyAlignment="1">
      <alignment horizontal="center"/>
    </xf>
    <xf numFmtId="0" fontId="0" fillId="0" borderId="0" xfId="0" applyAlignment="1">
      <alignment horizontal="left" indent="1"/>
    </xf>
    <xf numFmtId="0" fontId="12" fillId="0" borderId="0" xfId="0" applyFont="1"/>
    <xf numFmtId="177" fontId="12" fillId="0" borderId="28" xfId="0" applyNumberFormat="1" applyFont="1" applyBorder="1" applyAlignment="1">
      <alignment horizontal="left"/>
    </xf>
    <xf numFmtId="14" fontId="0" fillId="0" borderId="28" xfId="0" applyNumberFormat="1" applyBorder="1"/>
    <xf numFmtId="15" fontId="9" fillId="0" borderId="28" xfId="0" applyNumberFormat="1" applyFont="1" applyBorder="1" applyAlignment="1">
      <alignment horizontal="center"/>
    </xf>
    <xf numFmtId="176" fontId="4" fillId="0" borderId="28" xfId="0" applyNumberFormat="1" applyFont="1" applyBorder="1" applyAlignment="1">
      <alignment horizontal="center"/>
    </xf>
    <xf numFmtId="0" fontId="23" fillId="0" borderId="28" xfId="0" applyFont="1" applyBorder="1"/>
    <xf numFmtId="0" fontId="3" fillId="14" borderId="29" xfId="0" applyFont="1" applyFill="1" applyBorder="1" applyAlignment="1">
      <alignment horizontal="center"/>
    </xf>
    <xf numFmtId="0" fontId="3" fillId="14" borderId="31" xfId="0" applyFont="1" applyFill="1" applyBorder="1" applyAlignment="1">
      <alignment horizontal="center"/>
    </xf>
    <xf numFmtId="0" fontId="5" fillId="0" borderId="0" xfId="0" applyFont="1"/>
    <xf numFmtId="0" fontId="13" fillId="0" borderId="0" xfId="0" applyFont="1"/>
    <xf numFmtId="0" fontId="25" fillId="0" borderId="0" xfId="0" applyFont="1" applyAlignment="1">
      <alignment horizontal="left" vertical="top"/>
    </xf>
    <xf numFmtId="0" fontId="6" fillId="0" borderId="0" xfId="0" applyFont="1" applyAlignment="1">
      <alignment horizontal="left" vertical="center" wrapText="1"/>
    </xf>
    <xf numFmtId="0" fontId="6" fillId="15" borderId="0" xfId="0" applyFont="1" applyFill="1"/>
    <xf numFmtId="180" fontId="6" fillId="15" borderId="3" xfId="0" applyNumberFormat="1" applyFont="1" applyFill="1" applyBorder="1" applyAlignment="1" applyProtection="1">
      <alignment horizontal="center" vertical="center"/>
      <protection locked="0"/>
    </xf>
    <xf numFmtId="0" fontId="9" fillId="0" borderId="32" xfId="0" applyFont="1" applyBorder="1" applyAlignment="1">
      <alignment horizontal="right" indent="1"/>
    </xf>
    <xf numFmtId="0" fontId="6" fillId="15" borderId="0" xfId="0" applyFont="1" applyFill="1" applyAlignment="1">
      <alignment horizontal="center"/>
    </xf>
    <xf numFmtId="0" fontId="6" fillId="15" borderId="0" xfId="0" applyFont="1" applyFill="1" applyAlignment="1">
      <alignment horizontal="left" indent="1"/>
    </xf>
    <xf numFmtId="180" fontId="6" fillId="15" borderId="3" xfId="0" applyNumberFormat="1" applyFont="1" applyFill="1" applyBorder="1" applyAlignment="1" applyProtection="1">
      <alignment horizontal="center"/>
      <protection locked="0"/>
    </xf>
    <xf numFmtId="0" fontId="6" fillId="8" borderId="0" xfId="0" applyFont="1" applyFill="1" applyAlignment="1">
      <alignment horizontal="right"/>
    </xf>
    <xf numFmtId="0" fontId="6" fillId="15" borderId="0" xfId="0" applyFont="1" applyFill="1" applyAlignment="1">
      <alignment horizontal="left"/>
    </xf>
    <xf numFmtId="0" fontId="9" fillId="8" borderId="0" xfId="0" applyFont="1" applyFill="1" applyAlignment="1">
      <alignment horizontal="left" vertical="top"/>
    </xf>
    <xf numFmtId="0" fontId="9" fillId="8" borderId="0" xfId="0" applyFont="1" applyFill="1" applyAlignment="1">
      <alignment horizontal="right" vertical="top" wrapText="1"/>
    </xf>
    <xf numFmtId="0" fontId="17" fillId="0" borderId="0" xfId="0" applyFont="1"/>
    <xf numFmtId="0" fontId="9" fillId="16" borderId="0" xfId="0" applyFont="1" applyFill="1" applyAlignment="1">
      <alignment horizontal="center" vertical="center"/>
    </xf>
    <xf numFmtId="0" fontId="6" fillId="0" borderId="0" xfId="0" applyFont="1" applyAlignment="1">
      <alignment horizontal="left" vertical="center"/>
    </xf>
    <xf numFmtId="0" fontId="6" fillId="2" borderId="2" xfId="0" applyFont="1" applyFill="1" applyBorder="1" applyAlignment="1">
      <alignment horizontal="left" vertical="center" wrapText="1" indent="1"/>
    </xf>
    <xf numFmtId="0" fontId="6" fillId="15" borderId="0" xfId="0" applyFont="1" applyFill="1" applyAlignment="1">
      <alignment vertical="top"/>
    </xf>
    <xf numFmtId="0" fontId="6" fillId="0" borderId="22" xfId="0" applyFont="1" applyBorder="1"/>
    <xf numFmtId="0" fontId="0" fillId="8" borderId="0" xfId="0" applyFill="1" applyAlignment="1" applyProtection="1">
      <alignment horizontal="center"/>
      <protection locked="0"/>
    </xf>
    <xf numFmtId="0" fontId="0" fillId="8" borderId="0" xfId="0" applyFill="1" applyAlignment="1" applyProtection="1">
      <alignment horizontal="right" vertical="center" indent="1"/>
      <protection locked="0"/>
    </xf>
    <xf numFmtId="0" fontId="6" fillId="0" borderId="17" xfId="0" applyFont="1" applyBorder="1"/>
    <xf numFmtId="0" fontId="6" fillId="0" borderId="23" xfId="0" applyFont="1" applyBorder="1"/>
    <xf numFmtId="0" fontId="6" fillId="0" borderId="0" xfId="0" applyFont="1" applyAlignment="1">
      <alignment vertical="center"/>
    </xf>
    <xf numFmtId="0" fontId="14" fillId="15" borderId="0" xfId="0" applyFont="1" applyFill="1" applyAlignment="1">
      <alignment vertical="center" wrapText="1"/>
    </xf>
    <xf numFmtId="0" fontId="6" fillId="8" borderId="0" xfId="0" applyFont="1" applyFill="1"/>
    <xf numFmtId="0" fontId="6" fillId="0" borderId="13" xfId="0" applyFont="1" applyBorder="1" applyAlignment="1">
      <alignment horizontal="left" vertical="center" indent="2"/>
    </xf>
    <xf numFmtId="0" fontId="6" fillId="0" borderId="26" xfId="0" applyFont="1" applyBorder="1" applyAlignment="1">
      <alignment horizontal="left" vertical="center" indent="2"/>
    </xf>
    <xf numFmtId="9" fontId="6" fillId="0" borderId="0" xfId="2" applyFont="1" applyBorder="1" applyAlignment="1">
      <alignment horizontal="center" vertical="center"/>
    </xf>
    <xf numFmtId="0" fontId="6" fillId="15" borderId="0" xfId="0" applyFont="1" applyFill="1" applyAlignment="1">
      <alignment horizontal="left" vertical="center" wrapText="1" indent="1"/>
    </xf>
    <xf numFmtId="0" fontId="6" fillId="0" borderId="20" xfId="0" applyFont="1" applyBorder="1" applyAlignment="1">
      <alignment horizontal="left" vertical="center" indent="2"/>
    </xf>
    <xf numFmtId="0" fontId="14" fillId="0" borderId="0" xfId="0" applyFont="1"/>
    <xf numFmtId="0" fontId="14" fillId="0" borderId="0" xfId="0" applyFont="1" applyAlignment="1">
      <alignment horizontal="left"/>
    </xf>
    <xf numFmtId="168" fontId="6" fillId="0" borderId="33" xfId="0" applyNumberFormat="1" applyFont="1" applyBorder="1" applyAlignment="1">
      <alignment horizontal="center" vertical="top"/>
    </xf>
    <xf numFmtId="181" fontId="6" fillId="0" borderId="33" xfId="0" applyNumberFormat="1" applyFont="1" applyBorder="1" applyAlignment="1">
      <alignment horizontal="center" vertical="top"/>
    </xf>
    <xf numFmtId="168" fontId="31" fillId="18" borderId="33" xfId="3" applyNumberFormat="1" applyFont="1" applyBorder="1" applyAlignment="1">
      <alignment horizontal="center" vertical="top"/>
    </xf>
    <xf numFmtId="181" fontId="31" fillId="18" borderId="33" xfId="3" applyNumberFormat="1" applyFont="1" applyBorder="1" applyAlignment="1">
      <alignment horizontal="center" vertical="top"/>
    </xf>
    <xf numFmtId="0" fontId="14" fillId="15" borderId="24" xfId="0" applyFont="1" applyFill="1" applyBorder="1" applyAlignment="1">
      <alignment vertical="center" wrapText="1"/>
    </xf>
    <xf numFmtId="9" fontId="0" fillId="0" borderId="0" xfId="2" applyFont="1" applyBorder="1" applyAlignment="1"/>
    <xf numFmtId="0" fontId="0" fillId="0" borderId="0" xfId="2" applyNumberFormat="1" applyFont="1" applyBorder="1" applyAlignment="1"/>
    <xf numFmtId="0" fontId="3" fillId="23" borderId="59" xfId="0" applyFont="1" applyFill="1" applyBorder="1" applyAlignment="1">
      <alignment horizontal="center" vertical="center" wrapText="1"/>
    </xf>
    <xf numFmtId="0" fontId="4" fillId="20" borderId="8" xfId="0" applyFont="1" applyFill="1" applyBorder="1" applyAlignment="1">
      <alignment vertical="center"/>
    </xf>
    <xf numFmtId="0" fontId="4" fillId="20" borderId="8" xfId="0" applyFont="1" applyFill="1" applyBorder="1" applyAlignment="1">
      <alignment vertical="center" wrapText="1"/>
    </xf>
    <xf numFmtId="0" fontId="0" fillId="20" borderId="8" xfId="0" applyFill="1" applyBorder="1" applyAlignment="1">
      <alignment vertical="center" wrapText="1"/>
    </xf>
    <xf numFmtId="0" fontId="4" fillId="20" borderId="8" xfId="0" applyFont="1" applyFill="1" applyBorder="1" applyAlignment="1">
      <alignment horizontal="left" vertical="center" wrapText="1"/>
    </xf>
    <xf numFmtId="0" fontId="9" fillId="4" borderId="0" xfId="0" applyFont="1" applyFill="1" applyAlignment="1">
      <alignment vertical="center"/>
    </xf>
    <xf numFmtId="0" fontId="9" fillId="4" borderId="0" xfId="0" applyFont="1" applyFill="1" applyAlignment="1">
      <alignment horizontal="right" vertical="center"/>
    </xf>
    <xf numFmtId="0" fontId="6" fillId="4" borderId="0" xfId="0" applyFont="1" applyFill="1" applyAlignment="1">
      <alignment horizontal="left" vertical="center"/>
    </xf>
    <xf numFmtId="0" fontId="6" fillId="4" borderId="0" xfId="0" applyFont="1" applyFill="1" applyAlignment="1">
      <alignment vertical="center"/>
    </xf>
    <xf numFmtId="0" fontId="6" fillId="4" borderId="0" xfId="0" applyFont="1" applyFill="1" applyAlignment="1">
      <alignment wrapText="1"/>
    </xf>
    <xf numFmtId="168" fontId="0" fillId="2" borderId="59" xfId="0" applyNumberFormat="1" applyFill="1" applyBorder="1" applyAlignment="1">
      <alignment horizontal="center" vertical="center"/>
    </xf>
    <xf numFmtId="168" fontId="0" fillId="0" borderId="50" xfId="0" applyNumberFormat="1" applyBorder="1" applyAlignment="1">
      <alignment horizontal="center" vertical="center"/>
    </xf>
    <xf numFmtId="168" fontId="0" fillId="2" borderId="50" xfId="0" applyNumberFormat="1" applyFill="1" applyBorder="1" applyAlignment="1">
      <alignment horizontal="center" vertical="center"/>
    </xf>
    <xf numFmtId="168" fontId="0" fillId="2" borderId="51" xfId="0" applyNumberFormat="1" applyFill="1" applyBorder="1" applyAlignment="1">
      <alignment horizontal="center" vertical="center"/>
    </xf>
    <xf numFmtId="168" fontId="0" fillId="0" borderId="0" xfId="0" applyNumberFormat="1"/>
    <xf numFmtId="182" fontId="0" fillId="0" borderId="0" xfId="0" applyNumberFormat="1"/>
    <xf numFmtId="0" fontId="0" fillId="0" borderId="0" xfId="0" applyAlignment="1">
      <alignment horizontal="center" vertical="center"/>
    </xf>
    <xf numFmtId="0" fontId="0" fillId="0" borderId="0" xfId="0" applyAlignment="1">
      <alignment wrapText="1"/>
    </xf>
    <xf numFmtId="0" fontId="0" fillId="0" borderId="0" xfId="0" applyAlignment="1">
      <alignment horizontal="center" vertical="center" wrapText="1"/>
    </xf>
    <xf numFmtId="183" fontId="0" fillId="0" borderId="0" xfId="0" applyNumberFormat="1"/>
    <xf numFmtId="0" fontId="0" fillId="20" borderId="8" xfId="0" applyFill="1" applyBorder="1" applyAlignment="1">
      <alignment horizontal="center" vertical="center"/>
    </xf>
    <xf numFmtId="0" fontId="0" fillId="20" borderId="8" xfId="0" applyFill="1" applyBorder="1" applyAlignment="1">
      <alignment horizontal="center" vertical="center" wrapText="1"/>
    </xf>
    <xf numFmtId="168" fontId="4" fillId="20" borderId="75" xfId="1" applyNumberFormat="1" applyFont="1" applyFill="1" applyBorder="1" applyAlignment="1">
      <alignment horizontal="center" vertical="center" wrapText="1"/>
    </xf>
    <xf numFmtId="9" fontId="0" fillId="20" borderId="8" xfId="2" applyFont="1" applyFill="1" applyBorder="1" applyAlignment="1">
      <alignment vertical="center"/>
    </xf>
    <xf numFmtId="0" fontId="0" fillId="20" borderId="8" xfId="2" applyNumberFormat="1" applyFont="1" applyFill="1" applyBorder="1" applyAlignment="1">
      <alignment vertical="center"/>
    </xf>
    <xf numFmtId="168" fontId="4" fillId="24" borderId="75" xfId="1" applyNumberFormat="1" applyFont="1" applyFill="1" applyBorder="1" applyAlignment="1">
      <alignment horizontal="center" vertical="center" wrapText="1"/>
    </xf>
    <xf numFmtId="9" fontId="0" fillId="25" borderId="8" xfId="2" applyFont="1" applyFill="1" applyBorder="1" applyAlignment="1">
      <alignment vertical="center"/>
    </xf>
    <xf numFmtId="0" fontId="9" fillId="4" borderId="0" xfId="0" applyFont="1" applyFill="1" applyAlignment="1">
      <alignment horizontal="left" vertical="center"/>
    </xf>
    <xf numFmtId="0" fontId="9" fillId="4" borderId="0" xfId="0" applyFont="1" applyFill="1"/>
    <xf numFmtId="0" fontId="9" fillId="8" borderId="70" xfId="0" applyFont="1" applyFill="1" applyBorder="1" applyAlignment="1">
      <alignment horizontal="center" vertical="center"/>
    </xf>
    <xf numFmtId="0" fontId="9" fillId="8" borderId="69" xfId="0" applyFont="1" applyFill="1" applyBorder="1" applyAlignment="1">
      <alignment horizontal="center" vertical="center"/>
    </xf>
    <xf numFmtId="0" fontId="9" fillId="8" borderId="74" xfId="0" applyFont="1" applyFill="1" applyBorder="1" applyAlignment="1">
      <alignment horizontal="center" vertical="center"/>
    </xf>
    <xf numFmtId="0" fontId="6" fillId="4" borderId="0" xfId="0" applyFont="1" applyFill="1" applyAlignment="1">
      <alignment horizontal="center" vertical="center"/>
    </xf>
    <xf numFmtId="168" fontId="6" fillId="4" borderId="0" xfId="0" applyNumberFormat="1" applyFont="1" applyFill="1"/>
    <xf numFmtId="183" fontId="6" fillId="4" borderId="0" xfId="0" applyNumberFormat="1" applyFont="1" applyFill="1"/>
    <xf numFmtId="9" fontId="6" fillId="4" borderId="0" xfId="2" applyFont="1" applyFill="1" applyBorder="1" applyAlignment="1"/>
    <xf numFmtId="0" fontId="6" fillId="4" borderId="0" xfId="2" applyNumberFormat="1" applyFont="1" applyFill="1" applyBorder="1" applyAlignment="1"/>
    <xf numFmtId="182" fontId="6" fillId="4" borderId="0" xfId="0" applyNumberFormat="1" applyFont="1" applyFill="1"/>
    <xf numFmtId="166" fontId="9" fillId="4" borderId="0" xfId="0" applyNumberFormat="1" applyFont="1" applyFill="1" applyAlignment="1">
      <alignment horizontal="left" vertical="center"/>
    </xf>
    <xf numFmtId="9" fontId="6" fillId="8" borderId="73" xfId="0" applyNumberFormat="1" applyFont="1" applyFill="1" applyBorder="1" applyAlignment="1">
      <alignment horizontal="center" vertical="center"/>
    </xf>
    <xf numFmtId="9" fontId="6" fillId="8" borderId="72" xfId="0" applyNumberFormat="1" applyFont="1" applyFill="1" applyBorder="1" applyAlignment="1">
      <alignment horizontal="center" vertical="center"/>
    </xf>
    <xf numFmtId="9" fontId="6" fillId="8" borderId="38" xfId="0" applyNumberFormat="1" applyFont="1" applyFill="1" applyBorder="1" applyAlignment="1">
      <alignment horizontal="center" vertical="center"/>
    </xf>
    <xf numFmtId="0" fontId="9" fillId="8" borderId="61" xfId="0" applyFont="1" applyFill="1" applyBorder="1" applyAlignment="1">
      <alignment horizontal="center"/>
    </xf>
    <xf numFmtId="0" fontId="9" fillId="8" borderId="60" xfId="0" applyFont="1" applyFill="1" applyBorder="1" applyAlignment="1">
      <alignment horizontal="center"/>
    </xf>
    <xf numFmtId="0" fontId="9" fillId="8" borderId="42" xfId="0" applyFont="1" applyFill="1" applyBorder="1" applyAlignment="1">
      <alignment horizontal="center"/>
    </xf>
    <xf numFmtId="0" fontId="9" fillId="8" borderId="41" xfId="0" applyFont="1" applyFill="1" applyBorder="1" applyAlignment="1">
      <alignment horizontal="center" vertical="center"/>
    </xf>
    <xf numFmtId="0" fontId="9" fillId="8" borderId="37" xfId="0" applyFont="1" applyFill="1" applyBorder="1" applyAlignment="1">
      <alignment horizontal="center" vertical="center"/>
    </xf>
    <xf numFmtId="0" fontId="4" fillId="0" borderId="57"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56" xfId="0" applyFont="1" applyBorder="1" applyAlignment="1">
      <alignment horizontal="center" vertical="center" wrapText="1"/>
    </xf>
    <xf numFmtId="0" fontId="9" fillId="8" borderId="36" xfId="0" applyFont="1" applyFill="1" applyBorder="1" applyAlignment="1">
      <alignment horizontal="center" vertical="center"/>
    </xf>
    <xf numFmtId="0" fontId="4" fillId="0" borderId="54"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2" xfId="0" applyFont="1" applyBorder="1" applyAlignment="1">
      <alignment horizontal="center" vertical="center" wrapText="1"/>
    </xf>
    <xf numFmtId="0" fontId="9" fillId="0" borderId="47" xfId="0" applyFont="1" applyBorder="1" applyAlignment="1">
      <alignment horizontal="center" vertical="top" wrapText="1"/>
    </xf>
    <xf numFmtId="0" fontId="6" fillId="0" borderId="47" xfId="0" applyFont="1" applyBorder="1" applyAlignment="1">
      <alignment horizontal="center" vertical="top" wrapText="1"/>
    </xf>
    <xf numFmtId="0" fontId="6" fillId="0" borderId="47" xfId="0" applyFont="1" applyBorder="1" applyAlignment="1">
      <alignment horizontal="left" vertical="top" wrapText="1" indent="1"/>
    </xf>
    <xf numFmtId="0" fontId="33" fillId="0" borderId="47" xfId="0" applyFont="1" applyBorder="1" applyAlignment="1">
      <alignment horizontal="center" vertical="center" wrapText="1"/>
    </xf>
    <xf numFmtId="0" fontId="0" fillId="0" borderId="47" xfId="0" applyBorder="1" applyAlignment="1">
      <alignment horizontal="center" vertical="center" wrapText="1"/>
    </xf>
    <xf numFmtId="168" fontId="0" fillId="0" borderId="47" xfId="1" applyNumberFormat="1" applyFont="1" applyFill="1" applyBorder="1" applyAlignment="1">
      <alignment horizontal="center" vertical="center" wrapText="1"/>
    </xf>
    <xf numFmtId="184" fontId="0" fillId="0" borderId="47" xfId="1" applyNumberFormat="1" applyFont="1" applyFill="1" applyBorder="1" applyAlignment="1">
      <alignment horizontal="center" vertical="center" wrapText="1"/>
    </xf>
    <xf numFmtId="9" fontId="0" fillId="0" borderId="47" xfId="2" applyFont="1" applyFill="1" applyBorder="1" applyAlignment="1">
      <alignment horizontal="center" vertical="center" wrapText="1"/>
    </xf>
    <xf numFmtId="0" fontId="0" fillId="0" borderId="47" xfId="2" applyNumberFormat="1" applyFont="1" applyFill="1" applyBorder="1" applyAlignment="1">
      <alignment horizontal="center" vertical="center" wrapText="1"/>
    </xf>
    <xf numFmtId="168" fontId="0" fillId="0" borderId="47" xfId="2" applyNumberFormat="1" applyFont="1" applyFill="1" applyBorder="1" applyAlignment="1">
      <alignment horizontal="center" vertical="center" wrapText="1"/>
    </xf>
    <xf numFmtId="184" fontId="0" fillId="0" borderId="47" xfId="2" applyNumberFormat="1" applyFont="1" applyFill="1" applyBorder="1" applyAlignment="1">
      <alignment horizontal="center" vertical="center" wrapText="1"/>
    </xf>
    <xf numFmtId="0" fontId="33" fillId="0" borderId="47" xfId="0" applyFont="1" applyBorder="1" applyAlignment="1">
      <alignment horizontal="left" vertical="top" wrapText="1" indent="1"/>
    </xf>
    <xf numFmtId="0" fontId="0" fillId="0" borderId="47" xfId="0" applyBorder="1" applyAlignment="1">
      <alignment horizontal="left" vertical="top" wrapText="1" indent="1"/>
    </xf>
    <xf numFmtId="168" fontId="0" fillId="8" borderId="47" xfId="1" applyNumberFormat="1" applyFont="1" applyFill="1" applyBorder="1" applyAlignment="1">
      <alignment horizontal="center" vertical="center" wrapText="1"/>
    </xf>
    <xf numFmtId="168" fontId="6" fillId="0" borderId="0" xfId="0" applyNumberFormat="1" applyFont="1"/>
    <xf numFmtId="183" fontId="6" fillId="0" borderId="0" xfId="0" applyNumberFormat="1" applyFont="1"/>
    <xf numFmtId="9" fontId="6" fillId="0" borderId="0" xfId="2" applyFont="1" applyBorder="1" applyAlignment="1"/>
    <xf numFmtId="0" fontId="6" fillId="0" borderId="0" xfId="2" applyNumberFormat="1" applyFont="1" applyBorder="1" applyAlignment="1"/>
    <xf numFmtId="182" fontId="6" fillId="0" borderId="0" xfId="0" applyNumberFormat="1" applyFont="1"/>
    <xf numFmtId="0" fontId="9" fillId="0" borderId="0" xfId="0" applyFont="1"/>
    <xf numFmtId="0" fontId="4" fillId="20" borderId="8" xfId="0" applyFont="1" applyFill="1" applyBorder="1" applyAlignment="1">
      <alignment horizontal="right" vertical="center"/>
    </xf>
    <xf numFmtId="0" fontId="8" fillId="20" borderId="8" xfId="0" applyFont="1" applyFill="1" applyBorder="1" applyAlignment="1">
      <alignment vertical="center"/>
    </xf>
    <xf numFmtId="181" fontId="4" fillId="24" borderId="75" xfId="0" applyNumberFormat="1" applyFont="1" applyFill="1" applyBorder="1" applyAlignment="1">
      <alignment horizontal="center" vertical="center"/>
    </xf>
    <xf numFmtId="184" fontId="4" fillId="20" borderId="75" xfId="0" applyNumberFormat="1" applyFont="1" applyFill="1" applyBorder="1" applyAlignment="1">
      <alignment horizontal="center" vertical="center"/>
    </xf>
    <xf numFmtId="0" fontId="6" fillId="0" borderId="67" xfId="0" applyFont="1" applyBorder="1" applyAlignment="1">
      <alignment horizontal="left" vertical="center" wrapText="1" indent="1"/>
    </xf>
    <xf numFmtId="0" fontId="6" fillId="0" borderId="27" xfId="0" applyFont="1" applyBorder="1" applyAlignment="1">
      <alignment horizontal="left" vertical="center" wrapText="1" indent="1"/>
    </xf>
    <xf numFmtId="0" fontId="35" fillId="0" borderId="76" xfId="0" applyFont="1" applyBorder="1" applyAlignment="1">
      <alignment horizontal="center" vertical="center" wrapText="1"/>
    </xf>
    <xf numFmtId="9" fontId="0" fillId="0" borderId="0" xfId="0" applyNumberFormat="1" applyAlignment="1">
      <alignment horizontal="center"/>
    </xf>
    <xf numFmtId="3" fontId="0" fillId="0" borderId="0" xfId="0" applyNumberFormat="1"/>
    <xf numFmtId="4" fontId="0" fillId="0" borderId="0" xfId="0" applyNumberFormat="1"/>
    <xf numFmtId="186" fontId="0" fillId="0" borderId="0" xfId="0" applyNumberFormat="1"/>
    <xf numFmtId="9" fontId="0" fillId="0" borderId="0" xfId="0" applyNumberFormat="1"/>
    <xf numFmtId="168" fontId="9" fillId="27" borderId="8" xfId="0" applyNumberFormat="1" applyFont="1" applyFill="1" applyBorder="1" applyAlignment="1">
      <alignment horizontal="center"/>
    </xf>
    <xf numFmtId="168" fontId="9" fillId="27" borderId="19" xfId="0" applyNumberFormat="1" applyFont="1" applyFill="1" applyBorder="1" applyAlignment="1">
      <alignment horizontal="center"/>
    </xf>
    <xf numFmtId="168" fontId="9" fillId="21" borderId="47" xfId="0" applyNumberFormat="1" applyFont="1" applyFill="1" applyBorder="1" applyAlignment="1">
      <alignment horizontal="right"/>
    </xf>
    <xf numFmtId="168" fontId="9" fillId="27" borderId="0" xfId="0" applyNumberFormat="1" applyFont="1" applyFill="1" applyAlignment="1">
      <alignment horizontal="center"/>
    </xf>
    <xf numFmtId="9" fontId="9" fillId="27" borderId="12" xfId="2" applyFont="1" applyFill="1" applyBorder="1" applyAlignment="1">
      <alignment horizontal="center"/>
    </xf>
    <xf numFmtId="173" fontId="9" fillId="21" borderId="47" xfId="0" applyNumberFormat="1" applyFont="1" applyFill="1" applyBorder="1" applyAlignment="1">
      <alignment horizontal="right"/>
    </xf>
    <xf numFmtId="168" fontId="9" fillId="27" borderId="24" xfId="0" applyNumberFormat="1" applyFont="1" applyFill="1" applyBorder="1" applyAlignment="1">
      <alignment horizontal="center"/>
    </xf>
    <xf numFmtId="168" fontId="9" fillId="27" borderId="38" xfId="0" applyNumberFormat="1" applyFont="1" applyFill="1" applyBorder="1" applyAlignment="1">
      <alignment horizontal="center"/>
    </xf>
    <xf numFmtId="14" fontId="9" fillId="0" borderId="0" xfId="0" applyNumberFormat="1" applyFont="1" applyAlignment="1">
      <alignment horizontal="center"/>
    </xf>
    <xf numFmtId="0" fontId="9" fillId="0" borderId="27" xfId="0" applyFont="1" applyBorder="1" applyAlignment="1">
      <alignment horizontal="center"/>
    </xf>
    <xf numFmtId="0" fontId="9" fillId="0" borderId="0" xfId="0" applyFont="1" applyAlignment="1">
      <alignment vertical="center"/>
    </xf>
    <xf numFmtId="0" fontId="37" fillId="0" borderId="0" xfId="0" applyFont="1"/>
    <xf numFmtId="3" fontId="37" fillId="0" borderId="0" xfId="0" applyNumberFormat="1" applyFont="1"/>
    <xf numFmtId="9" fontId="6" fillId="0" borderId="54" xfId="0" applyNumberFormat="1" applyFont="1" applyBorder="1" applyAlignment="1">
      <alignment horizontal="center" vertical="center"/>
    </xf>
    <xf numFmtId="0" fontId="9" fillId="0" borderId="0" xfId="0" applyFont="1" applyAlignment="1">
      <alignment horizontal="center" vertical="center"/>
    </xf>
    <xf numFmtId="3" fontId="9" fillId="0" borderId="0" xfId="0" applyNumberFormat="1" applyFont="1" applyAlignment="1">
      <alignment horizontal="center" vertical="center"/>
    </xf>
    <xf numFmtId="0" fontId="9" fillId="0" borderId="25" xfId="0" applyFont="1" applyBorder="1" applyAlignment="1">
      <alignment horizontal="center" vertical="center" wrapText="1"/>
    </xf>
    <xf numFmtId="0" fontId="9" fillId="0" borderId="11" xfId="0" applyFont="1" applyBorder="1" applyAlignment="1">
      <alignment horizontal="center" vertical="center" wrapText="1"/>
    </xf>
    <xf numFmtId="0" fontId="9" fillId="26" borderId="11" xfId="0" applyFont="1" applyFill="1" applyBorder="1" applyAlignment="1">
      <alignment horizontal="center" vertical="center" wrapText="1"/>
    </xf>
    <xf numFmtId="9" fontId="9" fillId="0" borderId="25" xfId="0" applyNumberFormat="1" applyFont="1" applyBorder="1" applyAlignment="1">
      <alignment horizontal="center" vertical="center" wrapText="1"/>
    </xf>
    <xf numFmtId="9" fontId="6" fillId="0" borderId="76" xfId="0" applyNumberFormat="1" applyFont="1" applyBorder="1" applyAlignment="1">
      <alignment horizontal="center"/>
    </xf>
    <xf numFmtId="168" fontId="6" fillId="0" borderId="76" xfId="0" applyNumberFormat="1" applyFont="1" applyBorder="1" applyAlignment="1">
      <alignment horizontal="center" wrapText="1"/>
    </xf>
    <xf numFmtId="168" fontId="6" fillId="22" borderId="41" xfId="0" applyNumberFormat="1" applyFont="1" applyFill="1" applyBorder="1" applyAlignment="1">
      <alignment horizontal="center" wrapText="1"/>
    </xf>
    <xf numFmtId="168" fontId="6" fillId="26" borderId="18" xfId="0" applyNumberFormat="1" applyFont="1" applyFill="1" applyBorder="1" applyAlignment="1">
      <alignment horizontal="center" wrapText="1"/>
    </xf>
    <xf numFmtId="168" fontId="9" fillId="0" borderId="76" xfId="0" applyNumberFormat="1" applyFont="1" applyBorder="1" applyAlignment="1">
      <alignment horizontal="center" wrapText="1"/>
    </xf>
    <xf numFmtId="9" fontId="9" fillId="0" borderId="45" xfId="0" applyNumberFormat="1" applyFont="1" applyBorder="1" applyAlignment="1">
      <alignment horizontal="center" wrapText="1"/>
    </xf>
    <xf numFmtId="9" fontId="6" fillId="0" borderId="67" xfId="0" applyNumberFormat="1" applyFont="1" applyBorder="1" applyAlignment="1">
      <alignment horizontal="center"/>
    </xf>
    <xf numFmtId="168" fontId="6" fillId="22" borderId="46" xfId="0" applyNumberFormat="1" applyFont="1" applyFill="1" applyBorder="1" applyAlignment="1">
      <alignment horizontal="center" wrapText="1"/>
    </xf>
    <xf numFmtId="9" fontId="9" fillId="0" borderId="67" xfId="0" applyNumberFormat="1" applyFont="1" applyBorder="1" applyAlignment="1">
      <alignment horizontal="center"/>
    </xf>
    <xf numFmtId="9" fontId="6" fillId="0" borderId="64" xfId="0" applyNumberFormat="1" applyFont="1" applyBorder="1" applyAlignment="1">
      <alignment horizontal="center"/>
    </xf>
    <xf numFmtId="168" fontId="6" fillId="0" borderId="55" xfId="0" applyNumberFormat="1" applyFont="1" applyBorder="1" applyAlignment="1">
      <alignment horizontal="center" wrapText="1"/>
    </xf>
    <xf numFmtId="168" fontId="6" fillId="22" borderId="36" xfId="0" applyNumberFormat="1" applyFont="1" applyFill="1" applyBorder="1" applyAlignment="1">
      <alignment horizontal="center" wrapText="1"/>
    </xf>
    <xf numFmtId="168" fontId="6" fillId="26" borderId="26" xfId="0" applyNumberFormat="1" applyFont="1" applyFill="1" applyBorder="1" applyAlignment="1">
      <alignment horizontal="center" wrapText="1"/>
    </xf>
    <xf numFmtId="168" fontId="9" fillId="0" borderId="55" xfId="0" applyNumberFormat="1" applyFont="1" applyBorder="1" applyAlignment="1">
      <alignment horizontal="center" wrapText="1"/>
    </xf>
    <xf numFmtId="9" fontId="9" fillId="0" borderId="34" xfId="0" applyNumberFormat="1" applyFont="1" applyBorder="1" applyAlignment="1">
      <alignment horizontal="center" wrapText="1"/>
    </xf>
    <xf numFmtId="168" fontId="9" fillId="0" borderId="0" xfId="0" applyNumberFormat="1" applyFont="1" applyAlignment="1">
      <alignment horizontal="center" vertical="center"/>
    </xf>
    <xf numFmtId="9" fontId="6" fillId="0" borderId="0" xfId="0" applyNumberFormat="1" applyFont="1" applyAlignment="1">
      <alignment vertical="center"/>
    </xf>
    <xf numFmtId="9" fontId="6" fillId="0" borderId="76" xfId="0" applyNumberFormat="1" applyFont="1" applyBorder="1" applyAlignment="1">
      <alignment horizontal="center" vertical="center"/>
    </xf>
    <xf numFmtId="173" fontId="6" fillId="0" borderId="76" xfId="0" applyNumberFormat="1" applyFont="1" applyBorder="1" applyAlignment="1">
      <alignment horizontal="center" vertical="center" wrapText="1"/>
    </xf>
    <xf numFmtId="173" fontId="6" fillId="22" borderId="41" xfId="0" applyNumberFormat="1" applyFont="1" applyFill="1" applyBorder="1" applyAlignment="1">
      <alignment horizontal="center" vertical="center" wrapText="1"/>
    </xf>
    <xf numFmtId="173" fontId="6" fillId="26" borderId="18" xfId="0" applyNumberFormat="1" applyFont="1" applyFill="1" applyBorder="1" applyAlignment="1">
      <alignment horizontal="center" vertical="center" wrapText="1"/>
    </xf>
    <xf numFmtId="173" fontId="9" fillId="0" borderId="76" xfId="0" applyNumberFormat="1" applyFont="1" applyBorder="1" applyAlignment="1">
      <alignment horizontal="center" vertical="center" wrapText="1"/>
    </xf>
    <xf numFmtId="9" fontId="9" fillId="0" borderId="16" xfId="0" applyNumberFormat="1" applyFont="1" applyBorder="1" applyAlignment="1">
      <alignment horizontal="center" vertical="center" wrapText="1"/>
    </xf>
    <xf numFmtId="9" fontId="6" fillId="0" borderId="67" xfId="0" applyNumberFormat="1" applyFont="1" applyBorder="1" applyAlignment="1">
      <alignment horizontal="center" vertical="center"/>
    </xf>
    <xf numFmtId="173" fontId="6" fillId="22" borderId="46" xfId="0" applyNumberFormat="1" applyFont="1" applyFill="1" applyBorder="1" applyAlignment="1">
      <alignment horizontal="center" vertical="center" wrapText="1"/>
    </xf>
    <xf numFmtId="173" fontId="6" fillId="26" borderId="46" xfId="0" applyNumberFormat="1" applyFont="1" applyFill="1" applyBorder="1" applyAlignment="1">
      <alignment horizontal="center" vertical="center" wrapText="1"/>
    </xf>
    <xf numFmtId="173" fontId="9" fillId="0" borderId="67" xfId="0" applyNumberFormat="1" applyFont="1" applyBorder="1" applyAlignment="1">
      <alignment horizontal="center" vertical="center" wrapText="1"/>
    </xf>
    <xf numFmtId="9" fontId="9" fillId="0" borderId="45" xfId="0" applyNumberFormat="1" applyFont="1" applyBorder="1" applyAlignment="1">
      <alignment horizontal="center" vertical="center" wrapText="1"/>
    </xf>
    <xf numFmtId="9" fontId="6" fillId="0" borderId="64" xfId="0" applyNumberFormat="1" applyFont="1" applyBorder="1" applyAlignment="1">
      <alignment horizontal="center" vertical="center"/>
    </xf>
    <xf numFmtId="173" fontId="6" fillId="0" borderId="55" xfId="0" applyNumberFormat="1" applyFont="1" applyBorder="1" applyAlignment="1">
      <alignment horizontal="center" vertical="center" wrapText="1"/>
    </xf>
    <xf numFmtId="173" fontId="6" fillId="22" borderId="36" xfId="0" applyNumberFormat="1" applyFont="1" applyFill="1" applyBorder="1" applyAlignment="1">
      <alignment horizontal="center" vertical="center" wrapText="1"/>
    </xf>
    <xf numFmtId="173" fontId="6" fillId="26" borderId="36" xfId="0" applyNumberFormat="1" applyFont="1" applyFill="1" applyBorder="1" applyAlignment="1">
      <alignment horizontal="center" vertical="center" wrapText="1"/>
    </xf>
    <xf numFmtId="173" fontId="9" fillId="0" borderId="64" xfId="0" applyNumberFormat="1" applyFont="1" applyBorder="1" applyAlignment="1">
      <alignment horizontal="center" vertical="center" wrapText="1"/>
    </xf>
    <xf numFmtId="9" fontId="9" fillId="0" borderId="34" xfId="0" applyNumberFormat="1" applyFont="1" applyBorder="1" applyAlignment="1">
      <alignment horizontal="center" vertical="center" wrapText="1"/>
    </xf>
    <xf numFmtId="168" fontId="6" fillId="0" borderId="53" xfId="0" applyNumberFormat="1" applyFont="1" applyBorder="1" applyAlignment="1">
      <alignment horizontal="right" vertical="center" indent="1"/>
    </xf>
    <xf numFmtId="173" fontId="6" fillId="0" borderId="53" xfId="0" applyNumberFormat="1" applyFont="1" applyBorder="1" applyAlignment="1">
      <alignment horizontal="right" vertical="center" indent="1"/>
    </xf>
    <xf numFmtId="168" fontId="9" fillId="29" borderId="8" xfId="0" applyNumberFormat="1" applyFont="1" applyFill="1" applyBorder="1" applyAlignment="1">
      <alignment horizontal="center"/>
    </xf>
    <xf numFmtId="168" fontId="9" fillId="29" borderId="19" xfId="0" applyNumberFormat="1" applyFont="1" applyFill="1" applyBorder="1" applyAlignment="1">
      <alignment horizontal="center"/>
    </xf>
    <xf numFmtId="168" fontId="9" fillId="29" borderId="0" xfId="0" applyNumberFormat="1" applyFont="1" applyFill="1" applyAlignment="1">
      <alignment horizontal="center"/>
    </xf>
    <xf numFmtId="9" fontId="9" fillId="29" borderId="12" xfId="2" applyFont="1" applyFill="1" applyBorder="1" applyAlignment="1">
      <alignment horizontal="center"/>
    </xf>
    <xf numFmtId="168" fontId="9" fillId="29" borderId="24" xfId="0" applyNumberFormat="1" applyFont="1" applyFill="1" applyBorder="1" applyAlignment="1">
      <alignment horizontal="center"/>
    </xf>
    <xf numFmtId="168" fontId="9" fillId="29" borderId="38" xfId="0" applyNumberFormat="1" applyFont="1" applyFill="1" applyBorder="1" applyAlignment="1">
      <alignment horizontal="center"/>
    </xf>
    <xf numFmtId="180" fontId="9" fillId="7" borderId="8" xfId="0" applyNumberFormat="1" applyFont="1" applyFill="1" applyBorder="1" applyAlignment="1">
      <alignment horizontal="center"/>
    </xf>
    <xf numFmtId="173" fontId="9" fillId="7" borderId="19" xfId="0" applyNumberFormat="1" applyFont="1" applyFill="1" applyBorder="1" applyAlignment="1">
      <alignment horizontal="center"/>
    </xf>
    <xf numFmtId="180" fontId="9" fillId="7" borderId="0" xfId="0" applyNumberFormat="1" applyFont="1" applyFill="1" applyAlignment="1">
      <alignment horizontal="center"/>
    </xf>
    <xf numFmtId="173" fontId="9" fillId="7" borderId="12" xfId="0" applyNumberFormat="1" applyFont="1" applyFill="1" applyBorder="1" applyAlignment="1">
      <alignment horizontal="center"/>
    </xf>
    <xf numFmtId="173" fontId="9" fillId="7" borderId="0" xfId="0" applyNumberFormat="1" applyFont="1" applyFill="1" applyAlignment="1">
      <alignment horizontal="center"/>
    </xf>
    <xf numFmtId="9" fontId="9" fillId="7" borderId="12" xfId="2" applyFont="1" applyFill="1" applyBorder="1" applyAlignment="1">
      <alignment horizontal="center"/>
    </xf>
    <xf numFmtId="180" fontId="9" fillId="7" borderId="24" xfId="0" applyNumberFormat="1" applyFont="1" applyFill="1" applyBorder="1" applyAlignment="1">
      <alignment horizontal="center"/>
    </xf>
    <xf numFmtId="173" fontId="9" fillId="7" borderId="38" xfId="0" applyNumberFormat="1" applyFont="1" applyFill="1" applyBorder="1" applyAlignment="1">
      <alignment horizontal="center"/>
    </xf>
    <xf numFmtId="9" fontId="0" fillId="0" borderId="0" xfId="2" applyFont="1"/>
    <xf numFmtId="0" fontId="9" fillId="0" borderId="13" xfId="0" applyFont="1" applyBorder="1"/>
    <xf numFmtId="0" fontId="0" fillId="0" borderId="24" xfId="0" applyBorder="1"/>
    <xf numFmtId="0" fontId="0" fillId="0" borderId="38" xfId="0" applyBorder="1"/>
    <xf numFmtId="0" fontId="6" fillId="0" borderId="0" xfId="0" applyFont="1" applyAlignment="1">
      <alignment horizontal="left"/>
    </xf>
    <xf numFmtId="0" fontId="10" fillId="0" borderId="0" xfId="0" applyFont="1" applyAlignment="1">
      <alignment horizontal="center" vertical="center"/>
    </xf>
    <xf numFmtId="9" fontId="6" fillId="0" borderId="0" xfId="0" applyNumberFormat="1" applyFont="1"/>
    <xf numFmtId="0" fontId="31" fillId="18" borderId="80" xfId="3" applyFont="1" applyBorder="1" applyAlignment="1">
      <alignment horizontal="center" vertical="center"/>
    </xf>
    <xf numFmtId="0" fontId="9" fillId="0" borderId="79" xfId="0" applyFont="1" applyBorder="1" applyAlignment="1">
      <alignment vertical="top" wrapText="1"/>
    </xf>
    <xf numFmtId="0" fontId="9" fillId="0" borderId="0" xfId="0" applyFont="1" applyAlignment="1">
      <alignment vertical="top" wrapText="1"/>
    </xf>
    <xf numFmtId="178" fontId="6" fillId="0" borderId="0" xfId="0" applyNumberFormat="1" applyFont="1"/>
    <xf numFmtId="184" fontId="6" fillId="0" borderId="0" xfId="0" applyNumberFormat="1" applyFont="1"/>
    <xf numFmtId="178" fontId="3" fillId="14" borderId="11" xfId="0" applyNumberFormat="1" applyFont="1" applyFill="1" applyBorder="1" applyAlignment="1">
      <alignment horizontal="center" vertical="center" wrapText="1"/>
    </xf>
    <xf numFmtId="178" fontId="3" fillId="14" borderId="10" xfId="0" applyNumberFormat="1" applyFont="1" applyFill="1" applyBorder="1" applyAlignment="1">
      <alignment horizontal="center" vertical="center" wrapText="1"/>
    </xf>
    <xf numFmtId="178" fontId="3" fillId="14" borderId="9" xfId="0" applyNumberFormat="1" applyFont="1" applyFill="1" applyBorder="1" applyAlignment="1">
      <alignment horizontal="center" vertical="center" wrapText="1"/>
    </xf>
    <xf numFmtId="0" fontId="6" fillId="0" borderId="13" xfId="0" applyFont="1" applyBorder="1" applyAlignment="1">
      <alignment horizontal="center"/>
    </xf>
    <xf numFmtId="178" fontId="6" fillId="0" borderId="12" xfId="0" applyNumberFormat="1" applyFont="1" applyBorder="1" applyAlignment="1">
      <alignment horizontal="right"/>
    </xf>
    <xf numFmtId="0" fontId="6" fillId="0" borderId="26" xfId="0" applyFont="1" applyBorder="1" applyAlignment="1">
      <alignment horizontal="center"/>
    </xf>
    <xf numFmtId="0" fontId="6" fillId="0" borderId="24" xfId="0" applyFont="1" applyBorder="1" applyAlignment="1">
      <alignment horizontal="center"/>
    </xf>
    <xf numFmtId="0" fontId="6" fillId="0" borderId="24" xfId="0" applyFont="1" applyBorder="1"/>
    <xf numFmtId="178" fontId="6" fillId="0" borderId="24" xfId="0" applyNumberFormat="1" applyFont="1" applyBorder="1"/>
    <xf numFmtId="178" fontId="6" fillId="0" borderId="38" xfId="0" applyNumberFormat="1" applyFont="1" applyBorder="1"/>
    <xf numFmtId="184" fontId="6" fillId="0" borderId="12" xfId="0" applyNumberFormat="1" applyFont="1" applyBorder="1" applyAlignment="1">
      <alignment horizontal="right"/>
    </xf>
    <xf numFmtId="184" fontId="6" fillId="0" borderId="24" xfId="0" applyNumberFormat="1" applyFont="1" applyBorder="1"/>
    <xf numFmtId="0" fontId="0" fillId="16" borderId="0" xfId="0" applyFill="1"/>
    <xf numFmtId="0" fontId="0" fillId="31" borderId="0" xfId="0" applyFill="1"/>
    <xf numFmtId="0" fontId="0" fillId="31" borderId="0" xfId="0" applyFill="1" applyAlignment="1">
      <alignment horizontal="center" vertical="center"/>
    </xf>
    <xf numFmtId="0" fontId="11" fillId="31" borderId="0" xfId="0" applyFont="1" applyFill="1"/>
    <xf numFmtId="0" fontId="11" fillId="16" borderId="0" xfId="0" applyFont="1" applyFill="1"/>
    <xf numFmtId="0" fontId="9" fillId="31" borderId="0" xfId="0" applyFont="1" applyFill="1"/>
    <xf numFmtId="0" fontId="6" fillId="16" borderId="0" xfId="0" applyFont="1" applyFill="1" applyAlignment="1">
      <alignment horizontal="left" vertical="top"/>
    </xf>
    <xf numFmtId="0" fontId="9" fillId="31" borderId="0" xfId="0" applyFont="1" applyFill="1" applyAlignment="1">
      <alignment horizontal="left" vertical="top"/>
    </xf>
    <xf numFmtId="0" fontId="6" fillId="31" borderId="0" xfId="0" applyFont="1" applyFill="1" applyAlignment="1">
      <alignment horizontal="right" vertical="center" indent="1"/>
    </xf>
    <xf numFmtId="0" fontId="6" fillId="31" borderId="0" xfId="0" applyFont="1" applyFill="1"/>
    <xf numFmtId="0" fontId="9" fillId="16" borderId="0" xfId="0" applyFont="1" applyFill="1"/>
    <xf numFmtId="0" fontId="10" fillId="0" borderId="0" xfId="0" applyFont="1"/>
    <xf numFmtId="0" fontId="6" fillId="8" borderId="54" xfId="0" applyFont="1" applyFill="1" applyBorder="1" applyAlignment="1">
      <alignment horizontal="center" vertical="top"/>
    </xf>
    <xf numFmtId="9" fontId="9" fillId="32" borderId="13" xfId="0" applyNumberFormat="1" applyFont="1" applyFill="1" applyBorder="1"/>
    <xf numFmtId="9" fontId="9" fillId="32" borderId="0" xfId="0" applyNumberFormat="1" applyFont="1" applyFill="1"/>
    <xf numFmtId="9" fontId="9" fillId="32" borderId="0" xfId="0" applyNumberFormat="1" applyFont="1" applyFill="1" applyAlignment="1">
      <alignment horizontal="right"/>
    </xf>
    <xf numFmtId="180" fontId="9" fillId="32" borderId="8" xfId="0" applyNumberFormat="1" applyFont="1" applyFill="1" applyBorder="1" applyAlignment="1">
      <alignment horizontal="center"/>
    </xf>
    <xf numFmtId="9" fontId="6" fillId="32" borderId="0" xfId="0" applyNumberFormat="1" applyFont="1" applyFill="1"/>
    <xf numFmtId="180" fontId="9" fillId="32" borderId="0" xfId="0" applyNumberFormat="1" applyFont="1" applyFill="1" applyAlignment="1">
      <alignment horizontal="center"/>
    </xf>
    <xf numFmtId="173" fontId="9" fillId="32" borderId="0" xfId="0" applyNumberFormat="1" applyFont="1" applyFill="1" applyAlignment="1">
      <alignment horizontal="center"/>
    </xf>
    <xf numFmtId="180" fontId="9" fillId="32" borderId="24" xfId="0" applyNumberFormat="1" applyFont="1" applyFill="1" applyBorder="1" applyAlignment="1">
      <alignment horizontal="center"/>
    </xf>
    <xf numFmtId="9" fontId="9" fillId="29" borderId="13" xfId="0" applyNumberFormat="1" applyFont="1" applyFill="1" applyBorder="1"/>
    <xf numFmtId="9" fontId="9" fillId="29" borderId="0" xfId="0" applyNumberFormat="1" applyFont="1" applyFill="1"/>
    <xf numFmtId="9" fontId="9" fillId="29" borderId="0" xfId="0" applyNumberFormat="1" applyFont="1" applyFill="1" applyAlignment="1">
      <alignment horizontal="right"/>
    </xf>
    <xf numFmtId="0" fontId="16" fillId="31" borderId="0" xfId="0" applyFont="1" applyFill="1"/>
    <xf numFmtId="0" fontId="38" fillId="31" borderId="0" xfId="0" applyFont="1" applyFill="1"/>
    <xf numFmtId="0" fontId="11" fillId="31" borderId="0" xfId="0" applyFont="1" applyFill="1" applyAlignment="1">
      <alignment horizontal="left" vertical="top"/>
    </xf>
    <xf numFmtId="0" fontId="16" fillId="16" borderId="0" xfId="0" applyFont="1" applyFill="1"/>
    <xf numFmtId="0" fontId="4" fillId="0" borderId="44" xfId="0" applyFont="1" applyBorder="1" applyAlignment="1">
      <alignment horizontal="center" vertical="center" wrapText="1"/>
    </xf>
    <xf numFmtId="0" fontId="24" fillId="8" borderId="53" xfId="0" applyFont="1" applyFill="1" applyBorder="1" applyAlignment="1">
      <alignment horizontal="left" vertical="top" wrapText="1" indent="1"/>
    </xf>
    <xf numFmtId="0" fontId="0" fillId="4" borderId="0" xfId="0" applyFill="1"/>
    <xf numFmtId="0" fontId="0" fillId="4" borderId="54" xfId="0" applyFill="1" applyBorder="1" applyAlignment="1">
      <alignment horizontal="center"/>
    </xf>
    <xf numFmtId="0" fontId="0" fillId="4" borderId="53" xfId="0" applyFill="1" applyBorder="1" applyAlignment="1">
      <alignment horizontal="center"/>
    </xf>
    <xf numFmtId="0" fontId="0" fillId="4" borderId="52" xfId="0" applyFill="1" applyBorder="1" applyAlignment="1">
      <alignment horizontal="center"/>
    </xf>
    <xf numFmtId="0" fontId="6" fillId="4" borderId="0" xfId="0" applyFont="1" applyFill="1" applyAlignment="1">
      <alignment horizontal="center"/>
    </xf>
    <xf numFmtId="0" fontId="4" fillId="22" borderId="82" xfId="0" applyFont="1" applyFill="1" applyBorder="1" applyAlignment="1">
      <alignment horizontal="center" vertical="center" wrapText="1"/>
    </xf>
    <xf numFmtId="0" fontId="25" fillId="0" borderId="71" xfId="0" applyFont="1" applyBorder="1" applyAlignment="1">
      <alignment horizontal="left" vertical="top" wrapText="1"/>
    </xf>
    <xf numFmtId="0" fontId="25" fillId="0" borderId="84" xfId="0" applyFont="1" applyBorder="1" applyAlignment="1">
      <alignment horizontal="left" vertical="top" wrapText="1"/>
    </xf>
    <xf numFmtId="0" fontId="25" fillId="0" borderId="64" xfId="0" applyFont="1" applyBorder="1" applyAlignment="1">
      <alignment horizontal="left" vertical="top" wrapText="1"/>
    </xf>
    <xf numFmtId="3" fontId="39" fillId="0" borderId="0" xfId="0" applyNumberFormat="1" applyFont="1"/>
    <xf numFmtId="0" fontId="0" fillId="16" borderId="0" xfId="0" applyFill="1" applyAlignment="1">
      <alignment horizontal="center"/>
    </xf>
    <xf numFmtId="9" fontId="0" fillId="16" borderId="0" xfId="0" applyNumberFormat="1" applyFill="1" applyAlignment="1">
      <alignment horizontal="center"/>
    </xf>
    <xf numFmtId="9" fontId="9" fillId="16" borderId="0" xfId="0" applyNumberFormat="1" applyFont="1" applyFill="1" applyAlignment="1">
      <alignment horizontal="right"/>
    </xf>
    <xf numFmtId="168" fontId="9" fillId="16" borderId="0" xfId="0" applyNumberFormat="1" applyFont="1" applyFill="1" applyAlignment="1">
      <alignment horizontal="center"/>
    </xf>
    <xf numFmtId="0" fontId="9" fillId="16" borderId="0" xfId="0" applyFont="1" applyFill="1" applyAlignment="1">
      <alignment horizontal="center"/>
    </xf>
    <xf numFmtId="0" fontId="0" fillId="16" borderId="0" xfId="0" applyFill="1" applyAlignment="1">
      <alignment horizontal="left"/>
    </xf>
    <xf numFmtId="188" fontId="9" fillId="16" borderId="0" xfId="0" applyNumberFormat="1" applyFont="1" applyFill="1" applyAlignment="1">
      <alignment horizontal="center"/>
    </xf>
    <xf numFmtId="9" fontId="9" fillId="16" borderId="0" xfId="2" applyFont="1" applyFill="1" applyBorder="1" applyAlignment="1">
      <alignment horizontal="center"/>
    </xf>
    <xf numFmtId="187" fontId="9" fillId="16" borderId="0" xfId="0" applyNumberFormat="1" applyFont="1" applyFill="1" applyAlignment="1">
      <alignment horizontal="center"/>
    </xf>
    <xf numFmtId="173" fontId="9" fillId="16" borderId="0" xfId="0" applyNumberFormat="1" applyFont="1" applyFill="1" applyAlignment="1">
      <alignment horizontal="center"/>
    </xf>
    <xf numFmtId="0" fontId="11" fillId="16" borderId="0" xfId="0" applyFont="1" applyFill="1" applyAlignment="1">
      <alignment horizontal="center" vertical="center"/>
    </xf>
    <xf numFmtId="0" fontId="36" fillId="16" borderId="0" xfId="0" applyFont="1" applyFill="1"/>
    <xf numFmtId="3" fontId="5" fillId="16" borderId="0" xfId="0" applyNumberFormat="1" applyFont="1" applyFill="1"/>
    <xf numFmtId="0" fontId="11" fillId="16" borderId="0" xfId="0" quotePrefix="1" applyFont="1" applyFill="1" applyAlignment="1">
      <alignment horizontal="center" vertical="center"/>
    </xf>
    <xf numFmtId="1" fontId="37" fillId="16" borderId="0" xfId="0" applyNumberFormat="1" applyFont="1" applyFill="1"/>
    <xf numFmtId="14" fontId="9" fillId="16" borderId="0" xfId="0" applyNumberFormat="1" applyFont="1" applyFill="1" applyAlignment="1">
      <alignment horizontal="center"/>
    </xf>
    <xf numFmtId="0" fontId="9" fillId="0" borderId="88" xfId="0" applyFont="1" applyBorder="1"/>
    <xf numFmtId="0" fontId="9" fillId="0" borderId="89" xfId="0" applyFont="1" applyBorder="1" applyAlignment="1">
      <alignment horizontal="center"/>
    </xf>
    <xf numFmtId="0" fontId="0" fillId="0" borderId="12" xfId="0" applyBorder="1"/>
    <xf numFmtId="9" fontId="6" fillId="0" borderId="85" xfId="0" applyNumberFormat="1" applyFont="1" applyBorder="1" applyAlignment="1">
      <alignment horizontal="center" vertical="center"/>
    </xf>
    <xf numFmtId="0" fontId="0" fillId="0" borderId="13" xfId="0" applyBorder="1"/>
    <xf numFmtId="0" fontId="10" fillId="0" borderId="0" xfId="0" applyFont="1" applyAlignment="1">
      <alignment horizontal="center"/>
    </xf>
    <xf numFmtId="0" fontId="0" fillId="0" borderId="26" xfId="0" applyBorder="1" applyAlignment="1">
      <alignment horizontal="left"/>
    </xf>
    <xf numFmtId="0" fontId="9" fillId="0" borderId="44" xfId="0" applyFont="1" applyBorder="1" applyAlignment="1">
      <alignment horizontal="center" vertical="top" wrapText="1"/>
    </xf>
    <xf numFmtId="0" fontId="6" fillId="0" borderId="44" xfId="0" applyFont="1" applyBorder="1" applyAlignment="1">
      <alignment horizontal="left" vertical="top" wrapText="1" indent="1"/>
    </xf>
    <xf numFmtId="0" fontId="0" fillId="0" borderId="44" xfId="0" applyBorder="1" applyAlignment="1">
      <alignment horizontal="center" vertical="center" wrapText="1"/>
    </xf>
    <xf numFmtId="168" fontId="0" fillId="0" borderId="44" xfId="1" applyNumberFormat="1" applyFont="1" applyFill="1" applyBorder="1" applyAlignment="1">
      <alignment horizontal="center" vertical="center" wrapText="1"/>
    </xf>
    <xf numFmtId="184" fontId="0" fillId="0" borderId="44" xfId="1" applyNumberFormat="1" applyFont="1" applyFill="1" applyBorder="1" applyAlignment="1">
      <alignment horizontal="center" vertical="center" wrapText="1"/>
    </xf>
    <xf numFmtId="9" fontId="0" fillId="0" borderId="44" xfId="2" applyFont="1" applyFill="1" applyBorder="1" applyAlignment="1">
      <alignment horizontal="center" vertical="center" wrapText="1"/>
    </xf>
    <xf numFmtId="0" fontId="0" fillId="0" borderId="44" xfId="2" applyNumberFormat="1" applyFont="1" applyFill="1" applyBorder="1" applyAlignment="1">
      <alignment horizontal="center" vertical="center" wrapText="1"/>
    </xf>
    <xf numFmtId="168" fontId="0" fillId="0" borderId="44" xfId="2" applyNumberFormat="1" applyFont="1" applyFill="1" applyBorder="1" applyAlignment="1">
      <alignment horizontal="center" vertical="center" wrapText="1"/>
    </xf>
    <xf numFmtId="0" fontId="4" fillId="22" borderId="54" xfId="0" applyFont="1" applyFill="1" applyBorder="1" applyAlignment="1">
      <alignment horizontal="center" vertical="center" wrapText="1"/>
    </xf>
    <xf numFmtId="0" fontId="4" fillId="22" borderId="53" xfId="0" applyFont="1" applyFill="1" applyBorder="1" applyAlignment="1">
      <alignment horizontal="center" vertical="center" wrapText="1"/>
    </xf>
    <xf numFmtId="168" fontId="4" fillId="22" borderId="53" xfId="0" applyNumberFormat="1" applyFont="1" applyFill="1" applyBorder="1" applyAlignment="1">
      <alignment horizontal="center" vertical="center" wrapText="1"/>
    </xf>
    <xf numFmtId="183" fontId="4" fillId="22" borderId="53" xfId="0" applyNumberFormat="1" applyFont="1" applyFill="1" applyBorder="1" applyAlignment="1">
      <alignment horizontal="center" vertical="center" wrapText="1"/>
    </xf>
    <xf numFmtId="9" fontId="4" fillId="22" borderId="53" xfId="2" applyFont="1" applyFill="1" applyBorder="1" applyAlignment="1">
      <alignment horizontal="center" vertical="center" wrapText="1"/>
    </xf>
    <xf numFmtId="0" fontId="4" fillId="22" borderId="53" xfId="2" applyNumberFormat="1" applyFont="1" applyFill="1" applyBorder="1" applyAlignment="1">
      <alignment horizontal="center" vertical="center" wrapText="1"/>
    </xf>
    <xf numFmtId="182" fontId="4" fillId="22" borderId="53" xfId="0" applyNumberFormat="1" applyFont="1" applyFill="1" applyBorder="1" applyAlignment="1">
      <alignment horizontal="center" vertical="center" wrapText="1"/>
    </xf>
    <xf numFmtId="182" fontId="4" fillId="22" borderId="52" xfId="0" applyNumberFormat="1" applyFont="1" applyFill="1" applyBorder="1" applyAlignment="1">
      <alignment horizontal="center" vertical="center" wrapText="1"/>
    </xf>
    <xf numFmtId="178" fontId="6" fillId="0" borderId="44" xfId="0" applyNumberFormat="1" applyFont="1" applyBorder="1" applyAlignment="1">
      <alignment horizontal="center" vertical="center" wrapText="1"/>
    </xf>
    <xf numFmtId="181" fontId="6" fillId="0" borderId="44" xfId="0" applyNumberFormat="1" applyFont="1" applyBorder="1" applyAlignment="1">
      <alignment horizontal="center" vertical="center" wrapText="1"/>
    </xf>
    <xf numFmtId="10" fontId="6" fillId="0" borderId="44" xfId="0" applyNumberFormat="1" applyFont="1" applyBorder="1" applyAlignment="1">
      <alignment horizontal="center" vertical="center"/>
    </xf>
    <xf numFmtId="0" fontId="6" fillId="0" borderId="44" xfId="0" applyFont="1" applyBorder="1" applyAlignment="1">
      <alignment horizontal="center" vertical="center"/>
    </xf>
    <xf numFmtId="0" fontId="4" fillId="22" borderId="90" xfId="0" applyFont="1" applyFill="1" applyBorder="1" applyAlignment="1">
      <alignment horizontal="center" vertical="center" wrapText="1"/>
    </xf>
    <xf numFmtId="0" fontId="4" fillId="22" borderId="83" xfId="0" applyFont="1" applyFill="1" applyBorder="1" applyAlignment="1">
      <alignment horizontal="center" vertical="center" wrapText="1"/>
    </xf>
    <xf numFmtId="168" fontId="6" fillId="21" borderId="40" xfId="0" applyNumberFormat="1" applyFont="1" applyFill="1" applyBorder="1" applyAlignment="1">
      <alignment horizontal="center" vertical="top"/>
    </xf>
    <xf numFmtId="168" fontId="6" fillId="0" borderId="40" xfId="0" applyNumberFormat="1" applyFont="1" applyBorder="1" applyAlignment="1">
      <alignment horizontal="center" vertical="top"/>
    </xf>
    <xf numFmtId="184" fontId="0" fillId="21" borderId="40" xfId="0" applyNumberFormat="1" applyFill="1" applyBorder="1" applyAlignment="1">
      <alignment horizontal="center" vertical="top"/>
    </xf>
    <xf numFmtId="184" fontId="0" fillId="0" borderId="40" xfId="0" applyNumberFormat="1" applyBorder="1" applyAlignment="1">
      <alignment horizontal="center" vertical="top"/>
    </xf>
    <xf numFmtId="181" fontId="0" fillId="0" borderId="40" xfId="0" applyNumberFormat="1" applyBorder="1" applyAlignment="1">
      <alignment horizontal="center" vertical="top"/>
    </xf>
    <xf numFmtId="168" fontId="0" fillId="0" borderId="40" xfId="0" applyNumberFormat="1" applyBorder="1" applyAlignment="1">
      <alignment horizontal="center" vertical="top"/>
    </xf>
    <xf numFmtId="3" fontId="0" fillId="0" borderId="40" xfId="0" applyNumberFormat="1" applyBorder="1" applyAlignment="1">
      <alignment horizontal="center" vertical="top"/>
    </xf>
    <xf numFmtId="0" fontId="6" fillId="0" borderId="40" xfId="0" applyFont="1" applyBorder="1" applyAlignment="1">
      <alignment horizontal="center" vertical="top" wrapText="1"/>
    </xf>
    <xf numFmtId="168" fontId="6" fillId="21" borderId="91" xfId="0" applyNumberFormat="1" applyFont="1" applyFill="1" applyBorder="1" applyAlignment="1">
      <alignment horizontal="center" vertical="top"/>
    </xf>
    <xf numFmtId="168" fontId="6" fillId="0" borderId="91" xfId="0" applyNumberFormat="1" applyFont="1" applyBorder="1" applyAlignment="1">
      <alignment horizontal="center" vertical="top"/>
    </xf>
    <xf numFmtId="184" fontId="0" fillId="21" borderId="91" xfId="0" applyNumberFormat="1" applyFill="1" applyBorder="1" applyAlignment="1">
      <alignment horizontal="center" vertical="top"/>
    </xf>
    <xf numFmtId="184" fontId="0" fillId="0" borderId="91" xfId="0" applyNumberFormat="1" applyBorder="1" applyAlignment="1">
      <alignment horizontal="center" vertical="top"/>
    </xf>
    <xf numFmtId="181" fontId="0" fillId="0" borderId="91" xfId="0" applyNumberFormat="1" applyBorder="1" applyAlignment="1">
      <alignment horizontal="center" vertical="top"/>
    </xf>
    <xf numFmtId="168" fontId="0" fillId="0" borderId="91" xfId="0" applyNumberFormat="1" applyBorder="1" applyAlignment="1">
      <alignment horizontal="center" vertical="top"/>
    </xf>
    <xf numFmtId="3" fontId="0" fillId="0" borderId="91" xfId="0" applyNumberFormat="1" applyBorder="1" applyAlignment="1">
      <alignment horizontal="center" vertical="top"/>
    </xf>
    <xf numFmtId="0" fontId="6" fillId="0" borderId="91" xfId="0" applyFont="1" applyBorder="1" applyAlignment="1">
      <alignment horizontal="center" vertical="top" wrapText="1"/>
    </xf>
    <xf numFmtId="168" fontId="4" fillId="35" borderId="10" xfId="0" applyNumberFormat="1" applyFont="1" applyFill="1" applyBorder="1"/>
    <xf numFmtId="0" fontId="0" fillId="0" borderId="5" xfId="0" applyBorder="1" applyAlignment="1">
      <alignment horizontal="left" vertical="top"/>
    </xf>
    <xf numFmtId="1" fontId="0" fillId="8" borderId="0" xfId="0" applyNumberFormat="1" applyFill="1"/>
    <xf numFmtId="0" fontId="0" fillId="8" borderId="0" xfId="0" applyFill="1" applyAlignment="1">
      <alignment horizontal="right"/>
    </xf>
    <xf numFmtId="0" fontId="19" fillId="8" borderId="0" xfId="0" applyFont="1" applyFill="1" applyProtection="1">
      <protection locked="0"/>
    </xf>
    <xf numFmtId="0" fontId="9" fillId="8" borderId="0" xfId="0" applyFont="1" applyFill="1" applyAlignment="1" applyProtection="1">
      <alignment horizontal="left" indent="1"/>
      <protection locked="0"/>
    </xf>
    <xf numFmtId="0" fontId="9" fillId="8" borderId="0" xfId="0" applyFont="1" applyFill="1" applyAlignment="1" applyProtection="1">
      <alignment horizontal="left" vertical="top" wrapText="1" indent="1"/>
      <protection locked="0"/>
    </xf>
    <xf numFmtId="14" fontId="9" fillId="8" borderId="0" xfId="0" applyNumberFormat="1" applyFont="1" applyFill="1" applyAlignment="1" applyProtection="1">
      <alignment horizontal="left" vertical="center" indent="1"/>
      <protection locked="0"/>
    </xf>
    <xf numFmtId="0" fontId="0" fillId="11" borderId="10" xfId="0" applyFill="1" applyBorder="1" applyAlignment="1">
      <alignment horizontal="right"/>
    </xf>
    <xf numFmtId="14" fontId="9" fillId="8" borderId="77" xfId="0" applyNumberFormat="1" applyFont="1" applyFill="1" applyBorder="1" applyAlignment="1" applyProtection="1">
      <alignment horizontal="left" vertical="center" indent="1"/>
      <protection locked="0"/>
    </xf>
    <xf numFmtId="173" fontId="9" fillId="8" borderId="93" xfId="0" applyNumberFormat="1" applyFont="1" applyFill="1" applyBorder="1" applyAlignment="1">
      <alignment horizontal="left" indent="1"/>
    </xf>
    <xf numFmtId="9" fontId="4" fillId="8" borderId="93" xfId="0" applyNumberFormat="1" applyFont="1" applyFill="1" applyBorder="1" applyAlignment="1">
      <alignment horizontal="left" indent="1"/>
    </xf>
    <xf numFmtId="0" fontId="9" fillId="8" borderId="77" xfId="0" applyFont="1" applyFill="1" applyBorder="1" applyAlignment="1" applyProtection="1">
      <alignment horizontal="left" vertical="top" wrapText="1" indent="1"/>
      <protection locked="0"/>
    </xf>
    <xf numFmtId="0" fontId="9" fillId="8" borderId="93" xfId="0" applyFont="1" applyFill="1" applyBorder="1" applyAlignment="1" applyProtection="1">
      <alignment horizontal="left" vertical="top" wrapText="1" indent="1"/>
      <protection locked="0"/>
    </xf>
    <xf numFmtId="0" fontId="9" fillId="8" borderId="93" xfId="0" applyFont="1" applyFill="1" applyBorder="1" applyAlignment="1" applyProtection="1">
      <alignment horizontal="left" indent="1"/>
      <protection locked="0"/>
    </xf>
    <xf numFmtId="9" fontId="9" fillId="8" borderId="93" xfId="0" applyNumberFormat="1" applyFont="1" applyFill="1" applyBorder="1" applyAlignment="1" applyProtection="1">
      <alignment horizontal="left" indent="1"/>
      <protection locked="0"/>
    </xf>
    <xf numFmtId="166" fontId="20" fillId="8" borderId="93" xfId="0" applyNumberFormat="1" applyFont="1" applyFill="1" applyBorder="1" applyAlignment="1" applyProtection="1">
      <alignment horizontal="left" indent="1"/>
      <protection locked="0"/>
    </xf>
    <xf numFmtId="166" fontId="9" fillId="8" borderId="93" xfId="0" applyNumberFormat="1" applyFont="1" applyFill="1" applyBorder="1" applyAlignment="1" applyProtection="1">
      <alignment horizontal="left" indent="1"/>
      <protection locked="0"/>
    </xf>
    <xf numFmtId="0" fontId="0" fillId="10" borderId="11" xfId="0" applyFill="1" applyBorder="1" applyAlignment="1">
      <alignment horizontal="right"/>
    </xf>
    <xf numFmtId="0" fontId="0" fillId="10" borderId="10" xfId="0" applyFill="1" applyBorder="1" applyAlignment="1">
      <alignment horizontal="right"/>
    </xf>
    <xf numFmtId="0" fontId="0" fillId="10" borderId="9" xfId="0" applyFill="1" applyBorder="1"/>
    <xf numFmtId="0" fontId="0" fillId="8" borderId="26" xfId="0" applyFill="1" applyBorder="1" applyAlignment="1">
      <alignment horizontal="right"/>
    </xf>
    <xf numFmtId="0" fontId="0" fillId="8" borderId="24" xfId="0" applyFill="1" applyBorder="1" applyAlignment="1">
      <alignment horizontal="right"/>
    </xf>
    <xf numFmtId="168" fontId="0" fillId="8" borderId="38" xfId="0" applyNumberFormat="1" applyFill="1" applyBorder="1"/>
    <xf numFmtId="0" fontId="20" fillId="8" borderId="93" xfId="0" applyFont="1" applyFill="1" applyBorder="1" applyAlignment="1" applyProtection="1">
      <alignment vertical="center"/>
      <protection locked="0"/>
    </xf>
    <xf numFmtId="0" fontId="3" fillId="14" borderId="0" xfId="4" applyAlignment="1">
      <alignment horizontal="left"/>
    </xf>
    <xf numFmtId="0" fontId="3" fillId="14" borderId="0" xfId="4" applyAlignment="1"/>
    <xf numFmtId="9" fontId="3" fillId="14" borderId="0" xfId="4" applyNumberFormat="1" applyAlignment="1"/>
    <xf numFmtId="0" fontId="3" fillId="14" borderId="3" xfId="4" applyBorder="1" applyAlignment="1">
      <alignment horizontal="center" vertical="center" wrapText="1"/>
    </xf>
    <xf numFmtId="0" fontId="3" fillId="14" borderId="3" xfId="4" applyBorder="1" applyAlignment="1">
      <alignment horizontal="center" vertical="center"/>
    </xf>
    <xf numFmtId="0" fontId="6" fillId="3" borderId="0" xfId="0" applyFont="1" applyFill="1" applyAlignment="1">
      <alignment horizontal="right" vertical="top" wrapText="1"/>
    </xf>
    <xf numFmtId="0" fontId="3" fillId="14" borderId="20" xfId="4" applyBorder="1" applyAlignment="1">
      <alignment horizontal="left"/>
    </xf>
    <xf numFmtId="0" fontId="3" fillId="14" borderId="8" xfId="4" applyBorder="1" applyAlignment="1">
      <alignment horizontal="center"/>
    </xf>
    <xf numFmtId="0" fontId="3" fillId="14" borderId="8" xfId="4" applyBorder="1" applyAlignment="1">
      <alignment horizontal="right"/>
    </xf>
    <xf numFmtId="0" fontId="3" fillId="14" borderId="19" xfId="4" applyBorder="1" applyAlignment="1">
      <alignment horizontal="center"/>
    </xf>
    <xf numFmtId="0" fontId="3" fillId="14" borderId="10" xfId="4" applyBorder="1" applyAlignment="1">
      <alignment horizontal="right"/>
    </xf>
    <xf numFmtId="168" fontId="20" fillId="8" borderId="92" xfId="0" applyNumberFormat="1" applyFont="1" applyFill="1" applyBorder="1" applyAlignment="1" applyProtection="1">
      <alignment vertical="center"/>
      <protection locked="0"/>
    </xf>
    <xf numFmtId="0" fontId="20" fillId="8" borderId="35" xfId="0" applyFont="1" applyFill="1" applyBorder="1" applyAlignment="1" applyProtection="1">
      <alignment vertical="center"/>
      <protection locked="0"/>
    </xf>
    <xf numFmtId="168" fontId="20" fillId="8" borderId="34" xfId="0" applyNumberFormat="1" applyFont="1" applyFill="1" applyBorder="1" applyAlignment="1" applyProtection="1">
      <alignment vertical="center"/>
      <protection locked="0"/>
    </xf>
    <xf numFmtId="0" fontId="0" fillId="11" borderId="11" xfId="0" applyFill="1" applyBorder="1" applyAlignment="1">
      <alignment horizontal="left"/>
    </xf>
    <xf numFmtId="0" fontId="20" fillId="8" borderId="46" xfId="0" applyFont="1" applyFill="1" applyBorder="1" applyAlignment="1" applyProtection="1">
      <alignment horizontal="left" vertical="center" indent="1"/>
      <protection locked="0"/>
    </xf>
    <xf numFmtId="0" fontId="20" fillId="8" borderId="36" xfId="0" applyFont="1" applyFill="1" applyBorder="1" applyAlignment="1" applyProtection="1">
      <alignment horizontal="left" vertical="center" indent="1"/>
      <protection locked="0"/>
    </xf>
    <xf numFmtId="168" fontId="9" fillId="8" borderId="93" xfId="0" applyNumberFormat="1" applyFont="1" applyFill="1" applyBorder="1" applyAlignment="1" applyProtection="1">
      <alignment horizontal="right" vertical="top"/>
      <protection locked="0"/>
    </xf>
    <xf numFmtId="168" fontId="20" fillId="8" borderId="93" xfId="0" applyNumberFormat="1" applyFont="1" applyFill="1" applyBorder="1" applyAlignment="1" applyProtection="1">
      <alignment horizontal="right" vertical="top"/>
      <protection locked="0"/>
    </xf>
    <xf numFmtId="168" fontId="20" fillId="8" borderId="35" xfId="0" applyNumberFormat="1" applyFont="1" applyFill="1" applyBorder="1" applyAlignment="1" applyProtection="1">
      <alignment horizontal="right" vertical="top"/>
      <protection locked="0"/>
    </xf>
    <xf numFmtId="168" fontId="4" fillId="12" borderId="0" xfId="0" applyNumberFormat="1" applyFont="1" applyFill="1" applyAlignment="1">
      <alignment horizontal="right"/>
    </xf>
    <xf numFmtId="168" fontId="0" fillId="8" borderId="24" xfId="0" applyNumberFormat="1" applyFill="1" applyBorder="1" applyAlignment="1">
      <alignment horizontal="right"/>
    </xf>
    <xf numFmtId="0" fontId="20" fillId="8" borderId="41" xfId="0" applyFont="1" applyFill="1" applyBorder="1" applyAlignment="1" applyProtection="1">
      <alignment horizontal="left" vertical="center" indent="1"/>
      <protection locked="0"/>
    </xf>
    <xf numFmtId="0" fontId="20" fillId="8" borderId="40" xfId="0" applyFont="1" applyFill="1" applyBorder="1" applyAlignment="1" applyProtection="1">
      <alignment vertical="center"/>
      <protection locked="0"/>
    </xf>
    <xf numFmtId="168" fontId="20" fillId="8" borderId="40" xfId="0" applyNumberFormat="1" applyFont="1" applyFill="1" applyBorder="1" applyAlignment="1" applyProtection="1">
      <alignment horizontal="right" vertical="top"/>
      <protection locked="0"/>
    </xf>
    <xf numFmtId="168" fontId="20" fillId="8" borderId="39" xfId="0" applyNumberFormat="1" applyFont="1" applyFill="1" applyBorder="1" applyAlignment="1" applyProtection="1">
      <alignment vertical="center"/>
      <protection locked="0"/>
    </xf>
    <xf numFmtId="0" fontId="20" fillId="8" borderId="41" xfId="0" applyFont="1" applyFill="1" applyBorder="1" applyAlignment="1" applyProtection="1">
      <alignment horizontal="left" vertical="top" wrapText="1" indent="1"/>
      <protection locked="0"/>
    </xf>
    <xf numFmtId="0" fontId="20" fillId="8" borderId="40" xfId="0" applyFont="1" applyFill="1" applyBorder="1" applyAlignment="1" applyProtection="1">
      <alignment horizontal="left" vertical="top" wrapText="1"/>
      <protection locked="0"/>
    </xf>
    <xf numFmtId="0" fontId="20" fillId="8" borderId="36" xfId="0" applyFont="1" applyFill="1" applyBorder="1" applyAlignment="1" applyProtection="1">
      <alignment horizontal="left" vertical="center" wrapText="1" indent="1"/>
      <protection locked="0"/>
    </xf>
    <xf numFmtId="168" fontId="20" fillId="8" borderId="35" xfId="0" applyNumberFormat="1" applyFont="1" applyFill="1" applyBorder="1" applyAlignment="1" applyProtection="1">
      <alignment vertical="top"/>
      <protection locked="0"/>
    </xf>
    <xf numFmtId="9" fontId="21" fillId="8" borderId="34" xfId="0" applyNumberFormat="1" applyFont="1" applyFill="1" applyBorder="1" applyAlignment="1">
      <alignment horizontal="left" wrapText="1" indent="1"/>
    </xf>
    <xf numFmtId="0" fontId="9" fillId="8" borderId="46" xfId="0" applyFont="1" applyFill="1" applyBorder="1" applyAlignment="1" applyProtection="1">
      <alignment horizontal="left" vertical="center" indent="1"/>
      <protection locked="0"/>
    </xf>
    <xf numFmtId="9" fontId="40" fillId="8" borderId="92" xfId="0" applyNumberFormat="1" applyFont="1" applyFill="1" applyBorder="1" applyAlignment="1">
      <alignment horizontal="left" wrapText="1" indent="1"/>
    </xf>
    <xf numFmtId="168" fontId="4" fillId="8" borderId="0" xfId="0" applyNumberFormat="1" applyFont="1" applyFill="1" applyAlignment="1">
      <alignment horizontal="right"/>
    </xf>
    <xf numFmtId="0" fontId="4" fillId="11" borderId="10" xfId="0" applyFont="1" applyFill="1" applyBorder="1" applyAlignment="1">
      <alignment horizontal="right"/>
    </xf>
    <xf numFmtId="0" fontId="4" fillId="11" borderId="9" xfId="0" applyFont="1" applyFill="1" applyBorder="1" applyAlignment="1">
      <alignment horizontal="right"/>
    </xf>
    <xf numFmtId="168" fontId="4" fillId="8" borderId="12" xfId="0" applyNumberFormat="1" applyFont="1" applyFill="1" applyBorder="1" applyAlignment="1">
      <alignment horizontal="right"/>
    </xf>
    <xf numFmtId="173" fontId="20" fillId="8" borderId="0" xfId="0" applyNumberFormat="1" applyFont="1" applyFill="1" applyAlignment="1">
      <alignment horizontal="right"/>
    </xf>
    <xf numFmtId="0" fontId="27" fillId="8" borderId="0" xfId="0" applyFont="1" applyFill="1" applyAlignment="1">
      <alignment horizontal="left" wrapText="1"/>
    </xf>
    <xf numFmtId="172" fontId="4" fillId="8" borderId="0" xfId="0" applyNumberFormat="1" applyFont="1" applyFill="1" applyAlignment="1">
      <alignment horizontal="right"/>
    </xf>
    <xf numFmtId="0" fontId="3" fillId="39" borderId="11" xfId="5" applyBorder="1" applyAlignment="1">
      <alignment horizontal="left" vertical="top" wrapText="1" indent="1"/>
    </xf>
    <xf numFmtId="0" fontId="3" fillId="39" borderId="9" xfId="5" applyBorder="1" applyAlignment="1">
      <alignment horizontal="center" vertical="center"/>
    </xf>
    <xf numFmtId="0" fontId="3" fillId="14" borderId="11" xfId="4" applyBorder="1" applyAlignment="1" applyProtection="1">
      <alignment horizontal="left" vertical="center"/>
      <protection locked="0"/>
    </xf>
    <xf numFmtId="0" fontId="3" fillId="14" borderId="10" xfId="4" applyBorder="1" applyAlignment="1" applyProtection="1">
      <alignment horizontal="center" vertical="center" wrapText="1"/>
      <protection locked="0"/>
    </xf>
    <xf numFmtId="0" fontId="3" fillId="14" borderId="10" xfId="4" applyBorder="1" applyAlignment="1" applyProtection="1">
      <alignment vertical="center" wrapText="1"/>
      <protection locked="0"/>
    </xf>
    <xf numFmtId="0" fontId="3" fillId="14" borderId="10" xfId="4" applyBorder="1" applyAlignment="1"/>
    <xf numFmtId="9" fontId="3" fillId="14" borderId="10" xfId="4" applyNumberFormat="1" applyBorder="1" applyAlignment="1">
      <alignment vertical="center" wrapText="1"/>
    </xf>
    <xf numFmtId="0" fontId="3" fillId="14" borderId="10" xfId="4" applyNumberFormat="1" applyBorder="1" applyAlignment="1">
      <alignment vertical="center" wrapText="1"/>
    </xf>
    <xf numFmtId="0" fontId="3" fillId="14" borderId="10" xfId="4" applyBorder="1" applyAlignment="1">
      <alignment horizontal="left" vertical="center" wrapText="1"/>
    </xf>
    <xf numFmtId="0" fontId="3" fillId="14" borderId="9" xfId="4" applyBorder="1" applyAlignment="1">
      <alignment horizontal="left" vertical="center" wrapText="1"/>
    </xf>
    <xf numFmtId="0" fontId="3" fillId="14" borderId="85" xfId="4" quotePrefix="1" applyBorder="1" applyAlignment="1">
      <alignment horizontal="center" vertical="center" wrapText="1"/>
    </xf>
    <xf numFmtId="0" fontId="3" fillId="14" borderId="87" xfId="4" applyBorder="1" applyAlignment="1">
      <alignment horizontal="center" vertical="center"/>
    </xf>
    <xf numFmtId="0" fontId="3" fillId="14" borderId="11" xfId="4" applyBorder="1" applyAlignment="1">
      <alignment horizontal="left"/>
    </xf>
    <xf numFmtId="0" fontId="3" fillId="14" borderId="25" xfId="4" applyBorder="1" applyAlignment="1">
      <alignment horizontal="left"/>
    </xf>
    <xf numFmtId="1" fontId="3" fillId="39" borderId="5" xfId="5" applyNumberFormat="1" applyBorder="1" applyAlignment="1">
      <alignment horizontal="center"/>
    </xf>
    <xf numFmtId="0" fontId="3" fillId="39" borderId="5" xfId="5" applyBorder="1" applyAlignment="1"/>
    <xf numFmtId="0" fontId="3" fillId="39" borderId="15" xfId="5" applyBorder="1" applyAlignment="1">
      <alignment horizontal="center"/>
    </xf>
    <xf numFmtId="0" fontId="3" fillId="39" borderId="5" xfId="5" applyBorder="1" applyAlignment="1">
      <alignment horizontal="center"/>
    </xf>
    <xf numFmtId="0" fontId="3" fillId="39" borderId="14" xfId="5" applyBorder="1" applyAlignment="1"/>
    <xf numFmtId="168" fontId="3" fillId="39" borderId="5" xfId="5" applyNumberFormat="1" applyBorder="1" applyAlignment="1"/>
    <xf numFmtId="168" fontId="3" fillId="39" borderId="5" xfId="5" applyNumberFormat="1" applyBorder="1" applyAlignment="1">
      <alignment horizontal="center"/>
    </xf>
    <xf numFmtId="168" fontId="3" fillId="39" borderId="14" xfId="5" applyNumberFormat="1" applyBorder="1" applyAlignment="1"/>
    <xf numFmtId="16" fontId="29" fillId="14" borderId="0" xfId="4" applyNumberFormat="1" applyFont="1" applyAlignment="1">
      <alignment horizontal="center" wrapText="1"/>
    </xf>
    <xf numFmtId="3" fontId="6" fillId="0" borderId="54" xfId="0" applyNumberFormat="1" applyFont="1" applyBorder="1" applyAlignment="1">
      <alignment horizontal="center" vertical="center" wrapText="1"/>
    </xf>
    <xf numFmtId="0" fontId="33" fillId="0" borderId="94" xfId="0" applyFont="1" applyBorder="1" applyAlignment="1">
      <alignment horizontal="center" vertical="center" wrapText="1"/>
    </xf>
    <xf numFmtId="168" fontId="4" fillId="22" borderId="11" xfId="0" applyNumberFormat="1" applyFont="1" applyFill="1" applyBorder="1" applyAlignment="1">
      <alignment horizontal="center" vertical="center" wrapText="1"/>
    </xf>
    <xf numFmtId="168" fontId="4" fillId="22" borderId="82" xfId="0" applyNumberFormat="1" applyFont="1" applyFill="1" applyBorder="1" applyAlignment="1">
      <alignment horizontal="center" vertical="center" wrapText="1"/>
    </xf>
    <xf numFmtId="168" fontId="4" fillId="22" borderId="90" xfId="0" applyNumberFormat="1" applyFont="1" applyFill="1" applyBorder="1" applyAlignment="1">
      <alignment horizontal="center" vertical="center" wrapText="1"/>
    </xf>
    <xf numFmtId="168" fontId="4" fillId="22" borderId="83" xfId="0" applyNumberFormat="1" applyFont="1" applyFill="1" applyBorder="1" applyAlignment="1">
      <alignment horizontal="center" vertical="center" wrapText="1"/>
    </xf>
    <xf numFmtId="168" fontId="4" fillId="22" borderId="78" xfId="0" applyNumberFormat="1" applyFont="1" applyFill="1" applyBorder="1" applyAlignment="1">
      <alignment horizontal="center" vertical="center" wrapText="1"/>
    </xf>
    <xf numFmtId="168" fontId="4" fillId="22" borderId="10" xfId="0" applyNumberFormat="1" applyFont="1" applyFill="1" applyBorder="1" applyAlignment="1">
      <alignment horizontal="center" vertical="center" wrapText="1"/>
    </xf>
    <xf numFmtId="0" fontId="6" fillId="0" borderId="73" xfId="0" applyFont="1" applyBorder="1" applyAlignment="1">
      <alignment horizontal="center" wrapText="1"/>
    </xf>
    <xf numFmtId="0" fontId="6" fillId="0" borderId="72" xfId="0" applyFont="1" applyBorder="1" applyAlignment="1">
      <alignment horizontal="center" wrapText="1"/>
    </xf>
    <xf numFmtId="0" fontId="4" fillId="0" borderId="72" xfId="0" applyFont="1" applyBorder="1" applyAlignment="1">
      <alignment horizontal="center" vertical="center" wrapText="1"/>
    </xf>
    <xf numFmtId="6" fontId="6" fillId="0" borderId="73" xfId="0" applyNumberFormat="1" applyFont="1" applyBorder="1" applyAlignment="1">
      <alignment horizontal="center" vertical="center"/>
    </xf>
    <xf numFmtId="6" fontId="6" fillId="0" borderId="72" xfId="0" applyNumberFormat="1" applyFont="1" applyBorder="1" applyAlignment="1">
      <alignment horizontal="center" vertical="center"/>
    </xf>
    <xf numFmtId="6" fontId="6" fillId="0" borderId="96" xfId="0" applyNumberFormat="1" applyFont="1" applyBorder="1" applyAlignment="1">
      <alignment horizontal="center" vertical="center"/>
    </xf>
    <xf numFmtId="173" fontId="6" fillId="0" borderId="73" xfId="0" applyNumberFormat="1" applyFont="1" applyBorder="1" applyAlignment="1">
      <alignment horizontal="center" vertical="center"/>
    </xf>
    <xf numFmtId="173" fontId="6" fillId="0" borderId="72" xfId="0" applyNumberFormat="1" applyFont="1" applyBorder="1" applyAlignment="1">
      <alignment horizontal="center" vertical="center"/>
    </xf>
    <xf numFmtId="173" fontId="6" fillId="0" borderId="96" xfId="0" applyNumberFormat="1" applyFont="1" applyBorder="1" applyAlignment="1">
      <alignment horizontal="center" vertical="center"/>
    </xf>
    <xf numFmtId="0" fontId="4" fillId="0" borderId="96" xfId="0" applyFont="1" applyBorder="1" applyAlignment="1">
      <alignment horizontal="center" vertical="center" wrapText="1"/>
    </xf>
    <xf numFmtId="0" fontId="4" fillId="0" borderId="97"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73" xfId="0" applyFont="1" applyBorder="1" applyAlignment="1">
      <alignment horizontal="center" vertical="center" wrapText="1"/>
    </xf>
    <xf numFmtId="168" fontId="9" fillId="11" borderId="10" xfId="0" applyNumberFormat="1" applyFont="1" applyFill="1" applyBorder="1" applyAlignment="1" applyProtection="1">
      <alignment horizontal="right"/>
      <protection locked="0"/>
    </xf>
    <xf numFmtId="168" fontId="4" fillId="11" borderId="9" xfId="0" applyNumberFormat="1" applyFont="1" applyFill="1" applyBorder="1" applyAlignment="1">
      <alignment horizontal="right"/>
    </xf>
    <xf numFmtId="0" fontId="0" fillId="0" borderId="0" xfId="0" applyAlignment="1">
      <alignment horizontal="left" indent="2"/>
    </xf>
    <xf numFmtId="0" fontId="41" fillId="0" borderId="0" xfId="0" applyFont="1" applyAlignment="1">
      <alignment horizontal="left" indent="1"/>
    </xf>
    <xf numFmtId="168" fontId="6" fillId="4" borderId="0" xfId="0" applyNumberFormat="1" applyFont="1" applyFill="1" applyAlignment="1">
      <alignment horizontal="center"/>
    </xf>
    <xf numFmtId="0" fontId="4" fillId="0" borderId="35" xfId="0" applyFont="1" applyBorder="1" applyAlignment="1">
      <alignment horizontal="center" vertical="center"/>
    </xf>
    <xf numFmtId="175" fontId="0" fillId="0" borderId="0" xfId="2" applyNumberFormat="1" applyFont="1" applyAlignment="1">
      <alignment horizontal="right"/>
    </xf>
    <xf numFmtId="175" fontId="0" fillId="0" borderId="0" xfId="2" applyNumberFormat="1" applyFont="1"/>
    <xf numFmtId="174" fontId="0" fillId="0" borderId="0" xfId="0" applyNumberFormat="1"/>
    <xf numFmtId="0" fontId="9" fillId="0" borderId="35" xfId="0" applyFont="1" applyBorder="1"/>
    <xf numFmtId="168" fontId="9" fillId="0" borderId="35" xfId="0" applyNumberFormat="1" applyFont="1" applyBorder="1"/>
    <xf numFmtId="175" fontId="1" fillId="0" borderId="0" xfId="2" applyNumberFormat="1" applyFont="1"/>
    <xf numFmtId="6" fontId="0" fillId="0" borderId="0" xfId="0" applyNumberFormat="1"/>
    <xf numFmtId="194" fontId="0" fillId="0" borderId="0" xfId="0" applyNumberFormat="1"/>
    <xf numFmtId="0" fontId="0" fillId="0" borderId="5" xfId="0" applyBorder="1" applyAlignment="1" applyProtection="1">
      <alignment horizontal="left" vertical="top" wrapText="1"/>
      <protection locked="0"/>
    </xf>
    <xf numFmtId="168" fontId="20" fillId="8" borderId="5" xfId="0" applyNumberFormat="1" applyFont="1" applyFill="1" applyBorder="1" applyAlignment="1" applyProtection="1">
      <alignment horizontal="right" vertical="top"/>
      <protection locked="0"/>
    </xf>
    <xf numFmtId="168" fontId="20" fillId="13" borderId="5" xfId="0" applyNumberFormat="1" applyFont="1" applyFill="1" applyBorder="1" applyAlignment="1" applyProtection="1">
      <alignment horizontal="right" vertical="top"/>
      <protection locked="0"/>
    </xf>
    <xf numFmtId="9" fontId="9" fillId="3" borderId="18" xfId="0" applyNumberFormat="1" applyFont="1" applyFill="1" applyBorder="1" applyAlignment="1" applyProtection="1">
      <alignment horizontal="right" vertical="top"/>
      <protection locked="0"/>
    </xf>
    <xf numFmtId="168" fontId="0" fillId="3" borderId="17" xfId="0" applyNumberFormat="1" applyFill="1" applyBorder="1" applyAlignment="1">
      <alignment horizontal="right" vertical="top"/>
    </xf>
    <xf numFmtId="168" fontId="0" fillId="3" borderId="16" xfId="0" applyNumberFormat="1" applyFill="1" applyBorder="1" applyAlignment="1">
      <alignment horizontal="right" vertical="top"/>
    </xf>
    <xf numFmtId="0" fontId="3" fillId="39" borderId="0" xfId="5" applyBorder="1" applyAlignment="1">
      <alignment horizontal="left" vertical="center"/>
    </xf>
    <xf numFmtId="0" fontId="3" fillId="39" borderId="0" xfId="5" applyBorder="1" applyAlignment="1">
      <alignment horizontal="center" vertical="center"/>
    </xf>
    <xf numFmtId="175" fontId="0" fillId="0" borderId="0" xfId="0" applyNumberFormat="1"/>
    <xf numFmtId="0" fontId="39" fillId="0" borderId="0" xfId="0" applyFont="1"/>
    <xf numFmtId="0" fontId="6" fillId="0" borderId="0" xfId="0" applyFont="1" applyAlignment="1">
      <alignment horizontal="center"/>
    </xf>
    <xf numFmtId="0" fontId="4" fillId="0" borderId="0" xfId="0" applyFont="1"/>
    <xf numFmtId="0" fontId="0" fillId="0" borderId="0" xfId="0" quotePrefix="1"/>
    <xf numFmtId="168" fontId="0" fillId="37" borderId="47" xfId="2" applyNumberFormat="1" applyFont="1" applyFill="1" applyBorder="1" applyAlignment="1">
      <alignment horizontal="center" vertical="center" wrapText="1"/>
    </xf>
    <xf numFmtId="184" fontId="0" fillId="37" borderId="47" xfId="2" applyNumberFormat="1" applyFont="1" applyFill="1" applyBorder="1" applyAlignment="1">
      <alignment horizontal="center" vertical="center" wrapText="1"/>
    </xf>
    <xf numFmtId="0" fontId="0" fillId="37" borderId="47" xfId="2" applyNumberFormat="1" applyFont="1" applyFill="1" applyBorder="1" applyAlignment="1">
      <alignment horizontal="center" vertical="center" wrapText="1"/>
    </xf>
    <xf numFmtId="178" fontId="6" fillId="0" borderId="0" xfId="0" applyNumberFormat="1" applyFont="1" applyAlignment="1">
      <alignment horizontal="right"/>
    </xf>
    <xf numFmtId="184" fontId="6" fillId="0" borderId="0" xfId="0" applyNumberFormat="1" applyFont="1" applyAlignment="1">
      <alignment horizontal="right"/>
    </xf>
    <xf numFmtId="184" fontId="6" fillId="0" borderId="38" xfId="0" applyNumberFormat="1" applyFont="1" applyBorder="1"/>
    <xf numFmtId="0" fontId="3" fillId="39" borderId="11" xfId="5" applyBorder="1" applyAlignment="1">
      <alignment horizontal="center" vertical="center"/>
    </xf>
    <xf numFmtId="0" fontId="3" fillId="39" borderId="10" xfId="5" applyBorder="1" applyAlignment="1">
      <alignment horizontal="center" vertical="center"/>
    </xf>
    <xf numFmtId="0" fontId="0" fillId="0" borderId="98" xfId="0" applyBorder="1"/>
    <xf numFmtId="0" fontId="0" fillId="0" borderId="98" xfId="0" applyBorder="1" applyAlignment="1">
      <alignment horizontal="center"/>
    </xf>
    <xf numFmtId="0" fontId="0" fillId="0" borderId="98" xfId="0" applyBorder="1" applyAlignment="1">
      <alignment horizontal="left" vertical="top" wrapText="1"/>
    </xf>
    <xf numFmtId="0" fontId="26" fillId="0" borderId="0" xfId="0" applyFont="1" applyAlignment="1">
      <alignment horizontal="left" indent="1"/>
    </xf>
    <xf numFmtId="176" fontId="26" fillId="0" borderId="0" xfId="0" applyNumberFormat="1" applyFont="1" applyAlignment="1">
      <alignment horizontal="center"/>
    </xf>
    <xf numFmtId="15" fontId="26" fillId="0" borderId="0" xfId="0" applyNumberFormat="1" applyFont="1" applyAlignment="1">
      <alignment horizontal="center"/>
    </xf>
    <xf numFmtId="177" fontId="26" fillId="0" borderId="0" xfId="0" applyNumberFormat="1" applyFont="1" applyAlignment="1">
      <alignment horizontal="left" vertical="top" wrapText="1"/>
    </xf>
    <xf numFmtId="0" fontId="0" fillId="0" borderId="24" xfId="0" applyBorder="1" applyAlignment="1">
      <alignment horizontal="left" vertical="top" wrapText="1"/>
    </xf>
    <xf numFmtId="168" fontId="42" fillId="4" borderId="0" xfId="0" applyNumberFormat="1" applyFont="1" applyFill="1" applyAlignment="1">
      <alignment horizontal="center"/>
    </xf>
    <xf numFmtId="183" fontId="42" fillId="4" borderId="0" xfId="0" applyNumberFormat="1" applyFont="1" applyFill="1" applyAlignment="1">
      <alignment horizontal="center"/>
    </xf>
    <xf numFmtId="0" fontId="9" fillId="38" borderId="47" xfId="0" applyFont="1" applyFill="1" applyBorder="1" applyAlignment="1">
      <alignment horizontal="center" vertical="top" wrapText="1"/>
    </xf>
    <xf numFmtId="0" fontId="6" fillId="38" borderId="47" xfId="0" applyFont="1" applyFill="1" applyBorder="1" applyAlignment="1">
      <alignment horizontal="center" vertical="top" wrapText="1"/>
    </xf>
    <xf numFmtId="0" fontId="33" fillId="38" borderId="47" xfId="0" applyFont="1" applyFill="1" applyBorder="1" applyAlignment="1">
      <alignment horizontal="left" vertical="top" wrapText="1" indent="1"/>
    </xf>
    <xf numFmtId="0" fontId="0" fillId="38" borderId="47" xfId="0" applyFill="1" applyBorder="1" applyAlignment="1">
      <alignment horizontal="left" vertical="top" wrapText="1" indent="1"/>
    </xf>
    <xf numFmtId="0" fontId="6" fillId="38" borderId="47" xfId="0" applyFont="1" applyFill="1" applyBorder="1" applyAlignment="1">
      <alignment horizontal="left" vertical="top" wrapText="1" indent="1"/>
    </xf>
    <xf numFmtId="0" fontId="4" fillId="38" borderId="47" xfId="0" applyFont="1" applyFill="1" applyBorder="1" applyAlignment="1">
      <alignment horizontal="center" vertical="center" wrapText="1"/>
    </xf>
    <xf numFmtId="0" fontId="0" fillId="38" borderId="47" xfId="0" applyFill="1" applyBorder="1" applyAlignment="1">
      <alignment horizontal="center" vertical="center" wrapText="1"/>
    </xf>
    <xf numFmtId="168" fontId="0" fillId="38" borderId="47" xfId="1" applyNumberFormat="1" applyFont="1" applyFill="1" applyBorder="1" applyAlignment="1">
      <alignment horizontal="center" vertical="center" wrapText="1"/>
    </xf>
    <xf numFmtId="184" fontId="0" fillId="38" borderId="47" xfId="1" applyNumberFormat="1" applyFont="1" applyFill="1" applyBorder="1" applyAlignment="1">
      <alignment horizontal="center" vertical="center" wrapText="1"/>
    </xf>
    <xf numFmtId="9" fontId="0" fillId="38" borderId="47" xfId="2" applyFont="1" applyFill="1" applyBorder="1" applyAlignment="1">
      <alignment horizontal="center" vertical="center" wrapText="1"/>
    </xf>
    <xf numFmtId="0" fontId="0" fillId="38" borderId="47" xfId="2" applyNumberFormat="1" applyFont="1" applyFill="1" applyBorder="1" applyAlignment="1">
      <alignment horizontal="center" vertical="center" wrapText="1"/>
    </xf>
    <xf numFmtId="168" fontId="0" fillId="38" borderId="47" xfId="2" applyNumberFormat="1" applyFont="1" applyFill="1" applyBorder="1" applyAlignment="1">
      <alignment horizontal="center" vertical="center" wrapText="1"/>
    </xf>
    <xf numFmtId="184" fontId="0" fillId="38" borderId="47" xfId="2" applyNumberFormat="1" applyFont="1" applyFill="1" applyBorder="1" applyAlignment="1">
      <alignment horizontal="center" vertical="center" wrapText="1"/>
    </xf>
    <xf numFmtId="0" fontId="6" fillId="38" borderId="0" xfId="0" applyFont="1" applyFill="1"/>
    <xf numFmtId="168" fontId="6" fillId="38" borderId="91" xfId="0" applyNumberFormat="1" applyFont="1" applyFill="1" applyBorder="1" applyAlignment="1">
      <alignment horizontal="center" vertical="top"/>
    </xf>
    <xf numFmtId="184" fontId="0" fillId="38" borderId="91" xfId="0" applyNumberFormat="1" applyFill="1" applyBorder="1" applyAlignment="1">
      <alignment horizontal="center" vertical="top"/>
    </xf>
    <xf numFmtId="181" fontId="0" fillId="38" borderId="91" xfId="0" applyNumberFormat="1" applyFill="1" applyBorder="1" applyAlignment="1">
      <alignment horizontal="center" vertical="top"/>
    </xf>
    <xf numFmtId="168" fontId="0" fillId="38" borderId="91" xfId="0" applyNumberFormat="1" applyFill="1" applyBorder="1" applyAlignment="1">
      <alignment horizontal="center" vertical="top"/>
    </xf>
    <xf numFmtId="3" fontId="0" fillId="38" borderId="91" xfId="0" applyNumberFormat="1" applyFill="1" applyBorder="1" applyAlignment="1">
      <alignment horizontal="center" vertical="top"/>
    </xf>
    <xf numFmtId="0" fontId="6" fillId="38" borderId="91" xfId="0" applyFont="1" applyFill="1" applyBorder="1" applyAlignment="1">
      <alignment horizontal="center" vertical="top" wrapText="1"/>
    </xf>
    <xf numFmtId="0" fontId="0" fillId="38" borderId="0" xfId="0" applyFill="1"/>
    <xf numFmtId="1" fontId="0" fillId="13" borderId="99" xfId="0" applyNumberFormat="1" applyFill="1" applyBorder="1" applyAlignment="1">
      <alignment horizontal="center" vertical="center"/>
    </xf>
    <xf numFmtId="0" fontId="4" fillId="11" borderId="11" xfId="0" applyFont="1" applyFill="1" applyBorder="1" applyAlignment="1">
      <alignment horizontal="right"/>
    </xf>
    <xf numFmtId="0" fontId="4" fillId="10" borderId="26" xfId="0" applyFont="1" applyFill="1" applyBorder="1" applyAlignment="1">
      <alignment horizontal="right"/>
    </xf>
    <xf numFmtId="0" fontId="4" fillId="10" borderId="10" xfId="0" applyFont="1" applyFill="1" applyBorder="1" applyAlignment="1">
      <alignment horizontal="right"/>
    </xf>
    <xf numFmtId="0" fontId="4" fillId="11" borderId="11" xfId="0" applyFont="1" applyFill="1" applyBorder="1" applyAlignment="1">
      <alignment horizontal="left"/>
    </xf>
    <xf numFmtId="168" fontId="0" fillId="37" borderId="44" xfId="2" applyNumberFormat="1" applyFont="1" applyFill="1" applyBorder="1" applyAlignment="1">
      <alignment horizontal="center" vertical="center" wrapText="1"/>
    </xf>
    <xf numFmtId="184" fontId="0" fillId="37" borderId="44" xfId="2" applyNumberFormat="1" applyFont="1" applyFill="1" applyBorder="1" applyAlignment="1">
      <alignment horizontal="center" vertical="center" wrapText="1"/>
    </xf>
    <xf numFmtId="9" fontId="0" fillId="3" borderId="18" xfId="0" applyNumberFormat="1" applyFill="1" applyBorder="1" applyAlignment="1">
      <alignment horizontal="right"/>
    </xf>
    <xf numFmtId="10" fontId="0" fillId="3" borderId="13" xfId="0" applyNumberFormat="1" applyFill="1" applyBorder="1" applyAlignment="1">
      <alignment horizontal="right"/>
    </xf>
    <xf numFmtId="0" fontId="20" fillId="8" borderId="100" xfId="0" applyFont="1" applyFill="1" applyBorder="1" applyAlignment="1" applyProtection="1">
      <alignment horizontal="left" vertical="top" wrapText="1" indent="1"/>
      <protection locked="0"/>
    </xf>
    <xf numFmtId="0" fontId="20" fillId="8" borderId="5" xfId="0" applyFont="1" applyFill="1" applyBorder="1" applyAlignment="1" applyProtection="1">
      <alignment vertical="center"/>
      <protection locked="0"/>
    </xf>
    <xf numFmtId="168" fontId="20" fillId="8" borderId="45" xfId="0" applyNumberFormat="1" applyFont="1" applyFill="1" applyBorder="1" applyAlignment="1" applyProtection="1">
      <alignment vertical="center"/>
      <protection locked="0"/>
    </xf>
    <xf numFmtId="168" fontId="20" fillId="13" borderId="45" xfId="0" applyNumberFormat="1" applyFont="1" applyFill="1" applyBorder="1" applyAlignment="1" applyProtection="1">
      <alignment vertical="center"/>
      <protection locked="0"/>
    </xf>
    <xf numFmtId="0" fontId="20" fillId="8" borderId="101" xfId="0" applyFont="1" applyFill="1" applyBorder="1" applyAlignment="1" applyProtection="1">
      <alignment horizontal="left" vertical="top" wrapText="1" indent="1"/>
      <protection locked="0"/>
    </xf>
    <xf numFmtId="0" fontId="20" fillId="8" borderId="102" xfId="0" applyFont="1" applyFill="1" applyBorder="1" applyAlignment="1" applyProtection="1">
      <alignment vertical="center"/>
      <protection locked="0"/>
    </xf>
    <xf numFmtId="168" fontId="20" fillId="8" borderId="102" xfId="0" applyNumberFormat="1" applyFont="1" applyFill="1" applyBorder="1" applyAlignment="1" applyProtection="1">
      <alignment horizontal="right" vertical="top"/>
      <protection locked="0"/>
    </xf>
    <xf numFmtId="168" fontId="20" fillId="13" borderId="103" xfId="0" applyNumberFormat="1" applyFont="1" applyFill="1" applyBorder="1" applyAlignment="1" applyProtection="1">
      <alignment vertical="center"/>
      <protection locked="0"/>
    </xf>
    <xf numFmtId="3" fontId="6" fillId="0" borderId="0" xfId="0" applyNumberFormat="1" applyFont="1" applyAlignment="1">
      <alignment horizontal="center"/>
    </xf>
    <xf numFmtId="8" fontId="6" fillId="0" borderId="0" xfId="0" applyNumberFormat="1" applyFont="1" applyAlignment="1">
      <alignment horizontal="center"/>
    </xf>
    <xf numFmtId="6" fontId="6" fillId="0" borderId="0" xfId="0" applyNumberFormat="1" applyFont="1" applyAlignment="1">
      <alignment horizontal="center"/>
    </xf>
    <xf numFmtId="0" fontId="6" fillId="0" borderId="104" xfId="0" applyFont="1" applyBorder="1" applyAlignment="1">
      <alignment horizontal="center" vertical="center"/>
    </xf>
    <xf numFmtId="178" fontId="6" fillId="0" borderId="104" xfId="0" applyNumberFormat="1" applyFont="1" applyBorder="1" applyAlignment="1">
      <alignment horizontal="center" vertical="center" wrapText="1"/>
    </xf>
    <xf numFmtId="10" fontId="6" fillId="0" borderId="104" xfId="0" applyNumberFormat="1" applyFont="1" applyBorder="1" applyAlignment="1">
      <alignment horizontal="center" vertical="center"/>
    </xf>
    <xf numFmtId="0" fontId="6" fillId="38" borderId="104" xfId="0" applyFont="1" applyFill="1" applyBorder="1" applyAlignment="1">
      <alignment horizontal="center" vertical="center"/>
    </xf>
    <xf numFmtId="178" fontId="6" fillId="38" borderId="104" xfId="0" applyNumberFormat="1" applyFont="1" applyFill="1" applyBorder="1" applyAlignment="1">
      <alignment horizontal="center" vertical="center" wrapText="1"/>
    </xf>
    <xf numFmtId="10" fontId="6" fillId="38" borderId="104" xfId="0" applyNumberFormat="1" applyFont="1" applyFill="1" applyBorder="1" applyAlignment="1">
      <alignment horizontal="center" vertical="center"/>
    </xf>
    <xf numFmtId="0" fontId="3" fillId="14" borderId="60" xfId="4" applyBorder="1" applyAlignment="1">
      <alignment horizontal="left" vertical="center" wrapText="1"/>
    </xf>
    <xf numFmtId="0" fontId="3" fillId="14" borderId="42" xfId="4" applyBorder="1" applyAlignment="1">
      <alignment horizontal="left" vertical="center" wrapText="1"/>
    </xf>
    <xf numFmtId="0" fontId="3" fillId="14" borderId="107" xfId="4" applyBorder="1" applyAlignment="1">
      <alignment horizontal="left" vertical="center" wrapText="1"/>
    </xf>
    <xf numFmtId="0" fontId="3" fillId="14" borderId="108" xfId="4" applyBorder="1" applyAlignment="1">
      <alignment horizontal="left" vertical="center" wrapText="1"/>
    </xf>
    <xf numFmtId="9" fontId="4" fillId="3" borderId="11" xfId="2" applyFont="1" applyFill="1" applyBorder="1" applyAlignment="1">
      <alignment horizontal="right"/>
    </xf>
    <xf numFmtId="0" fontId="9" fillId="31" borderId="0" xfId="0" applyFont="1" applyFill="1" applyAlignment="1">
      <alignment horizontal="left" indent="1"/>
    </xf>
    <xf numFmtId="0" fontId="6" fillId="8" borderId="85" xfId="0" applyFont="1" applyFill="1" applyBorder="1" applyAlignment="1">
      <alignment horizontal="center" vertical="top"/>
    </xf>
    <xf numFmtId="0" fontId="24" fillId="8" borderId="104" xfId="0" applyFont="1" applyFill="1" applyBorder="1" applyAlignment="1">
      <alignment horizontal="left" vertical="top" wrapText="1" indent="1"/>
    </xf>
    <xf numFmtId="0" fontId="4" fillId="0" borderId="104" xfId="0" applyFont="1" applyBorder="1" applyAlignment="1">
      <alignment horizontal="center" vertical="center" wrapText="1"/>
    </xf>
    <xf numFmtId="0" fontId="39" fillId="0" borderId="0" xfId="0" applyFont="1" applyAlignment="1">
      <alignment horizontal="center"/>
    </xf>
    <xf numFmtId="10" fontId="0" fillId="0" borderId="0" xfId="0" applyNumberFormat="1"/>
    <xf numFmtId="0" fontId="44" fillId="0" borderId="0" xfId="0" applyFont="1"/>
    <xf numFmtId="3" fontId="6" fillId="0" borderId="0" xfId="0" applyNumberFormat="1" applyFont="1"/>
    <xf numFmtId="195" fontId="6" fillId="0" borderId="0" xfId="0" applyNumberFormat="1" applyFont="1"/>
    <xf numFmtId="0" fontId="10" fillId="0" borderId="0" xfId="0" applyFont="1" applyAlignment="1">
      <alignment horizontal="left" indent="1"/>
    </xf>
    <xf numFmtId="0" fontId="21" fillId="0" borderId="0" xfId="0" applyFont="1" applyAlignment="1">
      <alignment horizontal="left" indent="2"/>
    </xf>
    <xf numFmtId="10" fontId="14" fillId="0" borderId="0" xfId="0" applyNumberFormat="1" applyFont="1"/>
    <xf numFmtId="0" fontId="40" fillId="0" borderId="27" xfId="0" applyFont="1" applyBorder="1" applyAlignment="1">
      <alignment horizontal="left" indent="2"/>
    </xf>
    <xf numFmtId="10" fontId="45" fillId="0" borderId="27" xfId="0" applyNumberFormat="1" applyFont="1" applyBorder="1"/>
    <xf numFmtId="0" fontId="6" fillId="0" borderId="0" xfId="0" applyFont="1" applyAlignment="1">
      <alignment horizontal="left" indent="1"/>
    </xf>
    <xf numFmtId="0" fontId="40" fillId="0" borderId="0" xfId="0" applyFont="1"/>
    <xf numFmtId="0" fontId="4" fillId="0" borderId="109" xfId="7"/>
    <xf numFmtId="195" fontId="4" fillId="0" borderId="109" xfId="7" applyNumberFormat="1"/>
    <xf numFmtId="0" fontId="47" fillId="0" borderId="0" xfId="0" applyFont="1" applyAlignment="1">
      <alignment wrapText="1"/>
    </xf>
    <xf numFmtId="0" fontId="47" fillId="0" borderId="0" xfId="0" applyFont="1"/>
    <xf numFmtId="0" fontId="48" fillId="0" borderId="12" xfId="0" applyFont="1" applyBorder="1"/>
    <xf numFmtId="0" fontId="48" fillId="0" borderId="0" xfId="0" applyFont="1"/>
    <xf numFmtId="0" fontId="47" fillId="0" borderId="0" xfId="0" applyFont="1" applyAlignment="1">
      <alignment horizontal="center"/>
    </xf>
    <xf numFmtId="185" fontId="48" fillId="0" borderId="0" xfId="0" applyNumberFormat="1" applyFont="1" applyAlignment="1">
      <alignment horizontal="right"/>
    </xf>
    <xf numFmtId="185" fontId="48" fillId="8" borderId="0" xfId="0" applyNumberFormat="1" applyFont="1" applyFill="1" applyAlignment="1">
      <alignment horizontal="right"/>
    </xf>
    <xf numFmtId="1" fontId="48" fillId="0" borderId="12" xfId="0" applyNumberFormat="1" applyFont="1" applyBorder="1"/>
    <xf numFmtId="196" fontId="48" fillId="0" borderId="0" xfId="0" applyNumberFormat="1" applyFont="1" applyAlignment="1">
      <alignment horizontal="right"/>
    </xf>
    <xf numFmtId="0" fontId="3" fillId="14" borderId="87" xfId="4" applyBorder="1" applyAlignment="1">
      <alignment horizontal="center" vertical="center" wrapText="1"/>
    </xf>
    <xf numFmtId="9" fontId="6" fillId="0" borderId="104" xfId="0" applyNumberFormat="1" applyFont="1" applyBorder="1" applyAlignment="1">
      <alignment horizontal="center" vertical="center"/>
    </xf>
    <xf numFmtId="173" fontId="6" fillId="0" borderId="104" xfId="0" applyNumberFormat="1" applyFont="1" applyBorder="1" applyAlignment="1">
      <alignment horizontal="right" vertical="center" indent="1"/>
    </xf>
    <xf numFmtId="0" fontId="3" fillId="14" borderId="104" xfId="4" applyBorder="1" applyAlignment="1">
      <alignment horizontal="center" vertical="center" wrapText="1"/>
    </xf>
    <xf numFmtId="173" fontId="6" fillId="0" borderId="87" xfId="0" applyNumberFormat="1" applyFont="1" applyBorder="1" applyAlignment="1">
      <alignment horizontal="right" vertical="center" indent="1"/>
    </xf>
    <xf numFmtId="9" fontId="6" fillId="0" borderId="53" xfId="0" applyNumberFormat="1" applyFont="1" applyBorder="1" applyAlignment="1">
      <alignment horizontal="center" vertical="center"/>
    </xf>
    <xf numFmtId="173" fontId="6" fillId="0" borderId="52" xfId="0" applyNumberFormat="1" applyFont="1" applyBorder="1" applyAlignment="1">
      <alignment horizontal="right" vertical="center" indent="1"/>
    </xf>
    <xf numFmtId="0" fontId="48" fillId="0" borderId="24" xfId="0" applyFont="1" applyBorder="1"/>
    <xf numFmtId="0" fontId="48" fillId="0" borderId="38" xfId="0" applyFont="1" applyBorder="1"/>
    <xf numFmtId="168" fontId="6" fillId="0" borderId="104" xfId="0" applyNumberFormat="1" applyFont="1" applyBorder="1" applyAlignment="1">
      <alignment horizontal="right" vertical="center" indent="1"/>
    </xf>
    <xf numFmtId="168" fontId="6" fillId="0" borderId="87" xfId="0" applyNumberFormat="1" applyFont="1" applyBorder="1" applyAlignment="1">
      <alignment horizontal="right" vertical="center" indent="1"/>
    </xf>
    <xf numFmtId="168" fontId="6" fillId="0" borderId="52" xfId="0" applyNumberFormat="1" applyFont="1" applyBorder="1" applyAlignment="1">
      <alignment horizontal="right" vertical="center" indent="1"/>
    </xf>
    <xf numFmtId="9" fontId="6" fillId="0" borderId="8" xfId="0" applyNumberFormat="1" applyFont="1" applyBorder="1" applyAlignment="1">
      <alignment horizontal="center" vertical="center"/>
    </xf>
    <xf numFmtId="173" fontId="6" fillId="0" borderId="8" xfId="0" applyNumberFormat="1" applyFont="1" applyBorder="1" applyAlignment="1">
      <alignment horizontal="right" vertical="center" indent="1"/>
    </xf>
    <xf numFmtId="0" fontId="48" fillId="8" borderId="0" xfId="0" applyFont="1" applyFill="1"/>
    <xf numFmtId="0" fontId="47" fillId="8" borderId="0" xfId="0" applyFont="1" applyFill="1" applyAlignment="1">
      <alignment horizontal="center"/>
    </xf>
    <xf numFmtId="3" fontId="48" fillId="8" borderId="0" xfId="0" applyNumberFormat="1" applyFont="1" applyFill="1" applyAlignment="1">
      <alignment horizontal="right"/>
    </xf>
    <xf numFmtId="0" fontId="49" fillId="0" borderId="0" xfId="0" applyFont="1" applyAlignment="1">
      <alignment horizontal="center"/>
    </xf>
    <xf numFmtId="0" fontId="9" fillId="22" borderId="87" xfId="0" applyFont="1" applyFill="1" applyBorder="1" applyAlignment="1">
      <alignment horizontal="center" vertical="top" wrapText="1"/>
    </xf>
    <xf numFmtId="0" fontId="9" fillId="22" borderId="87" xfId="0" applyFont="1" applyFill="1" applyBorder="1" applyAlignment="1">
      <alignment horizontal="center" vertical="center" wrapText="1"/>
    </xf>
    <xf numFmtId="3" fontId="8" fillId="0" borderId="0" xfId="0" applyNumberFormat="1" applyFont="1"/>
    <xf numFmtId="4" fontId="8" fillId="0" borderId="0" xfId="0" applyNumberFormat="1" applyFont="1"/>
    <xf numFmtId="0" fontId="9" fillId="16" borderId="13" xfId="0" applyFont="1" applyFill="1" applyBorder="1" applyAlignment="1">
      <alignment horizontal="center"/>
    </xf>
    <xf numFmtId="0" fontId="9" fillId="16" borderId="12" xfId="0" applyFont="1" applyFill="1" applyBorder="1" applyAlignment="1">
      <alignment horizontal="center"/>
    </xf>
    <xf numFmtId="0" fontId="9" fillId="16" borderId="13" xfId="0" applyFont="1" applyFill="1" applyBorder="1"/>
    <xf numFmtId="0" fontId="9" fillId="16" borderId="12" xfId="0" applyFont="1" applyFill="1" applyBorder="1" applyAlignment="1">
      <alignment horizontal="center" vertical="center"/>
    </xf>
    <xf numFmtId="173" fontId="34" fillId="16" borderId="0" xfId="0" applyNumberFormat="1" applyFont="1" applyFill="1"/>
    <xf numFmtId="0" fontId="9" fillId="16" borderId="13" xfId="0" applyFont="1" applyFill="1" applyBorder="1" applyAlignment="1">
      <alignment horizontal="center" vertical="center"/>
    </xf>
    <xf numFmtId="173" fontId="0" fillId="16" borderId="0" xfId="0" applyNumberFormat="1" applyFill="1"/>
    <xf numFmtId="0" fontId="0" fillId="16" borderId="26" xfId="0" applyFill="1" applyBorder="1"/>
    <xf numFmtId="0" fontId="0" fillId="16" borderId="24" xfId="0" applyFill="1" applyBorder="1"/>
    <xf numFmtId="9" fontId="0" fillId="16" borderId="24" xfId="0" applyNumberFormat="1" applyFill="1" applyBorder="1" applyAlignment="1">
      <alignment horizontal="center"/>
    </xf>
    <xf numFmtId="0" fontId="0" fillId="16" borderId="38" xfId="0" applyFill="1" applyBorder="1"/>
    <xf numFmtId="0" fontId="9" fillId="16" borderId="26" xfId="0" applyFont="1" applyFill="1" applyBorder="1" applyAlignment="1">
      <alignment horizontal="center" vertical="center"/>
    </xf>
    <xf numFmtId="173" fontId="0" fillId="16" borderId="24" xfId="0" applyNumberFormat="1" applyFill="1" applyBorder="1"/>
    <xf numFmtId="0" fontId="9" fillId="16" borderId="24" xfId="0" applyFont="1" applyFill="1" applyBorder="1" applyAlignment="1">
      <alignment horizontal="center"/>
    </xf>
    <xf numFmtId="0" fontId="9" fillId="16" borderId="24" xfId="0" applyFont="1" applyFill="1" applyBorder="1" applyAlignment="1">
      <alignment horizontal="center" vertical="center"/>
    </xf>
    <xf numFmtId="0" fontId="9" fillId="16" borderId="38" xfId="0" applyFont="1" applyFill="1" applyBorder="1" applyAlignment="1">
      <alignment horizontal="center" vertical="center"/>
    </xf>
    <xf numFmtId="0" fontId="3" fillId="39" borderId="26" xfId="5" applyBorder="1" applyAlignment="1">
      <alignment horizontal="center" vertical="center"/>
    </xf>
    <xf numFmtId="0" fontId="4" fillId="22" borderId="107" xfId="0" applyFont="1" applyFill="1" applyBorder="1" applyAlignment="1">
      <alignment horizontal="center" vertical="center" wrapText="1"/>
    </xf>
    <xf numFmtId="0" fontId="4" fillId="33" borderId="112" xfId="0" applyFont="1" applyFill="1" applyBorder="1" applyAlignment="1">
      <alignment horizontal="center" vertical="center" wrapText="1"/>
    </xf>
    <xf numFmtId="0" fontId="6" fillId="0" borderId="104" xfId="0" applyFont="1" applyBorder="1" applyAlignment="1">
      <alignment horizontal="left" vertical="top" wrapText="1" indent="1"/>
    </xf>
    <xf numFmtId="0" fontId="24" fillId="0" borderId="104" xfId="0" applyFont="1" applyBorder="1" applyAlignment="1">
      <alignment horizontal="left" vertical="top" wrapText="1" indent="1"/>
    </xf>
    <xf numFmtId="0" fontId="24" fillId="0" borderId="104" xfId="0" applyFont="1" applyBorder="1" applyAlignment="1">
      <alignment horizontal="center" vertical="top" wrapText="1"/>
    </xf>
    <xf numFmtId="0" fontId="6" fillId="0" borderId="53" xfId="0" applyFont="1" applyBorder="1" applyAlignment="1">
      <alignment horizontal="left" vertical="top" wrapText="1" indent="1"/>
    </xf>
    <xf numFmtId="0" fontId="24" fillId="0" borderId="53" xfId="0" applyFont="1" applyBorder="1" applyAlignment="1">
      <alignment horizontal="left" vertical="top" wrapText="1" indent="1"/>
    </xf>
    <xf numFmtId="0" fontId="24" fillId="0" borderId="53" xfId="0" applyFont="1" applyBorder="1" applyAlignment="1">
      <alignment horizontal="center" vertical="top" wrapText="1"/>
    </xf>
    <xf numFmtId="193" fontId="4" fillId="22" borderId="107" xfId="0" applyNumberFormat="1" applyFont="1" applyFill="1" applyBorder="1" applyAlignment="1">
      <alignment horizontal="center" vertical="center" wrapText="1"/>
    </xf>
    <xf numFmtId="0" fontId="6" fillId="8" borderId="61" xfId="0" applyFont="1" applyFill="1" applyBorder="1" applyAlignment="1">
      <alignment horizontal="center" vertical="top"/>
    </xf>
    <xf numFmtId="0" fontId="6" fillId="0" borderId="60" xfId="0" applyFont="1" applyBorder="1" applyAlignment="1">
      <alignment horizontal="left" vertical="top" wrapText="1" indent="1"/>
    </xf>
    <xf numFmtId="0" fontId="24" fillId="8" borderId="60" xfId="0" applyFont="1" applyFill="1" applyBorder="1" applyAlignment="1">
      <alignment horizontal="left" vertical="top" wrapText="1" indent="1"/>
    </xf>
    <xf numFmtId="0" fontId="24" fillId="0" borderId="60" xfId="0" applyFont="1" applyBorder="1" applyAlignment="1">
      <alignment horizontal="left" vertical="top" wrapText="1" indent="1"/>
    </xf>
    <xf numFmtId="0" fontId="24" fillId="0" borderId="60" xfId="0" applyFont="1" applyBorder="1" applyAlignment="1">
      <alignment horizontal="center" vertical="top" wrapText="1"/>
    </xf>
    <xf numFmtId="0" fontId="4" fillId="0" borderId="60" xfId="0" applyFont="1" applyBorder="1" applyAlignment="1">
      <alignment horizontal="center" vertical="center" wrapText="1"/>
    </xf>
    <xf numFmtId="0" fontId="4" fillId="16" borderId="41" xfId="0" applyFont="1" applyFill="1" applyBorder="1" applyAlignment="1">
      <alignment horizontal="center" vertical="center"/>
    </xf>
    <xf numFmtId="181" fontId="30" fillId="40" borderId="40" xfId="0" applyNumberFormat="1" applyFont="1" applyFill="1" applyBorder="1" applyAlignment="1">
      <alignment horizontal="center" vertical="center"/>
    </xf>
    <xf numFmtId="181" fontId="30" fillId="40" borderId="39" xfId="0" applyNumberFormat="1" applyFont="1" applyFill="1" applyBorder="1" applyAlignment="1">
      <alignment horizontal="center" vertical="center"/>
    </xf>
    <xf numFmtId="0" fontId="4" fillId="15" borderId="100" xfId="0" applyFont="1" applyFill="1" applyBorder="1" applyAlignment="1">
      <alignment horizontal="center" vertical="center"/>
    </xf>
    <xf numFmtId="181" fontId="30" fillId="0" borderId="95" xfId="0" applyNumberFormat="1" applyFont="1" applyBorder="1" applyAlignment="1">
      <alignment horizontal="center" vertical="center"/>
    </xf>
    <xf numFmtId="181" fontId="30" fillId="0" borderId="92" xfId="0" applyNumberFormat="1" applyFont="1" applyBorder="1" applyAlignment="1">
      <alignment horizontal="center" vertical="center"/>
    </xf>
    <xf numFmtId="0" fontId="4" fillId="16" borderId="100" xfId="0" applyFont="1" applyFill="1" applyBorder="1" applyAlignment="1">
      <alignment horizontal="center" vertical="center"/>
    </xf>
    <xf numFmtId="181" fontId="30" fillId="40" borderId="95" xfId="0" applyNumberFormat="1" applyFont="1" applyFill="1" applyBorder="1" applyAlignment="1">
      <alignment horizontal="center" vertical="center"/>
    </xf>
    <xf numFmtId="181" fontId="30" fillId="40" borderId="92" xfId="0" applyNumberFormat="1" applyFont="1" applyFill="1" applyBorder="1" applyAlignment="1">
      <alignment horizontal="center" vertical="center"/>
    </xf>
    <xf numFmtId="0" fontId="4" fillId="16" borderId="101" xfId="0" applyFont="1" applyFill="1" applyBorder="1" applyAlignment="1">
      <alignment horizontal="center" vertical="center"/>
    </xf>
    <xf numFmtId="181" fontId="30" fillId="40" borderId="102" xfId="0" applyNumberFormat="1" applyFont="1" applyFill="1" applyBorder="1" applyAlignment="1">
      <alignment horizontal="center" vertical="center"/>
    </xf>
    <xf numFmtId="181" fontId="30" fillId="40" borderId="103" xfId="0" applyNumberFormat="1" applyFont="1" applyFill="1" applyBorder="1" applyAlignment="1">
      <alignment horizontal="center" vertical="center"/>
    </xf>
    <xf numFmtId="10" fontId="30" fillId="40" borderId="40" xfId="0" applyNumberFormat="1" applyFont="1" applyFill="1" applyBorder="1" applyAlignment="1">
      <alignment horizontal="center" vertical="center"/>
    </xf>
    <xf numFmtId="10" fontId="30" fillId="40" borderId="39" xfId="0" applyNumberFormat="1" applyFont="1" applyFill="1" applyBorder="1" applyAlignment="1">
      <alignment horizontal="center" vertical="center"/>
    </xf>
    <xf numFmtId="10" fontId="30" fillId="0" borderId="95" xfId="0" applyNumberFormat="1" applyFont="1" applyBorder="1" applyAlignment="1">
      <alignment horizontal="center" vertical="center"/>
    </xf>
    <xf numFmtId="10" fontId="30" fillId="0" borderId="92" xfId="0" applyNumberFormat="1" applyFont="1" applyBorder="1" applyAlignment="1">
      <alignment horizontal="center" vertical="center"/>
    </xf>
    <xf numFmtId="10" fontId="30" fillId="40" borderId="95" xfId="0" applyNumberFormat="1" applyFont="1" applyFill="1" applyBorder="1" applyAlignment="1">
      <alignment horizontal="center" vertical="center"/>
    </xf>
    <xf numFmtId="10" fontId="30" fillId="40" borderId="92" xfId="0" applyNumberFormat="1" applyFont="1" applyFill="1" applyBorder="1" applyAlignment="1">
      <alignment horizontal="center" vertical="center"/>
    </xf>
    <xf numFmtId="10" fontId="30" fillId="40" borderId="102" xfId="0" applyNumberFormat="1" applyFont="1" applyFill="1" applyBorder="1" applyAlignment="1">
      <alignment horizontal="center" vertical="center"/>
    </xf>
    <xf numFmtId="10" fontId="30" fillId="40" borderId="103" xfId="0" applyNumberFormat="1" applyFont="1" applyFill="1" applyBorder="1" applyAlignment="1">
      <alignment horizontal="center" vertical="center"/>
    </xf>
    <xf numFmtId="9" fontId="30" fillId="40" borderId="40" xfId="0" applyNumberFormat="1" applyFont="1" applyFill="1" applyBorder="1" applyAlignment="1">
      <alignment horizontal="center" vertical="center"/>
    </xf>
    <xf numFmtId="9" fontId="30" fillId="40" borderId="39" xfId="0" applyNumberFormat="1" applyFont="1" applyFill="1" applyBorder="1" applyAlignment="1">
      <alignment horizontal="center" vertical="center"/>
    </xf>
    <xf numFmtId="9" fontId="30" fillId="0" borderId="95" xfId="0" applyNumberFormat="1" applyFont="1" applyBorder="1" applyAlignment="1">
      <alignment horizontal="center" vertical="center"/>
    </xf>
    <xf numFmtId="9" fontId="30" fillId="19" borderId="92" xfId="0" applyNumberFormat="1" applyFont="1" applyFill="1" applyBorder="1" applyAlignment="1">
      <alignment horizontal="center" vertical="center"/>
    </xf>
    <xf numFmtId="9" fontId="30" fillId="40" borderId="95" xfId="0" applyNumberFormat="1" applyFont="1" applyFill="1" applyBorder="1" applyAlignment="1">
      <alignment horizontal="center" vertical="center"/>
    </xf>
    <xf numFmtId="9" fontId="30" fillId="40" borderId="92" xfId="0" applyNumberFormat="1" applyFont="1" applyFill="1" applyBorder="1" applyAlignment="1">
      <alignment horizontal="center" vertical="center"/>
    </xf>
    <xf numFmtId="9" fontId="30" fillId="19" borderId="95" xfId="0" applyNumberFormat="1" applyFont="1" applyFill="1" applyBorder="1" applyAlignment="1">
      <alignment horizontal="center" vertical="center"/>
    </xf>
    <xf numFmtId="0" fontId="4" fillId="15" borderId="101" xfId="0" applyFont="1" applyFill="1" applyBorder="1" applyAlignment="1">
      <alignment horizontal="center" vertical="center"/>
    </xf>
    <xf numFmtId="0" fontId="3" fillId="39" borderId="24" xfId="5" applyBorder="1" applyAlignment="1">
      <alignment horizontal="center" vertical="center" wrapText="1"/>
    </xf>
    <xf numFmtId="0" fontId="3" fillId="39" borderId="38" xfId="5" applyBorder="1" applyAlignment="1">
      <alignment horizontal="center" vertical="center" wrapText="1"/>
    </xf>
    <xf numFmtId="10" fontId="30" fillId="40" borderId="41" xfId="0" applyNumberFormat="1" applyFont="1" applyFill="1" applyBorder="1" applyAlignment="1">
      <alignment horizontal="center" vertical="center"/>
    </xf>
    <xf numFmtId="10" fontId="30" fillId="0" borderId="100" xfId="0" applyNumberFormat="1" applyFont="1" applyBorder="1" applyAlignment="1">
      <alignment horizontal="center" vertical="center"/>
    </xf>
    <xf numFmtId="10" fontId="30" fillId="40" borderId="100" xfId="0" applyNumberFormat="1" applyFont="1" applyFill="1" applyBorder="1" applyAlignment="1">
      <alignment horizontal="center" vertical="center"/>
    </xf>
    <xf numFmtId="10" fontId="30" fillId="40" borderId="101" xfId="0" applyNumberFormat="1" applyFont="1" applyFill="1" applyBorder="1" applyAlignment="1">
      <alignment horizontal="center" vertical="center"/>
    </xf>
    <xf numFmtId="168" fontId="30" fillId="40" borderId="41" xfId="0" applyNumberFormat="1" applyFont="1" applyFill="1" applyBorder="1" applyAlignment="1">
      <alignment horizontal="center" vertical="center"/>
    </xf>
    <xf numFmtId="168" fontId="30" fillId="40" borderId="39" xfId="0" applyNumberFormat="1" applyFont="1" applyFill="1" applyBorder="1" applyAlignment="1">
      <alignment horizontal="center" vertical="center"/>
    </xf>
    <xf numFmtId="168" fontId="30" fillId="0" borderId="100" xfId="0" applyNumberFormat="1" applyFont="1" applyBorder="1" applyAlignment="1">
      <alignment horizontal="center" vertical="center"/>
    </xf>
    <xf numFmtId="168" fontId="30" fillId="0" borderId="92" xfId="0" applyNumberFormat="1" applyFont="1" applyBorder="1" applyAlignment="1">
      <alignment horizontal="center" vertical="center"/>
    </xf>
    <xf numFmtId="168" fontId="30" fillId="40" borderId="100" xfId="0" applyNumberFormat="1" applyFont="1" applyFill="1" applyBorder="1" applyAlignment="1">
      <alignment horizontal="center" vertical="center"/>
    </xf>
    <xf numFmtId="168" fontId="30" fillId="40" borderId="92" xfId="0" applyNumberFormat="1" applyFont="1" applyFill="1" applyBorder="1" applyAlignment="1">
      <alignment horizontal="center" vertical="center"/>
    </xf>
    <xf numFmtId="168" fontId="30" fillId="40" borderId="101" xfId="0" applyNumberFormat="1" applyFont="1" applyFill="1" applyBorder="1" applyAlignment="1">
      <alignment horizontal="center" vertical="center"/>
    </xf>
    <xf numFmtId="168" fontId="30" fillId="40" borderId="103" xfId="0" applyNumberFormat="1" applyFont="1" applyFill="1" applyBorder="1" applyAlignment="1">
      <alignment horizontal="center" vertical="center"/>
    </xf>
    <xf numFmtId="0" fontId="28" fillId="0" borderId="113" xfId="0" applyFont="1" applyBorder="1" applyAlignment="1">
      <alignment horizontal="center" vertical="center"/>
    </xf>
    <xf numFmtId="0" fontId="28" fillId="0" borderId="114" xfId="0" applyFont="1" applyBorder="1" applyAlignment="1">
      <alignment horizontal="center" vertical="center"/>
    </xf>
    <xf numFmtId="0" fontId="28" fillId="0" borderId="115" xfId="0" applyFont="1" applyBorder="1" applyAlignment="1">
      <alignment horizontal="center" vertical="center"/>
    </xf>
    <xf numFmtId="0" fontId="6" fillId="0" borderId="0" xfId="0" applyFont="1" applyAlignment="1">
      <alignment horizontal="center" vertical="top" wrapText="1"/>
    </xf>
    <xf numFmtId="0" fontId="6" fillId="0" borderId="0" xfId="0" applyFont="1" applyAlignment="1">
      <alignment horizontal="left" vertical="center" wrapText="1" indent="1"/>
    </xf>
    <xf numFmtId="0" fontId="6" fillId="0" borderId="0" xfId="0" applyFont="1" applyAlignment="1">
      <alignment horizontal="center" vertical="center" wrapText="1"/>
    </xf>
    <xf numFmtId="0" fontId="6" fillId="0" borderId="95" xfId="0" applyFont="1" applyBorder="1" applyAlignment="1">
      <alignment horizontal="left" vertical="top" wrapText="1"/>
    </xf>
    <xf numFmtId="0" fontId="0" fillId="0" borderId="0" xfId="0" applyAlignment="1">
      <alignment horizontal="left" vertical="top"/>
    </xf>
    <xf numFmtId="0" fontId="9" fillId="0" borderId="95" xfId="0" applyFont="1" applyBorder="1" applyAlignment="1">
      <alignment horizontal="center" vertical="top"/>
    </xf>
    <xf numFmtId="0" fontId="6" fillId="0" borderId="27" xfId="0" applyFont="1" applyBorder="1" applyAlignment="1">
      <alignment horizontal="left" vertical="top" wrapText="1"/>
    </xf>
    <xf numFmtId="0" fontId="6" fillId="0" borderId="77" xfId="0" applyFont="1" applyBorder="1" applyAlignment="1">
      <alignment horizontal="left" vertical="top" wrapText="1"/>
    </xf>
    <xf numFmtId="0" fontId="9" fillId="0" borderId="27" xfId="0" applyFont="1" applyBorder="1" applyAlignment="1">
      <alignment horizontal="center" vertical="top"/>
    </xf>
    <xf numFmtId="0" fontId="9" fillId="0" borderId="0" xfId="0" applyFont="1" applyAlignment="1">
      <alignment horizontal="left" vertical="top" wrapText="1"/>
    </xf>
    <xf numFmtId="0" fontId="0" fillId="0" borderId="5" xfId="0" applyBorder="1" applyAlignment="1">
      <alignment horizontal="left" vertical="top" wrapText="1"/>
    </xf>
    <xf numFmtId="0" fontId="6" fillId="0" borderId="95" xfId="0" applyFont="1" applyBorder="1" applyAlignment="1">
      <alignment horizontal="left" vertical="top" wrapText="1" indent="1"/>
    </xf>
    <xf numFmtId="0" fontId="0" fillId="0" borderId="0" xfId="0" applyAlignment="1">
      <alignment vertical="center"/>
    </xf>
    <xf numFmtId="0" fontId="15" fillId="8" borderId="104" xfId="0" applyFont="1" applyFill="1" applyBorder="1" applyAlignment="1">
      <alignment horizontal="left" vertical="top" wrapText="1" indent="1"/>
    </xf>
    <xf numFmtId="0" fontId="15" fillId="8" borderId="104" xfId="0" applyFont="1" applyFill="1" applyBorder="1" applyAlignment="1">
      <alignment horizontal="left" vertical="center" wrapText="1" indent="1"/>
    </xf>
    <xf numFmtId="9" fontId="20" fillId="28" borderId="104" xfId="2" applyFont="1" applyFill="1" applyBorder="1" applyAlignment="1">
      <alignment horizontal="left" indent="1"/>
    </xf>
    <xf numFmtId="1" fontId="3" fillId="14" borderId="41" xfId="4" applyNumberFormat="1" applyBorder="1" applyAlignment="1">
      <alignment horizontal="center"/>
    </xf>
    <xf numFmtId="0" fontId="3" fillId="14" borderId="40" xfId="4" applyBorder="1" applyAlignment="1">
      <alignment horizontal="center"/>
    </xf>
    <xf numFmtId="171" fontId="3" fillId="14" borderId="41" xfId="4" applyNumberFormat="1" applyBorder="1" applyAlignment="1">
      <alignment horizontal="center" wrapText="1"/>
    </xf>
    <xf numFmtId="170" fontId="3" fillId="14" borderId="40" xfId="4" applyNumberFormat="1" applyBorder="1" applyAlignment="1">
      <alignment horizontal="center" wrapText="1"/>
    </xf>
    <xf numFmtId="169" fontId="3" fillId="14" borderId="39" xfId="4" applyNumberFormat="1" applyBorder="1" applyAlignment="1">
      <alignment horizontal="center" wrapText="1"/>
    </xf>
    <xf numFmtId="0" fontId="0" fillId="8" borderId="87" xfId="0" applyFill="1" applyBorder="1" applyAlignment="1">
      <alignment horizontal="left"/>
    </xf>
    <xf numFmtId="0" fontId="6" fillId="4" borderId="95" xfId="0" applyFont="1" applyFill="1" applyBorder="1" applyAlignment="1">
      <alignment horizontal="center" vertical="top" wrapText="1"/>
    </xf>
    <xf numFmtId="165" fontId="6" fillId="0" borderId="95" xfId="0" applyNumberFormat="1" applyFont="1" applyBorder="1" applyAlignment="1">
      <alignment horizontal="center" vertical="top" wrapText="1"/>
    </xf>
    <xf numFmtId="0" fontId="25" fillId="16" borderId="8" xfId="0" applyFont="1" applyFill="1" applyBorder="1" applyAlignment="1">
      <alignment horizontal="left" vertical="top"/>
    </xf>
    <xf numFmtId="6" fontId="0" fillId="16" borderId="8" xfId="0" applyNumberFormat="1" applyFill="1" applyBorder="1"/>
    <xf numFmtId="0" fontId="25" fillId="16" borderId="19" xfId="0" applyFont="1" applyFill="1" applyBorder="1" applyAlignment="1">
      <alignment horizontal="left" vertical="top"/>
    </xf>
    <xf numFmtId="0" fontId="25" fillId="16" borderId="26" xfId="0" applyFont="1" applyFill="1" applyBorder="1" applyAlignment="1">
      <alignment horizontal="left" vertical="top"/>
    </xf>
    <xf numFmtId="0" fontId="25" fillId="16" borderId="24" xfId="0" applyFont="1" applyFill="1" applyBorder="1" applyAlignment="1">
      <alignment horizontal="left" vertical="top"/>
    </xf>
    <xf numFmtId="175" fontId="1" fillId="16" borderId="24" xfId="2" applyNumberFormat="1" applyFont="1" applyFill="1" applyBorder="1"/>
    <xf numFmtId="0" fontId="25" fillId="16" borderId="38" xfId="0" applyFont="1" applyFill="1" applyBorder="1" applyAlignment="1">
      <alignment horizontal="left" vertical="top"/>
    </xf>
    <xf numFmtId="0" fontId="0" fillId="18" borderId="20" xfId="3" applyFont="1" applyBorder="1"/>
    <xf numFmtId="0" fontId="0" fillId="0" borderId="27" xfId="0" applyBorder="1" applyAlignment="1">
      <alignment horizontal="left" vertical="top" wrapText="1"/>
    </xf>
    <xf numFmtId="0" fontId="0" fillId="0" borderId="27" xfId="0" applyBorder="1"/>
    <xf numFmtId="0" fontId="0" fillId="0" borderId="27" xfId="0" applyBorder="1" applyAlignment="1">
      <alignment horizontal="center"/>
    </xf>
    <xf numFmtId="168" fontId="0" fillId="0" borderId="0" xfId="0" applyNumberFormat="1" applyAlignment="1">
      <alignment horizontal="left" vertical="top"/>
    </xf>
    <xf numFmtId="168" fontId="9" fillId="0" borderId="102" xfId="0" applyNumberFormat="1" applyFont="1" applyBorder="1"/>
    <xf numFmtId="0" fontId="9" fillId="0" borderId="102" xfId="0" applyFont="1" applyBorder="1"/>
    <xf numFmtId="168" fontId="3" fillId="39" borderId="0" xfId="5" applyNumberFormat="1" applyBorder="1" applyAlignment="1">
      <alignment horizontal="right" vertical="center"/>
    </xf>
    <xf numFmtId="0" fontId="4" fillId="0" borderId="102" xfId="0" applyFont="1" applyBorder="1" applyAlignment="1">
      <alignment horizontal="center" vertical="center"/>
    </xf>
    <xf numFmtId="0" fontId="6" fillId="8" borderId="104" xfId="0" applyFont="1" applyFill="1" applyBorder="1" applyAlignment="1">
      <alignment horizontal="center" vertical="top"/>
    </xf>
    <xf numFmtId="0" fontId="0" fillId="8" borderId="104" xfId="0" applyFill="1" applyBorder="1" applyAlignment="1">
      <alignment horizontal="center" vertical="top"/>
    </xf>
    <xf numFmtId="0" fontId="0" fillId="0" borderId="104" xfId="0" applyBorder="1" applyAlignment="1">
      <alignment horizontal="left" vertical="top" wrapText="1"/>
    </xf>
    <xf numFmtId="0" fontId="0" fillId="8" borderId="104" xfId="0" applyFill="1" applyBorder="1" applyAlignment="1">
      <alignment horizontal="left" vertical="top"/>
    </xf>
    <xf numFmtId="49" fontId="0" fillId="0" borderId="104" xfId="0" applyNumberFormat="1" applyBorder="1" applyAlignment="1">
      <alignment horizontal="left"/>
    </xf>
    <xf numFmtId="0" fontId="0" fillId="4" borderId="104" xfId="0" applyFill="1" applyBorder="1" applyAlignment="1">
      <alignment horizontal="center" vertical="top"/>
    </xf>
    <xf numFmtId="0" fontId="0" fillId="0" borderId="104" xfId="0" applyBorder="1" applyAlignment="1">
      <alignment horizontal="center" vertical="top"/>
    </xf>
    <xf numFmtId="0" fontId="4" fillId="4" borderId="104" xfId="0" applyFont="1" applyFill="1" applyBorder="1" applyAlignment="1">
      <alignment horizontal="center" vertical="top" wrapText="1"/>
    </xf>
    <xf numFmtId="0" fontId="0" fillId="8" borderId="104" xfId="0" applyFill="1" applyBorder="1" applyAlignment="1">
      <alignment horizontal="center" vertical="top" wrapText="1"/>
    </xf>
    <xf numFmtId="0" fontId="4" fillId="4" borderId="104" xfId="0" applyFont="1" applyFill="1" applyBorder="1" applyAlignment="1">
      <alignment vertical="top" wrapText="1"/>
    </xf>
    <xf numFmtId="0" fontId="0" fillId="4" borderId="104" xfId="0" applyFill="1" applyBorder="1" applyAlignment="1">
      <alignment horizontal="center"/>
    </xf>
    <xf numFmtId="0" fontId="4" fillId="4" borderId="104" xfId="0" applyFont="1" applyFill="1" applyBorder="1" applyAlignment="1">
      <alignment horizontal="center" wrapText="1"/>
    </xf>
    <xf numFmtId="0" fontId="0" fillId="0" borderId="104" xfId="0" applyBorder="1" applyAlignment="1">
      <alignment horizontal="left"/>
    </xf>
    <xf numFmtId="0" fontId="0" fillId="8" borderId="104" xfId="0" applyFill="1" applyBorder="1" applyAlignment="1">
      <alignment horizontal="left"/>
    </xf>
    <xf numFmtId="0" fontId="6" fillId="0" borderId="104" xfId="0" applyFont="1" applyBorder="1" applyAlignment="1">
      <alignment horizontal="left" vertical="top" wrapText="1"/>
    </xf>
    <xf numFmtId="0" fontId="3" fillId="14" borderId="61" xfId="4" applyBorder="1" applyAlignment="1">
      <alignment horizontal="center" vertical="center" wrapText="1"/>
    </xf>
    <xf numFmtId="0" fontId="3" fillId="14" borderId="60" xfId="4" applyBorder="1" applyAlignment="1">
      <alignment horizontal="center" vertical="center" wrapText="1"/>
    </xf>
    <xf numFmtId="0" fontId="3" fillId="14" borderId="42" xfId="4" applyBorder="1" applyAlignment="1">
      <alignment horizontal="center" vertical="center" wrapText="1"/>
    </xf>
    <xf numFmtId="0" fontId="3" fillId="14" borderId="85" xfId="4" applyBorder="1" applyAlignment="1">
      <alignment horizontal="center" vertical="center" wrapText="1"/>
    </xf>
    <xf numFmtId="0" fontId="4" fillId="8" borderId="87" xfId="0" applyFont="1" applyFill="1" applyBorder="1"/>
    <xf numFmtId="0" fontId="0" fillId="8" borderId="85" xfId="0" applyFill="1" applyBorder="1" applyAlignment="1">
      <alignment horizontal="center" vertical="top"/>
    </xf>
    <xf numFmtId="0" fontId="0" fillId="4" borderId="85" xfId="0" applyFill="1" applyBorder="1" applyAlignment="1">
      <alignment horizontal="center" vertical="top"/>
    </xf>
    <xf numFmtId="0" fontId="0" fillId="8" borderId="87" xfId="0" applyFill="1" applyBorder="1" applyAlignment="1">
      <alignment horizontal="left" indent="3"/>
    </xf>
    <xf numFmtId="0" fontId="4" fillId="4" borderId="85" xfId="0" applyFont="1" applyFill="1" applyBorder="1" applyAlignment="1">
      <alignment vertical="top" wrapText="1"/>
    </xf>
    <xf numFmtId="0" fontId="0" fillId="4" borderId="85" xfId="0" applyFill="1" applyBorder="1" applyAlignment="1">
      <alignment horizontal="center"/>
    </xf>
    <xf numFmtId="0" fontId="4" fillId="8" borderId="87" xfId="0" applyFont="1" applyFill="1" applyBorder="1" applyAlignment="1">
      <alignment horizontal="left"/>
    </xf>
    <xf numFmtId="0" fontId="0" fillId="4" borderId="87" xfId="0" applyFill="1" applyBorder="1" applyAlignment="1">
      <alignment horizontal="center"/>
    </xf>
    <xf numFmtId="168" fontId="0" fillId="8" borderId="77" xfId="0" applyNumberFormat="1" applyFill="1" applyBorder="1"/>
    <xf numFmtId="168" fontId="0" fillId="3" borderId="77" xfId="0" applyNumberFormat="1" applyFill="1" applyBorder="1"/>
    <xf numFmtId="168" fontId="0" fillId="8" borderId="95" xfId="0" applyNumberFormat="1" applyFill="1" applyBorder="1"/>
    <xf numFmtId="9" fontId="0" fillId="3" borderId="100" xfId="0" applyNumberFormat="1" applyFill="1" applyBorder="1" applyAlignment="1">
      <alignment horizontal="right"/>
    </xf>
    <xf numFmtId="168" fontId="0" fillId="3" borderId="95" xfId="0" applyNumberFormat="1" applyFill="1" applyBorder="1"/>
    <xf numFmtId="168" fontId="0" fillId="3" borderId="92" xfId="0" applyNumberFormat="1" applyFill="1" applyBorder="1"/>
    <xf numFmtId="168" fontId="0" fillId="8" borderId="0" xfId="0" applyNumberFormat="1" applyFill="1"/>
    <xf numFmtId="166" fontId="15" fillId="8" borderId="93" xfId="0" applyNumberFormat="1" applyFont="1" applyFill="1" applyBorder="1" applyAlignment="1" applyProtection="1">
      <alignment horizontal="right"/>
      <protection locked="0"/>
    </xf>
    <xf numFmtId="173" fontId="15" fillId="8" borderId="93" xfId="0" applyNumberFormat="1" applyFont="1" applyFill="1" applyBorder="1" applyAlignment="1">
      <alignment horizontal="right"/>
    </xf>
    <xf numFmtId="9" fontId="15" fillId="8" borderId="93" xfId="0" applyNumberFormat="1" applyFont="1" applyFill="1" applyBorder="1" applyAlignment="1">
      <alignment horizontal="right"/>
    </xf>
    <xf numFmtId="173" fontId="15" fillId="8" borderId="77" xfId="0" applyNumberFormat="1" applyFont="1" applyFill="1" applyBorder="1" applyAlignment="1">
      <alignment horizontal="right"/>
    </xf>
    <xf numFmtId="14" fontId="15" fillId="8" borderId="77" xfId="0" applyNumberFormat="1" applyFont="1" applyFill="1" applyBorder="1" applyAlignment="1" applyProtection="1">
      <alignment horizontal="right" vertical="center"/>
      <protection locked="0"/>
    </xf>
    <xf numFmtId="166" fontId="15" fillId="18" borderId="77" xfId="3" applyNumberFormat="1" applyFont="1" applyBorder="1" applyAlignment="1" applyProtection="1">
      <alignment horizontal="right"/>
      <protection locked="0"/>
    </xf>
    <xf numFmtId="166" fontId="15" fillId="18" borderId="93" xfId="3" applyNumberFormat="1" applyFont="1" applyBorder="1" applyAlignment="1" applyProtection="1">
      <alignment horizontal="right"/>
      <protection locked="0"/>
    </xf>
    <xf numFmtId="168" fontId="15" fillId="8" borderId="17" xfId="0" applyNumberFormat="1" applyFont="1" applyFill="1" applyBorder="1" applyAlignment="1" applyProtection="1">
      <alignment vertical="center"/>
      <protection locked="0"/>
    </xf>
    <xf numFmtId="9" fontId="15" fillId="3" borderId="15" xfId="0" applyNumberFormat="1" applyFont="1" applyFill="1" applyBorder="1" applyAlignment="1" applyProtection="1">
      <alignment horizontal="right" vertical="center"/>
      <protection locked="0"/>
    </xf>
    <xf numFmtId="0" fontId="15" fillId="8" borderId="17" xfId="0" applyFont="1" applyFill="1" applyBorder="1" applyAlignment="1" applyProtection="1">
      <alignment horizontal="left" vertical="top" wrapText="1"/>
      <protection locked="0"/>
    </xf>
    <xf numFmtId="168" fontId="15" fillId="8" borderId="17" xfId="0" applyNumberFormat="1" applyFont="1" applyFill="1" applyBorder="1" applyAlignment="1" applyProtection="1">
      <alignment horizontal="right" vertical="top"/>
      <protection locked="0"/>
    </xf>
    <xf numFmtId="0" fontId="15" fillId="8" borderId="5" xfId="0" applyFont="1" applyFill="1" applyBorder="1" applyAlignment="1" applyProtection="1">
      <alignment horizontal="left" vertical="top" wrapText="1"/>
      <protection locked="0"/>
    </xf>
    <xf numFmtId="168" fontId="15" fillId="8" borderId="5" xfId="0" applyNumberFormat="1" applyFont="1" applyFill="1" applyBorder="1" applyAlignment="1" applyProtection="1">
      <alignment horizontal="right" vertical="top"/>
      <protection locked="0"/>
    </xf>
    <xf numFmtId="168" fontId="15" fillId="3" borderId="5" xfId="0" applyNumberFormat="1" applyFont="1" applyFill="1" applyBorder="1" applyAlignment="1" applyProtection="1">
      <alignment horizontal="right" vertical="top"/>
      <protection locked="0"/>
    </xf>
    <xf numFmtId="168" fontId="15" fillId="3" borderId="14" xfId="0" applyNumberFormat="1" applyFont="1" applyFill="1" applyBorder="1" applyAlignment="1" applyProtection="1">
      <alignment horizontal="right" vertical="top"/>
      <protection locked="0"/>
    </xf>
    <xf numFmtId="0" fontId="15" fillId="8" borderId="17" xfId="0" applyFont="1" applyFill="1" applyBorder="1" applyAlignment="1" applyProtection="1">
      <alignment vertical="center" wrapText="1"/>
      <protection locked="0"/>
    </xf>
    <xf numFmtId="184" fontId="0" fillId="2" borderId="59" xfId="0" applyNumberFormat="1" applyFill="1" applyBorder="1" applyAlignment="1">
      <alignment horizontal="center" vertical="center"/>
    </xf>
    <xf numFmtId="184" fontId="0" fillId="0" borderId="50" xfId="0" applyNumberFormat="1" applyBorder="1" applyAlignment="1">
      <alignment horizontal="center" vertical="center"/>
    </xf>
    <xf numFmtId="184" fontId="0" fillId="2" borderId="50" xfId="0" applyNumberFormat="1" applyFill="1" applyBorder="1" applyAlignment="1">
      <alignment horizontal="center" vertical="center"/>
    </xf>
    <xf numFmtId="184" fontId="0" fillId="2" borderId="51" xfId="0" applyNumberFormat="1" applyFill="1" applyBorder="1" applyAlignment="1">
      <alignment horizontal="center" vertical="center"/>
    </xf>
    <xf numFmtId="0" fontId="3" fillId="0" borderId="0" xfId="0" applyFont="1" applyAlignment="1">
      <alignment horizontal="center" vertical="center"/>
    </xf>
    <xf numFmtId="196" fontId="5" fillId="0" borderId="0" xfId="0" applyNumberFormat="1" applyFont="1" applyAlignment="1">
      <alignment horizontal="right"/>
    </xf>
    <xf numFmtId="168" fontId="5" fillId="8" borderId="0" xfId="0" applyNumberFormat="1" applyFont="1" applyFill="1" applyAlignment="1">
      <alignment horizontal="right" indent="1"/>
    </xf>
    <xf numFmtId="0" fontId="8" fillId="0" borderId="0" xfId="0" applyFont="1" applyAlignment="1">
      <alignment horizontal="center"/>
    </xf>
    <xf numFmtId="0" fontId="9" fillId="0" borderId="0" xfId="0" applyFont="1" applyAlignment="1">
      <alignment horizontal="center"/>
    </xf>
    <xf numFmtId="0" fontId="9" fillId="0" borderId="0" xfId="0" applyFont="1"/>
    <xf numFmtId="0" fontId="9" fillId="0" borderId="27" xfId="0" applyFont="1" applyBorder="1" applyAlignment="1">
      <alignment horizontal="center" vertical="top"/>
    </xf>
    <xf numFmtId="0" fontId="9" fillId="0" borderId="0" xfId="0" applyFont="1" applyAlignment="1">
      <alignment horizontal="center" vertical="top"/>
    </xf>
    <xf numFmtId="0" fontId="9" fillId="0" borderId="95" xfId="0" applyFont="1" applyBorder="1" applyAlignment="1">
      <alignment horizontal="center" vertical="top"/>
    </xf>
    <xf numFmtId="0" fontId="10" fillId="3" borderId="0" xfId="0" applyFont="1" applyFill="1" applyAlignment="1">
      <alignment horizontal="left" vertical="center" indent="1"/>
    </xf>
    <xf numFmtId="0" fontId="13" fillId="3" borderId="0" xfId="0" applyFont="1" applyFill="1" applyAlignment="1">
      <alignment horizontal="center"/>
    </xf>
    <xf numFmtId="0" fontId="9" fillId="5" borderId="6" xfId="0" applyFont="1" applyFill="1" applyBorder="1" applyAlignment="1">
      <alignment horizontal="center" vertical="center" wrapText="1"/>
    </xf>
    <xf numFmtId="0" fontId="9" fillId="5" borderId="95"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6" borderId="95"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13" fillId="8" borderId="0" xfId="0" applyFont="1" applyFill="1" applyAlignment="1">
      <alignment horizontal="center" vertical="center"/>
    </xf>
    <xf numFmtId="0" fontId="15" fillId="8" borderId="0" xfId="0" applyFont="1" applyFill="1" applyAlignment="1" applyProtection="1">
      <alignment horizontal="left"/>
      <protection locked="0"/>
    </xf>
    <xf numFmtId="0" fontId="3" fillId="14" borderId="0" xfId="0" applyFont="1" applyFill="1" applyAlignment="1">
      <alignment horizontal="center" vertical="center" wrapText="1"/>
    </xf>
    <xf numFmtId="0" fontId="3" fillId="14" borderId="22" xfId="0" applyFont="1" applyFill="1" applyBorder="1" applyAlignment="1">
      <alignment horizontal="center" vertical="center" wrapText="1"/>
    </xf>
    <xf numFmtId="0" fontId="3" fillId="14" borderId="11" xfId="4" applyBorder="1" applyAlignment="1">
      <alignment horizontal="center" vertical="center" wrapText="1"/>
    </xf>
    <xf numFmtId="0" fontId="3" fillId="14" borderId="10" xfId="4" applyBorder="1" applyAlignment="1">
      <alignment horizontal="center" vertical="center" wrapText="1"/>
    </xf>
    <xf numFmtId="0" fontId="3" fillId="14" borderId="9" xfId="4" applyBorder="1" applyAlignment="1">
      <alignment horizontal="center" vertical="center" wrapText="1"/>
    </xf>
    <xf numFmtId="0" fontId="3" fillId="39" borderId="49" xfId="5" applyBorder="1" applyAlignment="1">
      <alignment horizontal="center" vertical="center" wrapText="1"/>
    </xf>
    <xf numFmtId="0" fontId="3" fillId="39" borderId="58" xfId="5" applyBorder="1" applyAlignment="1">
      <alignment horizontal="center" vertical="center" wrapText="1"/>
    </xf>
    <xf numFmtId="0" fontId="3" fillId="39" borderId="55" xfId="5" applyBorder="1" applyAlignment="1">
      <alignment horizontal="center" vertical="center" wrapText="1"/>
    </xf>
    <xf numFmtId="0" fontId="3" fillId="39" borderId="49" xfId="5" applyBorder="1" applyAlignment="1">
      <alignment horizontal="center" vertical="center"/>
    </xf>
    <xf numFmtId="0" fontId="3" fillId="39" borderId="58" xfId="5" applyBorder="1" applyAlignment="1">
      <alignment horizontal="center" vertical="center"/>
    </xf>
    <xf numFmtId="0" fontId="3" fillId="39" borderId="55" xfId="5" applyBorder="1" applyAlignment="1">
      <alignment horizontal="center" vertical="center"/>
    </xf>
    <xf numFmtId="168" fontId="3" fillId="39" borderId="44" xfId="5" applyNumberFormat="1" applyBorder="1" applyAlignment="1">
      <alignment horizontal="center" vertical="center" wrapText="1"/>
    </xf>
    <xf numFmtId="168" fontId="3" fillId="14" borderId="10" xfId="4" applyNumberFormat="1" applyBorder="1" applyAlignment="1">
      <alignment horizontal="center" vertical="center"/>
    </xf>
    <xf numFmtId="0" fontId="3" fillId="39" borderId="11" xfId="5" applyBorder="1" applyAlignment="1">
      <alignment horizontal="center" vertical="center" wrapText="1"/>
    </xf>
    <xf numFmtId="0" fontId="3" fillId="39" borderId="10" xfId="5" applyBorder="1" applyAlignment="1">
      <alignment horizontal="center" vertical="center" wrapText="1"/>
    </xf>
    <xf numFmtId="0" fontId="3" fillId="39" borderId="9" xfId="5" applyBorder="1" applyAlignment="1">
      <alignment horizontal="center" vertical="center" wrapText="1"/>
    </xf>
    <xf numFmtId="183" fontId="3" fillId="14" borderId="10" xfId="4" applyNumberFormat="1" applyBorder="1" applyAlignment="1">
      <alignment horizontal="center" vertical="center" wrapText="1"/>
    </xf>
    <xf numFmtId="0" fontId="3" fillId="39" borderId="24" xfId="5" applyBorder="1" applyAlignment="1">
      <alignment horizontal="center"/>
    </xf>
    <xf numFmtId="0" fontId="3" fillId="39" borderId="106" xfId="5" applyBorder="1" applyAlignment="1">
      <alignment horizontal="center"/>
    </xf>
    <xf numFmtId="0" fontId="3" fillId="39" borderId="105" xfId="5" applyBorder="1" applyAlignment="1">
      <alignment horizontal="center"/>
    </xf>
    <xf numFmtId="0" fontId="3" fillId="39" borderId="44" xfId="5" applyBorder="1" applyAlignment="1">
      <alignment horizontal="center" vertical="center" wrapText="1"/>
    </xf>
    <xf numFmtId="0" fontId="3" fillId="23" borderId="62" xfId="0" applyFont="1" applyFill="1" applyBorder="1" applyAlignment="1">
      <alignment horizontal="center" vertical="center" wrapText="1"/>
    </xf>
    <xf numFmtId="183" fontId="3" fillId="39" borderId="44" xfId="5" applyNumberFormat="1" applyBorder="1" applyAlignment="1">
      <alignment horizontal="center" vertical="center"/>
    </xf>
    <xf numFmtId="0" fontId="3" fillId="39" borderId="44" xfId="5" applyBorder="1" applyAlignment="1">
      <alignment horizontal="center" vertical="center"/>
    </xf>
    <xf numFmtId="168" fontId="3" fillId="39" borderId="44" xfId="5" applyNumberFormat="1" applyBorder="1" applyAlignment="1">
      <alignment horizontal="center" vertical="center"/>
    </xf>
    <xf numFmtId="0" fontId="3" fillId="39" borderId="44" xfId="5" applyBorder="1" applyAlignment="1"/>
    <xf numFmtId="182" fontId="6" fillId="8" borderId="53" xfId="0" applyNumberFormat="1" applyFont="1" applyFill="1" applyBorder="1" applyAlignment="1">
      <alignment horizontal="center"/>
    </xf>
    <xf numFmtId="182" fontId="6" fillId="8" borderId="52" xfId="0" applyNumberFormat="1" applyFont="1" applyFill="1" applyBorder="1" applyAlignment="1">
      <alignment horizontal="center"/>
    </xf>
    <xf numFmtId="182" fontId="6" fillId="8" borderId="63" xfId="0" applyNumberFormat="1" applyFont="1" applyFill="1" applyBorder="1" applyAlignment="1">
      <alignment horizontal="center"/>
    </xf>
    <xf numFmtId="166" fontId="3" fillId="39" borderId="81" xfId="5" applyNumberFormat="1" applyBorder="1" applyAlignment="1">
      <alignment horizontal="left"/>
    </xf>
    <xf numFmtId="166" fontId="3" fillId="39" borderId="44" xfId="5" applyNumberFormat="1" applyBorder="1" applyAlignment="1">
      <alignment horizontal="left"/>
    </xf>
    <xf numFmtId="0" fontId="3" fillId="39" borderId="44" xfId="5" applyNumberFormat="1" applyBorder="1" applyAlignment="1">
      <alignment horizontal="center" vertical="center" wrapText="1"/>
    </xf>
    <xf numFmtId="0" fontId="3" fillId="39" borderId="65" xfId="5" applyBorder="1" applyAlignment="1">
      <alignment horizontal="center" vertical="center"/>
    </xf>
    <xf numFmtId="168" fontId="3" fillId="14" borderId="10" xfId="4" applyNumberFormat="1" applyBorder="1" applyAlignment="1">
      <alignment horizontal="center" vertical="center" wrapText="1"/>
    </xf>
    <xf numFmtId="9" fontId="9" fillId="8" borderId="69" xfId="0" applyNumberFormat="1" applyFont="1" applyFill="1" applyBorder="1" applyAlignment="1">
      <alignment horizontal="center" vertical="center"/>
    </xf>
    <xf numFmtId="9" fontId="9" fillId="8" borderId="68" xfId="0" applyNumberFormat="1" applyFont="1" applyFill="1" applyBorder="1" applyAlignment="1">
      <alignment horizontal="center" vertical="center"/>
    </xf>
    <xf numFmtId="168" fontId="6" fillId="8" borderId="66" xfId="0" applyNumberFormat="1" applyFont="1" applyFill="1" applyBorder="1" applyAlignment="1">
      <alignment horizontal="center"/>
    </xf>
    <xf numFmtId="168" fontId="6" fillId="8" borderId="44" xfId="0" applyNumberFormat="1" applyFont="1" applyFill="1" applyBorder="1" applyAlignment="1">
      <alignment horizontal="center"/>
    </xf>
    <xf numFmtId="168" fontId="6" fillId="8" borderId="65" xfId="0" applyNumberFormat="1" applyFont="1" applyFill="1" applyBorder="1" applyAlignment="1">
      <alignment horizontal="center"/>
    </xf>
    <xf numFmtId="0" fontId="9" fillId="8" borderId="49" xfId="0" applyFont="1" applyFill="1" applyBorder="1" applyAlignment="1">
      <alignment horizontal="right" vertical="center" indent="1"/>
    </xf>
    <xf numFmtId="0" fontId="9" fillId="8" borderId="55" xfId="0" applyFont="1" applyFill="1" applyBorder="1" applyAlignment="1">
      <alignment horizontal="right" vertical="center" indent="1"/>
    </xf>
    <xf numFmtId="0" fontId="9" fillId="8" borderId="71" xfId="0" applyFont="1" applyFill="1" applyBorder="1" applyAlignment="1">
      <alignment horizontal="right" vertical="center" indent="1"/>
    </xf>
    <xf numFmtId="0" fontId="9" fillId="8" borderId="67" xfId="0" applyFont="1" applyFill="1" applyBorder="1" applyAlignment="1">
      <alignment horizontal="right" vertical="center" indent="1"/>
    </xf>
    <xf numFmtId="0" fontId="9" fillId="8" borderId="64" xfId="0" applyFont="1" applyFill="1" applyBorder="1" applyAlignment="1">
      <alignment horizontal="right" vertical="center" indent="1"/>
    </xf>
    <xf numFmtId="0" fontId="9" fillId="8" borderId="58" xfId="0" applyFont="1" applyFill="1" applyBorder="1" applyAlignment="1">
      <alignment horizontal="right" vertical="center" indent="1"/>
    </xf>
    <xf numFmtId="9" fontId="9" fillId="8" borderId="70" xfId="0" applyNumberFormat="1" applyFont="1" applyFill="1" applyBorder="1" applyAlignment="1">
      <alignment horizontal="center" vertical="center"/>
    </xf>
    <xf numFmtId="0" fontId="4" fillId="0" borderId="41"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9" xfId="0" applyFont="1" applyBorder="1" applyAlignment="1">
      <alignment horizontal="center" vertical="center" wrapText="1"/>
    </xf>
    <xf numFmtId="0" fontId="29" fillId="39" borderId="0" xfId="5" applyFont="1" applyAlignment="1">
      <alignment horizontal="center" vertical="center"/>
    </xf>
    <xf numFmtId="0" fontId="29" fillId="17" borderId="0" xfId="0" applyFont="1" applyFill="1" applyAlignment="1">
      <alignment horizontal="center" vertical="center"/>
    </xf>
    <xf numFmtId="0" fontId="13" fillId="8" borderId="0" xfId="0" applyFont="1" applyFill="1" applyAlignment="1">
      <alignment horizontal="center" vertical="top"/>
    </xf>
    <xf numFmtId="0" fontId="29" fillId="14" borderId="11" xfId="4" applyFont="1" applyBorder="1" applyAlignment="1">
      <alignment horizontal="center" vertical="center"/>
    </xf>
    <xf numFmtId="0" fontId="29" fillId="14" borderId="10" xfId="4" applyFont="1" applyBorder="1" applyAlignment="1">
      <alignment horizontal="center" vertical="center"/>
    </xf>
    <xf numFmtId="0" fontId="29" fillId="14" borderId="9" xfId="4" applyFont="1" applyBorder="1" applyAlignment="1">
      <alignment horizontal="center" vertical="center"/>
    </xf>
    <xf numFmtId="0" fontId="14" fillId="0" borderId="20" xfId="0" applyFont="1" applyBorder="1" applyAlignment="1">
      <alignment horizontal="left" vertical="top" wrapText="1" indent="1"/>
    </xf>
    <xf numFmtId="0" fontId="14" fillId="0" borderId="8" xfId="0" applyFont="1" applyBorder="1" applyAlignment="1">
      <alignment horizontal="left" vertical="top" wrapText="1" indent="1"/>
    </xf>
    <xf numFmtId="0" fontId="14" fillId="0" borderId="19" xfId="0" applyFont="1" applyBorder="1" applyAlignment="1">
      <alignment horizontal="left" vertical="top" wrapText="1" indent="1"/>
    </xf>
    <xf numFmtId="0" fontId="14" fillId="0" borderId="26" xfId="0" applyFont="1" applyBorder="1" applyAlignment="1">
      <alignment horizontal="left" vertical="top" wrapText="1" indent="1"/>
    </xf>
    <xf numFmtId="0" fontId="14" fillId="0" borderId="24" xfId="0" applyFont="1" applyBorder="1" applyAlignment="1">
      <alignment horizontal="left" vertical="top" wrapText="1" indent="1"/>
    </xf>
    <xf numFmtId="0" fontId="14" fillId="0" borderId="38" xfId="0" applyFont="1" applyBorder="1" applyAlignment="1">
      <alignment horizontal="left" vertical="top" wrapText="1" indent="1"/>
    </xf>
    <xf numFmtId="0" fontId="6" fillId="15" borderId="26" xfId="0" applyFont="1" applyFill="1" applyBorder="1" applyAlignment="1">
      <alignment horizontal="left" vertical="top" wrapText="1" indent="1"/>
    </xf>
    <xf numFmtId="0" fontId="6" fillId="15" borderId="24" xfId="0" applyFont="1" applyFill="1" applyBorder="1" applyAlignment="1">
      <alignment horizontal="left" vertical="top" wrapText="1" indent="1"/>
    </xf>
    <xf numFmtId="0" fontId="6" fillId="15" borderId="38" xfId="0" applyFont="1" applyFill="1" applyBorder="1" applyAlignment="1">
      <alignment horizontal="left" vertical="top" wrapText="1" indent="1"/>
    </xf>
    <xf numFmtId="0" fontId="6" fillId="15" borderId="13" xfId="0" applyFont="1" applyFill="1" applyBorder="1" applyAlignment="1">
      <alignment horizontal="left" vertical="top" wrapText="1" indent="1"/>
    </xf>
    <xf numFmtId="0" fontId="6" fillId="15" borderId="0" xfId="0" applyFont="1" applyFill="1" applyAlignment="1">
      <alignment horizontal="left" vertical="top" wrapText="1" indent="1"/>
    </xf>
    <xf numFmtId="0" fontId="6" fillId="15" borderId="12" xfId="0" applyFont="1" applyFill="1" applyBorder="1" applyAlignment="1">
      <alignment horizontal="left" vertical="top" wrapText="1" indent="1"/>
    </xf>
    <xf numFmtId="0" fontId="3" fillId="39" borderId="10" xfId="5" applyBorder="1" applyAlignment="1">
      <alignment horizontal="center" vertical="top" wrapText="1"/>
    </xf>
    <xf numFmtId="0" fontId="3" fillId="39" borderId="9" xfId="5" applyBorder="1" applyAlignment="1">
      <alignment horizontal="center" vertical="top" wrapText="1"/>
    </xf>
    <xf numFmtId="0" fontId="6" fillId="0" borderId="0" xfId="0" applyFont="1" applyAlignment="1">
      <alignment horizontal="center" vertical="center"/>
    </xf>
    <xf numFmtId="0" fontId="6" fillId="0" borderId="12" xfId="0" applyFont="1" applyBorder="1" applyAlignment="1">
      <alignment horizontal="center" vertical="center"/>
    </xf>
    <xf numFmtId="9" fontId="3" fillId="39" borderId="82" xfId="5" applyNumberFormat="1" applyBorder="1" applyAlignment="1">
      <alignment horizontal="center" vertical="center"/>
    </xf>
    <xf numFmtId="9" fontId="3" fillId="39" borderId="90" xfId="5" applyNumberFormat="1" applyBorder="1" applyAlignment="1">
      <alignment horizontal="center" vertical="center"/>
    </xf>
    <xf numFmtId="9" fontId="3" fillId="39" borderId="83" xfId="5" applyNumberFormat="1" applyBorder="1" applyAlignment="1">
      <alignment horizontal="center" vertical="center"/>
    </xf>
    <xf numFmtId="9" fontId="32" fillId="19" borderId="102" xfId="0" applyNumberFormat="1" applyFont="1" applyFill="1" applyBorder="1" applyAlignment="1">
      <alignment horizontal="center" vertical="center"/>
    </xf>
    <xf numFmtId="9" fontId="32" fillId="19" borderId="103" xfId="0" applyNumberFormat="1" applyFont="1" applyFill="1" applyBorder="1" applyAlignment="1">
      <alignment horizontal="center" vertical="center"/>
    </xf>
    <xf numFmtId="0" fontId="14" fillId="15" borderId="20" xfId="0" applyFont="1" applyFill="1" applyBorder="1" applyAlignment="1">
      <alignment horizontal="center" vertical="center" wrapText="1"/>
    </xf>
    <xf numFmtId="0" fontId="14" fillId="15" borderId="8"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13" xfId="0" applyFont="1" applyFill="1" applyBorder="1" applyAlignment="1">
      <alignment horizontal="center" vertical="center" wrapText="1"/>
    </xf>
    <xf numFmtId="0" fontId="14" fillId="15" borderId="0" xfId="0" applyFont="1" applyFill="1" applyAlignment="1">
      <alignment horizontal="center" vertical="center" wrapText="1"/>
    </xf>
    <xf numFmtId="0" fontId="14" fillId="15" borderId="12" xfId="0" applyFont="1" applyFill="1" applyBorder="1" applyAlignment="1">
      <alignment horizontal="center" vertical="center" wrapText="1"/>
    </xf>
    <xf numFmtId="0" fontId="14" fillId="15" borderId="26" xfId="0" applyFont="1" applyFill="1" applyBorder="1" applyAlignment="1">
      <alignment horizontal="center" vertical="center" wrapText="1"/>
    </xf>
    <xf numFmtId="0" fontId="14" fillId="15" borderId="24" xfId="0" applyFont="1" applyFill="1" applyBorder="1" applyAlignment="1">
      <alignment horizontal="center" vertical="center" wrapText="1"/>
    </xf>
    <xf numFmtId="0" fontId="14" fillId="15" borderId="38" xfId="0" applyFont="1" applyFill="1" applyBorder="1" applyAlignment="1">
      <alignment horizontal="center" vertical="center" wrapText="1"/>
    </xf>
    <xf numFmtId="0" fontId="6" fillId="15" borderId="13" xfId="0" applyFont="1" applyFill="1" applyBorder="1" applyAlignment="1">
      <alignment horizontal="left" vertical="center" wrapText="1" indent="1"/>
    </xf>
    <xf numFmtId="0" fontId="6" fillId="15" borderId="0" xfId="0" applyFont="1" applyFill="1" applyAlignment="1">
      <alignment horizontal="left" vertical="center" wrapText="1" indent="1"/>
    </xf>
    <xf numFmtId="0" fontId="6" fillId="15" borderId="12" xfId="0" applyFont="1" applyFill="1" applyBorder="1" applyAlignment="1">
      <alignment horizontal="left" vertical="center" wrapText="1" indent="1"/>
    </xf>
    <xf numFmtId="0" fontId="6" fillId="15" borderId="26" xfId="0" applyFont="1" applyFill="1" applyBorder="1" applyAlignment="1">
      <alignment horizontal="left" vertical="center" wrapText="1" indent="1"/>
    </xf>
    <xf numFmtId="0" fontId="6" fillId="15" borderId="24" xfId="0" applyFont="1" applyFill="1" applyBorder="1" applyAlignment="1">
      <alignment horizontal="left" vertical="center" wrapText="1" indent="1"/>
    </xf>
    <xf numFmtId="0" fontId="6" fillId="15" borderId="38" xfId="0" applyFont="1" applyFill="1" applyBorder="1" applyAlignment="1">
      <alignment horizontal="left" vertical="center" wrapText="1" indent="1"/>
    </xf>
    <xf numFmtId="0" fontId="13" fillId="0" borderId="17" xfId="0" applyFont="1" applyBorder="1" applyAlignment="1">
      <alignment horizontal="center" vertical="center"/>
    </xf>
    <xf numFmtId="0" fontId="29" fillId="14" borderId="33" xfId="4" applyFont="1" applyBorder="1" applyAlignment="1">
      <alignment horizontal="center" vertical="center"/>
    </xf>
    <xf numFmtId="0" fontId="11" fillId="15" borderId="86"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3" fillId="39" borderId="20" xfId="5" applyBorder="1" applyAlignment="1">
      <alignment horizontal="center" vertical="center"/>
    </xf>
    <xf numFmtId="0" fontId="3" fillId="39" borderId="26" xfId="5" applyBorder="1" applyAlignment="1">
      <alignment horizontal="center" vertical="center"/>
    </xf>
    <xf numFmtId="9" fontId="3" fillId="39" borderId="8" xfId="5" applyNumberFormat="1" applyBorder="1" applyAlignment="1">
      <alignment horizontal="center" vertical="center" wrapText="1"/>
    </xf>
    <xf numFmtId="9" fontId="3" fillId="39" borderId="24" xfId="5" applyNumberFormat="1" applyBorder="1" applyAlignment="1">
      <alignment horizontal="center" vertical="center" wrapText="1"/>
    </xf>
    <xf numFmtId="9" fontId="3" fillId="39" borderId="19" xfId="5" applyNumberFormat="1" applyBorder="1" applyAlignment="1">
      <alignment horizontal="center" vertical="center" wrapText="1"/>
    </xf>
    <xf numFmtId="9" fontId="3" fillId="39" borderId="38" xfId="5" applyNumberFormat="1" applyBorder="1" applyAlignment="1">
      <alignment horizontal="center" vertical="center" wrapText="1"/>
    </xf>
    <xf numFmtId="0" fontId="11" fillId="15" borderId="43" xfId="0" applyFont="1" applyFill="1" applyBorder="1" applyAlignment="1">
      <alignment horizontal="center" vertical="center"/>
    </xf>
    <xf numFmtId="0" fontId="10" fillId="0" borderId="0" xfId="0" applyFont="1" applyAlignment="1">
      <alignment horizontal="center"/>
    </xf>
    <xf numFmtId="0" fontId="3" fillId="39" borderId="11" xfId="5" applyBorder="1" applyAlignment="1">
      <alignment horizontal="center" vertical="center"/>
    </xf>
    <xf numFmtId="0" fontId="3" fillId="39" borderId="9" xfId="5" applyBorder="1" applyAlignment="1">
      <alignment horizontal="center" vertical="center"/>
    </xf>
    <xf numFmtId="0" fontId="3" fillId="39" borderId="10" xfId="5" applyBorder="1" applyAlignment="1">
      <alignment horizontal="center" vertical="center"/>
    </xf>
    <xf numFmtId="0" fontId="3" fillId="39" borderId="19" xfId="5" applyBorder="1" applyAlignment="1">
      <alignment horizontal="center" vertical="center"/>
    </xf>
    <xf numFmtId="0" fontId="3" fillId="39" borderId="8" xfId="5" applyBorder="1" applyAlignment="1">
      <alignment horizontal="center" vertical="center"/>
    </xf>
    <xf numFmtId="0" fontId="6" fillId="0" borderId="5" xfId="0" applyFont="1" applyBorder="1" applyAlignment="1">
      <alignment horizontal="center"/>
    </xf>
    <xf numFmtId="0" fontId="6" fillId="0" borderId="24" xfId="0" applyFont="1" applyBorder="1" applyAlignment="1">
      <alignment horizontal="center" vertical="center"/>
    </xf>
    <xf numFmtId="0" fontId="6" fillId="0" borderId="38" xfId="0" applyFont="1" applyBorder="1" applyAlignment="1">
      <alignment horizontal="center" vertical="center"/>
    </xf>
    <xf numFmtId="9" fontId="6" fillId="0" borderId="0" xfId="2" applyFont="1" applyBorder="1" applyAlignment="1">
      <alignment horizontal="center" vertical="center"/>
    </xf>
    <xf numFmtId="9" fontId="6" fillId="0" borderId="12" xfId="2" applyFont="1" applyBorder="1" applyAlignment="1">
      <alignment horizontal="center" vertical="center"/>
    </xf>
    <xf numFmtId="9" fontId="6" fillId="0" borderId="24" xfId="2" applyFont="1" applyBorder="1" applyAlignment="1">
      <alignment horizontal="center" vertical="center"/>
    </xf>
    <xf numFmtId="9" fontId="6" fillId="0" borderId="38" xfId="2" applyFont="1" applyBorder="1" applyAlignment="1">
      <alignment horizontal="center" vertical="center"/>
    </xf>
    <xf numFmtId="0" fontId="6" fillId="0" borderId="8" xfId="0" applyFont="1" applyBorder="1" applyAlignment="1">
      <alignment horizontal="center" vertical="center"/>
    </xf>
    <xf numFmtId="0" fontId="6" fillId="0" borderId="19" xfId="0" applyFont="1" applyBorder="1" applyAlignment="1">
      <alignment horizontal="center" vertical="center"/>
    </xf>
    <xf numFmtId="0" fontId="9" fillId="0" borderId="49" xfId="0" applyFont="1" applyBorder="1" applyAlignment="1">
      <alignment horizontal="center" vertical="center" textRotation="90" wrapText="1"/>
    </xf>
    <xf numFmtId="0" fontId="9" fillId="0" borderId="58" xfId="0" applyFont="1" applyBorder="1" applyAlignment="1">
      <alignment horizontal="center" vertical="center" textRotation="90" wrapText="1"/>
    </xf>
    <xf numFmtId="0" fontId="9" fillId="0" borderId="55" xfId="0" applyFont="1" applyBorder="1" applyAlignment="1">
      <alignment horizontal="center" vertical="center" textRotation="90" wrapText="1"/>
    </xf>
    <xf numFmtId="188" fontId="3" fillId="14" borderId="10" xfId="4" applyNumberFormat="1" applyBorder="1" applyAlignment="1">
      <alignment horizontal="center"/>
    </xf>
    <xf numFmtId="188" fontId="3" fillId="14" borderId="9" xfId="4" applyNumberFormat="1" applyBorder="1" applyAlignment="1">
      <alignment horizontal="center"/>
    </xf>
    <xf numFmtId="187" fontId="3" fillId="14" borderId="10" xfId="4" applyNumberFormat="1" applyBorder="1" applyAlignment="1">
      <alignment horizontal="center"/>
    </xf>
    <xf numFmtId="187" fontId="3" fillId="14" borderId="9" xfId="4" applyNumberFormat="1" applyBorder="1" applyAlignment="1">
      <alignment horizontal="center"/>
    </xf>
    <xf numFmtId="173" fontId="9" fillId="0" borderId="78" xfId="0" applyNumberFormat="1" applyFont="1" applyBorder="1" applyAlignment="1">
      <alignment horizontal="center" vertical="center"/>
    </xf>
    <xf numFmtId="173" fontId="9" fillId="0" borderId="9" xfId="0" applyNumberFormat="1" applyFont="1" applyBorder="1" applyAlignment="1">
      <alignment horizontal="center" vertical="center"/>
    </xf>
    <xf numFmtId="0" fontId="9" fillId="0" borderId="0" xfId="0" applyFont="1" applyAlignment="1">
      <alignment horizontal="center" wrapText="1"/>
    </xf>
    <xf numFmtId="9" fontId="9" fillId="7" borderId="20" xfId="0" applyNumberFormat="1" applyFont="1" applyFill="1" applyBorder="1" applyAlignment="1">
      <alignment horizontal="right"/>
    </xf>
    <xf numFmtId="9" fontId="9" fillId="7" borderId="8" xfId="0" applyNumberFormat="1" applyFont="1" applyFill="1" applyBorder="1" applyAlignment="1">
      <alignment horizontal="right"/>
    </xf>
    <xf numFmtId="9" fontId="9" fillId="7" borderId="13" xfId="0" applyNumberFormat="1" applyFont="1" applyFill="1" applyBorder="1" applyAlignment="1">
      <alignment horizontal="right"/>
    </xf>
    <xf numFmtId="9" fontId="9" fillId="7" borderId="0" xfId="0" applyNumberFormat="1" applyFont="1" applyFill="1" applyAlignment="1">
      <alignment horizontal="right"/>
    </xf>
    <xf numFmtId="0" fontId="29" fillId="39" borderId="11" xfId="5" applyFont="1" applyBorder="1" applyAlignment="1">
      <alignment horizontal="center" vertical="center"/>
    </xf>
    <xf numFmtId="0" fontId="29" fillId="39" borderId="10" xfId="5" applyFont="1" applyBorder="1" applyAlignment="1">
      <alignment horizontal="center" vertical="center"/>
    </xf>
    <xf numFmtId="0" fontId="29" fillId="39" borderId="9" xfId="5" applyFont="1" applyBorder="1" applyAlignment="1">
      <alignment horizontal="center" vertical="center"/>
    </xf>
    <xf numFmtId="0" fontId="29" fillId="39" borderId="11" xfId="5" quotePrefix="1" applyFont="1" applyBorder="1" applyAlignment="1">
      <alignment horizontal="center" vertical="center"/>
    </xf>
    <xf numFmtId="0" fontId="29" fillId="39" borderId="10" xfId="5" quotePrefix="1" applyFont="1" applyBorder="1" applyAlignment="1">
      <alignment horizontal="center" vertical="center"/>
    </xf>
    <xf numFmtId="0" fontId="29" fillId="39" borderId="9" xfId="5" quotePrefix="1" applyFont="1" applyBorder="1" applyAlignment="1">
      <alignment horizontal="center" vertical="center"/>
    </xf>
    <xf numFmtId="168" fontId="9" fillId="0" borderId="78" xfId="0" applyNumberFormat="1" applyFont="1" applyBorder="1" applyAlignment="1">
      <alignment horizontal="center" vertical="center"/>
    </xf>
    <xf numFmtId="168" fontId="9" fillId="0" borderId="9" xfId="0" applyNumberFormat="1" applyFont="1" applyBorder="1" applyAlignment="1">
      <alignment horizontal="center" vertical="center"/>
    </xf>
    <xf numFmtId="0" fontId="3" fillId="14" borderId="11" xfId="4" applyBorder="1" applyAlignment="1">
      <alignment horizontal="left"/>
    </xf>
    <xf numFmtId="0" fontId="3" fillId="14" borderId="10" xfId="4" applyBorder="1" applyAlignment="1">
      <alignment horizontal="left"/>
    </xf>
    <xf numFmtId="189" fontId="9" fillId="29" borderId="20" xfId="0" applyNumberFormat="1" applyFont="1" applyFill="1" applyBorder="1" applyAlignment="1">
      <alignment horizontal="right"/>
    </xf>
    <xf numFmtId="189" fontId="9" fillId="29" borderId="8" xfId="0" applyNumberFormat="1" applyFont="1" applyFill="1" applyBorder="1" applyAlignment="1">
      <alignment horizontal="right"/>
    </xf>
    <xf numFmtId="0" fontId="8" fillId="16" borderId="0" xfId="0" applyFont="1" applyFill="1" applyAlignment="1">
      <alignment horizontal="center"/>
    </xf>
    <xf numFmtId="0" fontId="9" fillId="34" borderId="0" xfId="0" applyFont="1" applyFill="1" applyAlignment="1">
      <alignment vertical="top" wrapText="1"/>
    </xf>
    <xf numFmtId="0" fontId="9" fillId="0" borderId="24" xfId="0" applyFont="1" applyBorder="1" applyAlignment="1">
      <alignment horizontal="center" vertical="center"/>
    </xf>
    <xf numFmtId="9" fontId="3" fillId="14" borderId="11" xfId="4" applyNumberFormat="1" applyBorder="1" applyAlignment="1">
      <alignment horizontal="center" vertical="center" wrapText="1"/>
    </xf>
    <xf numFmtId="9" fontId="3" fillId="14" borderId="110" xfId="4" applyNumberFormat="1" applyBorder="1" applyAlignment="1">
      <alignment horizontal="center" vertical="center" wrapText="1"/>
    </xf>
    <xf numFmtId="0" fontId="9" fillId="7" borderId="41" xfId="0" applyFont="1" applyFill="1" applyBorder="1" applyAlignment="1">
      <alignment horizontal="center"/>
    </xf>
    <xf numFmtId="0" fontId="9" fillId="7" borderId="40" xfId="0" applyFont="1" applyFill="1" applyBorder="1" applyAlignment="1">
      <alignment horizontal="center"/>
    </xf>
    <xf numFmtId="0" fontId="9" fillId="7" borderId="39" xfId="0" applyFont="1" applyFill="1" applyBorder="1" applyAlignment="1">
      <alignment horizontal="center"/>
    </xf>
    <xf numFmtId="0" fontId="9" fillId="29" borderId="18" xfId="0" applyFont="1" applyFill="1" applyBorder="1" applyAlignment="1">
      <alignment horizontal="center"/>
    </xf>
    <xf numFmtId="0" fontId="9" fillId="29" borderId="77" xfId="0" applyFont="1" applyFill="1" applyBorder="1" applyAlignment="1">
      <alignment horizontal="center"/>
    </xf>
    <xf numFmtId="0" fontId="9" fillId="29" borderId="16" xfId="0" applyFont="1" applyFill="1" applyBorder="1" applyAlignment="1">
      <alignment horizontal="center"/>
    </xf>
    <xf numFmtId="9" fontId="3" fillId="14" borderId="20" xfId="4" applyNumberFormat="1" applyBorder="1" applyAlignment="1">
      <alignment horizontal="center" vertical="center" wrapText="1"/>
    </xf>
    <xf numFmtId="9" fontId="3" fillId="14" borderId="111" xfId="4" applyNumberFormat="1" applyBorder="1" applyAlignment="1">
      <alignment horizontal="center" vertical="center" wrapText="1"/>
    </xf>
    <xf numFmtId="9" fontId="9" fillId="29" borderId="13" xfId="0" applyNumberFormat="1" applyFont="1" applyFill="1" applyBorder="1" applyAlignment="1">
      <alignment horizontal="right"/>
    </xf>
    <xf numFmtId="9" fontId="9" fillId="29" borderId="0" xfId="0" applyNumberFormat="1" applyFont="1" applyFill="1" applyAlignment="1">
      <alignment horizontal="right"/>
    </xf>
    <xf numFmtId="190" fontId="9" fillId="29" borderId="26" xfId="0" applyNumberFormat="1" applyFont="1" applyFill="1" applyBorder="1" applyAlignment="1">
      <alignment horizontal="right"/>
    </xf>
    <xf numFmtId="190" fontId="9" fillId="29" borderId="24" xfId="0" applyNumberFormat="1" applyFont="1" applyFill="1" applyBorder="1" applyAlignment="1">
      <alignment horizontal="right"/>
    </xf>
    <xf numFmtId="191" fontId="9" fillId="7" borderId="13" xfId="0" applyNumberFormat="1" applyFont="1" applyFill="1" applyBorder="1" applyAlignment="1">
      <alignment horizontal="right"/>
    </xf>
    <xf numFmtId="191" fontId="9" fillId="7" borderId="0" xfId="0" applyNumberFormat="1" applyFont="1" applyFill="1" applyAlignment="1">
      <alignment horizontal="right"/>
    </xf>
    <xf numFmtId="192" fontId="9" fillId="7" borderId="26" xfId="0" applyNumberFormat="1" applyFont="1" applyFill="1" applyBorder="1" applyAlignment="1">
      <alignment horizontal="right"/>
    </xf>
    <xf numFmtId="192" fontId="9" fillId="7" borderId="24" xfId="0" applyNumberFormat="1" applyFont="1" applyFill="1" applyBorder="1" applyAlignment="1">
      <alignment horizontal="right"/>
    </xf>
    <xf numFmtId="0" fontId="39" fillId="0" borderId="0" xfId="0" applyFont="1" applyAlignment="1">
      <alignment horizontal="center"/>
    </xf>
    <xf numFmtId="187" fontId="3" fillId="14" borderId="40" xfId="4" applyNumberFormat="1" applyBorder="1" applyAlignment="1">
      <alignment horizontal="center"/>
    </xf>
    <xf numFmtId="187" fontId="3" fillId="14" borderId="39" xfId="4" applyNumberFormat="1" applyBorder="1" applyAlignment="1">
      <alignment horizontal="center"/>
    </xf>
    <xf numFmtId="0" fontId="29" fillId="39" borderId="41" xfId="5" quotePrefix="1" applyFont="1" applyBorder="1" applyAlignment="1">
      <alignment horizontal="center" vertical="center"/>
    </xf>
    <xf numFmtId="0" fontId="29" fillId="39" borderId="40" xfId="5" applyFont="1" applyBorder="1" applyAlignment="1">
      <alignment horizontal="center" vertical="center"/>
    </xf>
    <xf numFmtId="0" fontId="29" fillId="39" borderId="39" xfId="5" applyFont="1" applyBorder="1" applyAlignment="1">
      <alignment horizontal="center" vertical="center"/>
    </xf>
    <xf numFmtId="9" fontId="9" fillId="27" borderId="20" xfId="0" applyNumberFormat="1" applyFont="1" applyFill="1" applyBorder="1" applyAlignment="1">
      <alignment horizontal="right"/>
    </xf>
    <xf numFmtId="9" fontId="9" fillId="27" borderId="8" xfId="0" applyNumberFormat="1" applyFont="1" applyFill="1" applyBorder="1" applyAlignment="1">
      <alignment horizontal="right"/>
    </xf>
    <xf numFmtId="9" fontId="9" fillId="27" borderId="13" xfId="0" applyNumberFormat="1" applyFont="1" applyFill="1" applyBorder="1" applyAlignment="1">
      <alignment horizontal="right"/>
    </xf>
    <xf numFmtId="9" fontId="9" fillId="27" borderId="0" xfId="0" applyNumberFormat="1" applyFont="1" applyFill="1" applyAlignment="1">
      <alignment horizontal="right"/>
    </xf>
    <xf numFmtId="190" fontId="9" fillId="27" borderId="26" xfId="0" applyNumberFormat="1" applyFont="1" applyFill="1" applyBorder="1" applyAlignment="1">
      <alignment horizontal="right"/>
    </xf>
    <xf numFmtId="190" fontId="9" fillId="27" borderId="24" xfId="0" applyNumberFormat="1" applyFont="1" applyFill="1" applyBorder="1" applyAlignment="1">
      <alignment horizontal="right"/>
    </xf>
    <xf numFmtId="0" fontId="9" fillId="29" borderId="11" xfId="0" quotePrefix="1" applyFont="1" applyFill="1" applyBorder="1" applyAlignment="1">
      <alignment horizontal="center" vertical="center"/>
    </xf>
    <xf numFmtId="0" fontId="9" fillId="29" borderId="10" xfId="0" quotePrefix="1" applyFont="1" applyFill="1" applyBorder="1" applyAlignment="1">
      <alignment horizontal="center" vertical="center"/>
    </xf>
    <xf numFmtId="0" fontId="9" fillId="29" borderId="9" xfId="0" quotePrefix="1" applyFont="1" applyFill="1" applyBorder="1" applyAlignment="1">
      <alignment horizontal="center" vertical="center"/>
    </xf>
    <xf numFmtId="0" fontId="9" fillId="30" borderId="11" xfId="0" quotePrefix="1" applyFont="1" applyFill="1" applyBorder="1" applyAlignment="1">
      <alignment horizontal="center" vertical="center"/>
    </xf>
    <xf numFmtId="0" fontId="9" fillId="30" borderId="10" xfId="0" quotePrefix="1" applyFont="1" applyFill="1" applyBorder="1" applyAlignment="1">
      <alignment horizontal="center" vertical="center"/>
    </xf>
    <xf numFmtId="0" fontId="9" fillId="30" borderId="9" xfId="0" quotePrefix="1" applyFont="1" applyFill="1" applyBorder="1" applyAlignment="1">
      <alignment horizontal="center" vertical="center"/>
    </xf>
    <xf numFmtId="0" fontId="24" fillId="8" borderId="104" xfId="0" applyFont="1" applyFill="1" applyBorder="1" applyAlignment="1">
      <alignment horizontal="left" vertical="top" wrapText="1"/>
    </xf>
    <xf numFmtId="0" fontId="24" fillId="8" borderId="87" xfId="0" applyFont="1" applyFill="1" applyBorder="1" applyAlignment="1">
      <alignment horizontal="left" vertical="top" wrapText="1"/>
    </xf>
    <xf numFmtId="0" fontId="24" fillId="8" borderId="53" xfId="0" applyFont="1" applyFill="1" applyBorder="1" applyAlignment="1">
      <alignment horizontal="left" vertical="top" wrapText="1"/>
    </xf>
    <xf numFmtId="0" fontId="24" fillId="8" borderId="52" xfId="0" applyFont="1" applyFill="1" applyBorder="1" applyAlignment="1">
      <alignment horizontal="left" vertical="top" wrapText="1"/>
    </xf>
    <xf numFmtId="0" fontId="24" fillId="8" borderId="60" xfId="0" applyFont="1" applyFill="1" applyBorder="1" applyAlignment="1">
      <alignment horizontal="left" vertical="top" wrapText="1"/>
    </xf>
    <xf numFmtId="0" fontId="24" fillId="8" borderId="42" xfId="0" applyFont="1" applyFill="1" applyBorder="1" applyAlignment="1">
      <alignment horizontal="left" vertical="top" wrapText="1"/>
    </xf>
    <xf numFmtId="0" fontId="9" fillId="31" borderId="77" xfId="0" applyFont="1" applyFill="1" applyBorder="1" applyAlignment="1">
      <alignment horizontal="left" indent="1"/>
    </xf>
    <xf numFmtId="9" fontId="9" fillId="29" borderId="12" xfId="0" applyNumberFormat="1" applyFont="1" applyFill="1" applyBorder="1" applyAlignment="1">
      <alignment horizontal="center" vertical="center"/>
    </xf>
    <xf numFmtId="9" fontId="9" fillId="29" borderId="38" xfId="0" applyNumberFormat="1" applyFont="1" applyFill="1" applyBorder="1" applyAlignment="1">
      <alignment horizontal="center" vertical="center"/>
    </xf>
    <xf numFmtId="0" fontId="9" fillId="33" borderId="11" xfId="0" applyFont="1" applyFill="1" applyBorder="1" applyAlignment="1">
      <alignment horizontal="center"/>
    </xf>
    <xf numFmtId="0" fontId="9" fillId="33" borderId="9" xfId="0" applyFont="1" applyFill="1" applyBorder="1" applyAlignment="1">
      <alignment horizontal="center"/>
    </xf>
    <xf numFmtId="0" fontId="9" fillId="33" borderId="20" xfId="0" applyFont="1" applyFill="1" applyBorder="1" applyAlignment="1">
      <alignment horizontal="center" vertical="center" wrapText="1"/>
    </xf>
    <xf numFmtId="0" fontId="9" fillId="33" borderId="8" xfId="0" applyFont="1" applyFill="1" applyBorder="1" applyAlignment="1">
      <alignment horizontal="center" vertical="center" wrapText="1"/>
    </xf>
    <xf numFmtId="0" fontId="9" fillId="33" borderId="19" xfId="0" applyFont="1" applyFill="1" applyBorder="1" applyAlignment="1">
      <alignment horizontal="center" vertical="center" wrapText="1"/>
    </xf>
    <xf numFmtId="0" fontId="9" fillId="33" borderId="13" xfId="0" applyFont="1" applyFill="1" applyBorder="1" applyAlignment="1">
      <alignment horizontal="center" vertical="center" wrapText="1"/>
    </xf>
    <xf numFmtId="0" fontId="9" fillId="33" borderId="0" xfId="0" applyFont="1" applyFill="1" applyAlignment="1">
      <alignment horizontal="center" vertical="center" wrapText="1"/>
    </xf>
    <xf numFmtId="0" fontId="9" fillId="33" borderId="12" xfId="0" applyFont="1" applyFill="1" applyBorder="1" applyAlignment="1">
      <alignment horizontal="center" vertical="center" wrapText="1"/>
    </xf>
    <xf numFmtId="188" fontId="3" fillId="14" borderId="10" xfId="4" applyNumberFormat="1" applyBorder="1" applyAlignment="1">
      <alignment horizontal="center" vertical="center"/>
    </xf>
    <xf numFmtId="188" fontId="3" fillId="14" borderId="9" xfId="4" applyNumberFormat="1" applyBorder="1" applyAlignment="1">
      <alignment horizontal="center" vertical="center"/>
    </xf>
    <xf numFmtId="0" fontId="9" fillId="33" borderId="20" xfId="0" applyFont="1" applyFill="1" applyBorder="1" applyAlignment="1">
      <alignment horizontal="center" vertical="center"/>
    </xf>
    <xf numFmtId="0" fontId="9" fillId="33" borderId="13" xfId="0" applyFont="1" applyFill="1" applyBorder="1" applyAlignment="1">
      <alignment horizontal="center" vertical="center"/>
    </xf>
    <xf numFmtId="0" fontId="9" fillId="33" borderId="19" xfId="0" applyFont="1" applyFill="1" applyBorder="1" applyAlignment="1">
      <alignment horizontal="center" vertical="center"/>
    </xf>
    <xf numFmtId="0" fontId="9" fillId="33" borderId="12" xfId="0" applyFont="1" applyFill="1" applyBorder="1" applyAlignment="1">
      <alignment horizontal="center" vertical="center"/>
    </xf>
    <xf numFmtId="9" fontId="4" fillId="33" borderId="20" xfId="2" applyFont="1" applyFill="1" applyBorder="1" applyAlignment="1">
      <alignment horizontal="center" vertical="center" wrapText="1"/>
    </xf>
    <xf numFmtId="9" fontId="4" fillId="33" borderId="19" xfId="2" applyFont="1" applyFill="1" applyBorder="1" applyAlignment="1">
      <alignment horizontal="center" vertical="center" wrapText="1"/>
    </xf>
    <xf numFmtId="9" fontId="4" fillId="33" borderId="13" xfId="2" applyFont="1" applyFill="1" applyBorder="1" applyAlignment="1">
      <alignment horizontal="center" vertical="center" wrapText="1"/>
    </xf>
    <xf numFmtId="9" fontId="4" fillId="33" borderId="12" xfId="2" applyFont="1" applyFill="1" applyBorder="1" applyAlignment="1">
      <alignment horizontal="center" vertical="center" wrapText="1"/>
    </xf>
    <xf numFmtId="0" fontId="4" fillId="33" borderId="49" xfId="0" applyFont="1" applyFill="1" applyBorder="1" applyAlignment="1">
      <alignment horizontal="center" vertical="center" wrapText="1"/>
    </xf>
    <xf numFmtId="0" fontId="4" fillId="33" borderId="58" xfId="0" applyFont="1" applyFill="1" applyBorder="1" applyAlignment="1">
      <alignment horizontal="center" vertical="center" wrapText="1"/>
    </xf>
    <xf numFmtId="0" fontId="4" fillId="33" borderId="8" xfId="0" applyFont="1" applyFill="1" applyBorder="1" applyAlignment="1">
      <alignment horizontal="center" vertical="center" wrapText="1"/>
    </xf>
    <xf numFmtId="0" fontId="4" fillId="33" borderId="19" xfId="0" applyFont="1" applyFill="1" applyBorder="1" applyAlignment="1">
      <alignment horizontal="center" vertical="center" wrapText="1"/>
    </xf>
    <xf numFmtId="0" fontId="4" fillId="33" borderId="0" xfId="0" applyFont="1" applyFill="1" applyAlignment="1">
      <alignment horizontal="center" vertical="center" wrapText="1"/>
    </xf>
    <xf numFmtId="0" fontId="4" fillId="33" borderId="12" xfId="0" applyFont="1" applyFill="1" applyBorder="1" applyAlignment="1">
      <alignment horizontal="center" vertical="center" wrapText="1"/>
    </xf>
    <xf numFmtId="9" fontId="9" fillId="32" borderId="12" xfId="0" applyNumberFormat="1" applyFont="1" applyFill="1" applyBorder="1" applyAlignment="1">
      <alignment horizontal="center" vertical="center"/>
    </xf>
    <xf numFmtId="9" fontId="9" fillId="32" borderId="38" xfId="0" applyNumberFormat="1" applyFont="1" applyFill="1" applyBorder="1" applyAlignment="1">
      <alignment horizontal="center" vertical="center"/>
    </xf>
    <xf numFmtId="191" fontId="9" fillId="32" borderId="13" xfId="0" applyNumberFormat="1" applyFont="1" applyFill="1" applyBorder="1" applyAlignment="1">
      <alignment horizontal="right"/>
    </xf>
    <xf numFmtId="191" fontId="9" fillId="32" borderId="0" xfId="0" applyNumberFormat="1" applyFont="1" applyFill="1" applyAlignment="1">
      <alignment horizontal="right"/>
    </xf>
    <xf numFmtId="192" fontId="9" fillId="32" borderId="26" xfId="0" applyNumberFormat="1" applyFont="1" applyFill="1" applyBorder="1" applyAlignment="1">
      <alignment horizontal="right"/>
    </xf>
    <xf numFmtId="192" fontId="9" fillId="32" borderId="24" xfId="0" applyNumberFormat="1" applyFont="1" applyFill="1" applyBorder="1" applyAlignment="1">
      <alignment horizontal="right"/>
    </xf>
    <xf numFmtId="187" fontId="3" fillId="14" borderId="10" xfId="4" applyNumberFormat="1" applyBorder="1" applyAlignment="1">
      <alignment horizontal="center" vertical="center"/>
    </xf>
    <xf numFmtId="187" fontId="3" fillId="14" borderId="9" xfId="4" applyNumberFormat="1" applyBorder="1" applyAlignment="1">
      <alignment horizontal="center" vertical="center"/>
    </xf>
    <xf numFmtId="179" fontId="3" fillId="14" borderId="30" xfId="0" applyNumberFormat="1" applyFont="1" applyFill="1" applyBorder="1" applyAlignment="1">
      <alignment horizontal="center"/>
    </xf>
    <xf numFmtId="179" fontId="3" fillId="14" borderId="0" xfId="0" applyNumberFormat="1" applyFont="1" applyFill="1" applyAlignment="1">
      <alignment horizontal="center"/>
    </xf>
    <xf numFmtId="179" fontId="3" fillId="14" borderId="29" xfId="0" applyNumberFormat="1" applyFont="1" applyFill="1" applyBorder="1" applyAlignment="1">
      <alignment horizontal="center"/>
    </xf>
    <xf numFmtId="0" fontId="6" fillId="0" borderId="100" xfId="0" applyFont="1" applyBorder="1" applyAlignment="1">
      <alignment horizontal="left" vertical="center" wrapText="1"/>
    </xf>
    <xf numFmtId="0" fontId="6" fillId="0" borderId="95" xfId="0" applyFont="1" applyBorder="1" applyAlignment="1">
      <alignment horizontal="left" vertical="center" wrapText="1"/>
    </xf>
    <xf numFmtId="0" fontId="6" fillId="0" borderId="4" xfId="0" applyFont="1" applyBorder="1" applyAlignment="1">
      <alignment horizontal="left" vertical="center" wrapText="1"/>
    </xf>
    <xf numFmtId="0" fontId="6" fillId="0" borderId="100" xfId="0" applyFont="1" applyBorder="1" applyAlignment="1">
      <alignment horizontal="left" vertical="top" wrapText="1"/>
    </xf>
    <xf numFmtId="0" fontId="6" fillId="0" borderId="95" xfId="0" applyFont="1" applyBorder="1" applyAlignment="1">
      <alignment horizontal="left" vertical="top" wrapText="1"/>
    </xf>
    <xf numFmtId="0" fontId="6" fillId="0" borderId="4" xfId="0" applyFont="1" applyBorder="1" applyAlignment="1">
      <alignment horizontal="left" vertical="top" wrapText="1"/>
    </xf>
    <xf numFmtId="16" fontId="29" fillId="14" borderId="0" xfId="4" applyNumberFormat="1" applyFont="1" applyAlignment="1">
      <alignment horizontal="left" wrapText="1"/>
    </xf>
    <xf numFmtId="0" fontId="3" fillId="39" borderId="20" xfId="5" applyBorder="1" applyAlignment="1">
      <alignment horizontal="center"/>
    </xf>
    <xf numFmtId="0" fontId="3" fillId="39" borderId="8" xfId="5" applyBorder="1" applyAlignment="1">
      <alignment horizontal="center"/>
    </xf>
    <xf numFmtId="0" fontId="3" fillId="39" borderId="19" xfId="5" applyBorder="1" applyAlignment="1">
      <alignment horizontal="center"/>
    </xf>
    <xf numFmtId="0" fontId="3" fillId="23" borderId="59" xfId="0" applyFont="1" applyFill="1" applyBorder="1" applyAlignment="1">
      <alignment horizontal="center" vertical="center"/>
    </xf>
    <xf numFmtId="0" fontId="0" fillId="2" borderId="59" xfId="0" applyFill="1" applyBorder="1" applyAlignment="1">
      <alignment horizontal="center" vertical="center"/>
    </xf>
    <xf numFmtId="0" fontId="0" fillId="0" borderId="50" xfId="0" applyBorder="1" applyAlignment="1">
      <alignment horizontal="center" vertical="center"/>
    </xf>
    <xf numFmtId="0" fontId="0" fillId="2" borderId="50" xfId="0" applyFill="1" applyBorder="1" applyAlignment="1">
      <alignment horizontal="center" vertical="center"/>
    </xf>
    <xf numFmtId="0" fontId="0" fillId="2" borderId="51" xfId="0" applyFill="1" applyBorder="1" applyAlignment="1">
      <alignment horizontal="center" vertical="center"/>
    </xf>
    <xf numFmtId="0" fontId="50" fillId="0" borderId="0" xfId="8"/>
    <xf numFmtId="0" fontId="8" fillId="0" borderId="77" xfId="0" applyFont="1" applyBorder="1"/>
    <xf numFmtId="10" fontId="6" fillId="16" borderId="104" xfId="0" applyNumberFormat="1" applyFont="1" applyFill="1" applyBorder="1" applyAlignment="1">
      <alignment horizontal="center" vertical="center" wrapText="1"/>
    </xf>
  </cellXfs>
  <cellStyles count="9">
    <cellStyle name="Currency" xfId="1" builtinId="4"/>
    <cellStyle name="DLS-Heading1" xfId="4" xr:uid="{00000000-0005-0000-0000-000001000000}"/>
    <cellStyle name="DLS-USACE Greay" xfId="6" xr:uid="{00000000-0005-0000-0000-000002000000}"/>
    <cellStyle name="DLS-USACE Red" xfId="5" xr:uid="{00000000-0005-0000-0000-000003000000}"/>
    <cellStyle name="Hyperlink" xfId="8" builtinId="8"/>
    <cellStyle name="Input" xfId="3" builtinId="20" customBuiltin="1"/>
    <cellStyle name="Normal" xfId="0" builtinId="0"/>
    <cellStyle name="Percent" xfId="2" builtinId="5"/>
    <cellStyle name="Total" xfId="7" builtinId="25"/>
  </cellStyles>
  <dxfs count="91">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patternFill patternType="lightUp"/>
      </fill>
    </dxf>
    <dxf>
      <fill>
        <patternFill patternType="lightUp"/>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patternFill patternType="lightUp"/>
      </fill>
    </dxf>
    <dxf>
      <fill>
        <patternFill patternType="lightUp"/>
      </fill>
    </dxf>
    <dxf>
      <font>
        <color auto="1"/>
      </font>
      <fill>
        <patternFill>
          <bgColor rgb="FFFF0000"/>
        </patternFill>
      </fill>
    </dxf>
    <dxf>
      <font>
        <color auto="1"/>
      </font>
      <fill>
        <patternFill>
          <bgColor theme="1"/>
        </patternFill>
      </fill>
      <border>
        <top style="thin">
          <color theme="0"/>
        </top>
        <bottom style="thin">
          <color theme="0"/>
        </bottom>
      </border>
    </dxf>
    <dxf>
      <font>
        <color auto="1"/>
      </font>
      <fill>
        <patternFill>
          <bgColor rgb="FFFF0000"/>
        </patternFill>
      </fill>
    </dxf>
    <dxf>
      <font>
        <color auto="1"/>
      </font>
      <fill>
        <patternFill>
          <bgColor theme="1"/>
        </patternFill>
      </fill>
      <border>
        <top style="thin">
          <color theme="0"/>
        </top>
        <bottom style="thin">
          <color theme="0"/>
        </bottom>
      </border>
    </dxf>
    <dxf>
      <font>
        <color rgb="FF9C0006"/>
      </font>
      <fill>
        <patternFill>
          <bgColor rgb="FFFFC7CE"/>
        </patternFill>
      </fill>
    </dxf>
    <dxf>
      <font>
        <color rgb="FF9C0006"/>
      </font>
      <fill>
        <patternFill>
          <bgColor rgb="FFFFC7CE"/>
        </pattern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gradientFill degree="90">
          <stop position="0">
            <color rgb="FFF84657"/>
          </stop>
          <stop position="1">
            <color rgb="FFFFFF00"/>
          </stop>
        </gradientFill>
      </fill>
    </dxf>
    <dxf>
      <font>
        <b/>
        <i val="0"/>
      </font>
      <fill>
        <patternFill>
          <bgColor rgb="FFFFFF00"/>
        </patternFill>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EB8B7"/>
          </stop>
          <stop position="1">
            <color rgb="FFF84657"/>
          </stop>
        </gradientFill>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ill>
        <gradientFill degree="90">
          <stop position="0">
            <color rgb="FFF84657"/>
          </stop>
          <stop position="1">
            <color rgb="FFFFFF00"/>
          </stop>
        </gradientFill>
      </fill>
    </dxf>
    <dxf>
      <fill>
        <gradientFill degree="90">
          <stop position="0">
            <color rgb="FFEBF1DE"/>
          </stop>
          <stop position="1">
            <color rgb="FFC4D79B"/>
          </stop>
        </gradientFill>
      </fill>
    </dxf>
    <dxf>
      <fill>
        <gradientFill degree="90">
          <stop position="0">
            <color rgb="FFFFFFCC"/>
          </stop>
          <stop position="1">
            <color rgb="FFEBFC10"/>
          </stop>
        </gradientFill>
      </fill>
    </dxf>
    <dxf>
      <fill>
        <gradientFill degree="90">
          <stop position="0">
            <color rgb="FFE6B8B7"/>
          </stop>
          <stop position="1">
            <color rgb="FFF84657"/>
          </stop>
        </gradientFill>
      </fill>
    </dxf>
    <dxf>
      <font>
        <b/>
        <i val="0"/>
        <color rgb="FFFF0000"/>
      </font>
      <fill>
        <patternFill>
          <bgColor theme="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top" textRotation="0" wrapText="1" relativeIndent="1" justifyLastLine="0" shrinkToFit="0" readingOrder="0"/>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1" relativeIndent="1" justifyLastLine="0" shrinkToFit="0" readingOrder="0"/>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top" textRotation="0" wrapText="1" indent="0" justifyLastLine="0" shrinkToFit="0" readingOrder="0"/>
      <protection locked="0" hidden="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Calibri"/>
        <scheme val="minor"/>
      </font>
      <numFmt numFmtId="0" formatCode="General"/>
    </dxf>
    <dxf>
      <border outline="0">
        <bottom style="thin">
          <color indexed="9"/>
        </bottom>
      </border>
    </dxf>
    <dxf>
      <font>
        <b/>
        <i val="0"/>
        <strike val="0"/>
        <condense val="0"/>
        <extend val="0"/>
        <outline val="0"/>
        <shadow val="0"/>
        <u val="none"/>
        <vertAlign val="baseline"/>
        <sz val="11"/>
        <color indexed="9"/>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9"/>
        </left>
        <right style="thin">
          <color indexed="9"/>
        </right>
        <top/>
        <bottom/>
      </border>
    </dxf>
    <dxf>
      <font>
        <b val="0"/>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top" textRotation="0" wrapText="1" indent="1" justifyLastLine="0" shrinkToFit="0" readingOrder="0"/>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top" textRotation="0" wrapText="1" indent="0" justifyLastLine="0" shrinkToFit="0" readingOrder="0"/>
      <protection locked="0" hidden="0"/>
    </dxf>
    <dxf>
      <font>
        <b val="0"/>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top" textRotation="0" wrapText="1" relativeIndent="1" justifyLastLine="0" shrinkToFit="0" readingOrder="0"/>
      <protection locked="0" hidden="0"/>
    </dxf>
    <dxf>
      <font>
        <b val="0"/>
        <strike val="0"/>
        <outline val="0"/>
        <shadow val="0"/>
        <u val="none"/>
        <vertAlign val="baseline"/>
        <sz val="11"/>
        <color auto="1"/>
        <name val="Calibri"/>
        <scheme val="minor"/>
      </font>
      <numFmt numFmtId="0" formatCode="General"/>
      <fill>
        <patternFill patternType="none">
          <fgColor indexed="64"/>
          <bgColor indexed="65"/>
        </patternFill>
      </fill>
      <alignment horizontal="center" vertical="top" textRotation="0" wrapText="1" indent="0" justifyLastLine="0" shrinkToFit="0" readingOrder="0"/>
      <protection locked="0" hidden="0"/>
    </dxf>
    <dxf>
      <border diagonalUp="0" diagonalDown="0">
        <left style="medium">
          <color indexed="64"/>
        </left>
        <right style="medium">
          <color indexed="64"/>
        </right>
        <top style="medium">
          <color indexed="64"/>
        </top>
        <bottom style="medium">
          <color indexed="64"/>
        </bottom>
      </border>
    </dxf>
    <dxf>
      <font>
        <b val="0"/>
        <strike val="0"/>
        <outline val="0"/>
        <shadow val="0"/>
        <u val="none"/>
        <vertAlign val="baseline"/>
        <sz val="11"/>
        <name val="Calibri"/>
        <scheme val="minor"/>
      </font>
      <numFmt numFmtId="0" formatCode="General"/>
      <alignment vertical="center" textRotation="0" indent="0" justifyLastLine="0" shrinkToFit="0" readingOrder="0"/>
    </dxf>
    <dxf>
      <border outline="0">
        <bottom style="thin">
          <color indexed="9"/>
        </bottom>
      </border>
    </dxf>
    <dxf>
      <font>
        <b/>
        <i val="0"/>
        <strike val="0"/>
        <condense val="0"/>
        <extend val="0"/>
        <outline val="0"/>
        <shadow val="0"/>
        <u val="none"/>
        <vertAlign val="baseline"/>
        <sz val="11"/>
        <color indexed="9"/>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9"/>
        </left>
        <right style="thin">
          <color indexed="9"/>
        </right>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border>
    </dxf>
    <dxf>
      <border outline="0">
        <bottom style="thin">
          <color indexed="64"/>
        </bottom>
      </border>
    </dxf>
    <dxf>
      <font>
        <strike val="0"/>
        <outline val="0"/>
        <shadow val="0"/>
        <u val="none"/>
        <vertAlign val="baseline"/>
        <sz val="16"/>
        <color indexed="9"/>
        <name val="Calibri"/>
        <scheme val="minor"/>
      </font>
      <numFmt numFmtId="0" formatCode="Genera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Calibri"/>
        <scheme val="minor"/>
      </font>
      <alignment horizontal="center" vertical="top" textRotation="0" wrapText="0" indent="0" justifyLastLine="0" shrinkToFit="0" readingOrder="0"/>
    </dxf>
    <dxf>
      <font>
        <strike val="0"/>
        <outline val="0"/>
        <shadow val="0"/>
        <u val="none"/>
        <vertAlign val="baseline"/>
        <sz val="11"/>
        <name val="Calibri"/>
        <scheme val="minor"/>
      </font>
      <alignment horizontal="left" vertical="top" textRotation="0" wrapText="1" indent="0" justifyLastLine="0" shrinkToFit="0" readingOrder="0"/>
    </dxf>
    <dxf>
      <font>
        <strike val="0"/>
        <outline val="0"/>
        <shadow val="0"/>
        <u val="none"/>
        <vertAlign val="baseline"/>
        <sz val="11"/>
        <name val="Calibri"/>
        <scheme val="minor"/>
      </font>
      <numFmt numFmtId="19" formatCode="m/d/yyyy"/>
      <alignment horizontal="center" vertical="top" textRotation="0" wrapText="0" indent="0" justifyLastLine="0" shrinkToFit="0" readingOrder="0"/>
    </dxf>
    <dxf>
      <font>
        <strike val="0"/>
        <outline val="0"/>
        <shadow val="0"/>
        <u val="none"/>
        <vertAlign val="baseline"/>
        <sz val="11"/>
        <name val="Calibri"/>
        <scheme val="minor"/>
      </font>
      <numFmt numFmtId="164" formatCode="000"/>
      <alignment horizontal="center" vertical="top" textRotation="0" wrapText="0" indent="0" justifyLastLine="0" shrinkToFit="0" readingOrder="0"/>
    </dxf>
    <dxf>
      <font>
        <strike val="0"/>
        <outline val="0"/>
        <shadow val="0"/>
        <u val="none"/>
        <vertAlign val="baseline"/>
        <sz val="11"/>
        <name val="Calibri"/>
        <scheme val="minor"/>
      </font>
    </dxf>
    <dxf>
      <font>
        <b val="0"/>
        <i val="0"/>
        <strike val="0"/>
        <condense val="0"/>
        <extend val="0"/>
        <outline val="0"/>
        <shadow val="0"/>
        <u val="none"/>
        <vertAlign val="baseline"/>
        <sz val="11"/>
        <color theme="0"/>
        <name val="Calibri"/>
        <scheme val="minor"/>
      </font>
      <alignment horizontal="center" vertical="bottom" textRotation="0" wrapText="0" indent="0" justifyLastLine="0" shrinkToFit="0" readingOrder="0"/>
    </dxf>
  </dxfs>
  <tableStyles count="0" defaultTableStyle="TableStyleMedium2" defaultPivotStyle="PivotStyleLight16"/>
  <colors>
    <mruColors>
      <color rgb="FFED2939"/>
      <color rgb="FFE6B8B7"/>
      <color rgb="FFA29791"/>
      <color rgb="FFC4D79B"/>
      <color rgb="FFEBFBDE"/>
      <color rgb="FFEBF1DE"/>
      <color rgb="FFFFFF00"/>
      <color rgb="FFF84657"/>
      <color rgb="FFEEB8B7"/>
      <color rgb="FFEBFC1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Arial"/>
                <a:cs typeface="Arial"/>
              </a:defRPr>
            </a:pPr>
            <a:r>
              <a:rPr lang="en-US" sz="1400">
                <a:latin typeface="+mn-lt"/>
              </a:rPr>
              <a:t>Cost Contingency </a:t>
            </a:r>
          </a:p>
        </c:rich>
      </c:tx>
      <c:layout>
        <c:manualLayout>
          <c:xMode val="edge"/>
          <c:yMode val="edge"/>
          <c:x val="0.41084543126834738"/>
          <c:y val="2.9906534176537467E-2"/>
        </c:manualLayout>
      </c:layout>
      <c:overlay val="0"/>
      <c:spPr>
        <a:noFill/>
        <a:ln w="25400">
          <a:noFill/>
        </a:ln>
      </c:spPr>
    </c:title>
    <c:autoTitleDeleted val="0"/>
    <c:plotArea>
      <c:layout>
        <c:manualLayout>
          <c:layoutTarget val="inner"/>
          <c:xMode val="edge"/>
          <c:yMode val="edge"/>
          <c:x val="0.18225255176436278"/>
          <c:y val="0.24143580682473478"/>
          <c:w val="0.806404636920385"/>
          <c:h val="0.62529042869733176"/>
        </c:manualLayout>
      </c:layout>
      <c:lineChart>
        <c:grouping val="standard"/>
        <c:varyColors val="0"/>
        <c:ser>
          <c:idx val="1"/>
          <c:order val="0"/>
          <c:tx>
            <c:strRef>
              <c:f>'I-Project Contingency'!$C$20</c:f>
              <c:strCache>
                <c:ptCount val="1"/>
                <c:pt idx="0">
                  <c:v>Base Estimate</c:v>
                </c:pt>
              </c:strCache>
            </c:strRef>
          </c:tx>
          <c:spPr>
            <a:ln w="38100">
              <a:solidFill>
                <a:schemeClr val="tx1"/>
              </a:solidFill>
              <a:prstDash val="solid"/>
            </a:ln>
            <a:effectLst>
              <a:outerShdw blurRad="50800" dist="38100" dir="2700000" algn="tl" rotWithShape="0">
                <a:prstClr val="black">
                  <a:alpha val="40000"/>
                </a:prstClr>
              </a:outerShdw>
            </a:effectLst>
          </c:spPr>
          <c:marker>
            <c:symbol val="none"/>
          </c:marker>
          <c:cat>
            <c:numRef>
              <c:f>'I-Project Contingency'!$C$23:$C$33</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Contingency'!$G$23:$G$33</c:f>
              <c:numCache>
                <c:formatCode>"$"#,##0</c:formatCode>
                <c:ptCount val="11"/>
                <c:pt idx="0">
                  <c:v>28979098.489999998</c:v>
                </c:pt>
                <c:pt idx="1">
                  <c:v>28979098.489999998</c:v>
                </c:pt>
                <c:pt idx="2">
                  <c:v>28979098.489999998</c:v>
                </c:pt>
                <c:pt idx="3">
                  <c:v>28979098.489999998</c:v>
                </c:pt>
                <c:pt idx="4">
                  <c:v>28979098.489999998</c:v>
                </c:pt>
                <c:pt idx="5">
                  <c:v>28979098.489999998</c:v>
                </c:pt>
                <c:pt idx="6">
                  <c:v>28979098.489999998</c:v>
                </c:pt>
                <c:pt idx="7">
                  <c:v>28979098.489999998</c:v>
                </c:pt>
                <c:pt idx="8">
                  <c:v>28979098.489999998</c:v>
                </c:pt>
                <c:pt idx="9">
                  <c:v>28979098.489999998</c:v>
                </c:pt>
                <c:pt idx="10">
                  <c:v>28979098.489999998</c:v>
                </c:pt>
              </c:numCache>
            </c:numRef>
          </c:val>
          <c:smooth val="0"/>
          <c:extLst>
            <c:ext xmlns:c16="http://schemas.microsoft.com/office/drawing/2014/chart" uri="{C3380CC4-5D6E-409C-BE32-E72D297353CC}">
              <c16:uniqueId val="{00000000-FFE7-4700-B4B4-BAEE7F570C69}"/>
            </c:ext>
          </c:extLst>
        </c:ser>
        <c:ser>
          <c:idx val="0"/>
          <c:order val="1"/>
          <c:tx>
            <c:v>Contingency</c:v>
          </c:tx>
          <c:spPr>
            <a:ln w="28575"/>
            <a:effectLst>
              <a:outerShdw blurRad="50800" dist="38100" dir="2700000" algn="tl" rotWithShape="0">
                <a:prstClr val="black">
                  <a:alpha val="40000"/>
                </a:prstClr>
              </a:outerShdw>
            </a:effectLst>
          </c:spPr>
          <c:marker>
            <c:symbol val="none"/>
          </c:marker>
          <c:dPt>
            <c:idx val="8"/>
            <c:bubble3D val="0"/>
            <c:spPr>
              <a:ln w="28575"/>
              <a:effectLst>
                <a:outerShdw blurRad="50800" dist="38100" dir="18900000" algn="bl" rotWithShape="0">
                  <a:schemeClr val="accent2">
                    <a:lumMod val="50000"/>
                    <a:alpha val="40000"/>
                  </a:schemeClr>
                </a:outerShdw>
              </a:effectLst>
            </c:spPr>
            <c:extLst>
              <c:ext xmlns:c16="http://schemas.microsoft.com/office/drawing/2014/chart" uri="{C3380CC4-5D6E-409C-BE32-E72D297353CC}">
                <c16:uniqueId val="{00000002-FFE7-4700-B4B4-BAEE7F570C69}"/>
              </c:ext>
            </c:extLst>
          </c:dPt>
          <c:dPt>
            <c:idx val="16"/>
            <c:bubble3D val="0"/>
            <c:extLst>
              <c:ext xmlns:c16="http://schemas.microsoft.com/office/drawing/2014/chart" uri="{C3380CC4-5D6E-409C-BE32-E72D297353CC}">
                <c16:uniqueId val="{00000003-FFE7-4700-B4B4-BAEE7F570C69}"/>
              </c:ext>
            </c:extLst>
          </c:dPt>
          <c:dLbls>
            <c:dLbl>
              <c:idx val="0"/>
              <c:tx>
                <c:rich>
                  <a:bodyPr/>
                  <a:lstStyle/>
                  <a:p>
                    <a:fld id="{70910760-34BE-479B-97DB-8C49AB1D41A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E7-4700-B4B4-BAEE7F570C69}"/>
                </c:ext>
              </c:extLst>
            </c:dLbl>
            <c:dLbl>
              <c:idx val="1"/>
              <c:tx>
                <c:rich>
                  <a:bodyPr/>
                  <a:lstStyle/>
                  <a:p>
                    <a:fld id="{CD4AE3D4-4FB2-4C44-8C02-D82BCCA26A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E7-4700-B4B4-BAEE7F570C69}"/>
                </c:ext>
              </c:extLst>
            </c:dLbl>
            <c:dLbl>
              <c:idx val="2"/>
              <c:tx>
                <c:rich>
                  <a:bodyPr/>
                  <a:lstStyle/>
                  <a:p>
                    <a:fld id="{1C4EB066-A169-454F-BA3F-A35079D89C3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E7-4700-B4B4-BAEE7F570C69}"/>
                </c:ext>
              </c:extLst>
            </c:dLbl>
            <c:dLbl>
              <c:idx val="3"/>
              <c:tx>
                <c:rich>
                  <a:bodyPr/>
                  <a:lstStyle/>
                  <a:p>
                    <a:fld id="{F4ED2D94-B8BA-44F5-97D4-8AC3E651D8B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E7-4700-B4B4-BAEE7F570C69}"/>
                </c:ext>
              </c:extLst>
            </c:dLbl>
            <c:dLbl>
              <c:idx val="4"/>
              <c:tx>
                <c:rich>
                  <a:bodyPr/>
                  <a:lstStyle/>
                  <a:p>
                    <a:fld id="{7447F315-83ED-4C0B-8BB6-83B4311B84D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E7-4700-B4B4-BAEE7F570C69}"/>
                </c:ext>
              </c:extLst>
            </c:dLbl>
            <c:dLbl>
              <c:idx val="5"/>
              <c:tx>
                <c:rich>
                  <a:bodyPr/>
                  <a:lstStyle/>
                  <a:p>
                    <a:fld id="{030CBE72-983D-4512-BF53-EF5F6B927D4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E7-4700-B4B4-BAEE7F570C69}"/>
                </c:ext>
              </c:extLst>
            </c:dLbl>
            <c:dLbl>
              <c:idx val="6"/>
              <c:tx>
                <c:rich>
                  <a:bodyPr/>
                  <a:lstStyle/>
                  <a:p>
                    <a:fld id="{99253045-7504-491C-8216-2880443D5C0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E7-4700-B4B4-BAEE7F570C69}"/>
                </c:ext>
              </c:extLst>
            </c:dLbl>
            <c:dLbl>
              <c:idx val="7"/>
              <c:tx>
                <c:rich>
                  <a:bodyPr/>
                  <a:lstStyle/>
                  <a:p>
                    <a:fld id="{D5E8F2FB-4D88-49D0-B43F-1F50A76AAD6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E7-4700-B4B4-BAEE7F570C69}"/>
                </c:ext>
              </c:extLst>
            </c:dLbl>
            <c:dLbl>
              <c:idx val="8"/>
              <c:tx>
                <c:rich>
                  <a:bodyPr/>
                  <a:lstStyle/>
                  <a:p>
                    <a:fld id="{82839C45-5F7C-449D-878C-8F991455DF5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E7-4700-B4B4-BAEE7F570C69}"/>
                </c:ext>
              </c:extLst>
            </c:dLbl>
            <c:dLbl>
              <c:idx val="9"/>
              <c:tx>
                <c:rich>
                  <a:bodyPr/>
                  <a:lstStyle/>
                  <a:p>
                    <a:fld id="{297DDC1D-6CAF-47D9-A424-198AE097C4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E7-4700-B4B4-BAEE7F570C69}"/>
                </c:ext>
              </c:extLst>
            </c:dLbl>
            <c:dLbl>
              <c:idx val="10"/>
              <c:tx>
                <c:rich>
                  <a:bodyPr/>
                  <a:lstStyle/>
                  <a:p>
                    <a:fld id="{8FE7056D-9D9F-498B-B343-4EDC505A5E6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E7-4700-B4B4-BAEE7F570C69}"/>
                </c:ext>
              </c:extLst>
            </c:dLbl>
            <c:numFmt formatCode="0%" sourceLinked="0"/>
            <c:spPr>
              <a:noFill/>
              <a:ln>
                <a:noFill/>
              </a:ln>
              <a:effectLst/>
            </c:spPr>
            <c:txPr>
              <a:bodyPr wrap="square" lIns="38100" tIns="19050" rIns="38100" bIns="19050" anchor="ctr">
                <a:spAutoFit/>
              </a:bodyPr>
              <a:lstStyle/>
              <a:p>
                <a:pPr>
                  <a:defRPr sz="900" b="1">
                    <a:latin typeface="+mn-lt"/>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'I-Project Contingency'!$C$23:$C$33</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Contingency'!$F$23:$F$33</c:f>
              <c:numCache>
                <c:formatCode>"$"#,##0</c:formatCode>
                <c:ptCount val="11"/>
                <c:pt idx="0">
                  <c:v>19995577.958099999</c:v>
                </c:pt>
                <c:pt idx="1">
                  <c:v>25501606.6712</c:v>
                </c:pt>
                <c:pt idx="2">
                  <c:v>27530143.565499999</c:v>
                </c:pt>
                <c:pt idx="3">
                  <c:v>29268889.4749</c:v>
                </c:pt>
                <c:pt idx="4">
                  <c:v>30717844.3994</c:v>
                </c:pt>
                <c:pt idx="5">
                  <c:v>32166799.323899999</c:v>
                </c:pt>
                <c:pt idx="6">
                  <c:v>33905545.2333</c:v>
                </c:pt>
                <c:pt idx="7">
                  <c:v>35644291.142700002</c:v>
                </c:pt>
                <c:pt idx="8">
                  <c:v>37672828.037</c:v>
                </c:pt>
                <c:pt idx="9">
                  <c:v>40280946.901099995</c:v>
                </c:pt>
                <c:pt idx="10">
                  <c:v>48974676.448100001</c:v>
                </c:pt>
              </c:numCache>
            </c:numRef>
          </c:val>
          <c:smooth val="0"/>
          <c:extLst>
            <c:ext xmlns:c15="http://schemas.microsoft.com/office/drawing/2012/chart" uri="{02D57815-91ED-43cb-92C2-25804820EDAC}">
              <c15:datalabelsRange>
                <c15:f>'I-Project Contingency'!$E$23:$E$33</c15:f>
                <c15:dlblRangeCache>
                  <c:ptCount val="11"/>
                  <c:pt idx="0">
                    <c:v>-31%</c:v>
                  </c:pt>
                  <c:pt idx="1">
                    <c:v>-12%</c:v>
                  </c:pt>
                  <c:pt idx="2">
                    <c:v>-5%</c:v>
                  </c:pt>
                  <c:pt idx="3">
                    <c:v>1%</c:v>
                  </c:pt>
                  <c:pt idx="4">
                    <c:v>6%</c:v>
                  </c:pt>
                  <c:pt idx="5">
                    <c:v>11%</c:v>
                  </c:pt>
                  <c:pt idx="6">
                    <c:v>17%</c:v>
                  </c:pt>
                  <c:pt idx="7">
                    <c:v>23%</c:v>
                  </c:pt>
                  <c:pt idx="8">
                    <c:v>30%</c:v>
                  </c:pt>
                  <c:pt idx="9">
                    <c:v>39%</c:v>
                  </c:pt>
                  <c:pt idx="10">
                    <c:v>69%</c:v>
                  </c:pt>
                </c15:dlblRangeCache>
              </c15:datalabelsRange>
            </c:ext>
            <c:ext xmlns:c16="http://schemas.microsoft.com/office/drawing/2014/chart" uri="{C3380CC4-5D6E-409C-BE32-E72D297353CC}">
              <c16:uniqueId val="{0000000E-FFE7-4700-B4B4-BAEE7F570C69}"/>
            </c:ext>
          </c:extLst>
        </c:ser>
        <c:dLbls>
          <c:showLegendKey val="0"/>
          <c:showVal val="0"/>
          <c:showCatName val="0"/>
          <c:showSerName val="0"/>
          <c:showPercent val="0"/>
          <c:showBubbleSize val="0"/>
        </c:dLbls>
        <c:smooth val="0"/>
        <c:axId val="771897392"/>
        <c:axId val="771889944"/>
      </c:lineChart>
      <c:catAx>
        <c:axId val="771897392"/>
        <c:scaling>
          <c:orientation val="minMax"/>
        </c:scaling>
        <c:delete val="0"/>
        <c:axPos val="t"/>
        <c:majorGridlines>
          <c:spPr>
            <a:ln w="3175">
              <a:solidFill>
                <a:srgbClr val="808080"/>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Confidence Levels</a:t>
                </a:r>
              </a:p>
            </c:rich>
          </c:tx>
          <c:layout>
            <c:manualLayout>
              <c:xMode val="edge"/>
              <c:yMode val="edge"/>
              <c:x val="0.42266557070423538"/>
              <c:y val="0.89126279077685744"/>
            </c:manualLayout>
          </c:layout>
          <c:overlay val="0"/>
          <c:spPr>
            <a:noFill/>
            <a:ln w="25400">
              <a:noFill/>
            </a:ln>
          </c:spPr>
        </c:title>
        <c:numFmt formatCode="0%" sourceLinked="1"/>
        <c:majorTickMark val="none"/>
        <c:minorTickMark val="none"/>
        <c:tickLblPos val="high"/>
        <c:spPr>
          <a:ln w="3175">
            <a:solidFill>
              <a:srgbClr val="000000"/>
            </a:solidFill>
            <a:prstDash val="solid"/>
          </a:ln>
        </c:spPr>
        <c:txPr>
          <a:bodyPr rot="-5400000" vert="horz"/>
          <a:lstStyle/>
          <a:p>
            <a:pPr>
              <a:defRPr sz="1000" b="1" i="0" u="none" strike="noStrike" baseline="0">
                <a:solidFill>
                  <a:srgbClr val="000000"/>
                </a:solidFill>
                <a:latin typeface="+mn-lt"/>
                <a:ea typeface="Arial"/>
                <a:cs typeface="Arial"/>
              </a:defRPr>
            </a:pPr>
            <a:endParaRPr lang="en-US"/>
          </a:p>
        </c:txPr>
        <c:crossAx val="771889944"/>
        <c:crosses val="max"/>
        <c:auto val="1"/>
        <c:lblAlgn val="ctr"/>
        <c:lblOffset val="100"/>
        <c:noMultiLvlLbl val="0"/>
      </c:catAx>
      <c:valAx>
        <c:axId val="771889944"/>
        <c:scaling>
          <c:orientation val="minMax"/>
        </c:scaling>
        <c:delete val="0"/>
        <c:axPos val="l"/>
        <c:majorGridlines/>
        <c:title>
          <c:tx>
            <c:rich>
              <a:bodyPr/>
              <a:lstStyle/>
              <a:p>
                <a:pPr>
                  <a:defRPr sz="1100" b="1" i="0" u="none" strike="noStrike" baseline="0">
                    <a:solidFill>
                      <a:srgbClr val="000000"/>
                    </a:solidFill>
                    <a:latin typeface="+mn-lt"/>
                    <a:ea typeface="Arial"/>
                    <a:cs typeface="Arial"/>
                  </a:defRPr>
                </a:pPr>
                <a:r>
                  <a:rPr lang="en-US" sz="1100">
                    <a:latin typeface="+mn-lt"/>
                  </a:rPr>
                  <a:t>Cost</a:t>
                </a:r>
              </a:p>
            </c:rich>
          </c:tx>
          <c:layout>
            <c:manualLayout>
              <c:xMode val="edge"/>
              <c:yMode val="edge"/>
              <c:x val="2.8933005082079983E-2"/>
              <c:y val="0.49939008538804641"/>
            </c:manualLayout>
          </c:layout>
          <c:overlay val="0"/>
          <c:spPr>
            <a:noFill/>
            <a:ln w="25400">
              <a:noFill/>
            </a:ln>
          </c:spPr>
        </c:title>
        <c:numFmt formatCode="&quot;$&quot;#,##0.0,,\ &quot;M&quot;" sourceLinked="0"/>
        <c:majorTickMark val="out"/>
        <c:minorTickMark val="none"/>
        <c:tickLblPos val="nextTo"/>
        <c:spPr>
          <a:ln w="3175">
            <a:solidFill>
              <a:srgbClr val="000000"/>
            </a:solidFill>
            <a:prstDash val="solid"/>
          </a:ln>
        </c:spPr>
        <c:txPr>
          <a:bodyPr rot="0" vert="horz" anchor="ctr" anchorCtr="1"/>
          <a:lstStyle/>
          <a:p>
            <a:pPr>
              <a:defRPr sz="1000" b="1" i="0" u="none" strike="noStrike" baseline="0">
                <a:solidFill>
                  <a:srgbClr val="000000"/>
                </a:solidFill>
                <a:latin typeface="+mn-lt"/>
                <a:ea typeface="Arial"/>
                <a:cs typeface="Arial"/>
              </a:defRPr>
            </a:pPr>
            <a:endParaRPr lang="en-US"/>
          </a:p>
        </c:txPr>
        <c:crossAx val="771897392"/>
        <c:crosses val="autoZero"/>
        <c:crossBetween val="between"/>
      </c:valAx>
    </c:plotArea>
    <c:legend>
      <c:legendPos val="r"/>
      <c:layout>
        <c:manualLayout>
          <c:xMode val="edge"/>
          <c:yMode val="edge"/>
          <c:x val="0.67253102872197268"/>
          <c:y val="0.87741274635309263"/>
          <c:w val="0.22527721920085295"/>
          <c:h val="0.10901469197654148"/>
        </c:manualLayout>
      </c:layout>
      <c:overlay val="1"/>
      <c:txPr>
        <a:bodyPr/>
        <a:lstStyle/>
        <a:p>
          <a:pPr>
            <a:defRPr sz="1000" b="1">
              <a:latin typeface="+mn-lt"/>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sz="1600"/>
              <a:t>Top Schedule Risks</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barChart>
        <c:barDir val="bar"/>
        <c:grouping val="clustered"/>
        <c:varyColors val="0"/>
        <c:ser>
          <c:idx val="1"/>
          <c:order val="0"/>
          <c:tx>
            <c:strRef>
              <c:f>'J-Sensitivity Charts'!$X$38</c:f>
              <c:strCache>
                <c:ptCount val="1"/>
                <c:pt idx="0">
                  <c:v>ROM Schedule Risk @ 90%</c:v>
                </c:pt>
              </c:strCache>
            </c:strRef>
          </c:tx>
          <c:spPr>
            <a:solidFill>
              <a:srgbClr val="FF0000">
                <a:alpha val="50000"/>
              </a:srgbClr>
            </a:solidFill>
            <a:ln w="9525" cap="flat" cmpd="sng" algn="ctr">
              <a:noFill/>
              <a:miter lim="800000"/>
            </a:ln>
            <a:effectLst/>
          </c:spPr>
          <c:invertIfNegative val="0"/>
          <c:cat>
            <c:strRef>
              <c:f>'J-Sensitivity Charts'!$S$39:$S$49</c:f>
              <c:strCache>
                <c:ptCount val="11"/>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pt idx="10">
                  <c:v>Remaining Risk Items</c:v>
                </c:pt>
              </c:strCache>
            </c:strRef>
          </c:cat>
          <c:val>
            <c:numRef>
              <c:f>'J-Sensitivity Charts'!$X$39:$X$49</c:f>
              <c:numCache>
                <c:formatCode>0.00\ "MO"</c:formatCode>
                <c:ptCount val="11"/>
                <c:pt idx="0">
                  <c:v>4.420401012477849</c:v>
                </c:pt>
                <c:pt idx="1">
                  <c:v>2.076782086113699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438B-45B7-AF9C-2A449D41E316}"/>
            </c:ext>
          </c:extLst>
        </c:ser>
        <c:ser>
          <c:idx val="0"/>
          <c:order val="1"/>
          <c:tx>
            <c:strRef>
              <c:f>'J-Sensitivity Charts'!$W$38</c:f>
              <c:strCache>
                <c:ptCount val="1"/>
                <c:pt idx="0">
                  <c:v>ROM Schedule Risk @ 80%</c:v>
                </c:pt>
              </c:strCache>
            </c:strRef>
          </c:tx>
          <c:spPr>
            <a:solidFill>
              <a:schemeClr val="accent1">
                <a:alpha val="50000"/>
              </a:schemeClr>
            </a:solidFill>
            <a:ln w="9525" cap="flat" cmpd="sng" algn="ctr">
              <a:noFill/>
              <a:miter lim="800000"/>
            </a:ln>
            <a:effectLst/>
          </c:spPr>
          <c:invertIfNegative val="0"/>
          <c:cat>
            <c:strRef>
              <c:f>'J-Sensitivity Charts'!$S$39:$S$49</c:f>
              <c:strCache>
                <c:ptCount val="11"/>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pt idx="10">
                  <c:v>Remaining Risk Items</c:v>
                </c:pt>
              </c:strCache>
            </c:strRef>
          </c:cat>
          <c:val>
            <c:numRef>
              <c:f>'J-Sensitivity Charts'!$W$39:$W$49</c:f>
              <c:numCache>
                <c:formatCode>0.00\ "MO"</c:formatCode>
                <c:ptCount val="11"/>
                <c:pt idx="0">
                  <c:v>3.1286088315755198</c:v>
                </c:pt>
                <c:pt idx="1">
                  <c:v>1.4194193374385644</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438B-45B7-AF9C-2A449D41E316}"/>
            </c:ext>
          </c:extLst>
        </c:ser>
        <c:ser>
          <c:idx val="2"/>
          <c:order val="2"/>
          <c:tx>
            <c:strRef>
              <c:f>'J-Sensitivity Charts'!$V$38</c:f>
              <c:strCache>
                <c:ptCount val="1"/>
                <c:pt idx="0">
                  <c:v>ROM Schedule Risk @ 50%</c:v>
                </c:pt>
              </c:strCache>
            </c:strRef>
          </c:tx>
          <c:spPr>
            <a:solidFill>
              <a:schemeClr val="accent6">
                <a:alpha val="50000"/>
              </a:schemeClr>
            </a:solidFill>
            <a:ln w="9525" cap="flat" cmpd="sng" algn="ctr">
              <a:noFill/>
              <a:miter lim="800000"/>
            </a:ln>
            <a:effectLst/>
          </c:spPr>
          <c:invertIfNegative val="0"/>
          <c:cat>
            <c:strRef>
              <c:f>'J-Sensitivity Charts'!$S$39:$S$49</c:f>
              <c:strCache>
                <c:ptCount val="11"/>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pt idx="10">
                  <c:v>Remaining Risk Items</c:v>
                </c:pt>
              </c:strCache>
            </c:strRef>
          </c:cat>
          <c:val>
            <c:numRef>
              <c:f>'J-Sensitivity Charts'!$V$39:$V$49</c:f>
              <c:numCache>
                <c:formatCode>0.00\ "MO"</c:formatCode>
                <c:ptCount val="11"/>
                <c:pt idx="0">
                  <c:v>0.68314116149596105</c:v>
                </c:pt>
                <c:pt idx="1">
                  <c:v>1.2660137680815036</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438B-45B7-AF9C-2A449D41E316}"/>
            </c:ext>
          </c:extLst>
        </c:ser>
        <c:dLbls>
          <c:showLegendKey val="0"/>
          <c:showVal val="0"/>
          <c:showCatName val="0"/>
          <c:showSerName val="0"/>
          <c:showPercent val="0"/>
          <c:showBubbleSize val="0"/>
        </c:dLbls>
        <c:gapWidth val="182"/>
        <c:axId val="1301294288"/>
        <c:axId val="1301296256"/>
      </c:barChart>
      <c:catAx>
        <c:axId val="1301294288"/>
        <c:scaling>
          <c:orientation val="maxMin"/>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lt1">
                    <a:lumMod val="75000"/>
                  </a:schemeClr>
                </a:solidFill>
                <a:latin typeface="+mn-lt"/>
                <a:ea typeface="+mn-ea"/>
                <a:cs typeface="+mn-cs"/>
              </a:defRPr>
            </a:pPr>
            <a:endParaRPr lang="en-US"/>
          </a:p>
        </c:txPr>
        <c:crossAx val="1301296256"/>
        <c:crosses val="autoZero"/>
        <c:auto val="1"/>
        <c:lblAlgn val="ctr"/>
        <c:lblOffset val="100"/>
        <c:noMultiLvlLbl val="0"/>
      </c:catAx>
      <c:valAx>
        <c:axId val="1301296256"/>
        <c:scaling>
          <c:orientation val="minMax"/>
        </c:scaling>
        <c:delete val="0"/>
        <c:axPos val="t"/>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quot;MO&quot;"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lt1">
                    <a:lumMod val="75000"/>
                  </a:schemeClr>
                </a:solidFill>
                <a:latin typeface="+mn-lt"/>
                <a:ea typeface="+mn-ea"/>
                <a:cs typeface="+mn-cs"/>
              </a:defRPr>
            </a:pPr>
            <a:endParaRPr lang="en-US"/>
          </a:p>
        </c:txPr>
        <c:crossAx val="130129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Schedule Contingency </a:t>
            </a:r>
          </a:p>
        </c:rich>
      </c:tx>
      <c:layout>
        <c:manualLayout>
          <c:xMode val="edge"/>
          <c:yMode val="edge"/>
          <c:x val="0.41084543126834738"/>
          <c:y val="2.990653417653746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0.177523304271514"/>
          <c:y val="0.18708603093456724"/>
          <c:w val="0.80910541871073494"/>
          <c:h val="0.67569091132751113"/>
        </c:manualLayout>
      </c:layout>
      <c:barChart>
        <c:barDir val="col"/>
        <c:grouping val="stacked"/>
        <c:varyColors val="0"/>
        <c:ser>
          <c:idx val="1"/>
          <c:order val="0"/>
          <c:tx>
            <c:strRef>
              <c:f>'I-Project Contingency'!$C$41:$D$41</c:f>
              <c:strCache>
                <c:ptCount val="1"/>
                <c:pt idx="0">
                  <c:v>Base Schedule Duration</c:v>
                </c:pt>
              </c:strCache>
            </c:strRef>
          </c:tx>
          <c:spPr>
            <a:solidFill>
              <a:schemeClr val="accent6">
                <a:lumMod val="50000"/>
                <a:alpha val="75000"/>
              </a:schemeClr>
            </a:solidFill>
            <a:ln>
              <a:solidFill>
                <a:schemeClr val="tx1"/>
              </a:solidFill>
            </a:ln>
            <a:effectLst>
              <a:glow rad="63500">
                <a:schemeClr val="accent3">
                  <a:alpha val="25000"/>
                </a:schemeClr>
              </a:glow>
            </a:effectLst>
          </c:spPr>
          <c:invertIfNegative val="0"/>
          <c:cat>
            <c:numRef>
              <c:f>'I-Project Contingency'!$C$23:$C$33</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Contingency'!$G$44:$G$54</c:f>
              <c:numCache>
                <c:formatCode>#,##0.0\ "MO"</c:formatCode>
                <c:ptCount val="11"/>
                <c:pt idx="0">
                  <c:v>64.971830985915489</c:v>
                </c:pt>
                <c:pt idx="1">
                  <c:v>64.971830985915489</c:v>
                </c:pt>
                <c:pt idx="2">
                  <c:v>64.971830985915489</c:v>
                </c:pt>
                <c:pt idx="3">
                  <c:v>64.971830985915489</c:v>
                </c:pt>
                <c:pt idx="4">
                  <c:v>64.971830985915489</c:v>
                </c:pt>
                <c:pt idx="5">
                  <c:v>64.971830985915489</c:v>
                </c:pt>
                <c:pt idx="6">
                  <c:v>64.971830985915489</c:v>
                </c:pt>
                <c:pt idx="7">
                  <c:v>64.971830985915489</c:v>
                </c:pt>
                <c:pt idx="8">
                  <c:v>64.971830985915489</c:v>
                </c:pt>
                <c:pt idx="9">
                  <c:v>64.971830985915489</c:v>
                </c:pt>
                <c:pt idx="10">
                  <c:v>64.971830985915489</c:v>
                </c:pt>
              </c:numCache>
            </c:numRef>
          </c:val>
          <c:extLst>
            <c:ext xmlns:c16="http://schemas.microsoft.com/office/drawing/2014/chart" uri="{C3380CC4-5D6E-409C-BE32-E72D297353CC}">
              <c16:uniqueId val="{00000000-B276-40E4-99F2-EDED0CF8A98A}"/>
            </c:ext>
          </c:extLst>
        </c:ser>
        <c:ser>
          <c:idx val="0"/>
          <c:order val="1"/>
          <c:tx>
            <c:v>Contingency</c:v>
          </c:tx>
          <c:spPr>
            <a:solidFill>
              <a:srgbClr val="FF0000">
                <a:alpha val="75000"/>
              </a:srgbClr>
            </a:solidFill>
            <a:ln>
              <a:solidFill>
                <a:schemeClr val="tx1"/>
              </a:solidFill>
            </a:ln>
            <a:effectLst>
              <a:glow rad="63500">
                <a:schemeClr val="accent3">
                  <a:alpha val="25000"/>
                </a:schemeClr>
              </a:glow>
            </a:effectLst>
          </c:spPr>
          <c:invertIfNegative val="0"/>
          <c:dPt>
            <c:idx val="16"/>
            <c:invertIfNegative val="0"/>
            <c:bubble3D val="0"/>
            <c:extLst>
              <c:ext xmlns:c16="http://schemas.microsoft.com/office/drawing/2014/chart" uri="{C3380CC4-5D6E-409C-BE32-E72D297353CC}">
                <c16:uniqueId val="{00000001-B276-40E4-99F2-EDED0CF8A98A}"/>
              </c:ext>
            </c:extLst>
          </c:dPt>
          <c:dLbls>
            <c:numFmt formatCode="0.0\ &quot;MO&quot;"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'I-Project Contingency'!$C$23:$C$33</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Contingency'!$D$44:$D$54</c:f>
              <c:numCache>
                <c:formatCode>0.0\ "Months"</c:formatCode>
                <c:ptCount val="11"/>
                <c:pt idx="0">
                  <c:v>-3.2485915492957744</c:v>
                </c:pt>
                <c:pt idx="1">
                  <c:v>-1.2994366197183098</c:v>
                </c:pt>
                <c:pt idx="2">
                  <c:v>-0.64971830985915491</c:v>
                </c:pt>
                <c:pt idx="3">
                  <c:v>0.64971830985915491</c:v>
                </c:pt>
                <c:pt idx="4">
                  <c:v>1.2994366197183098</c:v>
                </c:pt>
                <c:pt idx="5">
                  <c:v>1.9491549295774646</c:v>
                </c:pt>
                <c:pt idx="6">
                  <c:v>2.5988732394366196</c:v>
                </c:pt>
                <c:pt idx="7">
                  <c:v>3.8983098591549297</c:v>
                </c:pt>
                <c:pt idx="8">
                  <c:v>4.548028169014084</c:v>
                </c:pt>
                <c:pt idx="9">
                  <c:v>6.497183098591548</c:v>
                </c:pt>
                <c:pt idx="10">
                  <c:v>11.694929577464789</c:v>
                </c:pt>
              </c:numCache>
            </c:numRef>
          </c:val>
          <c:extLst>
            <c:ext xmlns:c16="http://schemas.microsoft.com/office/drawing/2014/chart" uri="{C3380CC4-5D6E-409C-BE32-E72D297353CC}">
              <c16:uniqueId val="{00000002-B276-40E4-99F2-EDED0CF8A98A}"/>
            </c:ext>
          </c:extLst>
        </c:ser>
        <c:dLbls>
          <c:showLegendKey val="0"/>
          <c:showVal val="0"/>
          <c:showCatName val="0"/>
          <c:showSerName val="0"/>
          <c:showPercent val="0"/>
          <c:showBubbleSize val="0"/>
        </c:dLbls>
        <c:gapWidth val="150"/>
        <c:overlap val="100"/>
        <c:axId val="771890336"/>
        <c:axId val="771891120"/>
      </c:barChart>
      <c:catAx>
        <c:axId val="771890336"/>
        <c:scaling>
          <c:orientation val="minMax"/>
        </c:scaling>
        <c:delete val="0"/>
        <c:axPos val="t"/>
        <c:title>
          <c:tx>
            <c:rich>
              <a:bodyPr rot="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r>
                  <a:rPr lang="en-US" sz="1100"/>
                  <a:t>Confidence Levels</a:t>
                </a:r>
              </a:p>
            </c:rich>
          </c:tx>
          <c:layout>
            <c:manualLayout>
              <c:xMode val="edge"/>
              <c:yMode val="edge"/>
              <c:x val="0.50161290693926419"/>
              <c:y val="0.88292935258092731"/>
            </c:manualLayout>
          </c:layout>
          <c:overlay val="0"/>
          <c:spPr>
            <a:noFill/>
            <a:ln>
              <a:noFill/>
            </a:ln>
            <a:effectLst/>
          </c:spPr>
          <c:txPr>
            <a:bodyPr rot="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endParaRPr lang="en-US"/>
            </a:p>
          </c:txPr>
        </c:title>
        <c:numFmt formatCode="0%" sourceLinked="1"/>
        <c:majorTickMark val="none"/>
        <c:minorTickMark val="none"/>
        <c:tickLblPos val="nextTo"/>
        <c:spPr>
          <a:noFill/>
          <a:ln w="12700" cap="flat" cmpd="sng" algn="ctr">
            <a:solidFill>
              <a:schemeClr val="lt1">
                <a:lumMod val="95000"/>
                <a:alpha val="54000"/>
              </a:schemeClr>
            </a:solidFill>
            <a:round/>
          </a:ln>
          <a:effectLst/>
        </c:spPr>
        <c:txPr>
          <a:bodyPr rot="-5400000" spcFirstLastPara="1" vertOverflow="ellipsis" wrap="square" anchor="ctr" anchorCtr="1"/>
          <a:lstStyle/>
          <a:p>
            <a:pPr>
              <a:defRPr sz="1000" b="1" i="0" u="none" strike="noStrike" kern="1200" baseline="0">
                <a:solidFill>
                  <a:schemeClr val="lt1">
                    <a:lumMod val="85000"/>
                  </a:schemeClr>
                </a:solidFill>
                <a:latin typeface="+mn-lt"/>
                <a:ea typeface="+mn-ea"/>
                <a:cs typeface="+mn-cs"/>
              </a:defRPr>
            </a:pPr>
            <a:endParaRPr lang="en-US"/>
          </a:p>
        </c:txPr>
        <c:crossAx val="771891120"/>
        <c:crosses val="max"/>
        <c:auto val="1"/>
        <c:lblAlgn val="ctr"/>
        <c:lblOffset val="100"/>
        <c:tickLblSkip val="1"/>
        <c:tickMarkSkip val="1"/>
        <c:noMultiLvlLbl val="0"/>
      </c:catAx>
      <c:valAx>
        <c:axId val="771891120"/>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r>
                  <a:rPr lang="en-US" sz="1100"/>
                  <a:t>SCHEDULE</a:t>
                </a:r>
              </a:p>
            </c:rich>
          </c:tx>
          <c:layout>
            <c:manualLayout>
              <c:xMode val="edge"/>
              <c:yMode val="edge"/>
              <c:x val="2.8933005082079983E-2"/>
              <c:y val="0.49939008538804641"/>
            </c:manualLayout>
          </c:layout>
          <c:overlay val="0"/>
          <c:spPr>
            <a:noFill/>
            <a:ln>
              <a:noFill/>
            </a:ln>
            <a:effectLst/>
          </c:spPr>
          <c:txPr>
            <a:bodyPr rot="-540000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endParaRPr lang="en-US"/>
            </a:p>
          </c:txPr>
        </c:title>
        <c:numFmt formatCode="#,##0\ &quot;MO&quot;" sourceLinked="0"/>
        <c:majorTickMark val="none"/>
        <c:minorTickMark val="none"/>
        <c:tickLblPos val="nextTo"/>
        <c:spPr>
          <a:noFill/>
          <a:ln>
            <a:noFill/>
          </a:ln>
          <a:effectLst/>
        </c:spPr>
        <c:txPr>
          <a:bodyPr rot="0" spcFirstLastPara="1" vertOverflow="ellipsis" wrap="square" anchor="ctr" anchorCtr="1"/>
          <a:lstStyle/>
          <a:p>
            <a:pPr>
              <a:defRPr sz="1000" b="1" i="0" u="none" strike="noStrike" kern="1200" baseline="0">
                <a:solidFill>
                  <a:schemeClr val="lt1">
                    <a:lumMod val="85000"/>
                  </a:schemeClr>
                </a:solidFill>
                <a:latin typeface="+mn-lt"/>
                <a:ea typeface="+mn-ea"/>
                <a:cs typeface="+mn-cs"/>
              </a:defRPr>
            </a:pPr>
            <a:endParaRPr lang="en-US"/>
          </a:p>
        </c:txPr>
        <c:crossAx val="771890336"/>
        <c:crosses val="autoZero"/>
        <c:crossBetween val="between"/>
      </c:valAx>
      <c:spPr>
        <a:noFill/>
        <a:ln>
          <a:noFill/>
        </a:ln>
        <a:effectLst/>
      </c:spPr>
    </c:plotArea>
    <c:legend>
      <c:legendPos val="b"/>
      <c:layout>
        <c:manualLayout>
          <c:xMode val="edge"/>
          <c:yMode val="edge"/>
          <c:x val="0.37451191038233683"/>
          <c:y val="0.94013642899404382"/>
          <c:w val="0.40594695399917119"/>
          <c:h val="5.9863571005956184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a:outerShdw blurRad="50800" dist="38100" algn="l" rotWithShape="0">
        <a:prstClr val="black">
          <a:alpha val="40000"/>
        </a:prstClr>
      </a:outerShdw>
    </a:effectLst>
  </c:spPr>
  <c:txPr>
    <a:bodyPr/>
    <a:lstStyle/>
    <a:p>
      <a:pPr>
        <a:defRPr/>
      </a:pPr>
      <a:endParaRPr lang="en-US"/>
    </a:p>
  </c:txPr>
  <c:printSettings>
    <c:headerFooter alignWithMargins="0"/>
    <c:pageMargins b="1" l="0.75000000000001465" r="0.75000000000001465" t="1" header="0.5" footer="0.5"/>
    <c:pageSetup orientation="landscape" verticalDpi="4"/>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Arial"/>
                <a:cs typeface="Arial"/>
              </a:defRPr>
            </a:pPr>
            <a:r>
              <a:rPr lang="en-US" sz="1400">
                <a:latin typeface="+mn-lt"/>
              </a:rPr>
              <a:t>Schedule Contingency</a:t>
            </a:r>
            <a:endParaRPr lang="en-US" sz="1400" baseline="0">
              <a:latin typeface="+mn-lt"/>
            </a:endParaRPr>
          </a:p>
        </c:rich>
      </c:tx>
      <c:layout>
        <c:manualLayout>
          <c:xMode val="edge"/>
          <c:yMode val="edge"/>
          <c:x val="0.37625468691413572"/>
          <c:y val="2.4803149606299209E-2"/>
        </c:manualLayout>
      </c:layout>
      <c:overlay val="0"/>
      <c:spPr>
        <a:noFill/>
        <a:ln w="25400">
          <a:noFill/>
        </a:ln>
      </c:spPr>
    </c:title>
    <c:autoTitleDeleted val="0"/>
    <c:plotArea>
      <c:layout>
        <c:manualLayout>
          <c:layoutTarget val="inner"/>
          <c:xMode val="edge"/>
          <c:yMode val="edge"/>
          <c:x val="0.18376446029603671"/>
          <c:y val="0.23468597675290589"/>
          <c:w val="0.79789724849881216"/>
          <c:h val="0.63204005749281345"/>
        </c:manualLayout>
      </c:layout>
      <c:lineChart>
        <c:grouping val="standard"/>
        <c:varyColors val="0"/>
        <c:ser>
          <c:idx val="1"/>
          <c:order val="0"/>
          <c:tx>
            <c:strRef>
              <c:f>'I-Project Contingency'!$C$41</c:f>
              <c:strCache>
                <c:ptCount val="1"/>
                <c:pt idx="0">
                  <c:v>Base Schedule Duration</c:v>
                </c:pt>
              </c:strCache>
            </c:strRef>
          </c:tx>
          <c:spPr>
            <a:ln w="38100">
              <a:solidFill>
                <a:schemeClr val="tx1"/>
              </a:solidFill>
              <a:prstDash val="solid"/>
            </a:ln>
            <a:effectLst>
              <a:outerShdw blurRad="50800" dist="38100" dir="2700000" algn="tl" rotWithShape="0">
                <a:prstClr val="black">
                  <a:alpha val="40000"/>
                </a:prstClr>
              </a:outerShdw>
            </a:effectLst>
          </c:spPr>
          <c:marker>
            <c:symbol val="none"/>
          </c:marker>
          <c:dPt>
            <c:idx val="16"/>
            <c:bubble3D val="0"/>
            <c:spPr>
              <a:ln w="38100">
                <a:solidFill>
                  <a:schemeClr val="tx1"/>
                </a:solidFill>
                <a:prstDash val="solid"/>
              </a:ln>
              <a:effectLst>
                <a:outerShdw blurRad="50800" dist="38100" dir="2700000" algn="tl" rotWithShape="0">
                  <a:prstClr val="black">
                    <a:alpha val="40000"/>
                  </a:prstClr>
                </a:outerShdw>
              </a:effectLst>
            </c:spPr>
            <c:extLst>
              <c:ext xmlns:c16="http://schemas.microsoft.com/office/drawing/2014/chart" uri="{C3380CC4-5D6E-409C-BE32-E72D297353CC}">
                <c16:uniqueId val="{00000001-338C-48BE-A7D0-C3E70C65AC57}"/>
              </c:ext>
            </c:extLst>
          </c:dPt>
          <c:cat>
            <c:numRef>
              <c:f>'I-Project Contingency'!$C$44:$C$54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Contingency'!$G$44:$G$54</c:f>
              <c:numCache>
                <c:formatCode>#,##0.0\ "MO"</c:formatCode>
                <c:ptCount val="11"/>
                <c:pt idx="0">
                  <c:v>64.971830985915489</c:v>
                </c:pt>
                <c:pt idx="1">
                  <c:v>64.971830985915489</c:v>
                </c:pt>
                <c:pt idx="2">
                  <c:v>64.971830985915489</c:v>
                </c:pt>
                <c:pt idx="3">
                  <c:v>64.971830985915489</c:v>
                </c:pt>
                <c:pt idx="4">
                  <c:v>64.971830985915489</c:v>
                </c:pt>
                <c:pt idx="5">
                  <c:v>64.971830985915489</c:v>
                </c:pt>
                <c:pt idx="6">
                  <c:v>64.971830985915489</c:v>
                </c:pt>
                <c:pt idx="7">
                  <c:v>64.971830985915489</c:v>
                </c:pt>
                <c:pt idx="8">
                  <c:v>64.971830985915489</c:v>
                </c:pt>
                <c:pt idx="9">
                  <c:v>64.971830985915489</c:v>
                </c:pt>
                <c:pt idx="10">
                  <c:v>64.971830985915489</c:v>
                </c:pt>
              </c:numCache>
            </c:numRef>
          </c:val>
          <c:smooth val="0"/>
          <c:extLst>
            <c:ext xmlns:c16="http://schemas.microsoft.com/office/drawing/2014/chart" uri="{C3380CC4-5D6E-409C-BE32-E72D297353CC}">
              <c16:uniqueId val="{00000002-338C-48BE-A7D0-C3E70C65AC57}"/>
            </c:ext>
          </c:extLst>
        </c:ser>
        <c:ser>
          <c:idx val="0"/>
          <c:order val="1"/>
          <c:tx>
            <c:v>Contingency</c:v>
          </c:tx>
          <c:spPr>
            <a:ln w="28575"/>
            <a:effectLst>
              <a:outerShdw blurRad="50800" dist="38100" dir="2700000" algn="tl" rotWithShape="0">
                <a:prstClr val="black">
                  <a:alpha val="40000"/>
                </a:prstClr>
              </a:outerShdw>
            </a:effectLst>
          </c:spPr>
          <c:marker>
            <c:symbol val="none"/>
          </c:marker>
          <c:dPt>
            <c:idx val="8"/>
            <c:bubble3D val="0"/>
            <c:spPr>
              <a:ln w="28575"/>
              <a:effectLst>
                <a:outerShdw blurRad="50800" dist="38100" dir="18900000" algn="bl" rotWithShape="0">
                  <a:schemeClr val="accent2">
                    <a:lumMod val="50000"/>
                    <a:alpha val="40000"/>
                  </a:schemeClr>
                </a:outerShdw>
              </a:effectLst>
            </c:spPr>
            <c:extLst>
              <c:ext xmlns:c16="http://schemas.microsoft.com/office/drawing/2014/chart" uri="{C3380CC4-5D6E-409C-BE32-E72D297353CC}">
                <c16:uniqueId val="{00000004-338C-48BE-A7D0-C3E70C65AC57}"/>
              </c:ext>
            </c:extLst>
          </c:dPt>
          <c:dPt>
            <c:idx val="16"/>
            <c:bubble3D val="0"/>
            <c:extLst>
              <c:ext xmlns:c16="http://schemas.microsoft.com/office/drawing/2014/chart" uri="{C3380CC4-5D6E-409C-BE32-E72D297353CC}">
                <c16:uniqueId val="{00000005-338C-48BE-A7D0-C3E70C65AC57}"/>
              </c:ext>
            </c:extLst>
          </c:dPt>
          <c:dLbls>
            <c:dLbl>
              <c:idx val="0"/>
              <c:tx>
                <c:rich>
                  <a:bodyPr/>
                  <a:lstStyle/>
                  <a:p>
                    <a:fld id="{21E61564-5637-46CF-85F6-1073B4C241E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38C-48BE-A7D0-C3E70C65AC57}"/>
                </c:ext>
              </c:extLst>
            </c:dLbl>
            <c:dLbl>
              <c:idx val="1"/>
              <c:tx>
                <c:rich>
                  <a:bodyPr/>
                  <a:lstStyle/>
                  <a:p>
                    <a:fld id="{C6DE9FCF-E540-4CFA-9D5B-55461FD3D4E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38C-48BE-A7D0-C3E70C65AC57}"/>
                </c:ext>
              </c:extLst>
            </c:dLbl>
            <c:dLbl>
              <c:idx val="2"/>
              <c:tx>
                <c:rich>
                  <a:bodyPr/>
                  <a:lstStyle/>
                  <a:p>
                    <a:fld id="{091DACA7-3EEE-4D1A-8113-AA8A1F78D9C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38C-48BE-A7D0-C3E70C65AC57}"/>
                </c:ext>
              </c:extLst>
            </c:dLbl>
            <c:dLbl>
              <c:idx val="3"/>
              <c:tx>
                <c:rich>
                  <a:bodyPr/>
                  <a:lstStyle/>
                  <a:p>
                    <a:fld id="{AAEDD106-45B0-4EF3-82CF-A849FACE28B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38C-48BE-A7D0-C3E70C65AC57}"/>
                </c:ext>
              </c:extLst>
            </c:dLbl>
            <c:dLbl>
              <c:idx val="4"/>
              <c:tx>
                <c:rich>
                  <a:bodyPr/>
                  <a:lstStyle/>
                  <a:p>
                    <a:fld id="{EC687728-5EA4-4BD5-85D5-7491100501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8C-48BE-A7D0-C3E70C65AC57}"/>
                </c:ext>
              </c:extLst>
            </c:dLbl>
            <c:dLbl>
              <c:idx val="5"/>
              <c:tx>
                <c:rich>
                  <a:bodyPr/>
                  <a:lstStyle/>
                  <a:p>
                    <a:fld id="{FAA995A1-84D9-40EE-96EF-037EA34711F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8C-48BE-A7D0-C3E70C65AC57}"/>
                </c:ext>
              </c:extLst>
            </c:dLbl>
            <c:dLbl>
              <c:idx val="6"/>
              <c:tx>
                <c:rich>
                  <a:bodyPr/>
                  <a:lstStyle/>
                  <a:p>
                    <a:fld id="{BBECEC07-FFF8-46A2-842E-3BAF82BF8EB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8C-48BE-A7D0-C3E70C65AC57}"/>
                </c:ext>
              </c:extLst>
            </c:dLbl>
            <c:dLbl>
              <c:idx val="7"/>
              <c:tx>
                <c:rich>
                  <a:bodyPr/>
                  <a:lstStyle/>
                  <a:p>
                    <a:fld id="{838B2CE2-8912-4868-90B9-931F18C74B7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38C-48BE-A7D0-C3E70C65AC57}"/>
                </c:ext>
              </c:extLst>
            </c:dLbl>
            <c:dLbl>
              <c:idx val="8"/>
              <c:tx>
                <c:rich>
                  <a:bodyPr/>
                  <a:lstStyle/>
                  <a:p>
                    <a:fld id="{F205322D-7AFA-46D6-92B4-9D77CEF3FAC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38C-48BE-A7D0-C3E70C65AC57}"/>
                </c:ext>
              </c:extLst>
            </c:dLbl>
            <c:dLbl>
              <c:idx val="9"/>
              <c:tx>
                <c:rich>
                  <a:bodyPr/>
                  <a:lstStyle/>
                  <a:p>
                    <a:fld id="{7D2C0F0A-2A24-4C65-AE5A-8266C4D0B7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38C-48BE-A7D0-C3E70C65AC57}"/>
                </c:ext>
              </c:extLst>
            </c:dLbl>
            <c:dLbl>
              <c:idx val="10"/>
              <c:tx>
                <c:rich>
                  <a:bodyPr/>
                  <a:lstStyle/>
                  <a:p>
                    <a:fld id="{B8FC1533-E8C8-4377-B364-4F58786DF6D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38C-48BE-A7D0-C3E70C65AC57}"/>
                </c:ext>
              </c:extLst>
            </c:dLbl>
            <c:spPr>
              <a:noFill/>
              <a:ln>
                <a:noFill/>
              </a:ln>
              <a:effectLst/>
            </c:spPr>
            <c:txPr>
              <a:bodyPr wrap="square" lIns="38100" tIns="19050" rIns="38100" bIns="19050" anchor="ctr">
                <a:spAutoFit/>
              </a:bodyPr>
              <a:lstStyle/>
              <a:p>
                <a:pPr>
                  <a:defRPr sz="900" b="1">
                    <a:latin typeface="+mn-lt"/>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'I-Project Contingency'!$C$44:$C$54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Contingency'!$F$44:$F$54</c:f>
              <c:numCache>
                <c:formatCode>0.0\ "Months"</c:formatCode>
                <c:ptCount val="11"/>
                <c:pt idx="0">
                  <c:v>61.723239436619714</c:v>
                </c:pt>
                <c:pt idx="1">
                  <c:v>63.672394366197182</c:v>
                </c:pt>
                <c:pt idx="2">
                  <c:v>64.322112676056335</c:v>
                </c:pt>
                <c:pt idx="3">
                  <c:v>65.621549295774642</c:v>
                </c:pt>
                <c:pt idx="4">
                  <c:v>66.271267605633795</c:v>
                </c:pt>
                <c:pt idx="5">
                  <c:v>66.920985915492949</c:v>
                </c:pt>
                <c:pt idx="6">
                  <c:v>67.570704225352102</c:v>
                </c:pt>
                <c:pt idx="7">
                  <c:v>68.870140845070424</c:v>
                </c:pt>
                <c:pt idx="8">
                  <c:v>69.519859154929577</c:v>
                </c:pt>
                <c:pt idx="9">
                  <c:v>71.469014084507037</c:v>
                </c:pt>
                <c:pt idx="10">
                  <c:v>76.666760563380279</c:v>
                </c:pt>
              </c:numCache>
            </c:numRef>
          </c:val>
          <c:smooth val="0"/>
          <c:extLst>
            <c:ext xmlns:c15="http://schemas.microsoft.com/office/drawing/2012/chart" uri="{02D57815-91ED-43cb-92C2-25804820EDAC}">
              <c15:datalabelsRange>
                <c15:f>'I-Project Contingency'!$E$44:$E$54</c15:f>
                <c15:dlblRangeCache>
                  <c:ptCount val="11"/>
                  <c:pt idx="0">
                    <c:v>-5%</c:v>
                  </c:pt>
                  <c:pt idx="1">
                    <c:v>-2%</c:v>
                  </c:pt>
                  <c:pt idx="2">
                    <c:v>-1%</c:v>
                  </c:pt>
                  <c:pt idx="3">
                    <c:v>1%</c:v>
                  </c:pt>
                  <c:pt idx="4">
                    <c:v>2%</c:v>
                  </c:pt>
                  <c:pt idx="5">
                    <c:v>3%</c:v>
                  </c:pt>
                  <c:pt idx="6">
                    <c:v>4%</c:v>
                  </c:pt>
                  <c:pt idx="7">
                    <c:v>6%</c:v>
                  </c:pt>
                  <c:pt idx="8">
                    <c:v>7%</c:v>
                  </c:pt>
                  <c:pt idx="9">
                    <c:v>10%</c:v>
                  </c:pt>
                  <c:pt idx="10">
                    <c:v>18%</c:v>
                  </c:pt>
                </c15:dlblRangeCache>
              </c15:datalabelsRange>
            </c:ext>
            <c:ext xmlns:c16="http://schemas.microsoft.com/office/drawing/2014/chart" uri="{C3380CC4-5D6E-409C-BE32-E72D297353CC}">
              <c16:uniqueId val="{00000010-338C-48BE-A7D0-C3E70C65AC57}"/>
            </c:ext>
          </c:extLst>
        </c:ser>
        <c:dLbls>
          <c:showLegendKey val="0"/>
          <c:showVal val="0"/>
          <c:showCatName val="0"/>
          <c:showSerName val="0"/>
          <c:showPercent val="0"/>
          <c:showBubbleSize val="0"/>
        </c:dLbls>
        <c:smooth val="0"/>
        <c:axId val="771882888"/>
        <c:axId val="771884848"/>
      </c:lineChart>
      <c:catAx>
        <c:axId val="771882888"/>
        <c:scaling>
          <c:orientation val="minMax"/>
        </c:scaling>
        <c:delete val="0"/>
        <c:axPos val="b"/>
        <c:majorGridlines>
          <c:spPr>
            <a:ln w="3175">
              <a:solidFill>
                <a:srgbClr val="808080"/>
              </a:solidFill>
              <a:prstDash val="solid"/>
            </a:ln>
          </c:spPr>
        </c:majorGridlines>
        <c:title>
          <c:tx>
            <c:rich>
              <a:bodyPr/>
              <a:lstStyle/>
              <a:p>
                <a:pPr>
                  <a:defRPr sz="1100" b="1">
                    <a:latin typeface="+mn-lt"/>
                  </a:defRPr>
                </a:pPr>
                <a:r>
                  <a:rPr lang="en-US" sz="1100" b="1">
                    <a:latin typeface="+mn-lt"/>
                  </a:rPr>
                  <a:t>Confidence Levels</a:t>
                </a:r>
              </a:p>
            </c:rich>
          </c:tx>
          <c:layout>
            <c:manualLayout>
              <c:xMode val="edge"/>
              <c:yMode val="edge"/>
              <c:x val="0.48349784401949758"/>
              <c:y val="0.89103155074365703"/>
            </c:manualLayout>
          </c:layout>
          <c:overlay val="0"/>
        </c:title>
        <c:numFmt formatCode="0%" sourceLinked="1"/>
        <c:majorTickMark val="out"/>
        <c:minorTickMark val="none"/>
        <c:tickLblPos val="high"/>
        <c:spPr>
          <a:solidFill>
            <a:sysClr val="window" lastClr="FFFFFF"/>
          </a:solidFill>
          <a:ln w="3175">
            <a:solidFill>
              <a:sysClr val="windowText" lastClr="000000"/>
            </a:solidFill>
            <a:prstDash val="solid"/>
          </a:ln>
          <a:effectLst/>
        </c:spPr>
        <c:txPr>
          <a:bodyPr rot="-5400000" vert="horz"/>
          <a:lstStyle/>
          <a:p>
            <a:pPr>
              <a:defRPr sz="1050" b="1" i="0" u="none" strike="noStrike" baseline="0">
                <a:ln>
                  <a:noFill/>
                </a:ln>
                <a:solidFill>
                  <a:sysClr val="windowText" lastClr="000000"/>
                </a:solidFill>
                <a:latin typeface="+mn-lt"/>
                <a:ea typeface="Arial"/>
                <a:cs typeface="Arial"/>
              </a:defRPr>
            </a:pPr>
            <a:endParaRPr lang="en-US"/>
          </a:p>
        </c:txPr>
        <c:crossAx val="771884848"/>
        <c:crosses val="autoZero"/>
        <c:auto val="1"/>
        <c:lblAlgn val="ctr"/>
        <c:lblOffset val="100"/>
        <c:noMultiLvlLbl val="0"/>
      </c:catAx>
      <c:valAx>
        <c:axId val="771884848"/>
        <c:scaling>
          <c:orientation val="minMax"/>
        </c:scaling>
        <c:delete val="0"/>
        <c:axPos val="l"/>
        <c:majorGridlines/>
        <c:title>
          <c:tx>
            <c:rich>
              <a:bodyPr/>
              <a:lstStyle/>
              <a:p>
                <a:pPr>
                  <a:defRPr sz="1100" b="1" i="0" u="none" strike="noStrike" baseline="0">
                    <a:solidFill>
                      <a:srgbClr val="000000"/>
                    </a:solidFill>
                    <a:latin typeface="+mn-lt"/>
                    <a:ea typeface="Arial"/>
                    <a:cs typeface="Arial"/>
                  </a:defRPr>
                </a:pPr>
                <a:r>
                  <a:rPr lang="en-US" sz="1100">
                    <a:latin typeface="+mn-lt"/>
                  </a:rPr>
                  <a:t>Schedule</a:t>
                </a:r>
              </a:p>
            </c:rich>
          </c:tx>
          <c:layout>
            <c:manualLayout>
              <c:xMode val="edge"/>
              <c:yMode val="edge"/>
              <c:x val="2.8933057376638493E-2"/>
              <c:y val="0.465070669904602"/>
            </c:manualLayout>
          </c:layout>
          <c:overlay val="0"/>
          <c:spPr>
            <a:noFill/>
            <a:ln w="25400">
              <a:noFill/>
            </a:ln>
          </c:spPr>
        </c:title>
        <c:numFmt formatCode="0\ &quot;Months&quot;" sourceLinked="0"/>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mn-lt"/>
                <a:ea typeface="Arial"/>
                <a:cs typeface="Arial"/>
              </a:defRPr>
            </a:pPr>
            <a:endParaRPr lang="en-US"/>
          </a:p>
        </c:txPr>
        <c:crossAx val="771882888"/>
        <c:crosses val="autoZero"/>
        <c:crossBetween val="between"/>
      </c:valAx>
      <c:spPr>
        <a:noFill/>
        <a:ln w="12700">
          <a:solidFill>
            <a:srgbClr val="808080"/>
          </a:solidFill>
          <a:prstDash val="solid"/>
        </a:ln>
      </c:spPr>
    </c:plotArea>
    <c:legend>
      <c:legendPos val="r"/>
      <c:layout>
        <c:manualLayout>
          <c:xMode val="edge"/>
          <c:yMode val="edge"/>
          <c:x val="0.71247778459977873"/>
          <c:y val="0.87850693329206142"/>
          <c:w val="0.25407830271216097"/>
          <c:h val="0.11076060804899387"/>
        </c:manualLayout>
      </c:layout>
      <c:overlay val="0"/>
      <c:txPr>
        <a:bodyPr/>
        <a:lstStyle/>
        <a:p>
          <a:pPr>
            <a:defRPr sz="1000" b="1">
              <a:latin typeface="+mn-lt"/>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b="1" i="0" u="none" strike="noStrike" baseline="0">
                <a:solidFill>
                  <a:srgbClr val="000000"/>
                </a:solidFill>
                <a:latin typeface="+mn-lt"/>
                <a:ea typeface="Arial"/>
                <a:cs typeface="Arial"/>
              </a:defRPr>
            </a:pPr>
            <a:r>
              <a:rPr lang="en-US" sz="1400">
                <a:latin typeface="+mn-lt"/>
              </a:rPr>
              <a:t>Cost Contingency </a:t>
            </a:r>
          </a:p>
        </c:rich>
      </c:tx>
      <c:layout>
        <c:manualLayout>
          <c:xMode val="edge"/>
          <c:yMode val="edge"/>
          <c:x val="0.41084543126834738"/>
          <c:y val="2.9906534176537467E-2"/>
        </c:manualLayout>
      </c:layout>
      <c:overlay val="0"/>
      <c:spPr>
        <a:noFill/>
        <a:ln w="25400">
          <a:noFill/>
        </a:ln>
      </c:spPr>
    </c:title>
    <c:autoTitleDeleted val="0"/>
    <c:plotArea>
      <c:layout>
        <c:manualLayout>
          <c:layoutTarget val="inner"/>
          <c:xMode val="edge"/>
          <c:yMode val="edge"/>
          <c:x val="0.18123578302712162"/>
          <c:y val="0.24659073865766779"/>
          <c:w val="0.8054017206182561"/>
          <c:h val="0.62013529558805147"/>
        </c:manualLayout>
      </c:layout>
      <c:lineChart>
        <c:grouping val="standard"/>
        <c:varyColors val="0"/>
        <c:ser>
          <c:idx val="1"/>
          <c:order val="0"/>
          <c:tx>
            <c:strRef>
              <c:f>'I-Project Contingency'!$C$20</c:f>
              <c:strCache>
                <c:ptCount val="1"/>
                <c:pt idx="0">
                  <c:v>Base Estimate</c:v>
                </c:pt>
              </c:strCache>
            </c:strRef>
          </c:tx>
          <c:spPr>
            <a:ln w="38100">
              <a:solidFill>
                <a:schemeClr val="tx1"/>
              </a:solidFill>
              <a:prstDash val="solid"/>
            </a:ln>
            <a:effectLst>
              <a:outerShdw blurRad="50800" dist="38100" dir="2700000" algn="tl" rotWithShape="0">
                <a:prstClr val="black">
                  <a:alpha val="40000"/>
                </a:prstClr>
              </a:outerShdw>
            </a:effectLst>
          </c:spPr>
          <c:marker>
            <c:symbol val="none"/>
          </c:marker>
          <c:cat>
            <c:numRef>
              <c:f>'I-Project Contingency'!$C$23:$C$33</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Contingency'!$G$23:$G$33</c:f>
              <c:numCache>
                <c:formatCode>"$"#,##0</c:formatCode>
                <c:ptCount val="11"/>
                <c:pt idx="0">
                  <c:v>28979098.489999998</c:v>
                </c:pt>
                <c:pt idx="1">
                  <c:v>28979098.489999998</c:v>
                </c:pt>
                <c:pt idx="2">
                  <c:v>28979098.489999998</c:v>
                </c:pt>
                <c:pt idx="3">
                  <c:v>28979098.489999998</c:v>
                </c:pt>
                <c:pt idx="4">
                  <c:v>28979098.489999998</c:v>
                </c:pt>
                <c:pt idx="5">
                  <c:v>28979098.489999998</c:v>
                </c:pt>
                <c:pt idx="6">
                  <c:v>28979098.489999998</c:v>
                </c:pt>
                <c:pt idx="7">
                  <c:v>28979098.489999998</c:v>
                </c:pt>
                <c:pt idx="8">
                  <c:v>28979098.489999998</c:v>
                </c:pt>
                <c:pt idx="9">
                  <c:v>28979098.489999998</c:v>
                </c:pt>
                <c:pt idx="10">
                  <c:v>28979098.489999998</c:v>
                </c:pt>
              </c:numCache>
            </c:numRef>
          </c:val>
          <c:smooth val="0"/>
          <c:extLst>
            <c:ext xmlns:c16="http://schemas.microsoft.com/office/drawing/2014/chart" uri="{C3380CC4-5D6E-409C-BE32-E72D297353CC}">
              <c16:uniqueId val="{00000000-38B0-4319-B175-5880D9DF0325}"/>
            </c:ext>
          </c:extLst>
        </c:ser>
        <c:ser>
          <c:idx val="0"/>
          <c:order val="1"/>
          <c:tx>
            <c:v>Contingency</c:v>
          </c:tx>
          <c:spPr>
            <a:effectLst>
              <a:outerShdw blurRad="50800" dist="38100" dir="2700000" algn="tl" rotWithShape="0">
                <a:prstClr val="black">
                  <a:alpha val="40000"/>
                </a:prstClr>
              </a:outerShdw>
            </a:effectLst>
          </c:spPr>
          <c:marker>
            <c:symbol val="none"/>
          </c:marker>
          <c:dPt>
            <c:idx val="8"/>
            <c:bubble3D val="0"/>
            <c:spPr>
              <a:effectLst>
                <a:outerShdw blurRad="50800" dist="38100" dir="18900000" algn="bl" rotWithShape="0">
                  <a:schemeClr val="accent2">
                    <a:lumMod val="50000"/>
                    <a:alpha val="40000"/>
                  </a:schemeClr>
                </a:outerShdw>
              </a:effectLst>
            </c:spPr>
            <c:extLst>
              <c:ext xmlns:c16="http://schemas.microsoft.com/office/drawing/2014/chart" uri="{C3380CC4-5D6E-409C-BE32-E72D297353CC}">
                <c16:uniqueId val="{00000002-38B0-4319-B175-5880D9DF0325}"/>
              </c:ext>
            </c:extLst>
          </c:dPt>
          <c:dPt>
            <c:idx val="16"/>
            <c:bubble3D val="0"/>
            <c:extLst>
              <c:ext xmlns:c16="http://schemas.microsoft.com/office/drawing/2014/chart" uri="{C3380CC4-5D6E-409C-BE32-E72D297353CC}">
                <c16:uniqueId val="{00000003-38B0-4319-B175-5880D9DF0325}"/>
              </c:ext>
            </c:extLst>
          </c:dPt>
          <c:dLbls>
            <c:dLbl>
              <c:idx val="0"/>
              <c:tx>
                <c:rich>
                  <a:bodyPr/>
                  <a:lstStyle/>
                  <a:p>
                    <a:fld id="{F07CE541-F9A7-4EB1-A27E-D1320707AD4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B0-4319-B175-5880D9DF0325}"/>
                </c:ext>
              </c:extLst>
            </c:dLbl>
            <c:dLbl>
              <c:idx val="1"/>
              <c:tx>
                <c:rich>
                  <a:bodyPr/>
                  <a:lstStyle/>
                  <a:p>
                    <a:fld id="{21DE5839-3278-4B77-81F8-E955307B3D4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B0-4319-B175-5880D9DF0325}"/>
                </c:ext>
              </c:extLst>
            </c:dLbl>
            <c:dLbl>
              <c:idx val="2"/>
              <c:tx>
                <c:rich>
                  <a:bodyPr/>
                  <a:lstStyle/>
                  <a:p>
                    <a:fld id="{E0FB398D-2A96-496D-B5B9-D282AE0AB5C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B0-4319-B175-5880D9DF0325}"/>
                </c:ext>
              </c:extLst>
            </c:dLbl>
            <c:dLbl>
              <c:idx val="3"/>
              <c:tx>
                <c:rich>
                  <a:bodyPr/>
                  <a:lstStyle/>
                  <a:p>
                    <a:fld id="{56354D0B-0DA0-4D62-97EE-EB72D7679BF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B0-4319-B175-5880D9DF0325}"/>
                </c:ext>
              </c:extLst>
            </c:dLbl>
            <c:dLbl>
              <c:idx val="4"/>
              <c:tx>
                <c:rich>
                  <a:bodyPr/>
                  <a:lstStyle/>
                  <a:p>
                    <a:fld id="{1026D250-0BE6-4847-B8E5-09BF66A414F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B0-4319-B175-5880D9DF0325}"/>
                </c:ext>
              </c:extLst>
            </c:dLbl>
            <c:dLbl>
              <c:idx val="5"/>
              <c:tx>
                <c:rich>
                  <a:bodyPr/>
                  <a:lstStyle/>
                  <a:p>
                    <a:fld id="{1E453A9D-40D5-4921-A3A8-5B9285DBF73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B0-4319-B175-5880D9DF0325}"/>
                </c:ext>
              </c:extLst>
            </c:dLbl>
            <c:dLbl>
              <c:idx val="6"/>
              <c:tx>
                <c:rich>
                  <a:bodyPr/>
                  <a:lstStyle/>
                  <a:p>
                    <a:fld id="{1AFDDF01-0CC1-4E9C-AC46-18723175AC2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B0-4319-B175-5880D9DF0325}"/>
                </c:ext>
              </c:extLst>
            </c:dLbl>
            <c:dLbl>
              <c:idx val="7"/>
              <c:tx>
                <c:rich>
                  <a:bodyPr/>
                  <a:lstStyle/>
                  <a:p>
                    <a:fld id="{FA29966D-71FA-41EB-A305-A9E310B9A58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B0-4319-B175-5880D9DF0325}"/>
                </c:ext>
              </c:extLst>
            </c:dLbl>
            <c:dLbl>
              <c:idx val="8"/>
              <c:tx>
                <c:rich>
                  <a:bodyPr/>
                  <a:lstStyle/>
                  <a:p>
                    <a:fld id="{192FEDE1-71D4-4A5A-953C-A76ED800377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B0-4319-B175-5880D9DF0325}"/>
                </c:ext>
              </c:extLst>
            </c:dLbl>
            <c:dLbl>
              <c:idx val="9"/>
              <c:tx>
                <c:rich>
                  <a:bodyPr/>
                  <a:lstStyle/>
                  <a:p>
                    <a:fld id="{E0B01780-AFFD-4698-9810-0D47E1B031E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B0-4319-B175-5880D9DF0325}"/>
                </c:ext>
              </c:extLst>
            </c:dLbl>
            <c:dLbl>
              <c:idx val="10"/>
              <c:tx>
                <c:rich>
                  <a:bodyPr/>
                  <a:lstStyle/>
                  <a:p>
                    <a:fld id="{304D988E-4A4D-491D-9AE6-B585890781A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B0-4319-B175-5880D9DF0325}"/>
                </c:ext>
              </c:extLst>
            </c:dLbl>
            <c:spPr>
              <a:noFill/>
              <a:ln>
                <a:noFill/>
              </a:ln>
              <a:effectLst/>
            </c:spPr>
            <c:txPr>
              <a:bodyPr wrap="square" lIns="38100" tIns="19050" rIns="38100" bIns="19050" anchor="ctr">
                <a:spAutoFit/>
              </a:bodyPr>
              <a:lstStyle/>
              <a:p>
                <a:pPr>
                  <a:defRPr sz="800" b="1"/>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'I-Project Contingency'!$C$23:$C$33</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Contingency'!$F$23:$F$33</c:f>
              <c:numCache>
                <c:formatCode>"$"#,##0</c:formatCode>
                <c:ptCount val="11"/>
                <c:pt idx="0">
                  <c:v>19995577.958099999</c:v>
                </c:pt>
                <c:pt idx="1">
                  <c:v>25501606.6712</c:v>
                </c:pt>
                <c:pt idx="2">
                  <c:v>27530143.565499999</c:v>
                </c:pt>
                <c:pt idx="3">
                  <c:v>29268889.4749</c:v>
                </c:pt>
                <c:pt idx="4">
                  <c:v>30717844.3994</c:v>
                </c:pt>
                <c:pt idx="5">
                  <c:v>32166799.323899999</c:v>
                </c:pt>
                <c:pt idx="6">
                  <c:v>33905545.2333</c:v>
                </c:pt>
                <c:pt idx="7">
                  <c:v>35644291.142700002</c:v>
                </c:pt>
                <c:pt idx="8">
                  <c:v>37672828.037</c:v>
                </c:pt>
                <c:pt idx="9">
                  <c:v>40280946.901099995</c:v>
                </c:pt>
                <c:pt idx="10">
                  <c:v>48974676.448100001</c:v>
                </c:pt>
              </c:numCache>
            </c:numRef>
          </c:val>
          <c:smooth val="0"/>
          <c:extLst>
            <c:ext xmlns:c15="http://schemas.microsoft.com/office/drawing/2012/chart" uri="{02D57815-91ED-43cb-92C2-25804820EDAC}">
              <c15:datalabelsRange>
                <c15:f>'I-Project Contingency'!$E$23:$E$33</c15:f>
                <c15:dlblRangeCache>
                  <c:ptCount val="11"/>
                  <c:pt idx="0">
                    <c:v>-31%</c:v>
                  </c:pt>
                  <c:pt idx="1">
                    <c:v>-12%</c:v>
                  </c:pt>
                  <c:pt idx="2">
                    <c:v>-5%</c:v>
                  </c:pt>
                  <c:pt idx="3">
                    <c:v>1%</c:v>
                  </c:pt>
                  <c:pt idx="4">
                    <c:v>6%</c:v>
                  </c:pt>
                  <c:pt idx="5">
                    <c:v>11%</c:v>
                  </c:pt>
                  <c:pt idx="6">
                    <c:v>17%</c:v>
                  </c:pt>
                  <c:pt idx="7">
                    <c:v>23%</c:v>
                  </c:pt>
                  <c:pt idx="8">
                    <c:v>30%</c:v>
                  </c:pt>
                  <c:pt idx="9">
                    <c:v>39%</c:v>
                  </c:pt>
                  <c:pt idx="10">
                    <c:v>69%</c:v>
                  </c:pt>
                </c15:dlblRangeCache>
              </c15:datalabelsRange>
            </c:ext>
            <c:ext xmlns:c16="http://schemas.microsoft.com/office/drawing/2014/chart" uri="{C3380CC4-5D6E-409C-BE32-E72D297353CC}">
              <c16:uniqueId val="{0000000E-38B0-4319-B175-5880D9DF0325}"/>
            </c:ext>
          </c:extLst>
        </c:ser>
        <c:ser>
          <c:idx val="2"/>
          <c:order val="2"/>
          <c:tx>
            <c:strRef>
              <c:f>'I-Project Contingency'!$L$22</c:f>
              <c:strCache>
                <c:ptCount val="1"/>
                <c:pt idx="0">
                  <c:v>Program Amount</c:v>
                </c:pt>
              </c:strCache>
            </c:strRef>
          </c:tx>
          <c:spPr>
            <a:ln>
              <a:solidFill>
                <a:srgbClr val="FF0000"/>
              </a:solidFill>
            </a:ln>
          </c:spPr>
          <c:marker>
            <c:symbol val="none"/>
          </c:marker>
          <c:val>
            <c:numRef>
              <c:f>'I-Project Contingency'!$L$23:$L$33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F-38B0-4319-B175-5880D9DF0325}"/>
            </c:ext>
          </c:extLst>
        </c:ser>
        <c:dLbls>
          <c:showLegendKey val="0"/>
          <c:showVal val="0"/>
          <c:showCatName val="0"/>
          <c:showSerName val="0"/>
          <c:showPercent val="0"/>
          <c:showBubbleSize val="0"/>
        </c:dLbls>
        <c:smooth val="0"/>
        <c:axId val="771897392"/>
        <c:axId val="771889944"/>
      </c:lineChart>
      <c:catAx>
        <c:axId val="771897392"/>
        <c:scaling>
          <c:orientation val="minMax"/>
        </c:scaling>
        <c:delete val="0"/>
        <c:axPos val="t"/>
        <c:majorGridlines>
          <c:spPr>
            <a:ln w="3175">
              <a:solidFill>
                <a:srgbClr val="808080"/>
              </a:solidFill>
              <a:prstDash val="solid"/>
            </a:ln>
          </c:spPr>
        </c:majorGridlines>
        <c:title>
          <c:tx>
            <c:rich>
              <a:bodyPr/>
              <a:lstStyle/>
              <a:p>
                <a:pPr>
                  <a:defRPr sz="1100" b="1" i="0" u="none" strike="noStrike" baseline="0">
                    <a:solidFill>
                      <a:srgbClr val="000000"/>
                    </a:solidFill>
                    <a:latin typeface="+mn-lt"/>
                    <a:ea typeface="Arial"/>
                    <a:cs typeface="Arial"/>
                  </a:defRPr>
                </a:pPr>
                <a:r>
                  <a:rPr lang="en-US" sz="1100">
                    <a:latin typeface="+mn-lt"/>
                  </a:rPr>
                  <a:t>Confidence Levels</a:t>
                </a:r>
              </a:p>
            </c:rich>
          </c:tx>
          <c:layout>
            <c:manualLayout>
              <c:xMode val="edge"/>
              <c:yMode val="edge"/>
              <c:x val="0.42266557070423538"/>
              <c:y val="0.89126279077685744"/>
            </c:manualLayout>
          </c:layout>
          <c:overlay val="0"/>
          <c:spPr>
            <a:noFill/>
            <a:ln w="25400">
              <a:noFill/>
            </a:ln>
          </c:spPr>
        </c:title>
        <c:numFmt formatCode="0%" sourceLinked="1"/>
        <c:majorTickMark val="none"/>
        <c:minorTickMark val="none"/>
        <c:tickLblPos val="high"/>
        <c:spPr>
          <a:ln w="3175">
            <a:solidFill>
              <a:srgbClr val="000000"/>
            </a:solidFill>
            <a:prstDash val="solid"/>
          </a:ln>
        </c:spPr>
        <c:txPr>
          <a:bodyPr rot="-5400000" vert="horz"/>
          <a:lstStyle/>
          <a:p>
            <a:pPr>
              <a:defRPr sz="1100" b="1" i="0" u="none" strike="noStrike" baseline="0">
                <a:solidFill>
                  <a:srgbClr val="000000"/>
                </a:solidFill>
                <a:latin typeface="+mn-lt"/>
                <a:ea typeface="Arial"/>
                <a:cs typeface="Arial"/>
              </a:defRPr>
            </a:pPr>
            <a:endParaRPr lang="en-US"/>
          </a:p>
        </c:txPr>
        <c:crossAx val="771889944"/>
        <c:crosses val="max"/>
        <c:auto val="1"/>
        <c:lblAlgn val="ctr"/>
        <c:lblOffset val="100"/>
        <c:noMultiLvlLbl val="0"/>
      </c:catAx>
      <c:valAx>
        <c:axId val="771889944"/>
        <c:scaling>
          <c:orientation val="minMax"/>
        </c:scaling>
        <c:delete val="0"/>
        <c:axPos val="l"/>
        <c:majorGridlines/>
        <c:title>
          <c:tx>
            <c:rich>
              <a:bodyPr/>
              <a:lstStyle/>
              <a:p>
                <a:pPr>
                  <a:defRPr sz="1100" b="1" i="0" u="none" strike="noStrike" baseline="0">
                    <a:solidFill>
                      <a:srgbClr val="000000"/>
                    </a:solidFill>
                    <a:latin typeface="+mn-lt"/>
                    <a:ea typeface="Arial"/>
                    <a:cs typeface="Arial"/>
                  </a:defRPr>
                </a:pPr>
                <a:r>
                  <a:rPr lang="en-US" sz="1100">
                    <a:latin typeface="+mn-lt"/>
                  </a:rPr>
                  <a:t>Cost</a:t>
                </a:r>
              </a:p>
            </c:rich>
          </c:tx>
          <c:layout>
            <c:manualLayout>
              <c:xMode val="edge"/>
              <c:yMode val="edge"/>
              <c:x val="2.8933005082079983E-2"/>
              <c:y val="0.49939008538804641"/>
            </c:manualLayout>
          </c:layout>
          <c:overlay val="0"/>
          <c:spPr>
            <a:noFill/>
            <a:ln w="25400">
              <a:noFill/>
            </a:ln>
          </c:spPr>
        </c:title>
        <c:numFmt formatCode="&quot;$&quot;#,##0.0,,\ &quot;M&quot;" sourceLinked="0"/>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mn-lt"/>
                <a:ea typeface="Arial"/>
                <a:cs typeface="Arial"/>
              </a:defRPr>
            </a:pPr>
            <a:endParaRPr lang="en-US"/>
          </a:p>
        </c:txPr>
        <c:crossAx val="771897392"/>
        <c:crosses val="autoZero"/>
        <c:crossBetween val="between"/>
      </c:valAx>
    </c:plotArea>
    <c:legend>
      <c:legendPos val="r"/>
      <c:layout>
        <c:manualLayout>
          <c:xMode val="edge"/>
          <c:yMode val="edge"/>
          <c:x val="0.6280957548931233"/>
          <c:y val="0.87741274635309263"/>
          <c:w val="0.28789049404211708"/>
          <c:h val="0.12258723390998441"/>
        </c:manualLayout>
      </c:layout>
      <c:overlay val="1"/>
      <c:txPr>
        <a:bodyPr/>
        <a:lstStyle/>
        <a:p>
          <a:pPr>
            <a:defRPr sz="1000" b="1">
              <a:latin typeface="+mn-lt"/>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sz="1400"/>
              <a:t>Top Cost Risks</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barChart>
        <c:barDir val="bar"/>
        <c:grouping val="clustered"/>
        <c:varyColors val="0"/>
        <c:ser>
          <c:idx val="1"/>
          <c:order val="0"/>
          <c:tx>
            <c:strRef>
              <c:f>'J-Sensitivity Charts'!$X$16</c:f>
              <c:strCache>
                <c:ptCount val="1"/>
                <c:pt idx="0">
                  <c:v>ROM Cost Risk @ 90%</c:v>
                </c:pt>
              </c:strCache>
            </c:strRef>
          </c:tx>
          <c:spPr>
            <a:solidFill>
              <a:srgbClr val="FF0000">
                <a:alpha val="50000"/>
              </a:srgbClr>
            </a:solidFill>
            <a:ln w="9525" cap="flat" cmpd="sng" algn="ctr">
              <a:noFill/>
              <a:miter lim="800000"/>
            </a:ln>
            <a:effectLst/>
          </c:spPr>
          <c:invertIfNegative val="0"/>
          <c:cat>
            <c:strRef>
              <c:f>'J-Sensitivity Charts'!$S$17:$S$27</c:f>
              <c:strCache>
                <c:ptCount val="11"/>
                <c:pt idx="0">
                  <c:v>1 - Example Variation Risk of Relatively Known Quantities</c:v>
                </c:pt>
                <c:pt idx="1">
                  <c:v>3 - Example Event Risk with Range of Costs</c:v>
                </c:pt>
                <c:pt idx="2">
                  <c:v>2 - Example Variation Risk with Placeholder Costs</c:v>
                </c:pt>
                <c:pt idx="3">
                  <c:v>N/A</c:v>
                </c:pt>
                <c:pt idx="4">
                  <c:v>N/A</c:v>
                </c:pt>
                <c:pt idx="5">
                  <c:v>N/A</c:v>
                </c:pt>
                <c:pt idx="6">
                  <c:v>N/A</c:v>
                </c:pt>
                <c:pt idx="7">
                  <c:v>N/A</c:v>
                </c:pt>
                <c:pt idx="8">
                  <c:v>N/A</c:v>
                </c:pt>
                <c:pt idx="9">
                  <c:v>N/A</c:v>
                </c:pt>
                <c:pt idx="10">
                  <c:v>Remaining Risk Items</c:v>
                </c:pt>
              </c:strCache>
            </c:strRef>
          </c:cat>
          <c:val>
            <c:numRef>
              <c:f>'J-Sensitivity Charts'!$X$17:$X$27</c:f>
              <c:numCache>
                <c:formatCode>"$"#,##0.00,,\ "M"</c:formatCode>
                <c:ptCount val="11"/>
                <c:pt idx="0">
                  <c:v>9600107.4637635425</c:v>
                </c:pt>
                <c:pt idx="1">
                  <c:v>1687194.2746960877</c:v>
                </c:pt>
                <c:pt idx="2">
                  <c:v>14546.67264037012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77B-4ABE-993D-61F848B74001}"/>
            </c:ext>
          </c:extLst>
        </c:ser>
        <c:ser>
          <c:idx val="0"/>
          <c:order val="1"/>
          <c:tx>
            <c:strRef>
              <c:f>'J-Sensitivity Charts'!$W$16</c:f>
              <c:strCache>
                <c:ptCount val="1"/>
                <c:pt idx="0">
                  <c:v>ROM Cost Risk @ 80%</c:v>
                </c:pt>
              </c:strCache>
            </c:strRef>
          </c:tx>
          <c:spPr>
            <a:solidFill>
              <a:schemeClr val="accent1">
                <a:alpha val="50000"/>
              </a:schemeClr>
            </a:solidFill>
            <a:ln w="9525" cap="flat" cmpd="sng" algn="ctr">
              <a:noFill/>
              <a:miter lim="800000"/>
            </a:ln>
            <a:effectLst/>
          </c:spPr>
          <c:invertIfNegative val="0"/>
          <c:cat>
            <c:strRef>
              <c:f>'J-Sensitivity Charts'!$S$17:$S$27</c:f>
              <c:strCache>
                <c:ptCount val="11"/>
                <c:pt idx="0">
                  <c:v>1 - Example Variation Risk of Relatively Known Quantities</c:v>
                </c:pt>
                <c:pt idx="1">
                  <c:v>3 - Example Event Risk with Range of Costs</c:v>
                </c:pt>
                <c:pt idx="2">
                  <c:v>2 - Example Variation Risk with Placeholder Costs</c:v>
                </c:pt>
                <c:pt idx="3">
                  <c:v>N/A</c:v>
                </c:pt>
                <c:pt idx="4">
                  <c:v>N/A</c:v>
                </c:pt>
                <c:pt idx="5">
                  <c:v>N/A</c:v>
                </c:pt>
                <c:pt idx="6">
                  <c:v>N/A</c:v>
                </c:pt>
                <c:pt idx="7">
                  <c:v>N/A</c:v>
                </c:pt>
                <c:pt idx="8">
                  <c:v>N/A</c:v>
                </c:pt>
                <c:pt idx="9">
                  <c:v>N/A</c:v>
                </c:pt>
                <c:pt idx="10">
                  <c:v>Remaining Risk Items</c:v>
                </c:pt>
              </c:strCache>
            </c:strRef>
          </c:cat>
          <c:val>
            <c:numRef>
              <c:f>'J-Sensitivity Charts'!$W$17:$W$27</c:f>
              <c:numCache>
                <c:formatCode>"$"#,##0.00,,\ "M"</c:formatCode>
                <c:ptCount val="11"/>
                <c:pt idx="0">
                  <c:v>7222736.5282655787</c:v>
                </c:pt>
                <c:pt idx="1">
                  <c:v>1458627.0539664719</c:v>
                </c:pt>
                <c:pt idx="2">
                  <c:v>12365.964767948082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E77B-4ABE-993D-61F848B74001}"/>
            </c:ext>
          </c:extLst>
        </c:ser>
        <c:ser>
          <c:idx val="2"/>
          <c:order val="2"/>
          <c:tx>
            <c:strRef>
              <c:f>'J-Sensitivity Charts'!$V$16</c:f>
              <c:strCache>
                <c:ptCount val="1"/>
                <c:pt idx="0">
                  <c:v>ROM Cost Risk @ 50%</c:v>
                </c:pt>
              </c:strCache>
            </c:strRef>
          </c:tx>
          <c:spPr>
            <a:solidFill>
              <a:schemeClr val="accent6">
                <a:alpha val="50000"/>
              </a:schemeClr>
            </a:solidFill>
            <a:ln w="9525" cap="flat" cmpd="sng" algn="ctr">
              <a:noFill/>
              <a:miter lim="800000"/>
            </a:ln>
            <a:effectLst/>
          </c:spPr>
          <c:invertIfNegative val="0"/>
          <c:errBars>
            <c:errBarType val="both"/>
            <c:errValType val="cust"/>
            <c:noEndCap val="1"/>
            <c:plus>
              <c:numLit>
                <c:formatCode>General</c:formatCode>
                <c:ptCount val="1"/>
                <c:pt idx="0">
                  <c:v>1</c:v>
                </c:pt>
              </c:numLit>
            </c:plus>
            <c:minus>
              <c:numLit>
                <c:formatCode>General</c:formatCode>
                <c:ptCount val="1"/>
                <c:pt idx="0">
                  <c:v>1</c:v>
                </c:pt>
              </c:numLit>
            </c:minus>
            <c:spPr>
              <a:noFill/>
              <a:ln w="9525">
                <a:solidFill>
                  <a:schemeClr val="lt1">
                    <a:lumMod val="50000"/>
                  </a:schemeClr>
                </a:solidFill>
                <a:round/>
              </a:ln>
              <a:effectLst/>
            </c:spPr>
          </c:errBars>
          <c:cat>
            <c:strRef>
              <c:f>'J-Sensitivity Charts'!$S$17:$S$27</c:f>
              <c:strCache>
                <c:ptCount val="11"/>
                <c:pt idx="0">
                  <c:v>1 - Example Variation Risk of Relatively Known Quantities</c:v>
                </c:pt>
                <c:pt idx="1">
                  <c:v>3 - Example Event Risk with Range of Costs</c:v>
                </c:pt>
                <c:pt idx="2">
                  <c:v>2 - Example Variation Risk with Placeholder Costs</c:v>
                </c:pt>
                <c:pt idx="3">
                  <c:v>N/A</c:v>
                </c:pt>
                <c:pt idx="4">
                  <c:v>N/A</c:v>
                </c:pt>
                <c:pt idx="5">
                  <c:v>N/A</c:v>
                </c:pt>
                <c:pt idx="6">
                  <c:v>N/A</c:v>
                </c:pt>
                <c:pt idx="7">
                  <c:v>N/A</c:v>
                </c:pt>
                <c:pt idx="8">
                  <c:v>N/A</c:v>
                </c:pt>
                <c:pt idx="9">
                  <c:v>N/A</c:v>
                </c:pt>
                <c:pt idx="10">
                  <c:v>Remaining Risk Items</c:v>
                </c:pt>
              </c:strCache>
            </c:strRef>
          </c:cat>
          <c:val>
            <c:numRef>
              <c:f>'J-Sensitivity Charts'!$V$17:$V$27</c:f>
              <c:numCache>
                <c:formatCode>"$"#,##0.00,,\ "M"</c:formatCode>
                <c:ptCount val="11"/>
                <c:pt idx="0">
                  <c:v>2378917.6390124438</c:v>
                </c:pt>
                <c:pt idx="1">
                  <c:v>815313.01158406714</c:v>
                </c:pt>
                <c:pt idx="2">
                  <c:v>-6529.8166965110313</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77B-4ABE-993D-61F848B74001}"/>
            </c:ext>
          </c:extLst>
        </c:ser>
        <c:dLbls>
          <c:showLegendKey val="0"/>
          <c:showVal val="0"/>
          <c:showCatName val="0"/>
          <c:showSerName val="0"/>
          <c:showPercent val="0"/>
          <c:showBubbleSize val="0"/>
        </c:dLbls>
        <c:gapWidth val="182"/>
        <c:axId val="1301294288"/>
        <c:axId val="1301296256"/>
      </c:barChart>
      <c:catAx>
        <c:axId val="1301294288"/>
        <c:scaling>
          <c:orientation val="maxMin"/>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301296256"/>
        <c:crosses val="autoZero"/>
        <c:auto val="1"/>
        <c:lblAlgn val="ctr"/>
        <c:lblOffset val="100"/>
        <c:noMultiLvlLbl val="0"/>
      </c:catAx>
      <c:valAx>
        <c:axId val="1301296256"/>
        <c:scaling>
          <c:orientation val="minMax"/>
        </c:scaling>
        <c:delete val="0"/>
        <c:axPos val="t"/>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quot;$&quot;#,##0,,\ &quot;M&quot;"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lt1">
                    <a:lumMod val="75000"/>
                  </a:schemeClr>
                </a:solidFill>
                <a:latin typeface="+mn-lt"/>
                <a:ea typeface="+mn-ea"/>
                <a:cs typeface="+mn-cs"/>
              </a:defRPr>
            </a:pPr>
            <a:endParaRPr lang="en-US"/>
          </a:p>
        </c:txPr>
        <c:crossAx val="130129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sz="1400"/>
              <a:t>Top Schedule Risks</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lotArea>
      <c:layout/>
      <c:barChart>
        <c:barDir val="bar"/>
        <c:grouping val="clustered"/>
        <c:varyColors val="0"/>
        <c:ser>
          <c:idx val="1"/>
          <c:order val="0"/>
          <c:tx>
            <c:strRef>
              <c:f>'J-Sensitivity Charts'!$X$38</c:f>
              <c:strCache>
                <c:ptCount val="1"/>
                <c:pt idx="0">
                  <c:v>ROM Schedule Risk @ 90%</c:v>
                </c:pt>
              </c:strCache>
            </c:strRef>
          </c:tx>
          <c:spPr>
            <a:solidFill>
              <a:srgbClr val="FF0000">
                <a:alpha val="50000"/>
              </a:srgbClr>
            </a:solidFill>
            <a:ln w="9525" cap="flat" cmpd="sng" algn="ctr">
              <a:noFill/>
              <a:miter lim="800000"/>
            </a:ln>
            <a:effectLst/>
          </c:spPr>
          <c:invertIfNegative val="0"/>
          <c:cat>
            <c:strRef>
              <c:f>'J-Sensitivity Charts'!$S$39:$S$49</c:f>
              <c:strCache>
                <c:ptCount val="11"/>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pt idx="10">
                  <c:v>Remaining Risk Items</c:v>
                </c:pt>
              </c:strCache>
            </c:strRef>
          </c:cat>
          <c:val>
            <c:numRef>
              <c:f>'J-Sensitivity Charts'!$X$39:$X$49</c:f>
              <c:numCache>
                <c:formatCode>0.00\ "MO"</c:formatCode>
                <c:ptCount val="11"/>
                <c:pt idx="0">
                  <c:v>4.420401012477849</c:v>
                </c:pt>
                <c:pt idx="1">
                  <c:v>2.076782086113699</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065F-4598-8624-C03F304F98EE}"/>
            </c:ext>
          </c:extLst>
        </c:ser>
        <c:ser>
          <c:idx val="0"/>
          <c:order val="1"/>
          <c:tx>
            <c:strRef>
              <c:f>'J-Sensitivity Charts'!$W$38</c:f>
              <c:strCache>
                <c:ptCount val="1"/>
                <c:pt idx="0">
                  <c:v>ROM Schedule Risk @ 80%</c:v>
                </c:pt>
              </c:strCache>
            </c:strRef>
          </c:tx>
          <c:spPr>
            <a:solidFill>
              <a:schemeClr val="accent1">
                <a:alpha val="50000"/>
              </a:schemeClr>
            </a:solidFill>
            <a:ln w="9525" cap="flat" cmpd="sng" algn="ctr">
              <a:noFill/>
              <a:miter lim="800000"/>
            </a:ln>
            <a:effectLst/>
          </c:spPr>
          <c:invertIfNegative val="0"/>
          <c:cat>
            <c:strRef>
              <c:f>'J-Sensitivity Charts'!$S$39:$S$49</c:f>
              <c:strCache>
                <c:ptCount val="11"/>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pt idx="10">
                  <c:v>Remaining Risk Items</c:v>
                </c:pt>
              </c:strCache>
            </c:strRef>
          </c:cat>
          <c:val>
            <c:numRef>
              <c:f>'J-Sensitivity Charts'!$W$39:$W$49</c:f>
              <c:numCache>
                <c:formatCode>0.00\ "MO"</c:formatCode>
                <c:ptCount val="11"/>
                <c:pt idx="0">
                  <c:v>3.1286088315755198</c:v>
                </c:pt>
                <c:pt idx="1">
                  <c:v>1.4194193374385644</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065F-4598-8624-C03F304F98EE}"/>
            </c:ext>
          </c:extLst>
        </c:ser>
        <c:ser>
          <c:idx val="2"/>
          <c:order val="2"/>
          <c:tx>
            <c:strRef>
              <c:f>'J-Sensitivity Charts'!$V$38</c:f>
              <c:strCache>
                <c:ptCount val="1"/>
                <c:pt idx="0">
                  <c:v>ROM Schedule Risk @ 50%</c:v>
                </c:pt>
              </c:strCache>
            </c:strRef>
          </c:tx>
          <c:spPr>
            <a:solidFill>
              <a:schemeClr val="accent6">
                <a:alpha val="50000"/>
              </a:schemeClr>
            </a:solidFill>
            <a:ln w="9525" cap="flat" cmpd="sng" algn="ctr">
              <a:noFill/>
              <a:miter lim="800000"/>
            </a:ln>
            <a:effectLst/>
          </c:spPr>
          <c:invertIfNegative val="0"/>
          <c:cat>
            <c:strRef>
              <c:f>'J-Sensitivity Charts'!$S$39:$S$49</c:f>
              <c:strCache>
                <c:ptCount val="11"/>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pt idx="10">
                  <c:v>Remaining Risk Items</c:v>
                </c:pt>
              </c:strCache>
            </c:strRef>
          </c:cat>
          <c:val>
            <c:numRef>
              <c:f>'J-Sensitivity Charts'!$V$39:$V$49</c:f>
              <c:numCache>
                <c:formatCode>0.00\ "MO"</c:formatCode>
                <c:ptCount val="11"/>
                <c:pt idx="0">
                  <c:v>0.68314116149596105</c:v>
                </c:pt>
                <c:pt idx="1">
                  <c:v>1.2660137680815036</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65F-4598-8624-C03F304F98EE}"/>
            </c:ext>
          </c:extLst>
        </c:ser>
        <c:dLbls>
          <c:showLegendKey val="0"/>
          <c:showVal val="0"/>
          <c:showCatName val="0"/>
          <c:showSerName val="0"/>
          <c:showPercent val="0"/>
          <c:showBubbleSize val="0"/>
        </c:dLbls>
        <c:gapWidth val="182"/>
        <c:axId val="1301294288"/>
        <c:axId val="1301296256"/>
      </c:barChart>
      <c:catAx>
        <c:axId val="1301294288"/>
        <c:scaling>
          <c:orientation val="maxMin"/>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301296256"/>
        <c:crosses val="autoZero"/>
        <c:auto val="1"/>
        <c:lblAlgn val="ctr"/>
        <c:lblOffset val="100"/>
        <c:noMultiLvlLbl val="0"/>
      </c:catAx>
      <c:valAx>
        <c:axId val="1301296256"/>
        <c:scaling>
          <c:orientation val="minMax"/>
        </c:scaling>
        <c:delete val="0"/>
        <c:axPos val="t"/>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0\ &quot;MO&quot;"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lt1">
                    <a:lumMod val="75000"/>
                  </a:schemeClr>
                </a:solidFill>
                <a:latin typeface="+mn-lt"/>
                <a:ea typeface="+mn-ea"/>
                <a:cs typeface="+mn-cs"/>
              </a:defRPr>
            </a:pPr>
            <a:endParaRPr lang="en-US"/>
          </a:p>
        </c:txPr>
        <c:crossAx val="130129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Top </a:t>
            </a:r>
            <a:r>
              <a:rPr lang="en-US" sz="1400" baseline="0"/>
              <a:t>Cost Risks</a:t>
            </a:r>
            <a:endParaRPr lang="en-US" sz="1400"/>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stockChart>
        <c:ser>
          <c:idx val="0"/>
          <c:order val="0"/>
          <c:tx>
            <c:strRef>
              <c:f>'J-Sensitivity Charts'!$T$16</c:f>
              <c:strCache>
                <c:ptCount val="1"/>
                <c:pt idx="0">
                  <c:v>Cost LV</c:v>
                </c:pt>
              </c:strCache>
            </c:strRef>
          </c:tx>
          <c:spPr>
            <a:ln w="25400" cap="rnd">
              <a:noFill/>
              <a:round/>
            </a:ln>
            <a:effectLst>
              <a:outerShdw blurRad="40000" dist="23000" dir="5400000" rotWithShape="0">
                <a:srgbClr val="000000">
                  <a:alpha val="35000"/>
                </a:srgbClr>
              </a:outerShdw>
            </a:effectLst>
          </c:spPr>
          <c:marker>
            <c:symbol val="none"/>
          </c:marker>
          <c:cat>
            <c:strRef>
              <c:f>'J-Sensitivity Charts'!$S$17:$S$26</c:f>
              <c:strCache>
                <c:ptCount val="10"/>
                <c:pt idx="0">
                  <c:v>1 - Example Variation Risk of Relatively Known Quantities</c:v>
                </c:pt>
                <c:pt idx="1">
                  <c:v>3 - Example Event Risk with Range of Costs</c:v>
                </c:pt>
                <c:pt idx="2">
                  <c:v>2 - Example Variation Risk with Placeholder Costs</c:v>
                </c:pt>
                <c:pt idx="3">
                  <c:v>N/A</c:v>
                </c:pt>
                <c:pt idx="4">
                  <c:v>N/A</c:v>
                </c:pt>
                <c:pt idx="5">
                  <c:v>N/A</c:v>
                </c:pt>
                <c:pt idx="6">
                  <c:v>N/A</c:v>
                </c:pt>
                <c:pt idx="7">
                  <c:v>N/A</c:v>
                </c:pt>
                <c:pt idx="8">
                  <c:v>N/A</c:v>
                </c:pt>
                <c:pt idx="9">
                  <c:v>N/A</c:v>
                </c:pt>
              </c:strCache>
            </c:strRef>
          </c:cat>
          <c:val>
            <c:numRef>
              <c:f>'J-Sensitivity Charts'!$T$17:$T$26</c:f>
              <c:numCache>
                <c:formatCode>"$"#,##0.00,,\ "M"</c:formatCode>
                <c:ptCount val="10"/>
                <c:pt idx="0">
                  <c:v>-8200000</c:v>
                </c:pt>
                <c:pt idx="1">
                  <c:v>2450000</c:v>
                </c:pt>
                <c:pt idx="2">
                  <c:v>-1000000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CBC8-4417-9F92-43DC47BF905C}"/>
            </c:ext>
          </c:extLst>
        </c:ser>
        <c:ser>
          <c:idx val="1"/>
          <c:order val="1"/>
          <c:tx>
            <c:strRef>
              <c:f>'J-Sensitivity Charts'!$U$16</c:f>
              <c:strCache>
                <c:ptCount val="1"/>
                <c:pt idx="0">
                  <c:v>Cost HV</c:v>
                </c:pt>
              </c:strCache>
            </c:strRef>
          </c:tx>
          <c:spPr>
            <a:ln w="25400" cap="rnd">
              <a:noFill/>
              <a:round/>
            </a:ln>
            <a:effectLst>
              <a:outerShdw blurRad="40000" dist="23000" dir="5400000" rotWithShape="0">
                <a:srgbClr val="000000">
                  <a:alpha val="35000"/>
                </a:srgbClr>
              </a:outerShdw>
            </a:effectLst>
          </c:spPr>
          <c:marker>
            <c:symbol val="none"/>
          </c:marker>
          <c:cat>
            <c:strRef>
              <c:f>'J-Sensitivity Charts'!$S$17:$S$26</c:f>
              <c:strCache>
                <c:ptCount val="10"/>
                <c:pt idx="0">
                  <c:v>1 - Example Variation Risk of Relatively Known Quantities</c:v>
                </c:pt>
                <c:pt idx="1">
                  <c:v>3 - Example Event Risk with Range of Costs</c:v>
                </c:pt>
                <c:pt idx="2">
                  <c:v>2 - Example Variation Risk with Placeholder Costs</c:v>
                </c:pt>
                <c:pt idx="3">
                  <c:v>N/A</c:v>
                </c:pt>
                <c:pt idx="4">
                  <c:v>N/A</c:v>
                </c:pt>
                <c:pt idx="5">
                  <c:v>N/A</c:v>
                </c:pt>
                <c:pt idx="6">
                  <c:v>N/A</c:v>
                </c:pt>
                <c:pt idx="7">
                  <c:v>N/A</c:v>
                </c:pt>
                <c:pt idx="8">
                  <c:v>N/A</c:v>
                </c:pt>
                <c:pt idx="9">
                  <c:v>N/A</c:v>
                </c:pt>
              </c:strCache>
            </c:strRef>
          </c:cat>
          <c:val>
            <c:numRef>
              <c:f>'J-Sensitivity Charts'!$U$17:$U$26</c:f>
              <c:numCache>
                <c:formatCode>"$"#,##0.00,,\ "M"</c:formatCode>
                <c:ptCount val="10"/>
                <c:pt idx="0">
                  <c:v>16400000</c:v>
                </c:pt>
                <c:pt idx="1">
                  <c:v>4900000</c:v>
                </c:pt>
                <c:pt idx="2">
                  <c:v>1000000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CBC8-4417-9F92-43DC47BF905C}"/>
            </c:ext>
          </c:extLst>
        </c:ser>
        <c:ser>
          <c:idx val="2"/>
          <c:order val="2"/>
          <c:tx>
            <c:strRef>
              <c:f>'J-Sensitivity Charts'!$V$16</c:f>
              <c:strCache>
                <c:ptCount val="1"/>
                <c:pt idx="0">
                  <c:v>ROM Cost Risk @ 50%</c:v>
                </c:pt>
              </c:strCache>
            </c:strRef>
          </c:tx>
          <c:spPr>
            <a:ln w="25400" cap="rnd">
              <a:noFill/>
              <a:round/>
            </a:ln>
            <a:effectLst>
              <a:outerShdw blurRad="40000" dist="23000" dir="5400000" rotWithShape="0">
                <a:srgbClr val="000000">
                  <a:alpha val="35000"/>
                </a:srgbClr>
              </a:outerShdw>
            </a:effectLst>
          </c:spPr>
          <c:marker>
            <c:symbol val="dash"/>
            <c:size val="10"/>
            <c:spPr>
              <a:solidFill>
                <a:schemeClr val="accent6">
                  <a:lumMod val="75000"/>
                </a:schemeClr>
              </a:solidFill>
              <a:ln w="9525">
                <a:no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'J-Sensitivity Charts'!$S$17:$S$26</c:f>
              <c:strCache>
                <c:ptCount val="10"/>
                <c:pt idx="0">
                  <c:v>1 - Example Variation Risk of Relatively Known Quantities</c:v>
                </c:pt>
                <c:pt idx="1">
                  <c:v>3 - Example Event Risk with Range of Costs</c:v>
                </c:pt>
                <c:pt idx="2">
                  <c:v>2 - Example Variation Risk with Placeholder Costs</c:v>
                </c:pt>
                <c:pt idx="3">
                  <c:v>N/A</c:v>
                </c:pt>
                <c:pt idx="4">
                  <c:v>N/A</c:v>
                </c:pt>
                <c:pt idx="5">
                  <c:v>N/A</c:v>
                </c:pt>
                <c:pt idx="6">
                  <c:v>N/A</c:v>
                </c:pt>
                <c:pt idx="7">
                  <c:v>N/A</c:v>
                </c:pt>
                <c:pt idx="8">
                  <c:v>N/A</c:v>
                </c:pt>
                <c:pt idx="9">
                  <c:v>N/A</c:v>
                </c:pt>
              </c:strCache>
            </c:strRef>
          </c:cat>
          <c:val>
            <c:numRef>
              <c:f>'J-Sensitivity Charts'!$V$17:$V$26</c:f>
              <c:numCache>
                <c:formatCode>"$"#,##0.00,,\ "M"</c:formatCode>
                <c:ptCount val="10"/>
                <c:pt idx="0">
                  <c:v>2378917.6390124438</c:v>
                </c:pt>
                <c:pt idx="1">
                  <c:v>815313.01158406714</c:v>
                </c:pt>
                <c:pt idx="2">
                  <c:v>-6529.8166965110313</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CBC8-4417-9F92-43DC47BF905C}"/>
            </c:ext>
          </c:extLst>
        </c:ser>
        <c:ser>
          <c:idx val="3"/>
          <c:order val="3"/>
          <c:tx>
            <c:strRef>
              <c:f>'J-Sensitivity Charts'!$W$16</c:f>
              <c:strCache>
                <c:ptCount val="1"/>
                <c:pt idx="0">
                  <c:v>ROM Cost Risk @ 80%</c:v>
                </c:pt>
              </c:strCache>
            </c:strRef>
          </c:tx>
          <c:spPr>
            <a:ln w="25400" cap="rnd">
              <a:noFill/>
              <a:round/>
            </a:ln>
            <a:effectLst>
              <a:outerShdw blurRad="40000" dist="23000" dir="5400000" rotWithShape="0">
                <a:srgbClr val="000000">
                  <a:alpha val="35000"/>
                </a:srgbClr>
              </a:outerShdw>
            </a:effectLst>
          </c:spPr>
          <c:marker>
            <c:symbol val="dash"/>
            <c:size val="10"/>
            <c:spPr>
              <a:solidFill>
                <a:schemeClr val="accent5">
                  <a:lumMod val="75000"/>
                </a:schemeClr>
              </a:solidFill>
              <a:ln w="9525">
                <a:no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'J-Sensitivity Charts'!$W$17:$W$26</c:f>
              <c:numCache>
                <c:formatCode>"$"#,##0.00,,\ "M"</c:formatCode>
                <c:ptCount val="10"/>
                <c:pt idx="0">
                  <c:v>7222736.5282655787</c:v>
                </c:pt>
                <c:pt idx="1">
                  <c:v>1458627.0539664719</c:v>
                </c:pt>
                <c:pt idx="2">
                  <c:v>12365.964767948082</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CBC8-4417-9F92-43DC47BF905C}"/>
            </c:ext>
          </c:extLst>
        </c:ser>
        <c:ser>
          <c:idx val="4"/>
          <c:order val="4"/>
          <c:tx>
            <c:strRef>
              <c:f>'J-Sensitivity Charts'!$X$16</c:f>
              <c:strCache>
                <c:ptCount val="1"/>
                <c:pt idx="0">
                  <c:v>ROM Cost Risk @ 90%</c:v>
                </c:pt>
              </c:strCache>
            </c:strRef>
          </c:tx>
          <c:spPr>
            <a:ln w="25400" cap="rnd">
              <a:noFill/>
              <a:round/>
            </a:ln>
            <a:effectLst>
              <a:outerShdw blurRad="40000" dist="23000" dir="5400000" rotWithShape="0">
                <a:srgbClr val="000000">
                  <a:alpha val="35000"/>
                </a:srgbClr>
              </a:outerShdw>
            </a:effectLst>
          </c:spPr>
          <c:marker>
            <c:symbol val="dash"/>
            <c:size val="10"/>
            <c:spPr>
              <a:solidFill>
                <a:srgbClr val="FF0000"/>
              </a:solidFill>
              <a:ln w="9525">
                <a:no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'J-Sensitivity Charts'!$X$17:$X$26</c:f>
              <c:numCache>
                <c:formatCode>"$"#,##0.00,,\ "M"</c:formatCode>
                <c:ptCount val="10"/>
                <c:pt idx="0">
                  <c:v>9600107.4637635425</c:v>
                </c:pt>
                <c:pt idx="1">
                  <c:v>1687194.2746960877</c:v>
                </c:pt>
                <c:pt idx="2">
                  <c:v>14546.67264037012</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4-CBC8-4417-9F92-43DC47BF905C}"/>
            </c:ext>
          </c:extLst>
        </c:ser>
        <c:dLbls>
          <c:showLegendKey val="0"/>
          <c:showVal val="0"/>
          <c:showCatName val="0"/>
          <c:showSerName val="0"/>
          <c:showPercent val="0"/>
          <c:showBubbleSize val="0"/>
        </c:dLbls>
        <c:hiLowLines>
          <c:spPr>
            <a:ln w="254000" cap="flat" cmpd="sng" algn="ctr">
              <a:gradFill flip="none" rotWithShape="1">
                <a:gsLst>
                  <a:gs pos="0">
                    <a:srgbClr val="FF0000"/>
                  </a:gs>
                  <a:gs pos="50000">
                    <a:schemeClr val="accent5">
                      <a:lumMod val="75000"/>
                    </a:schemeClr>
                  </a:gs>
                  <a:gs pos="100000">
                    <a:schemeClr val="accent6">
                      <a:lumMod val="75000"/>
                    </a:schemeClr>
                  </a:gs>
                </a:gsLst>
                <a:lin ang="5400000" scaled="0"/>
                <a:tileRect/>
              </a:gradFill>
              <a:round/>
            </a:ln>
            <a:effectLst/>
          </c:spPr>
        </c:hiLowLines>
        <c:axId val="182128719"/>
        <c:axId val="182129703"/>
      </c:stockChart>
      <c:catAx>
        <c:axId val="182128719"/>
        <c:scaling>
          <c:orientation val="minMax"/>
        </c:scaling>
        <c:delete val="0"/>
        <c:axPos val="b"/>
        <c:numFmt formatCode="General" sourceLinked="1"/>
        <c:majorTickMark val="none"/>
        <c:minorTickMark val="none"/>
        <c:tickLblPos val="low"/>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2129703"/>
        <c:crosses val="autoZero"/>
        <c:auto val="1"/>
        <c:lblAlgn val="ctr"/>
        <c:lblOffset val="100"/>
        <c:noMultiLvlLbl val="0"/>
      </c:catAx>
      <c:valAx>
        <c:axId val="182129703"/>
        <c:scaling>
          <c:orientation val="minMax"/>
        </c:scaling>
        <c:delete val="0"/>
        <c:axPos val="l"/>
        <c:majorGridlines>
          <c:spPr>
            <a:ln w="9525" cap="flat" cmpd="sng" algn="ctr">
              <a:solidFill>
                <a:schemeClr val="lt1">
                  <a:lumMod val="95000"/>
                  <a:alpha val="10000"/>
                </a:schemeClr>
              </a:solidFill>
              <a:round/>
            </a:ln>
            <a:effectLst/>
          </c:spPr>
        </c:majorGridlines>
        <c:numFmt formatCode="&quot;$&quot;#,##0.0,,\ &quot;M&quot;"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lt1">
                    <a:lumMod val="85000"/>
                  </a:schemeClr>
                </a:solidFill>
                <a:latin typeface="+mn-lt"/>
                <a:ea typeface="+mn-ea"/>
                <a:cs typeface="+mn-cs"/>
              </a:defRPr>
            </a:pPr>
            <a:endParaRPr lang="en-US"/>
          </a:p>
        </c:txPr>
        <c:crossAx val="182128719"/>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100" b="1"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Top </a:t>
            </a:r>
            <a:r>
              <a:rPr lang="en-US" sz="1400" baseline="0"/>
              <a:t>Schedule Risks</a:t>
            </a:r>
            <a:endParaRPr lang="en-US" sz="1400"/>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0.10192161526684167"/>
          <c:y val="6.8628472222222223E-2"/>
          <c:w val="0.88604276027996498"/>
          <c:h val="0.61306594488188981"/>
        </c:manualLayout>
      </c:layout>
      <c:stockChart>
        <c:ser>
          <c:idx val="0"/>
          <c:order val="0"/>
          <c:tx>
            <c:strRef>
              <c:f>'J-Sensitivity Charts'!$T$38</c:f>
              <c:strCache>
                <c:ptCount val="1"/>
                <c:pt idx="0">
                  <c:v>Schedule LV</c:v>
                </c:pt>
              </c:strCache>
            </c:strRef>
          </c:tx>
          <c:spPr>
            <a:ln w="25400" cap="rnd">
              <a:noFill/>
              <a:round/>
            </a:ln>
            <a:effectLst>
              <a:outerShdw blurRad="40000" dist="23000" dir="5400000" rotWithShape="0">
                <a:srgbClr val="000000">
                  <a:alpha val="35000"/>
                </a:srgbClr>
              </a:outerShdw>
            </a:effectLst>
          </c:spPr>
          <c:marker>
            <c:symbol val="none"/>
          </c:marker>
          <c:cat>
            <c:strRef>
              <c:f>'J-Sensitivity Charts'!$S$39:$S$48</c:f>
              <c:strCache>
                <c:ptCount val="10"/>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strCache>
            </c:strRef>
          </c:cat>
          <c:val>
            <c:numRef>
              <c:f>'J-Sensitivity Charts'!$T$39:$T$48</c:f>
              <c:numCache>
                <c:formatCode>0.00\ "MO"</c:formatCode>
                <c:ptCount val="10"/>
                <c:pt idx="0">
                  <c:v>3</c:v>
                </c:pt>
                <c:pt idx="1">
                  <c:v>-3</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C4AD-4F54-B14F-1F28E30317CB}"/>
            </c:ext>
          </c:extLst>
        </c:ser>
        <c:ser>
          <c:idx val="1"/>
          <c:order val="1"/>
          <c:tx>
            <c:strRef>
              <c:f>'J-Sensitivity Charts'!$U$38</c:f>
              <c:strCache>
                <c:ptCount val="1"/>
                <c:pt idx="0">
                  <c:v>Schedule HV</c:v>
                </c:pt>
              </c:strCache>
            </c:strRef>
          </c:tx>
          <c:spPr>
            <a:ln w="25400" cap="rnd">
              <a:noFill/>
              <a:round/>
            </a:ln>
            <a:effectLst>
              <a:outerShdw blurRad="40000" dist="23000" dir="5400000" rotWithShape="0">
                <a:srgbClr val="000000">
                  <a:alpha val="35000"/>
                </a:srgbClr>
              </a:outerShdw>
            </a:effectLst>
          </c:spPr>
          <c:marker>
            <c:symbol val="none"/>
          </c:marker>
          <c:cat>
            <c:strRef>
              <c:f>'J-Sensitivity Charts'!$S$39:$S$48</c:f>
              <c:strCache>
                <c:ptCount val="10"/>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strCache>
            </c:strRef>
          </c:cat>
          <c:val>
            <c:numRef>
              <c:f>'J-Sensitivity Charts'!$U$39:$U$48</c:f>
              <c:numCache>
                <c:formatCode>0.00\ "MO"</c:formatCode>
                <c:ptCount val="10"/>
                <c:pt idx="0">
                  <c:v>6</c:v>
                </c:pt>
                <c:pt idx="1">
                  <c:v>6</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C4AD-4F54-B14F-1F28E30317CB}"/>
            </c:ext>
          </c:extLst>
        </c:ser>
        <c:ser>
          <c:idx val="2"/>
          <c:order val="2"/>
          <c:tx>
            <c:strRef>
              <c:f>'J-Sensitivity Charts'!$V$38</c:f>
              <c:strCache>
                <c:ptCount val="1"/>
                <c:pt idx="0">
                  <c:v>ROM Schedule Risk @ 50%</c:v>
                </c:pt>
              </c:strCache>
            </c:strRef>
          </c:tx>
          <c:spPr>
            <a:ln w="25400" cap="rnd">
              <a:noFill/>
              <a:round/>
            </a:ln>
            <a:effectLst>
              <a:outerShdw blurRad="40000" dist="23000" dir="5400000" rotWithShape="0">
                <a:srgbClr val="000000">
                  <a:alpha val="35000"/>
                </a:srgbClr>
              </a:outerShdw>
            </a:effectLst>
          </c:spPr>
          <c:marker>
            <c:symbol val="dash"/>
            <c:size val="10"/>
            <c:spPr>
              <a:solidFill>
                <a:schemeClr val="accent6">
                  <a:lumMod val="75000"/>
                </a:schemeClr>
              </a:solidFill>
              <a:ln w="9525">
                <a:no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'J-Sensitivity Charts'!$S$39:$S$48</c:f>
              <c:strCache>
                <c:ptCount val="10"/>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strCache>
            </c:strRef>
          </c:cat>
          <c:val>
            <c:numRef>
              <c:f>'J-Sensitivity Charts'!$V$39:$V$48</c:f>
              <c:numCache>
                <c:formatCode>0.00\ "MO"</c:formatCode>
                <c:ptCount val="10"/>
                <c:pt idx="0">
                  <c:v>0.68314116149596105</c:v>
                </c:pt>
                <c:pt idx="1">
                  <c:v>1.2660137680815036</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C4AD-4F54-B14F-1F28E30317CB}"/>
            </c:ext>
          </c:extLst>
        </c:ser>
        <c:ser>
          <c:idx val="3"/>
          <c:order val="3"/>
          <c:tx>
            <c:strRef>
              <c:f>'J-Sensitivity Charts'!$W$38</c:f>
              <c:strCache>
                <c:ptCount val="1"/>
                <c:pt idx="0">
                  <c:v>ROM Schedule Risk @ 80%</c:v>
                </c:pt>
              </c:strCache>
            </c:strRef>
          </c:tx>
          <c:spPr>
            <a:ln w="25400" cap="rnd">
              <a:noFill/>
              <a:round/>
            </a:ln>
            <a:effectLst>
              <a:outerShdw blurRad="40000" dist="23000" dir="5400000" rotWithShape="0">
                <a:srgbClr val="000000">
                  <a:alpha val="35000"/>
                </a:srgbClr>
              </a:outerShdw>
            </a:effectLst>
          </c:spPr>
          <c:marker>
            <c:symbol val="dash"/>
            <c:size val="10"/>
            <c:spPr>
              <a:solidFill>
                <a:schemeClr val="accent5">
                  <a:lumMod val="75000"/>
                </a:schemeClr>
              </a:solidFill>
              <a:ln w="9525">
                <a:no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'J-Sensitivity Charts'!$S$39:$S$48</c:f>
              <c:strCache>
                <c:ptCount val="10"/>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strCache>
            </c:strRef>
          </c:cat>
          <c:val>
            <c:numRef>
              <c:f>'J-Sensitivity Charts'!$W$39:$W$48</c:f>
              <c:numCache>
                <c:formatCode>0.00\ "MO"</c:formatCode>
                <c:ptCount val="10"/>
                <c:pt idx="0">
                  <c:v>3.1286088315755198</c:v>
                </c:pt>
                <c:pt idx="1">
                  <c:v>1.4194193374385644</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C4AD-4F54-B14F-1F28E30317CB}"/>
            </c:ext>
          </c:extLst>
        </c:ser>
        <c:ser>
          <c:idx val="4"/>
          <c:order val="4"/>
          <c:tx>
            <c:strRef>
              <c:f>'J-Sensitivity Charts'!$X$38</c:f>
              <c:strCache>
                <c:ptCount val="1"/>
                <c:pt idx="0">
                  <c:v>ROM Schedule Risk @ 90%</c:v>
                </c:pt>
              </c:strCache>
            </c:strRef>
          </c:tx>
          <c:spPr>
            <a:ln w="25400" cap="rnd">
              <a:noFill/>
              <a:round/>
            </a:ln>
            <a:effectLst>
              <a:outerShdw blurRad="40000" dist="23000" dir="5400000" rotWithShape="0">
                <a:srgbClr val="000000">
                  <a:alpha val="35000"/>
                </a:srgbClr>
              </a:outerShdw>
            </a:effectLst>
          </c:spPr>
          <c:marker>
            <c:symbol val="dash"/>
            <c:size val="10"/>
            <c:spPr>
              <a:solidFill>
                <a:srgbClr val="FF0000"/>
              </a:solidFill>
              <a:ln w="9525">
                <a:no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'J-Sensitivity Charts'!$S$39:$S$48</c:f>
              <c:strCache>
                <c:ptCount val="10"/>
                <c:pt idx="0">
                  <c:v>3 - Example Event Risk with Range of Costs</c:v>
                </c:pt>
                <c:pt idx="1">
                  <c:v>1 - Example Variation Risk of Relatively Known Quantities</c:v>
                </c:pt>
                <c:pt idx="2">
                  <c:v>N/A</c:v>
                </c:pt>
                <c:pt idx="3">
                  <c:v>N/A</c:v>
                </c:pt>
                <c:pt idx="4">
                  <c:v>N/A</c:v>
                </c:pt>
                <c:pt idx="5">
                  <c:v>N/A</c:v>
                </c:pt>
                <c:pt idx="6">
                  <c:v>N/A</c:v>
                </c:pt>
                <c:pt idx="7">
                  <c:v>N/A</c:v>
                </c:pt>
                <c:pt idx="8">
                  <c:v>N/A</c:v>
                </c:pt>
                <c:pt idx="9">
                  <c:v>N/A</c:v>
                </c:pt>
              </c:strCache>
            </c:strRef>
          </c:cat>
          <c:val>
            <c:numRef>
              <c:f>'J-Sensitivity Charts'!$X$39:$X$48</c:f>
              <c:numCache>
                <c:formatCode>0.00\ "MO"</c:formatCode>
                <c:ptCount val="10"/>
                <c:pt idx="0">
                  <c:v>4.420401012477849</c:v>
                </c:pt>
                <c:pt idx="1">
                  <c:v>2.076782086113699</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4-C4AD-4F54-B14F-1F28E30317CB}"/>
            </c:ext>
          </c:extLst>
        </c:ser>
        <c:dLbls>
          <c:showLegendKey val="0"/>
          <c:showVal val="0"/>
          <c:showCatName val="0"/>
          <c:showSerName val="0"/>
          <c:showPercent val="0"/>
          <c:showBubbleSize val="0"/>
        </c:dLbls>
        <c:hiLowLines>
          <c:spPr>
            <a:ln w="254000" cap="flat" cmpd="sng" algn="ctr">
              <a:gradFill flip="none" rotWithShape="1">
                <a:gsLst>
                  <a:gs pos="0">
                    <a:srgbClr val="FF0000"/>
                  </a:gs>
                  <a:gs pos="50000">
                    <a:schemeClr val="accent5">
                      <a:lumMod val="75000"/>
                    </a:schemeClr>
                  </a:gs>
                  <a:gs pos="100000">
                    <a:schemeClr val="accent6">
                      <a:lumMod val="75000"/>
                    </a:schemeClr>
                  </a:gs>
                </a:gsLst>
                <a:lin ang="5400000" scaled="1"/>
                <a:tileRect/>
              </a:gradFill>
              <a:round/>
            </a:ln>
            <a:effectLst/>
          </c:spPr>
        </c:hiLowLines>
        <c:axId val="182128719"/>
        <c:axId val="182129703"/>
      </c:stockChart>
      <c:catAx>
        <c:axId val="182128719"/>
        <c:scaling>
          <c:orientation val="minMax"/>
        </c:scaling>
        <c:delete val="0"/>
        <c:axPos val="b"/>
        <c:numFmt formatCode="General" sourceLinked="1"/>
        <c:majorTickMark val="none"/>
        <c:minorTickMark val="none"/>
        <c:tickLblPos val="low"/>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182129703"/>
        <c:crosses val="autoZero"/>
        <c:auto val="1"/>
        <c:lblAlgn val="ctr"/>
        <c:lblOffset val="100"/>
        <c:noMultiLvlLbl val="0"/>
      </c:catAx>
      <c:valAx>
        <c:axId val="182129703"/>
        <c:scaling>
          <c:orientation val="minMax"/>
        </c:scaling>
        <c:delete val="0"/>
        <c:axPos val="l"/>
        <c:majorGridlines>
          <c:spPr>
            <a:ln w="9525" cap="flat" cmpd="sng" algn="ctr">
              <a:solidFill>
                <a:schemeClr val="lt1">
                  <a:lumMod val="95000"/>
                  <a:alpha val="10000"/>
                </a:schemeClr>
              </a:solidFill>
              <a:round/>
            </a:ln>
            <a:effectLst/>
          </c:spPr>
        </c:majorGridlines>
        <c:numFmt formatCode="0.0\ &quot;MO&quot;"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lt1">
                    <a:lumMod val="85000"/>
                  </a:schemeClr>
                </a:solidFill>
                <a:latin typeface="+mn-lt"/>
                <a:ea typeface="+mn-ea"/>
                <a:cs typeface="+mn-cs"/>
              </a:defRPr>
            </a:pPr>
            <a:endParaRPr lang="en-US"/>
          </a:p>
        </c:txPr>
        <c:crossAx val="182128719"/>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100" b="1"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Cost Contingency </a:t>
            </a:r>
          </a:p>
        </c:rich>
      </c:tx>
      <c:layout>
        <c:manualLayout>
          <c:xMode val="edge"/>
          <c:yMode val="edge"/>
          <c:x val="0.41084543126834738"/>
          <c:y val="2.9906534176537467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0.177523304271514"/>
          <c:y val="0.18708603093456724"/>
          <c:w val="0.80910541871073494"/>
          <c:h val="0.67569091132751113"/>
        </c:manualLayout>
      </c:layout>
      <c:barChart>
        <c:barDir val="col"/>
        <c:grouping val="stacked"/>
        <c:varyColors val="0"/>
        <c:ser>
          <c:idx val="1"/>
          <c:order val="0"/>
          <c:tx>
            <c:strRef>
              <c:f>'I-Project Contingency'!$C$20</c:f>
              <c:strCache>
                <c:ptCount val="1"/>
                <c:pt idx="0">
                  <c:v>Base Estimate</c:v>
                </c:pt>
              </c:strCache>
            </c:strRef>
          </c:tx>
          <c:spPr>
            <a:solidFill>
              <a:schemeClr val="accent6">
                <a:lumMod val="50000"/>
              </a:schemeClr>
            </a:solidFill>
            <a:ln>
              <a:solidFill>
                <a:schemeClr val="tx1"/>
              </a:solidFill>
            </a:ln>
            <a:effectLst>
              <a:glow rad="63500">
                <a:schemeClr val="accent3">
                  <a:alpha val="25000"/>
                </a:schemeClr>
              </a:glow>
              <a:softEdge rad="0"/>
            </a:effectLst>
          </c:spPr>
          <c:invertIfNegative val="0"/>
          <c:cat>
            <c:numRef>
              <c:f>'I-Project Contingency'!$C$23:$C$33</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Contingency'!$G$23:$G$33</c:f>
              <c:numCache>
                <c:formatCode>"$"#,##0</c:formatCode>
                <c:ptCount val="11"/>
                <c:pt idx="0">
                  <c:v>28979098.489999998</c:v>
                </c:pt>
                <c:pt idx="1">
                  <c:v>28979098.489999998</c:v>
                </c:pt>
                <c:pt idx="2">
                  <c:v>28979098.489999998</c:v>
                </c:pt>
                <c:pt idx="3">
                  <c:v>28979098.489999998</c:v>
                </c:pt>
                <c:pt idx="4">
                  <c:v>28979098.489999998</c:v>
                </c:pt>
                <c:pt idx="5">
                  <c:v>28979098.489999998</c:v>
                </c:pt>
                <c:pt idx="6">
                  <c:v>28979098.489999998</c:v>
                </c:pt>
                <c:pt idx="7">
                  <c:v>28979098.489999998</c:v>
                </c:pt>
                <c:pt idx="8">
                  <c:v>28979098.489999998</c:v>
                </c:pt>
                <c:pt idx="9">
                  <c:v>28979098.489999998</c:v>
                </c:pt>
                <c:pt idx="10">
                  <c:v>28979098.489999998</c:v>
                </c:pt>
              </c:numCache>
            </c:numRef>
          </c:val>
          <c:extLst>
            <c:ext xmlns:c16="http://schemas.microsoft.com/office/drawing/2014/chart" uri="{C3380CC4-5D6E-409C-BE32-E72D297353CC}">
              <c16:uniqueId val="{00000000-8AA1-4334-9950-990AF96D1D79}"/>
            </c:ext>
          </c:extLst>
        </c:ser>
        <c:ser>
          <c:idx val="0"/>
          <c:order val="1"/>
          <c:tx>
            <c:v>Contingency</c:v>
          </c:tx>
          <c:spPr>
            <a:solidFill>
              <a:srgbClr val="FF0000"/>
            </a:solidFill>
            <a:ln>
              <a:solidFill>
                <a:schemeClr val="tx1"/>
              </a:solidFill>
            </a:ln>
            <a:effectLst>
              <a:glow rad="63500">
                <a:schemeClr val="accent3">
                  <a:alpha val="25000"/>
                </a:schemeClr>
              </a:glow>
            </a:effectLst>
          </c:spPr>
          <c:invertIfNegative val="0"/>
          <c:dPt>
            <c:idx val="16"/>
            <c:invertIfNegative val="0"/>
            <c:bubble3D val="0"/>
            <c:extLst>
              <c:ext xmlns:c16="http://schemas.microsoft.com/office/drawing/2014/chart" uri="{C3380CC4-5D6E-409C-BE32-E72D297353CC}">
                <c16:uniqueId val="{00000004-8AA1-4334-9950-990AF96D1D79}"/>
              </c:ext>
            </c:extLst>
          </c:dPt>
          <c:dLbls>
            <c:numFmt formatCode="&quot;$&quot;#,##0.0,,\ &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lumMod val="8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'I-Project Contingency'!$C$23:$C$33</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'I-Project Contingency'!$D$23:$D$33</c:f>
              <c:numCache>
                <c:formatCode>"$"#,##0</c:formatCode>
                <c:ptCount val="11"/>
                <c:pt idx="0">
                  <c:v>-8983520.5318999998</c:v>
                </c:pt>
                <c:pt idx="1">
                  <c:v>-3477491.8187999995</c:v>
                </c:pt>
                <c:pt idx="2">
                  <c:v>-1448954.9245</c:v>
                </c:pt>
                <c:pt idx="3">
                  <c:v>289790.98489999998</c:v>
                </c:pt>
                <c:pt idx="4">
                  <c:v>1738745.9094</c:v>
                </c:pt>
                <c:pt idx="5">
                  <c:v>3187700.8339</c:v>
                </c:pt>
                <c:pt idx="6">
                  <c:v>4926446.7433000002</c:v>
                </c:pt>
                <c:pt idx="7">
                  <c:v>6665192.6526999995</c:v>
                </c:pt>
                <c:pt idx="8">
                  <c:v>8693729.5469999984</c:v>
                </c:pt>
                <c:pt idx="9">
                  <c:v>11301848.4111</c:v>
                </c:pt>
                <c:pt idx="10">
                  <c:v>19995577.958100002</c:v>
                </c:pt>
              </c:numCache>
            </c:numRef>
          </c:val>
          <c:extLst>
            <c:ext xmlns:c16="http://schemas.microsoft.com/office/drawing/2014/chart" uri="{C3380CC4-5D6E-409C-BE32-E72D297353CC}">
              <c16:uniqueId val="{00000005-8AA1-4334-9950-990AF96D1D79}"/>
            </c:ext>
          </c:extLst>
        </c:ser>
        <c:dLbls>
          <c:showLegendKey val="0"/>
          <c:showVal val="0"/>
          <c:showCatName val="0"/>
          <c:showSerName val="0"/>
          <c:showPercent val="0"/>
          <c:showBubbleSize val="0"/>
        </c:dLbls>
        <c:gapWidth val="150"/>
        <c:overlap val="100"/>
        <c:axId val="771890336"/>
        <c:axId val="771891120"/>
      </c:barChart>
      <c:catAx>
        <c:axId val="771890336"/>
        <c:scaling>
          <c:orientation val="minMax"/>
        </c:scaling>
        <c:delete val="0"/>
        <c:axPos val="t"/>
        <c:title>
          <c:tx>
            <c:rich>
              <a:bodyPr rot="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r>
                  <a:rPr lang="en-US" sz="1100"/>
                  <a:t>Confidence Levels</a:t>
                </a:r>
              </a:p>
            </c:rich>
          </c:tx>
          <c:layout>
            <c:manualLayout>
              <c:xMode val="edge"/>
              <c:yMode val="edge"/>
              <c:x val="0.5045368835474513"/>
              <c:y val="0.88848490813648284"/>
            </c:manualLayout>
          </c:layout>
          <c:overlay val="0"/>
          <c:spPr>
            <a:noFill/>
            <a:ln>
              <a:noFill/>
            </a:ln>
            <a:effectLst/>
          </c:spPr>
          <c:txPr>
            <a:bodyPr rot="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endParaRPr lang="en-US"/>
            </a:p>
          </c:txPr>
        </c:title>
        <c:numFmt formatCode="0%" sourceLinked="1"/>
        <c:majorTickMark val="none"/>
        <c:minorTickMark val="none"/>
        <c:tickLblPos val="nextTo"/>
        <c:spPr>
          <a:noFill/>
          <a:ln w="12700" cap="flat" cmpd="sng" algn="ctr">
            <a:solidFill>
              <a:schemeClr val="lt1">
                <a:lumMod val="95000"/>
                <a:alpha val="54000"/>
              </a:schemeClr>
            </a:solidFill>
            <a:round/>
          </a:ln>
          <a:effectLst/>
        </c:spPr>
        <c:txPr>
          <a:bodyPr rot="-5400000" spcFirstLastPara="1" vertOverflow="ellipsis" wrap="square" anchor="ctr" anchorCtr="1"/>
          <a:lstStyle/>
          <a:p>
            <a:pPr>
              <a:defRPr sz="1000" b="1" i="0" u="none" strike="noStrike" kern="1200" baseline="0">
                <a:solidFill>
                  <a:schemeClr val="lt1">
                    <a:lumMod val="85000"/>
                  </a:schemeClr>
                </a:solidFill>
                <a:latin typeface="+mn-lt"/>
                <a:ea typeface="+mn-ea"/>
                <a:cs typeface="+mn-cs"/>
              </a:defRPr>
            </a:pPr>
            <a:endParaRPr lang="en-US"/>
          </a:p>
        </c:txPr>
        <c:crossAx val="771891120"/>
        <c:crosses val="max"/>
        <c:auto val="1"/>
        <c:lblAlgn val="ctr"/>
        <c:lblOffset val="100"/>
        <c:tickLblSkip val="1"/>
        <c:tickMarkSkip val="1"/>
        <c:noMultiLvlLbl val="0"/>
      </c:catAx>
      <c:valAx>
        <c:axId val="771891120"/>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r>
                  <a:rPr lang="en-US" sz="1100"/>
                  <a:t>Cost</a:t>
                </a:r>
              </a:p>
            </c:rich>
          </c:tx>
          <c:layout>
            <c:manualLayout>
              <c:xMode val="edge"/>
              <c:yMode val="edge"/>
              <c:x val="2.8933005082079983E-2"/>
              <c:y val="0.49939008538804641"/>
            </c:manualLayout>
          </c:layout>
          <c:overlay val="0"/>
          <c:spPr>
            <a:noFill/>
            <a:ln>
              <a:noFill/>
            </a:ln>
            <a:effectLst/>
          </c:spPr>
          <c:txPr>
            <a:bodyPr rot="-5400000" spcFirstLastPara="1" vertOverflow="ellipsis" vert="horz" wrap="square" anchor="ctr" anchorCtr="1"/>
            <a:lstStyle/>
            <a:p>
              <a:pPr>
                <a:defRPr sz="1100" b="1" i="0" u="none" strike="noStrike" kern="1200" cap="all" baseline="0">
                  <a:solidFill>
                    <a:schemeClr val="lt1">
                      <a:lumMod val="85000"/>
                    </a:schemeClr>
                  </a:solidFill>
                  <a:latin typeface="+mn-lt"/>
                  <a:ea typeface="+mn-ea"/>
                  <a:cs typeface="+mn-cs"/>
                </a:defRPr>
              </a:pPr>
              <a:endParaRPr lang="en-US"/>
            </a:p>
          </c:txPr>
        </c:title>
        <c:numFmt formatCode="&quot;$&quot;#,##0.0,,\ &quot;M&quot;" sourceLinked="0"/>
        <c:majorTickMark val="none"/>
        <c:minorTickMark val="none"/>
        <c:tickLblPos val="nextTo"/>
        <c:spPr>
          <a:noFill/>
          <a:ln>
            <a:noFill/>
          </a:ln>
          <a:effectLst/>
        </c:spPr>
        <c:txPr>
          <a:bodyPr rot="0" spcFirstLastPara="1" vertOverflow="ellipsis" wrap="square" anchor="ctr" anchorCtr="1"/>
          <a:lstStyle/>
          <a:p>
            <a:pPr>
              <a:defRPr sz="1000" b="1" i="0" u="none" strike="noStrike" kern="1200" baseline="0">
                <a:solidFill>
                  <a:schemeClr val="lt1">
                    <a:lumMod val="85000"/>
                  </a:schemeClr>
                </a:solidFill>
                <a:latin typeface="+mn-lt"/>
                <a:ea typeface="+mn-ea"/>
                <a:cs typeface="+mn-cs"/>
              </a:defRPr>
            </a:pPr>
            <a:endParaRPr lang="en-US"/>
          </a:p>
        </c:txPr>
        <c:crossAx val="771890336"/>
        <c:crosses val="autoZero"/>
        <c:crossBetween val="between"/>
      </c:valAx>
      <c:spPr>
        <a:noFill/>
        <a:ln>
          <a:noFill/>
        </a:ln>
        <a:effectLst/>
      </c:spPr>
    </c:plotArea>
    <c:legend>
      <c:legendPos val="b"/>
      <c:layout>
        <c:manualLayout>
          <c:xMode val="edge"/>
          <c:yMode val="edge"/>
          <c:x val="0.45345927153842613"/>
          <c:y val="0.93735870516185482"/>
          <c:w val="0.25097617923532634"/>
          <c:h val="5.9863571005956184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a:outerShdw blurRad="50800" dist="38100" algn="l" rotWithShape="0">
        <a:prstClr val="black">
          <a:alpha val="40000"/>
        </a:prstClr>
      </a:outerShdw>
    </a:effectLst>
  </c:spPr>
  <c:txPr>
    <a:bodyPr/>
    <a:lstStyle/>
    <a:p>
      <a:pPr>
        <a:defRPr/>
      </a:pPr>
      <a:endParaRPr lang="en-US"/>
    </a:p>
  </c:txPr>
  <c:printSettings>
    <c:headerFooter alignWithMargins="0"/>
    <c:pageMargins b="1" l="0.75000000000001465" r="0.75000000000001465" t="1" header="0.5" footer="0.5"/>
    <c:pageSetup orientation="landscape" verticalDpi="4"/>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baseline="0">
                <a:solidFill>
                  <a:schemeClr val="lt1">
                    <a:lumMod val="85000"/>
                  </a:schemeClr>
                </a:solidFill>
                <a:latin typeface="+mn-lt"/>
                <a:ea typeface="+mn-ea"/>
                <a:cs typeface="+mn-cs"/>
              </a:defRPr>
            </a:pPr>
            <a:r>
              <a:rPr lang="en-US" sz="1600"/>
              <a:t>Top Cost Risks</a:t>
            </a:r>
          </a:p>
        </c:rich>
      </c:tx>
      <c:overlay val="0"/>
      <c:spPr>
        <a:noFill/>
        <a:ln>
          <a:noFill/>
        </a:ln>
        <a:effectLst/>
      </c:spPr>
      <c:txPr>
        <a:bodyPr rot="0" spcFirstLastPara="1" vertOverflow="ellipsis" vert="horz" wrap="square" anchor="ctr" anchorCtr="1"/>
        <a:lstStyle/>
        <a:p>
          <a:pPr>
            <a:defRPr sz="1600" b="1" i="0" u="none" strike="noStrike" kern="1200" cap="none" baseline="0">
              <a:solidFill>
                <a:schemeClr val="lt1">
                  <a:lumMod val="85000"/>
                </a:schemeClr>
              </a:solidFill>
              <a:latin typeface="+mn-lt"/>
              <a:ea typeface="+mn-ea"/>
              <a:cs typeface="+mn-cs"/>
            </a:defRPr>
          </a:pPr>
          <a:endParaRPr lang="en-US"/>
        </a:p>
      </c:txPr>
    </c:title>
    <c:autoTitleDeleted val="0"/>
    <c:plotArea>
      <c:layout/>
      <c:barChart>
        <c:barDir val="bar"/>
        <c:grouping val="clustered"/>
        <c:varyColors val="0"/>
        <c:ser>
          <c:idx val="1"/>
          <c:order val="0"/>
          <c:tx>
            <c:strRef>
              <c:f>'J-Sensitivity Charts'!$X$16</c:f>
              <c:strCache>
                <c:ptCount val="1"/>
                <c:pt idx="0">
                  <c:v>ROM Cost Risk @ 90%</c:v>
                </c:pt>
              </c:strCache>
            </c:strRef>
          </c:tx>
          <c:spPr>
            <a:solidFill>
              <a:srgbClr val="FF0000">
                <a:alpha val="50000"/>
              </a:srgbClr>
            </a:solidFill>
            <a:ln w="9525" cap="flat" cmpd="sng" algn="ctr">
              <a:noFill/>
              <a:miter lim="800000"/>
            </a:ln>
            <a:effectLst/>
          </c:spPr>
          <c:invertIfNegative val="0"/>
          <c:cat>
            <c:strRef>
              <c:f>'J-Sensitivity Charts'!$S$17:$S$27</c:f>
              <c:strCache>
                <c:ptCount val="11"/>
                <c:pt idx="0">
                  <c:v>1 - Example Variation Risk of Relatively Known Quantities</c:v>
                </c:pt>
                <c:pt idx="1">
                  <c:v>3 - Example Event Risk with Range of Costs</c:v>
                </c:pt>
                <c:pt idx="2">
                  <c:v>2 - Example Variation Risk with Placeholder Costs</c:v>
                </c:pt>
                <c:pt idx="3">
                  <c:v>N/A</c:v>
                </c:pt>
                <c:pt idx="4">
                  <c:v>N/A</c:v>
                </c:pt>
                <c:pt idx="5">
                  <c:v>N/A</c:v>
                </c:pt>
                <c:pt idx="6">
                  <c:v>N/A</c:v>
                </c:pt>
                <c:pt idx="7">
                  <c:v>N/A</c:v>
                </c:pt>
                <c:pt idx="8">
                  <c:v>N/A</c:v>
                </c:pt>
                <c:pt idx="9">
                  <c:v>N/A</c:v>
                </c:pt>
                <c:pt idx="10">
                  <c:v>Remaining Risk Items</c:v>
                </c:pt>
              </c:strCache>
            </c:strRef>
          </c:cat>
          <c:val>
            <c:numRef>
              <c:f>'J-Sensitivity Charts'!$X$17:$X$27</c:f>
              <c:numCache>
                <c:formatCode>"$"#,##0.00,,\ "M"</c:formatCode>
                <c:ptCount val="11"/>
                <c:pt idx="0">
                  <c:v>9600107.4637635425</c:v>
                </c:pt>
                <c:pt idx="1">
                  <c:v>1687194.2746960877</c:v>
                </c:pt>
                <c:pt idx="2">
                  <c:v>14546.67264037012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7E7-4F5F-8979-B23EE1F9006B}"/>
            </c:ext>
          </c:extLst>
        </c:ser>
        <c:ser>
          <c:idx val="0"/>
          <c:order val="1"/>
          <c:tx>
            <c:strRef>
              <c:f>'J-Sensitivity Charts'!$W$16</c:f>
              <c:strCache>
                <c:ptCount val="1"/>
                <c:pt idx="0">
                  <c:v>ROM Cost Risk @ 80%</c:v>
                </c:pt>
              </c:strCache>
            </c:strRef>
          </c:tx>
          <c:spPr>
            <a:solidFill>
              <a:schemeClr val="accent1">
                <a:alpha val="50000"/>
              </a:schemeClr>
            </a:solidFill>
            <a:ln w="9525" cap="flat" cmpd="sng" algn="ctr">
              <a:noFill/>
              <a:miter lim="800000"/>
            </a:ln>
            <a:effectLst/>
          </c:spPr>
          <c:invertIfNegative val="0"/>
          <c:cat>
            <c:strRef>
              <c:f>'J-Sensitivity Charts'!$S$17:$S$27</c:f>
              <c:strCache>
                <c:ptCount val="11"/>
                <c:pt idx="0">
                  <c:v>1 - Example Variation Risk of Relatively Known Quantities</c:v>
                </c:pt>
                <c:pt idx="1">
                  <c:v>3 - Example Event Risk with Range of Costs</c:v>
                </c:pt>
                <c:pt idx="2">
                  <c:v>2 - Example Variation Risk with Placeholder Costs</c:v>
                </c:pt>
                <c:pt idx="3">
                  <c:v>N/A</c:v>
                </c:pt>
                <c:pt idx="4">
                  <c:v>N/A</c:v>
                </c:pt>
                <c:pt idx="5">
                  <c:v>N/A</c:v>
                </c:pt>
                <c:pt idx="6">
                  <c:v>N/A</c:v>
                </c:pt>
                <c:pt idx="7">
                  <c:v>N/A</c:v>
                </c:pt>
                <c:pt idx="8">
                  <c:v>N/A</c:v>
                </c:pt>
                <c:pt idx="9">
                  <c:v>N/A</c:v>
                </c:pt>
                <c:pt idx="10">
                  <c:v>Remaining Risk Items</c:v>
                </c:pt>
              </c:strCache>
            </c:strRef>
          </c:cat>
          <c:val>
            <c:numRef>
              <c:f>'J-Sensitivity Charts'!$W$17:$W$27</c:f>
              <c:numCache>
                <c:formatCode>"$"#,##0.00,,\ "M"</c:formatCode>
                <c:ptCount val="11"/>
                <c:pt idx="0">
                  <c:v>7222736.5282655787</c:v>
                </c:pt>
                <c:pt idx="1">
                  <c:v>1458627.0539664719</c:v>
                </c:pt>
                <c:pt idx="2">
                  <c:v>12365.964767948082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87E7-4F5F-8979-B23EE1F9006B}"/>
            </c:ext>
          </c:extLst>
        </c:ser>
        <c:ser>
          <c:idx val="2"/>
          <c:order val="2"/>
          <c:tx>
            <c:strRef>
              <c:f>'J-Sensitivity Charts'!$V$16</c:f>
              <c:strCache>
                <c:ptCount val="1"/>
                <c:pt idx="0">
                  <c:v>ROM Cost Risk @ 50%</c:v>
                </c:pt>
              </c:strCache>
            </c:strRef>
          </c:tx>
          <c:spPr>
            <a:solidFill>
              <a:schemeClr val="accent6">
                <a:alpha val="50000"/>
              </a:schemeClr>
            </a:solidFill>
            <a:ln w="9525" cap="flat" cmpd="sng" algn="ctr">
              <a:noFill/>
              <a:miter lim="800000"/>
            </a:ln>
            <a:effectLst/>
          </c:spPr>
          <c:invertIfNegative val="0"/>
          <c:errBars>
            <c:errBarType val="both"/>
            <c:errValType val="cust"/>
            <c:noEndCap val="1"/>
            <c:plus>
              <c:numLit>
                <c:formatCode>General</c:formatCode>
                <c:ptCount val="1"/>
                <c:pt idx="0">
                  <c:v>1</c:v>
                </c:pt>
              </c:numLit>
            </c:plus>
            <c:minus>
              <c:numLit>
                <c:formatCode>General</c:formatCode>
                <c:ptCount val="1"/>
                <c:pt idx="0">
                  <c:v>1</c:v>
                </c:pt>
              </c:numLit>
            </c:minus>
            <c:spPr>
              <a:noFill/>
              <a:ln w="9525">
                <a:solidFill>
                  <a:schemeClr val="lt1">
                    <a:lumMod val="50000"/>
                  </a:schemeClr>
                </a:solidFill>
                <a:round/>
              </a:ln>
              <a:effectLst/>
            </c:spPr>
          </c:errBars>
          <c:cat>
            <c:strRef>
              <c:f>'J-Sensitivity Charts'!$S$17:$S$27</c:f>
              <c:strCache>
                <c:ptCount val="11"/>
                <c:pt idx="0">
                  <c:v>1 - Example Variation Risk of Relatively Known Quantities</c:v>
                </c:pt>
                <c:pt idx="1">
                  <c:v>3 - Example Event Risk with Range of Costs</c:v>
                </c:pt>
                <c:pt idx="2">
                  <c:v>2 - Example Variation Risk with Placeholder Costs</c:v>
                </c:pt>
                <c:pt idx="3">
                  <c:v>N/A</c:v>
                </c:pt>
                <c:pt idx="4">
                  <c:v>N/A</c:v>
                </c:pt>
                <c:pt idx="5">
                  <c:v>N/A</c:v>
                </c:pt>
                <c:pt idx="6">
                  <c:v>N/A</c:v>
                </c:pt>
                <c:pt idx="7">
                  <c:v>N/A</c:v>
                </c:pt>
                <c:pt idx="8">
                  <c:v>N/A</c:v>
                </c:pt>
                <c:pt idx="9">
                  <c:v>N/A</c:v>
                </c:pt>
                <c:pt idx="10">
                  <c:v>Remaining Risk Items</c:v>
                </c:pt>
              </c:strCache>
            </c:strRef>
          </c:cat>
          <c:val>
            <c:numRef>
              <c:f>'J-Sensitivity Charts'!$V$17:$V$27</c:f>
              <c:numCache>
                <c:formatCode>"$"#,##0.00,,\ "M"</c:formatCode>
                <c:ptCount val="11"/>
                <c:pt idx="0">
                  <c:v>2378917.6390124438</c:v>
                </c:pt>
                <c:pt idx="1">
                  <c:v>815313.01158406714</c:v>
                </c:pt>
                <c:pt idx="2">
                  <c:v>-6529.8166965110313</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87E7-4F5F-8979-B23EE1F9006B}"/>
            </c:ext>
          </c:extLst>
        </c:ser>
        <c:dLbls>
          <c:showLegendKey val="0"/>
          <c:showVal val="0"/>
          <c:showCatName val="0"/>
          <c:showSerName val="0"/>
          <c:showPercent val="0"/>
          <c:showBubbleSize val="0"/>
        </c:dLbls>
        <c:gapWidth val="182"/>
        <c:axId val="1301294288"/>
        <c:axId val="1301296256"/>
      </c:barChart>
      <c:catAx>
        <c:axId val="1301294288"/>
        <c:scaling>
          <c:orientation val="maxMin"/>
        </c:scaling>
        <c:delete val="0"/>
        <c:axPos val="l"/>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lt1">
                    <a:lumMod val="75000"/>
                  </a:schemeClr>
                </a:solidFill>
                <a:latin typeface="+mn-lt"/>
                <a:ea typeface="+mn-ea"/>
                <a:cs typeface="+mn-cs"/>
              </a:defRPr>
            </a:pPr>
            <a:endParaRPr lang="en-US"/>
          </a:p>
        </c:txPr>
        <c:crossAx val="1301296256"/>
        <c:crosses val="autoZero"/>
        <c:auto val="1"/>
        <c:lblAlgn val="ctr"/>
        <c:lblOffset val="100"/>
        <c:noMultiLvlLbl val="0"/>
      </c:catAx>
      <c:valAx>
        <c:axId val="1301296256"/>
        <c:scaling>
          <c:orientation val="minMax"/>
        </c:scaling>
        <c:delete val="0"/>
        <c:axPos val="t"/>
        <c:majorGridlines>
          <c:spPr>
            <a:ln w="9525" cap="flat" cmpd="sng" algn="ctr">
              <a:gradFill>
                <a:gsLst>
                  <a:gs pos="0">
                    <a:schemeClr val="dk1">
                      <a:lumMod val="65000"/>
                      <a:lumOff val="35000"/>
                    </a:schemeClr>
                  </a:gs>
                  <a:gs pos="100000">
                    <a:schemeClr val="dk1">
                      <a:lumMod val="75000"/>
                      <a:lumOff val="25000"/>
                    </a:schemeClr>
                  </a:gs>
                </a:gsLst>
                <a:lin ang="10800000" scaled="0"/>
              </a:gradFill>
              <a:round/>
            </a:ln>
            <a:effectLst/>
          </c:spPr>
        </c:majorGridlines>
        <c:numFmt formatCode="&quot;$&quot;#,##0,,\ &quot;M&quot;"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lt1">
                    <a:lumMod val="75000"/>
                  </a:schemeClr>
                </a:solidFill>
                <a:latin typeface="+mn-lt"/>
                <a:ea typeface="+mn-ea"/>
                <a:cs typeface="+mn-cs"/>
              </a:defRPr>
            </a:pPr>
            <a:endParaRPr lang="en-US"/>
          </a:p>
        </c:txPr>
        <c:crossAx val="130129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39">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dk1">
                <a:lumMod val="65000"/>
                <a:lumOff val="35000"/>
              </a:schemeClr>
            </a:gs>
            <a:gs pos="100000">
              <a:schemeClr val="dk1">
                <a:lumMod val="75000"/>
                <a:lumOff val="25000"/>
              </a:schemeClr>
            </a:gs>
          </a:gsLst>
          <a:lin ang="10800000" scaled="0"/>
        </a:gradFill>
        <a:round/>
      </a:ln>
      <a:effectLst/>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5" Type="http://schemas.openxmlformats.org/officeDocument/2006/relationships/chart" Target="../charts/chart7.xml"/><Relationship Id="rId4"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5</xdr:col>
      <xdr:colOff>7620</xdr:colOff>
      <xdr:row>3</xdr:row>
      <xdr:rowOff>87630</xdr:rowOff>
    </xdr:from>
    <xdr:to>
      <xdr:col>17</xdr:col>
      <xdr:colOff>457200</xdr:colOff>
      <xdr:row>23</xdr:row>
      <xdr:rowOff>127000</xdr:rowOff>
    </xdr:to>
    <xdr:sp macro="" textlink="">
      <xdr:nvSpPr>
        <xdr:cNvPr id="2" name="Rectangle 1" descr="40b7255e-4771-41a1-bdb8-a342ec882410">
          <a:extLst>
            <a:ext uri="{FF2B5EF4-FFF2-40B4-BE49-F238E27FC236}">
              <a16:creationId xmlns:a16="http://schemas.microsoft.com/office/drawing/2014/main" id="{C1B2D319-DC3C-4810-85BB-60EAAC19DE73}"/>
            </a:ext>
          </a:extLst>
        </xdr:cNvPr>
        <xdr:cNvSpPr/>
      </xdr:nvSpPr>
      <xdr:spPr>
        <a:xfrm>
          <a:off x="7868920" y="722630"/>
          <a:ext cx="7917180" cy="6668770"/>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nchorCtr="0"/>
        <a:lstStyle/>
        <a:p>
          <a:r>
            <a:rPr lang="en-US" sz="1100" b="1" u="sng">
              <a:solidFill>
                <a:schemeClr val="lt1"/>
              </a:solidFill>
              <a:effectLst/>
              <a:latin typeface="+mn-lt"/>
              <a:ea typeface="+mn-ea"/>
              <a:cs typeface="+mn-cs"/>
            </a:rPr>
            <a:t>Detailed Overview of Changes in OCT 2022</a:t>
          </a:r>
        </a:p>
        <a:p>
          <a:r>
            <a:rPr lang="en-US" sz="1100" b="0" u="sng">
              <a:solidFill>
                <a:schemeClr val="lt1"/>
              </a:solidFill>
              <a:effectLst/>
              <a:latin typeface="+mn-lt"/>
              <a:ea typeface="+mn-ea"/>
              <a:cs typeface="+mn-cs"/>
            </a:rPr>
            <a:t>1 – Drop Down Lists</a:t>
          </a:r>
          <a:r>
            <a:rPr lang="en-US" sz="1100">
              <a:solidFill>
                <a:schemeClr val="lt1"/>
              </a:solidFill>
              <a:effectLst/>
              <a:latin typeface="+mn-lt"/>
              <a:ea typeface="+mn-ea"/>
              <a:cs typeface="+mn-cs"/>
            </a:rPr>
            <a:t> --- Put commonly used distributions at the top of the list and expanded on triangular ones since those typically vary.</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A – Quick Instructions:</a:t>
          </a:r>
          <a:r>
            <a:rPr lang="en-US" sz="1100">
              <a:solidFill>
                <a:schemeClr val="lt1"/>
              </a:solidFill>
              <a:effectLst/>
              <a:latin typeface="+mn-lt"/>
              <a:ea typeface="+mn-ea"/>
              <a:cs typeface="+mn-cs"/>
            </a:rPr>
            <a:t>  Updated per recent changes.</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D – Project Data:</a:t>
          </a:r>
          <a:r>
            <a:rPr lang="en-US" sz="1100">
              <a:solidFill>
                <a:schemeClr val="lt1"/>
              </a:solidFill>
              <a:effectLst/>
              <a:latin typeface="+mn-lt"/>
              <a:ea typeface="+mn-ea"/>
              <a:cs typeface="+mn-cs"/>
            </a:rPr>
            <a:t>  Confidence level selection of CSRA (50%, 80%, etc.) moved to this tab.</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H – Risk-Register Model:</a:t>
          </a:r>
          <a:r>
            <a:rPr lang="en-US" sz="1100">
              <a:solidFill>
                <a:schemeClr val="lt1"/>
              </a:solidFill>
              <a:effectLst/>
              <a:latin typeface="+mn-lt"/>
              <a:ea typeface="+mn-ea"/>
              <a:cs typeface="+mn-cs"/>
            </a:rPr>
            <a:t> </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Added three example risks with example models (demonstration purposes only).  Added in some common risks seen on projects for team consideration.  Added in cost risk modeling which sums the cost impacts &amp; cost from schedule impacts to in order to capture total cost impacts associated with a risk item (versus having to build a model for both).  Added some built-in QC columns to check impacts which sometimes change after further evaluation.  Built in some Crystal Ball (CB) forecasts for each risk item to determine ROM impact costs for each cost &amp; schedule risk item; this information is used to automatically develop the graphs that are replacing the CB sensitivity charts.  </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J – Sensitivity Charts:</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Summary of the major cost &amp; schedule risk items along with a graphical representation of their potential range of impacts at the 50%, 80%, and 90% confidence levels.  This has replaced the CB sensitivity charts.</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K – Risk Dashboard:</a:t>
          </a:r>
          <a:r>
            <a:rPr lang="en-US" sz="1100">
              <a:solidFill>
                <a:schemeClr val="lt1"/>
              </a:solidFill>
              <a:effectLst/>
              <a:latin typeface="+mn-lt"/>
              <a:ea typeface="+mn-ea"/>
              <a:cs typeface="+mn-cs"/>
            </a:rPr>
            <a:t>  Now broken out into two tabs (cost and schedule) in order to add more graphics to the top of the page.  Also added in responsibility/POC data to the summary.</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L – Charts for Report:</a:t>
          </a:r>
          <a:r>
            <a:rPr lang="en-US" sz="1100">
              <a:solidFill>
                <a:schemeClr val="lt1"/>
              </a:solidFill>
              <a:effectLst/>
              <a:latin typeface="+mn-lt"/>
              <a:ea typeface="+mn-ea"/>
              <a:cs typeface="+mn-cs"/>
            </a:rPr>
            <a:t>  Added to quickly copy and paste top risk items to the report.  Summaries are automatically generated.</a:t>
          </a:r>
        </a:p>
        <a:p>
          <a:endParaRPr lang="en-US" sz="1100">
            <a:solidFill>
              <a:schemeClr val="lt1"/>
            </a:solidFill>
            <a:effectLst/>
            <a:latin typeface="+mn-lt"/>
            <a:ea typeface="+mn-ea"/>
            <a:cs typeface="+mn-cs"/>
          </a:endParaRPr>
        </a:p>
        <a:p>
          <a:r>
            <a:rPr lang="en-US" sz="1100" b="1" u="sng">
              <a:solidFill>
                <a:schemeClr val="lt1"/>
              </a:solidFill>
              <a:effectLst/>
              <a:latin typeface="+mn-lt"/>
              <a:ea typeface="+mn-ea"/>
              <a:cs typeface="+mn-cs"/>
            </a:rPr>
            <a:t>Optional Sheets Added</a:t>
          </a:r>
        </a:p>
        <a:p>
          <a:r>
            <a:rPr lang="en-US" sz="1100" u="sng">
              <a:solidFill>
                <a:schemeClr val="lt1"/>
              </a:solidFill>
              <a:effectLst/>
              <a:latin typeface="+mn-lt"/>
              <a:ea typeface="+mn-ea"/>
              <a:cs typeface="+mn-cs"/>
            </a:rPr>
            <a:t>E1 – Estimate Summary:</a:t>
          </a:r>
          <a:r>
            <a:rPr lang="en-US" sz="1100">
              <a:solidFill>
                <a:schemeClr val="lt1"/>
              </a:solidFill>
              <a:effectLst/>
              <a:latin typeface="+mn-lt"/>
              <a:ea typeface="+mn-ea"/>
              <a:cs typeface="+mn-cs"/>
            </a:rPr>
            <a:t>  Used to help communicate/summarize the estimate with more details possibly for linking with the modeling.</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E2 – Schedule Summary:</a:t>
          </a:r>
          <a:r>
            <a:rPr lang="en-US" sz="1100">
              <a:solidFill>
                <a:schemeClr val="lt1"/>
              </a:solidFill>
              <a:effectLst/>
              <a:latin typeface="+mn-lt"/>
              <a:ea typeface="+mn-ea"/>
              <a:cs typeface="+mn-cs"/>
            </a:rPr>
            <a:t>  Used to help communicate/summarize the schedule with more details possibly for linking with the modeling.</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Model Assumptions:</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Example provided to serve as a best practice on documenting and calculating cost impacts related to schedule.</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Common Risk-Escalation:</a:t>
          </a:r>
          <a:r>
            <a:rPr lang="en-US" sz="1100">
              <a:solidFill>
                <a:schemeClr val="lt1"/>
              </a:solidFill>
              <a:effectLst/>
              <a:latin typeface="+mn-lt"/>
              <a:ea typeface="+mn-ea"/>
              <a:cs typeface="+mn-cs"/>
            </a:rPr>
            <a:t>  Very simple example on how escalation can impact an estimate.  Provided to help teams understand how much risk this could induce to the project.</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Common Risk-Markups:</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Very simple example on how indirect cost assumptions (FOOH, HOOH, profit, bond, etc.) can impact an estimate.  Provided to help teams understand how much risk this could induce to the project.</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REF Risk Detail Template:</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Template that can be copied and pasted to help document complex risk items.</a:t>
          </a:r>
        </a:p>
        <a:p>
          <a:endParaRPr lang="en-US" sz="1100">
            <a:solidFill>
              <a:schemeClr val="lt1"/>
            </a:solidFill>
            <a:effectLst/>
            <a:latin typeface="+mn-lt"/>
            <a:ea typeface="+mn-ea"/>
            <a:cs typeface="+mn-cs"/>
          </a:endParaRPr>
        </a:p>
        <a:p>
          <a:r>
            <a:rPr lang="en-US" sz="1100" u="sng">
              <a:solidFill>
                <a:schemeClr val="lt1"/>
              </a:solidFill>
              <a:effectLst/>
              <a:latin typeface="+mn-lt"/>
              <a:ea typeface="+mn-ea"/>
              <a:cs typeface="+mn-cs"/>
            </a:rPr>
            <a:t>1:</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Example risk detail sheet.</a:t>
          </a:r>
        </a:p>
        <a:p>
          <a:r>
            <a:rPr lang="en-US" sz="1100">
              <a:solidFill>
                <a:schemeClr val="lt1"/>
              </a:solidFill>
              <a:effectLst/>
              <a:latin typeface="+mn-lt"/>
              <a:ea typeface="+mn-ea"/>
              <a:cs typeface="+mn-cs"/>
            </a:rPr>
            <a:t> </a:t>
          </a:r>
        </a:p>
      </xdr:txBody>
    </xdr:sp>
    <xdr:clientData fPrintsWithSheet="0"/>
  </xdr:twoCellAnchor>
</xdr:wsDr>
</file>

<file path=xl/drawings/drawing10.xml><?xml version="1.0" encoding="utf-8"?>
<c:userShapes xmlns:c="http://schemas.openxmlformats.org/drawingml/2006/chart">
  <cdr:relSizeAnchor xmlns:cdr="http://schemas.openxmlformats.org/drawingml/2006/chartDrawing">
    <cdr:from>
      <cdr:x>0.00903</cdr:x>
      <cdr:y>0.00996</cdr:y>
    </cdr:from>
    <cdr:to>
      <cdr:x>0.34114</cdr:x>
      <cdr:y>0.21725</cdr:y>
    </cdr:to>
    <cdr:sp macro="" textlink="">
      <cdr:nvSpPr>
        <cdr:cNvPr id="4098" name="Text Box 2"/>
        <cdr:cNvSpPr txBox="1">
          <a:spLocks xmlns:a="http://schemas.openxmlformats.org/drawingml/2006/main" noChangeArrowheads="1"/>
        </cdr:cNvSpPr>
      </cdr:nvSpPr>
      <cdr:spPr bwMode="auto">
        <a:xfrm xmlns:a="http://schemas.openxmlformats.org/drawingml/2006/main">
          <a:off x="50800" y="50800"/>
          <a:ext cx="628269" cy="3784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1.xml><?xml version="1.0" encoding="utf-8"?>
<xdr:wsDr xmlns:xdr="http://schemas.openxmlformats.org/drawingml/2006/spreadsheetDrawing" xmlns:a="http://schemas.openxmlformats.org/drawingml/2006/main">
  <xdr:twoCellAnchor>
    <xdr:from>
      <xdr:col>13</xdr:col>
      <xdr:colOff>57150</xdr:colOff>
      <xdr:row>37</xdr:row>
      <xdr:rowOff>171451</xdr:rowOff>
    </xdr:from>
    <xdr:to>
      <xdr:col>15</xdr:col>
      <xdr:colOff>87630</xdr:colOff>
      <xdr:row>47</xdr:row>
      <xdr:rowOff>152401</xdr:rowOff>
    </xdr:to>
    <xdr:sp macro="" textlink="">
      <xdr:nvSpPr>
        <xdr:cNvPr id="7" name="Right Brace 6" descr="f4a23b8a-1685-4e02-81c2-bab4f401d815">
          <a:extLst>
            <a:ext uri="{FF2B5EF4-FFF2-40B4-BE49-F238E27FC236}">
              <a16:creationId xmlns:a16="http://schemas.microsoft.com/office/drawing/2014/main" id="{2FE5EF13-1AC8-A54D-E0DF-1FEE5224008D}"/>
            </a:ext>
          </a:extLst>
        </xdr:cNvPr>
        <xdr:cNvSpPr/>
      </xdr:nvSpPr>
      <xdr:spPr>
        <a:xfrm>
          <a:off x="18329910" y="7105651"/>
          <a:ext cx="1249680" cy="4042410"/>
        </a:xfrm>
        <a:prstGeom prst="rightBrace">
          <a:avLst>
            <a:gd name="adj1" fmla="val 8333"/>
            <a:gd name="adj2" fmla="val 49413"/>
          </a:avLst>
        </a:prstGeom>
        <a:ln w="57150">
          <a:solidFill>
            <a:srgbClr val="C0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167341</xdr:colOff>
      <xdr:row>39</xdr:row>
      <xdr:rowOff>190044</xdr:rowOff>
    </xdr:from>
    <xdr:to>
      <xdr:col>19</xdr:col>
      <xdr:colOff>474681</xdr:colOff>
      <xdr:row>39</xdr:row>
      <xdr:rowOff>1185157</xdr:rowOff>
    </xdr:to>
    <xdr:sp macro="" textlink="">
      <xdr:nvSpPr>
        <xdr:cNvPr id="8" name="TextBox 7">
          <a:extLst>
            <a:ext uri="{FF2B5EF4-FFF2-40B4-BE49-F238E27FC236}">
              <a16:creationId xmlns:a16="http://schemas.microsoft.com/office/drawing/2014/main" id="{5553AC14-7D29-924C-7B0C-828668A3E901}"/>
            </a:ext>
          </a:extLst>
        </xdr:cNvPr>
        <xdr:cNvSpPr txBox="1"/>
      </xdr:nvSpPr>
      <xdr:spPr>
        <a:xfrm>
          <a:off x="19659301" y="8686344"/>
          <a:ext cx="2745740" cy="995113"/>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nchorCtr="1"/>
        <a:lstStyle/>
        <a:p>
          <a:r>
            <a:rPr lang="en-US" sz="1100" b="1">
              <a:solidFill>
                <a:schemeClr val="lt1"/>
              </a:solidFill>
              <a:effectLst/>
              <a:latin typeface="+mn-lt"/>
              <a:ea typeface="+mn-ea"/>
              <a:cs typeface="+mn-cs"/>
            </a:rPr>
            <a:t>Resize</a:t>
          </a:r>
          <a:r>
            <a:rPr lang="en-US" sz="1100" b="1" baseline="0">
              <a:solidFill>
                <a:schemeClr val="lt1"/>
              </a:solidFill>
              <a:effectLst/>
              <a:latin typeface="+mn-lt"/>
              <a:ea typeface="+mn-ea"/>
              <a:cs typeface="+mn-cs"/>
            </a:rPr>
            <a:t> cells after inputting top risk items in cells M41:M50 in the 'J-Sensitivity Charts' tab.</a:t>
          </a:r>
          <a:endParaRPr lang="en-US">
            <a:effectLst/>
          </a:endParaRPr>
        </a:p>
      </xdr:txBody>
    </xdr:sp>
    <xdr:clientData/>
  </xdr:twoCellAnchor>
  <xdr:oneCellAnchor>
    <xdr:from>
      <xdr:col>5</xdr:col>
      <xdr:colOff>91440</xdr:colOff>
      <xdr:row>9</xdr:row>
      <xdr:rowOff>50800</xdr:rowOff>
    </xdr:from>
    <xdr:ext cx="8686800" cy="4572000"/>
    <xdr:graphicFrame macro="">
      <xdr:nvGraphicFramePr>
        <xdr:cNvPr id="9" name="Chart 8">
          <a:extLst>
            <a:ext uri="{FF2B5EF4-FFF2-40B4-BE49-F238E27FC236}">
              <a16:creationId xmlns:a16="http://schemas.microsoft.com/office/drawing/2014/main" id="{397759BA-4729-48B8-8BE4-37C49241C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xdr:col>
      <xdr:colOff>182880</xdr:colOff>
      <xdr:row>9</xdr:row>
      <xdr:rowOff>50800</xdr:rowOff>
    </xdr:from>
    <xdr:to>
      <xdr:col>4</xdr:col>
      <xdr:colOff>3942080</xdr:colOff>
      <xdr:row>34</xdr:row>
      <xdr:rowOff>50800</xdr:rowOff>
    </xdr:to>
    <xdr:graphicFrame macro="">
      <xdr:nvGraphicFramePr>
        <xdr:cNvPr id="10" name="Chart 4">
          <a:extLst>
            <a:ext uri="{FF2B5EF4-FFF2-40B4-BE49-F238E27FC236}">
              <a16:creationId xmlns:a16="http://schemas.microsoft.com/office/drawing/2014/main" id="{B9A3AE26-A78B-4F91-984B-DF0EEB241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0.00903</cdr:x>
      <cdr:y>0.00996</cdr:y>
    </cdr:from>
    <cdr:to>
      <cdr:x>0.34114</cdr:x>
      <cdr:y>0.21725</cdr:y>
    </cdr:to>
    <cdr:sp macro="" textlink="">
      <cdr:nvSpPr>
        <cdr:cNvPr id="4098" name="Text Box 2"/>
        <cdr:cNvSpPr txBox="1">
          <a:spLocks xmlns:a="http://schemas.openxmlformats.org/drawingml/2006/main" noChangeArrowheads="1"/>
        </cdr:cNvSpPr>
      </cdr:nvSpPr>
      <cdr:spPr bwMode="auto">
        <a:xfrm xmlns:a="http://schemas.openxmlformats.org/drawingml/2006/main">
          <a:off x="50800" y="50800"/>
          <a:ext cx="628269" cy="3784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13.xml><?xml version="1.0" encoding="utf-8"?>
<xdr:wsDr xmlns:xdr="http://schemas.openxmlformats.org/drawingml/2006/spreadsheetDrawing" xmlns:a="http://schemas.openxmlformats.org/drawingml/2006/main">
  <xdr:oneCellAnchor>
    <xdr:from>
      <xdr:col>1</xdr:col>
      <xdr:colOff>487678</xdr:colOff>
      <xdr:row>20</xdr:row>
      <xdr:rowOff>175262</xdr:rowOff>
    </xdr:from>
    <xdr:ext cx="6812280" cy="1082039"/>
    <xdr:sp macro="" textlink="">
      <xdr:nvSpPr>
        <xdr:cNvPr id="2" name="Rectangle 1" descr="0d82dbe2-7621-410d-8e61-04baf1a5a3a3">
          <a:extLst>
            <a:ext uri="{FF2B5EF4-FFF2-40B4-BE49-F238E27FC236}">
              <a16:creationId xmlns:a16="http://schemas.microsoft.com/office/drawing/2014/main" id="{4E3BA4B6-354D-31D3-860F-8773AF250375}"/>
            </a:ext>
          </a:extLst>
        </xdr:cNvPr>
        <xdr:cNvSpPr/>
      </xdr:nvSpPr>
      <xdr:spPr>
        <a:xfrm rot="18900000">
          <a:off x="906778" y="3954782"/>
          <a:ext cx="6812280" cy="1082039"/>
        </a:xfrm>
        <a:prstGeom prst="rect">
          <a:avLst/>
        </a:prstGeom>
        <a:noFill/>
      </xdr:spPr>
      <xdr:txBody>
        <a:bodyPr wrap="none" lIns="91440" tIns="45720" rIns="91440" bIns="45720">
          <a:noAutofit/>
        </a:bodyPr>
        <a:lstStyle/>
        <a:p>
          <a:pPr algn="ctr"/>
          <a:r>
            <a:rPr lang="en-US" sz="5400" b="1" cap="none" spc="0">
              <a:ln w="22225">
                <a:solidFill>
                  <a:schemeClr val="accent2"/>
                </a:solidFill>
                <a:prstDash val="solid"/>
              </a:ln>
              <a:solidFill>
                <a:schemeClr val="accent2">
                  <a:lumMod val="40000"/>
                  <a:lumOff val="60000"/>
                </a:schemeClr>
              </a:solidFill>
              <a:effectLst/>
            </a:rPr>
            <a:t>Example</a:t>
          </a:r>
          <a:r>
            <a:rPr lang="en-US" sz="5400" b="1" cap="none" spc="0" baseline="0">
              <a:ln w="22225">
                <a:solidFill>
                  <a:schemeClr val="accent2"/>
                </a:solidFill>
                <a:prstDash val="solid"/>
              </a:ln>
              <a:solidFill>
                <a:schemeClr val="accent2">
                  <a:lumMod val="40000"/>
                  <a:lumOff val="60000"/>
                </a:schemeClr>
              </a:solidFill>
              <a:effectLst/>
            </a:rPr>
            <a:t> Base Estimate Summary</a:t>
          </a:r>
        </a:p>
        <a:p>
          <a:pPr algn="ctr"/>
          <a:r>
            <a:rPr lang="en-US" sz="5400" b="1" cap="none" spc="0" baseline="0">
              <a:ln w="22225">
                <a:solidFill>
                  <a:schemeClr val="accent2"/>
                </a:solidFill>
                <a:prstDash val="solid"/>
              </a:ln>
              <a:solidFill>
                <a:schemeClr val="accent2">
                  <a:lumMod val="40000"/>
                  <a:lumOff val="60000"/>
                </a:schemeClr>
              </a:solidFill>
              <a:effectLst/>
            </a:rPr>
            <a:t>for Civil Works</a:t>
          </a:r>
        </a:p>
      </xdr:txBody>
    </xdr:sp>
    <xdr:clientData/>
  </xdr:oneCellAnchor>
  <xdr:twoCellAnchor>
    <xdr:from>
      <xdr:col>7</xdr:col>
      <xdr:colOff>205740</xdr:colOff>
      <xdr:row>4</xdr:row>
      <xdr:rowOff>7620</xdr:rowOff>
    </xdr:from>
    <xdr:to>
      <xdr:col>15</xdr:col>
      <xdr:colOff>167640</xdr:colOff>
      <xdr:row>19</xdr:row>
      <xdr:rowOff>182880</xdr:rowOff>
    </xdr:to>
    <xdr:sp macro="" textlink="">
      <xdr:nvSpPr>
        <xdr:cNvPr id="3" name="Arrow: Left-Right 2" descr="7d47c87b-54fd-4efb-bb62-4a36e2562f74">
          <a:extLst>
            <a:ext uri="{FF2B5EF4-FFF2-40B4-BE49-F238E27FC236}">
              <a16:creationId xmlns:a16="http://schemas.microsoft.com/office/drawing/2014/main" id="{8B7FA395-2D96-43C7-BB4E-5EAB24DB8CAD}"/>
            </a:ext>
          </a:extLst>
        </xdr:cNvPr>
        <xdr:cNvSpPr/>
      </xdr:nvSpPr>
      <xdr:spPr>
        <a:xfrm>
          <a:off x="8191500" y="830580"/>
          <a:ext cx="5943600" cy="2941320"/>
        </a:xfrm>
        <a:prstGeom prst="leftRightArrow">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r>
            <a:rPr lang="en-US" sz="1100" b="1" u="sng">
              <a:solidFill>
                <a:schemeClr val="lt1"/>
              </a:solidFill>
              <a:effectLst/>
              <a:latin typeface="+mn-lt"/>
              <a:ea typeface="+mn-ea"/>
              <a:cs typeface="+mn-cs"/>
            </a:rPr>
            <a:t>Example</a:t>
          </a:r>
          <a:r>
            <a:rPr lang="en-US" sz="1100" b="1" u="sng" baseline="0">
              <a:solidFill>
                <a:schemeClr val="lt1"/>
              </a:solidFill>
              <a:effectLst/>
              <a:latin typeface="+mn-lt"/>
              <a:ea typeface="+mn-ea"/>
              <a:cs typeface="+mn-cs"/>
            </a:rPr>
            <a:t> Summary of Base Estimate</a:t>
          </a:r>
          <a:endParaRPr lang="en-US" u="sng">
            <a:effectLst/>
          </a:endParaRPr>
        </a:p>
        <a:p>
          <a:r>
            <a:rPr lang="en-US" sz="1100" b="1" baseline="0">
              <a:solidFill>
                <a:schemeClr val="lt1"/>
              </a:solidFill>
              <a:effectLst/>
              <a:latin typeface="+mn-lt"/>
              <a:ea typeface="+mn-ea"/>
              <a:cs typeface="+mn-cs"/>
            </a:rPr>
            <a:t>This worksheet doesn't have to be used but it is a recommended best practice to include a summary of the base estimate for documentation purposes which can then also be used to link for modeling purposes.  This can look many different ways but is also recommended to be included in the risk report appendix for documentation purposes.</a:t>
          </a:r>
          <a:endParaRPr lang="en-US">
            <a:effectLst/>
          </a:endParaRPr>
        </a:p>
      </xdr:txBody>
    </xdr:sp>
    <xdr:clientData/>
  </xdr:twoCellAnchor>
  <xdr:oneCellAnchor>
    <xdr:from>
      <xdr:col>17</xdr:col>
      <xdr:colOff>45720</xdr:colOff>
      <xdr:row>6</xdr:row>
      <xdr:rowOff>148592</xdr:rowOff>
    </xdr:from>
    <xdr:ext cx="6812280" cy="1082039"/>
    <xdr:sp macro="" textlink="">
      <xdr:nvSpPr>
        <xdr:cNvPr id="4" name="Rectangle 3" descr="0d82dbe2-7621-410d-8e61-04baf1a5a3a3">
          <a:extLst>
            <a:ext uri="{FF2B5EF4-FFF2-40B4-BE49-F238E27FC236}">
              <a16:creationId xmlns:a16="http://schemas.microsoft.com/office/drawing/2014/main" id="{DED5555E-3F24-4F2B-A054-3143ADC1915B}"/>
            </a:ext>
          </a:extLst>
        </xdr:cNvPr>
        <xdr:cNvSpPr/>
      </xdr:nvSpPr>
      <xdr:spPr>
        <a:xfrm rot="20700000">
          <a:off x="14226540" y="1337312"/>
          <a:ext cx="6812280" cy="1082039"/>
        </a:xfrm>
        <a:prstGeom prst="rect">
          <a:avLst/>
        </a:prstGeom>
        <a:noFill/>
      </xdr:spPr>
      <xdr:txBody>
        <a:bodyPr wrap="none" lIns="91440" tIns="45720" rIns="91440" bIns="45720">
          <a:noAutofit/>
        </a:bodyPr>
        <a:lstStyle/>
        <a:p>
          <a:pPr algn="ctr"/>
          <a:r>
            <a:rPr lang="en-US" sz="5400" b="1" cap="none" spc="0">
              <a:ln w="22225">
                <a:solidFill>
                  <a:schemeClr val="accent2"/>
                </a:solidFill>
                <a:prstDash val="solid"/>
              </a:ln>
              <a:solidFill>
                <a:schemeClr val="accent2">
                  <a:lumMod val="40000"/>
                  <a:lumOff val="60000"/>
                </a:schemeClr>
              </a:solidFill>
              <a:effectLst/>
            </a:rPr>
            <a:t>Example</a:t>
          </a:r>
          <a:r>
            <a:rPr lang="en-US" sz="5400" b="1" cap="none" spc="0" baseline="0">
              <a:ln w="22225">
                <a:solidFill>
                  <a:schemeClr val="accent2"/>
                </a:solidFill>
                <a:prstDash val="solid"/>
              </a:ln>
              <a:solidFill>
                <a:schemeClr val="accent2">
                  <a:lumMod val="40000"/>
                  <a:lumOff val="60000"/>
                </a:schemeClr>
              </a:solidFill>
              <a:effectLst/>
            </a:rPr>
            <a:t> Base Estimate Summary</a:t>
          </a:r>
        </a:p>
        <a:p>
          <a:pPr algn="ctr"/>
          <a:r>
            <a:rPr lang="en-US" sz="5400" b="1" cap="none" spc="0" baseline="0">
              <a:ln w="22225">
                <a:solidFill>
                  <a:schemeClr val="accent2"/>
                </a:solidFill>
                <a:prstDash val="solid"/>
              </a:ln>
              <a:solidFill>
                <a:schemeClr val="accent2">
                  <a:lumMod val="40000"/>
                  <a:lumOff val="60000"/>
                </a:schemeClr>
              </a:solidFill>
              <a:effectLst/>
            </a:rPr>
            <a:t>for MILCON</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3196590</xdr:colOff>
      <xdr:row>12</xdr:row>
      <xdr:rowOff>15148</xdr:rowOff>
    </xdr:from>
    <xdr:ext cx="6812280" cy="1082039"/>
    <xdr:sp macro="" textlink="">
      <xdr:nvSpPr>
        <xdr:cNvPr id="2" name="Rectangle 1" descr="ebe39df9-4453-4a76-ba2d-84887cdd38e9">
          <a:extLst>
            <a:ext uri="{FF2B5EF4-FFF2-40B4-BE49-F238E27FC236}">
              <a16:creationId xmlns:a16="http://schemas.microsoft.com/office/drawing/2014/main" id="{4424B9A9-2745-41CD-AF69-CD25CA99A395}"/>
            </a:ext>
          </a:extLst>
        </xdr:cNvPr>
        <xdr:cNvSpPr/>
      </xdr:nvSpPr>
      <xdr:spPr>
        <a:xfrm rot="20700000">
          <a:off x="3196590" y="1249588"/>
          <a:ext cx="6812280" cy="1082039"/>
        </a:xfrm>
        <a:prstGeom prst="rect">
          <a:avLst/>
        </a:prstGeom>
        <a:noFill/>
      </xdr:spPr>
      <xdr:txBody>
        <a:bodyPr wrap="none" lIns="91440" tIns="45720" rIns="91440" bIns="45720">
          <a:noAutofit/>
        </a:bodyPr>
        <a:lstStyle/>
        <a:p>
          <a:pPr algn="ctr"/>
          <a:r>
            <a:rPr lang="en-US" sz="5400" b="1" cap="none" spc="0">
              <a:ln w="22225">
                <a:solidFill>
                  <a:schemeClr val="accent2"/>
                </a:solidFill>
                <a:prstDash val="solid"/>
              </a:ln>
              <a:solidFill>
                <a:schemeClr val="accent2">
                  <a:lumMod val="40000"/>
                  <a:lumOff val="60000"/>
                </a:schemeClr>
              </a:solidFill>
              <a:effectLst/>
            </a:rPr>
            <a:t>Example</a:t>
          </a:r>
          <a:r>
            <a:rPr lang="en-US" sz="5400" b="1" cap="none" spc="0" baseline="0">
              <a:ln w="22225">
                <a:solidFill>
                  <a:schemeClr val="accent2"/>
                </a:solidFill>
                <a:prstDash val="solid"/>
              </a:ln>
              <a:solidFill>
                <a:schemeClr val="accent2">
                  <a:lumMod val="40000"/>
                  <a:lumOff val="60000"/>
                </a:schemeClr>
              </a:solidFill>
              <a:effectLst/>
            </a:rPr>
            <a:t> Summary of Base Schedule</a:t>
          </a:r>
        </a:p>
        <a:p>
          <a:pPr algn="ctr"/>
          <a:r>
            <a:rPr lang="en-US" sz="5400" b="1" cap="none" spc="0" baseline="0">
              <a:ln w="22225">
                <a:solidFill>
                  <a:schemeClr val="accent2"/>
                </a:solidFill>
                <a:prstDash val="solid"/>
              </a:ln>
              <a:solidFill>
                <a:schemeClr val="accent2">
                  <a:lumMod val="40000"/>
                  <a:lumOff val="60000"/>
                </a:schemeClr>
              </a:solidFill>
              <a:effectLst/>
            </a:rPr>
            <a:t>for Civil Works</a:t>
          </a:r>
        </a:p>
      </xdr:txBody>
    </xdr:sp>
    <xdr:clientData/>
  </xdr:oneCellAnchor>
  <xdr:twoCellAnchor>
    <xdr:from>
      <xdr:col>2</xdr:col>
      <xdr:colOff>154670</xdr:colOff>
      <xdr:row>26</xdr:row>
      <xdr:rowOff>137159</xdr:rowOff>
    </xdr:from>
    <xdr:to>
      <xdr:col>56</xdr:col>
      <xdr:colOff>2</xdr:colOff>
      <xdr:row>44</xdr:row>
      <xdr:rowOff>169906</xdr:rowOff>
    </xdr:to>
    <xdr:sp macro="" textlink="">
      <xdr:nvSpPr>
        <xdr:cNvPr id="3" name="Callout: Left-Right Arrow 2" descr="3d13828b-352d-4eb2-ab37-6e753a36329e">
          <a:extLst>
            <a:ext uri="{FF2B5EF4-FFF2-40B4-BE49-F238E27FC236}">
              <a16:creationId xmlns:a16="http://schemas.microsoft.com/office/drawing/2014/main" id="{64EE9900-5A31-4CEF-AFD1-99C9A56F02E7}"/>
            </a:ext>
          </a:extLst>
        </xdr:cNvPr>
        <xdr:cNvSpPr/>
      </xdr:nvSpPr>
      <xdr:spPr>
        <a:xfrm rot="16200000">
          <a:off x="4831082" y="4673327"/>
          <a:ext cx="3400787" cy="3274332"/>
        </a:xfrm>
        <a:prstGeom prst="leftRightArrowCallout">
          <a:avLst>
            <a:gd name="adj1" fmla="val 18950"/>
            <a:gd name="adj2" fmla="val 25000"/>
            <a:gd name="adj3" fmla="val 18484"/>
            <a:gd name="adj4" fmla="val 53489"/>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vert="vert" rtlCol="0" anchor="ctr" anchorCtr="1"/>
        <a:lstStyle/>
        <a:p>
          <a:r>
            <a:rPr lang="en-US" sz="1100" b="1" u="sng">
              <a:solidFill>
                <a:schemeClr val="lt1"/>
              </a:solidFill>
              <a:effectLst/>
              <a:latin typeface="+mn-lt"/>
              <a:ea typeface="+mn-ea"/>
              <a:cs typeface="+mn-cs"/>
            </a:rPr>
            <a:t>Example</a:t>
          </a:r>
          <a:r>
            <a:rPr lang="en-US" sz="1100" b="1" u="sng" baseline="0">
              <a:solidFill>
                <a:schemeClr val="lt1"/>
              </a:solidFill>
              <a:effectLst/>
              <a:latin typeface="+mn-lt"/>
              <a:ea typeface="+mn-ea"/>
              <a:cs typeface="+mn-cs"/>
            </a:rPr>
            <a:t> Summary of Base Schedule</a:t>
          </a:r>
          <a:endParaRPr lang="en-US">
            <a:effectLst/>
          </a:endParaRPr>
        </a:p>
        <a:p>
          <a:r>
            <a:rPr lang="en-US" sz="1100" b="1" baseline="0">
              <a:solidFill>
                <a:schemeClr val="lt1"/>
              </a:solidFill>
              <a:effectLst/>
              <a:latin typeface="+mn-lt"/>
              <a:ea typeface="+mn-ea"/>
              <a:cs typeface="+mn-cs"/>
            </a:rPr>
            <a:t>This worksheet doesn't have to be used but it is a recommended best practice to include a summary of the base schedule for documentation purposes and to summarize the implementation schedule (study + design + construction + close-out + etc.).  This can look many different ways but is also recommended to be included in the risk report appendix for documentation purposes.</a:t>
          </a:r>
          <a:endParaRPr lang="en-US">
            <a:effectLst/>
          </a:endParaRPr>
        </a:p>
      </xdr:txBody>
    </xdr:sp>
    <xdr:clientData fPrintsWithSheet="0"/>
  </xdr:twoCellAnchor>
  <xdr:oneCellAnchor>
    <xdr:from>
      <xdr:col>0</xdr:col>
      <xdr:colOff>3051810</xdr:colOff>
      <xdr:row>54</xdr:row>
      <xdr:rowOff>1271</xdr:rowOff>
    </xdr:from>
    <xdr:ext cx="6812280" cy="1082039"/>
    <xdr:sp macro="" textlink="">
      <xdr:nvSpPr>
        <xdr:cNvPr id="4" name="Rectangle 3" descr="ebe39df9-4453-4a76-ba2d-84887cdd38e9">
          <a:extLst>
            <a:ext uri="{FF2B5EF4-FFF2-40B4-BE49-F238E27FC236}">
              <a16:creationId xmlns:a16="http://schemas.microsoft.com/office/drawing/2014/main" id="{F5047596-CD70-421A-9851-4B7D845C5E22}"/>
            </a:ext>
          </a:extLst>
        </xdr:cNvPr>
        <xdr:cNvSpPr/>
      </xdr:nvSpPr>
      <xdr:spPr>
        <a:xfrm rot="20700000">
          <a:off x="3051810" y="7766051"/>
          <a:ext cx="6812280" cy="1082039"/>
        </a:xfrm>
        <a:prstGeom prst="rect">
          <a:avLst/>
        </a:prstGeom>
        <a:noFill/>
      </xdr:spPr>
      <xdr:txBody>
        <a:bodyPr wrap="none" lIns="91440" tIns="45720" rIns="91440" bIns="45720">
          <a:noAutofit/>
        </a:bodyPr>
        <a:lstStyle/>
        <a:p>
          <a:pPr algn="ctr"/>
          <a:r>
            <a:rPr lang="en-US" sz="5400" b="1" cap="none" spc="0">
              <a:ln w="22225">
                <a:solidFill>
                  <a:schemeClr val="accent2"/>
                </a:solidFill>
                <a:prstDash val="solid"/>
              </a:ln>
              <a:solidFill>
                <a:schemeClr val="accent2">
                  <a:lumMod val="40000"/>
                  <a:lumOff val="60000"/>
                </a:schemeClr>
              </a:solidFill>
              <a:effectLst/>
            </a:rPr>
            <a:t>Example</a:t>
          </a:r>
          <a:r>
            <a:rPr lang="en-US" sz="5400" b="1" cap="none" spc="0" baseline="0">
              <a:ln w="22225">
                <a:solidFill>
                  <a:schemeClr val="accent2"/>
                </a:solidFill>
                <a:prstDash val="solid"/>
              </a:ln>
              <a:solidFill>
                <a:schemeClr val="accent2">
                  <a:lumMod val="40000"/>
                  <a:lumOff val="60000"/>
                </a:schemeClr>
              </a:solidFill>
              <a:effectLst/>
            </a:rPr>
            <a:t> Summary of Base Schedule</a:t>
          </a:r>
        </a:p>
        <a:p>
          <a:pPr algn="ctr"/>
          <a:r>
            <a:rPr lang="en-US" sz="5400" b="1" cap="none" spc="0" baseline="0">
              <a:ln w="22225">
                <a:solidFill>
                  <a:schemeClr val="accent2"/>
                </a:solidFill>
                <a:prstDash val="solid"/>
              </a:ln>
              <a:solidFill>
                <a:schemeClr val="accent2">
                  <a:lumMod val="40000"/>
                  <a:lumOff val="60000"/>
                </a:schemeClr>
              </a:solidFill>
              <a:effectLst/>
            </a:rPr>
            <a:t>for MILCON</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175260</xdr:colOff>
      <xdr:row>6</xdr:row>
      <xdr:rowOff>30480</xdr:rowOff>
    </xdr:from>
    <xdr:to>
      <xdr:col>3</xdr:col>
      <xdr:colOff>164555</xdr:colOff>
      <xdr:row>18</xdr:row>
      <xdr:rowOff>83820</xdr:rowOff>
    </xdr:to>
    <xdr:sp macro="" textlink="">
      <xdr:nvSpPr>
        <xdr:cNvPr id="2" name="Callout: Up Arrow 1" descr="3d13828b-352d-4eb2-ab37-6e753a36329e">
          <a:extLst>
            <a:ext uri="{FF2B5EF4-FFF2-40B4-BE49-F238E27FC236}">
              <a16:creationId xmlns:a16="http://schemas.microsoft.com/office/drawing/2014/main" id="{2394D663-DDE2-41EB-BD44-2B6115D07B48}"/>
            </a:ext>
          </a:extLst>
        </xdr:cNvPr>
        <xdr:cNvSpPr/>
      </xdr:nvSpPr>
      <xdr:spPr>
        <a:xfrm>
          <a:off x="175260" y="1127760"/>
          <a:ext cx="3959315" cy="2247900"/>
        </a:xfrm>
        <a:prstGeom prst="upArrowCallout">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r>
            <a:rPr lang="en-US" sz="1100" b="1" u="sng">
              <a:solidFill>
                <a:schemeClr val="lt1"/>
              </a:solidFill>
              <a:effectLst/>
              <a:latin typeface="+mn-lt"/>
              <a:ea typeface="+mn-ea"/>
              <a:cs typeface="+mn-cs"/>
            </a:rPr>
            <a:t>Define Time Related Cost Impacts</a:t>
          </a:r>
          <a:endParaRPr lang="en-US">
            <a:effectLst/>
          </a:endParaRPr>
        </a:p>
        <a:p>
          <a:r>
            <a:rPr lang="en-US" sz="1100" b="1" baseline="0">
              <a:solidFill>
                <a:schemeClr val="lt1"/>
              </a:solidFill>
              <a:effectLst/>
              <a:latin typeface="+mn-lt"/>
              <a:ea typeface="+mn-ea"/>
              <a:cs typeface="+mn-cs"/>
            </a:rPr>
            <a:t>This worksheet doesn't have to be used but it is a recommended best practice to include a summary of the base schedule for documentation purposes and to summarize the implementation schedule (study + design + construction + close-out + etc.).  This can look many different ways but is also recommended to be included in the risk report appendix for documentation purposes.</a:t>
          </a:r>
          <a:endParaRPr lang="en-US">
            <a:effectLst/>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419100</xdr:colOff>
      <xdr:row>11</xdr:row>
      <xdr:rowOff>175260</xdr:rowOff>
    </xdr:from>
    <xdr:to>
      <xdr:col>7</xdr:col>
      <xdr:colOff>160561</xdr:colOff>
      <xdr:row>23</xdr:row>
      <xdr:rowOff>38278</xdr:rowOff>
    </xdr:to>
    <xdr:pic>
      <xdr:nvPicPr>
        <xdr:cNvPr id="2" name="Picture 1">
          <a:extLst>
            <a:ext uri="{FF2B5EF4-FFF2-40B4-BE49-F238E27FC236}">
              <a16:creationId xmlns:a16="http://schemas.microsoft.com/office/drawing/2014/main" id="{45948580-2BA3-4F8F-BF0D-FF801D80965C}"/>
            </a:ext>
          </a:extLst>
        </xdr:cNvPr>
        <xdr:cNvPicPr>
          <a:picLocks noChangeAspect="1"/>
        </xdr:cNvPicPr>
      </xdr:nvPicPr>
      <xdr:blipFill>
        <a:blip xmlns:r="http://schemas.openxmlformats.org/officeDocument/2006/relationships" r:embed="rId1"/>
        <a:stretch>
          <a:fillRect/>
        </a:stretch>
      </xdr:blipFill>
      <xdr:spPr>
        <a:xfrm>
          <a:off x="419100" y="1821180"/>
          <a:ext cx="6241321" cy="20575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205740</xdr:colOff>
      <xdr:row>1</xdr:row>
      <xdr:rowOff>137160</xdr:rowOff>
    </xdr:from>
    <xdr:to>
      <xdr:col>25</xdr:col>
      <xdr:colOff>480982</xdr:colOff>
      <xdr:row>48</xdr:row>
      <xdr:rowOff>76964</xdr:rowOff>
    </xdr:to>
    <xdr:pic>
      <xdr:nvPicPr>
        <xdr:cNvPr id="3" name="Picture 2">
          <a:extLst>
            <a:ext uri="{FF2B5EF4-FFF2-40B4-BE49-F238E27FC236}">
              <a16:creationId xmlns:a16="http://schemas.microsoft.com/office/drawing/2014/main" id="{48A683F8-3134-BE8F-2303-8FB110699976}"/>
            </a:ext>
          </a:extLst>
        </xdr:cNvPr>
        <xdr:cNvPicPr>
          <a:picLocks noChangeAspect="1"/>
        </xdr:cNvPicPr>
      </xdr:nvPicPr>
      <xdr:blipFill rotWithShape="1">
        <a:blip xmlns:r="http://schemas.openxmlformats.org/officeDocument/2006/relationships" r:embed="rId1"/>
        <a:srcRect t="3025"/>
        <a:stretch/>
      </xdr:blipFill>
      <xdr:spPr>
        <a:xfrm>
          <a:off x="8481060" y="403860"/>
          <a:ext cx="10638442" cy="8550404"/>
        </a:xfrm>
        <a:prstGeom prst="rect">
          <a:avLst/>
        </a:prstGeom>
      </xdr:spPr>
    </xdr:pic>
    <xdr:clientData/>
  </xdr:twoCellAnchor>
  <xdr:twoCellAnchor editAs="oneCell">
    <xdr:from>
      <xdr:col>9</xdr:col>
      <xdr:colOff>281940</xdr:colOff>
      <xdr:row>6</xdr:row>
      <xdr:rowOff>160020</xdr:rowOff>
    </xdr:from>
    <xdr:to>
      <xdr:col>10</xdr:col>
      <xdr:colOff>220980</xdr:colOff>
      <xdr:row>8</xdr:row>
      <xdr:rowOff>99060</xdr:rowOff>
    </xdr:to>
    <xdr:sp macro="" textlink="">
      <xdr:nvSpPr>
        <xdr:cNvPr id="4" name="Oval 3" descr="0e0bdb8a-8232-4a63-b04c-ba8d752ac7aa">
          <a:extLst>
            <a:ext uri="{FF2B5EF4-FFF2-40B4-BE49-F238E27FC236}">
              <a16:creationId xmlns:a16="http://schemas.microsoft.com/office/drawing/2014/main" id="{20D770D4-BC55-C72C-87E0-0877E50D54D3}"/>
            </a:ext>
          </a:extLst>
        </xdr:cNvPr>
        <xdr:cNvSpPr/>
      </xdr:nvSpPr>
      <xdr:spPr>
        <a:xfrm>
          <a:off x="9166860" y="1341120"/>
          <a:ext cx="548640" cy="3048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426720</xdr:colOff>
      <xdr:row>10</xdr:row>
      <xdr:rowOff>175260</xdr:rowOff>
    </xdr:from>
    <xdr:to>
      <xdr:col>8</xdr:col>
      <xdr:colOff>270510</xdr:colOff>
      <xdr:row>14</xdr:row>
      <xdr:rowOff>72390</xdr:rowOff>
    </xdr:to>
    <xdr:sp macro="" textlink="">
      <xdr:nvSpPr>
        <xdr:cNvPr id="5" name="Arrow: Down 4" descr="33512674-1414-46df-8be4-f5b43822b10b">
          <a:extLst>
            <a:ext uri="{FF2B5EF4-FFF2-40B4-BE49-F238E27FC236}">
              <a16:creationId xmlns:a16="http://schemas.microsoft.com/office/drawing/2014/main" id="{AF8E2935-4460-8D5D-71C5-9C218174A04B}"/>
            </a:ext>
          </a:extLst>
        </xdr:cNvPr>
        <xdr:cNvSpPr/>
      </xdr:nvSpPr>
      <xdr:spPr>
        <a:xfrm rot="16200000">
          <a:off x="7700010" y="1870710"/>
          <a:ext cx="628650" cy="1062990"/>
        </a:xfrm>
        <a:prstGeom prst="downArrow">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443864</xdr:colOff>
      <xdr:row>25</xdr:row>
      <xdr:rowOff>66675</xdr:rowOff>
    </xdr:from>
    <xdr:to>
      <xdr:col>27</xdr:col>
      <xdr:colOff>556259</xdr:colOff>
      <xdr:row>27</xdr:row>
      <xdr:rowOff>123825</xdr:rowOff>
    </xdr:to>
    <xdr:sp macro="" textlink="">
      <xdr:nvSpPr>
        <xdr:cNvPr id="6" name="Arrow: Down 5" descr="0398304c-97a8-401f-a1e3-f4cc81287c50">
          <a:extLst>
            <a:ext uri="{FF2B5EF4-FFF2-40B4-BE49-F238E27FC236}">
              <a16:creationId xmlns:a16="http://schemas.microsoft.com/office/drawing/2014/main" id="{67CDAC43-C28E-4C74-7B5C-8902F8ED6504}"/>
            </a:ext>
          </a:extLst>
        </xdr:cNvPr>
        <xdr:cNvSpPr/>
      </xdr:nvSpPr>
      <xdr:spPr>
        <a:xfrm rot="5400000">
          <a:off x="18927127" y="3658552"/>
          <a:ext cx="422910" cy="2550795"/>
        </a:xfrm>
        <a:prstGeom prst="downArrow">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nchorCtr="1"/>
        <a:lstStyle/>
        <a:p>
          <a:pPr algn="l"/>
          <a:r>
            <a:rPr lang="en-US" sz="1100" b="1"/>
            <a:t>Prime Contractor Costs w/o</a:t>
          </a:r>
          <a:r>
            <a:rPr lang="en-US" sz="1100" b="1" baseline="0"/>
            <a:t> Markups</a:t>
          </a:r>
          <a:endParaRPr lang="en-US" sz="1100" b="1"/>
        </a:p>
      </xdr:txBody>
    </xdr:sp>
    <xdr:clientData/>
  </xdr:twoCellAnchor>
  <xdr:twoCellAnchor editAs="oneCell">
    <xdr:from>
      <xdr:col>13</xdr:col>
      <xdr:colOff>434340</xdr:colOff>
      <xdr:row>36</xdr:row>
      <xdr:rowOff>68580</xdr:rowOff>
    </xdr:from>
    <xdr:to>
      <xdr:col>23</xdr:col>
      <xdr:colOff>282455</xdr:colOff>
      <xdr:row>45</xdr:row>
      <xdr:rowOff>114447</xdr:rowOff>
    </xdr:to>
    <xdr:pic>
      <xdr:nvPicPr>
        <xdr:cNvPr id="7" name="Picture 6">
          <a:extLst>
            <a:ext uri="{FF2B5EF4-FFF2-40B4-BE49-F238E27FC236}">
              <a16:creationId xmlns:a16="http://schemas.microsoft.com/office/drawing/2014/main" id="{D577EA50-5461-C408-1E29-EE95C04B0A7E}"/>
            </a:ext>
          </a:extLst>
        </xdr:cNvPr>
        <xdr:cNvPicPr>
          <a:picLocks noChangeAspect="1"/>
        </xdr:cNvPicPr>
      </xdr:nvPicPr>
      <xdr:blipFill>
        <a:blip xmlns:r="http://schemas.openxmlformats.org/officeDocument/2006/relationships" r:embed="rId2"/>
        <a:stretch>
          <a:fillRect/>
        </a:stretch>
      </xdr:blipFill>
      <xdr:spPr>
        <a:xfrm>
          <a:off x="11757660" y="6751320"/>
          <a:ext cx="5944115" cy="1691787"/>
        </a:xfrm>
        <a:prstGeom prst="rect">
          <a:avLst/>
        </a:prstGeom>
      </xdr:spPr>
    </xdr:pic>
    <xdr:clientData/>
  </xdr:twoCellAnchor>
  <xdr:twoCellAnchor editAs="oneCell">
    <xdr:from>
      <xdr:col>18</xdr:col>
      <xdr:colOff>190500</xdr:colOff>
      <xdr:row>16</xdr:row>
      <xdr:rowOff>137160</xdr:rowOff>
    </xdr:from>
    <xdr:to>
      <xdr:col>18</xdr:col>
      <xdr:colOff>190500</xdr:colOff>
      <xdr:row>36</xdr:row>
      <xdr:rowOff>121920</xdr:rowOff>
    </xdr:to>
    <xdr:cxnSp macro="">
      <xdr:nvCxnSpPr>
        <xdr:cNvPr id="8" name="Straight Arrow Connector 7" descr="4c5b829a-84e7-4982-82e3-85badecff7d6">
          <a:extLst>
            <a:ext uri="{FF2B5EF4-FFF2-40B4-BE49-F238E27FC236}">
              <a16:creationId xmlns:a16="http://schemas.microsoft.com/office/drawing/2014/main" id="{BCEF52D2-3CE2-FD8D-49C0-280EA9BCC60D}"/>
            </a:ext>
          </a:extLst>
        </xdr:cNvPr>
        <xdr:cNvCxnSpPr/>
      </xdr:nvCxnSpPr>
      <xdr:spPr>
        <a:xfrm>
          <a:off x="14561820" y="3147060"/>
          <a:ext cx="0" cy="3657600"/>
        </a:xfrm>
        <a:prstGeom prst="straightConnector1">
          <a:avLst/>
        </a:prstGeom>
        <a:ln w="57150">
          <a:solidFill>
            <a:srgbClr val="FF0000"/>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editAs="oneCell">
    <xdr:from>
      <xdr:col>23</xdr:col>
      <xdr:colOff>405764</xdr:colOff>
      <xdr:row>28</xdr:row>
      <xdr:rowOff>97155</xdr:rowOff>
    </xdr:from>
    <xdr:to>
      <xdr:col>27</xdr:col>
      <xdr:colOff>571499</xdr:colOff>
      <xdr:row>30</xdr:row>
      <xdr:rowOff>154305</xdr:rowOff>
    </xdr:to>
    <xdr:sp macro="" textlink="">
      <xdr:nvSpPr>
        <xdr:cNvPr id="9" name="Arrow: Down 8" descr="c127bc6c-f960-4a7d-9fd2-47695c9c97e9">
          <a:extLst>
            <a:ext uri="{FF2B5EF4-FFF2-40B4-BE49-F238E27FC236}">
              <a16:creationId xmlns:a16="http://schemas.microsoft.com/office/drawing/2014/main" id="{E17802D3-8DFD-878C-7A59-09F4769D8EC8}"/>
            </a:ext>
          </a:extLst>
        </xdr:cNvPr>
        <xdr:cNvSpPr/>
      </xdr:nvSpPr>
      <xdr:spPr>
        <a:xfrm rot="5400000">
          <a:off x="18915697" y="4211002"/>
          <a:ext cx="422910" cy="2604135"/>
        </a:xfrm>
        <a:prstGeom prst="downArrow">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nchorCtr="1"/>
        <a:lstStyle/>
        <a:p>
          <a:pPr algn="l"/>
          <a:r>
            <a:rPr lang="en-US" sz="1100" b="1"/>
            <a:t>Subcontractor Costs with Markups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81280</xdr:colOff>
      <xdr:row>1</xdr:row>
      <xdr:rowOff>101600</xdr:rowOff>
    </xdr:from>
    <xdr:to>
      <xdr:col>27</xdr:col>
      <xdr:colOff>10160</xdr:colOff>
      <xdr:row>13</xdr:row>
      <xdr:rowOff>145228</xdr:rowOff>
    </xdr:to>
    <xdr:sp macro="" textlink="">
      <xdr:nvSpPr>
        <xdr:cNvPr id="3" name="Callout: Down Arrow 2" descr="ad715ed1-4606-402c-b63a-cc381bd8a56a">
          <a:extLst>
            <a:ext uri="{FF2B5EF4-FFF2-40B4-BE49-F238E27FC236}">
              <a16:creationId xmlns:a16="http://schemas.microsoft.com/office/drawing/2014/main" id="{7EC5E9C8-1135-4C80-9539-3CA0D58EE801}"/>
            </a:ext>
          </a:extLst>
        </xdr:cNvPr>
        <xdr:cNvSpPr/>
      </xdr:nvSpPr>
      <xdr:spPr>
        <a:xfrm>
          <a:off x="27838400" y="375920"/>
          <a:ext cx="3413760" cy="2339788"/>
        </a:xfrm>
        <a:prstGeom prst="downArrowCallout">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pPr marL="0" indent="0" algn="l"/>
          <a:r>
            <a:rPr lang="en-US" sz="1100" b="1" u="sng">
              <a:solidFill>
                <a:schemeClr val="lt1"/>
              </a:solidFill>
              <a:latin typeface="+mn-lt"/>
              <a:ea typeface="+mn-ea"/>
              <a:cs typeface="+mn-cs"/>
            </a:rPr>
            <a:t>TWO STEP:</a:t>
          </a:r>
          <a:r>
            <a:rPr lang="en-US" sz="1100" b="1">
              <a:solidFill>
                <a:schemeClr val="lt1"/>
              </a:solidFill>
              <a:latin typeface="+mn-lt"/>
              <a:ea typeface="+mn-ea"/>
              <a:cs typeface="+mn-cs"/>
            </a:rPr>
            <a:t>  </a:t>
          </a:r>
          <a:r>
            <a:rPr lang="en-US" sz="1100" b="1">
              <a:solidFill>
                <a:schemeClr val="lt1"/>
              </a:solidFill>
              <a:effectLst/>
              <a:latin typeface="+mn-lt"/>
              <a:ea typeface="+mn-ea"/>
              <a:cs typeface="+mn-cs"/>
            </a:rPr>
            <a:t>Default is 100%.  If this is a significant event and a two-step is utilized, then define the probability of occurrence.</a:t>
          </a:r>
        </a:p>
        <a:p>
          <a:pPr marL="0" indent="0" algn="l"/>
          <a:endParaRPr lang="en-US" sz="1100" b="1">
            <a:solidFill>
              <a:schemeClr val="lt1"/>
            </a:solidFill>
            <a:effectLst/>
            <a:latin typeface="+mn-lt"/>
            <a:ea typeface="+mn-ea"/>
            <a:cs typeface="+mn-cs"/>
          </a:endParaRPr>
        </a:p>
        <a:p>
          <a:pPr marL="0" indent="0" algn="l"/>
          <a:r>
            <a:rPr lang="en-US" sz="1100" b="1" u="sng">
              <a:solidFill>
                <a:schemeClr val="lt1"/>
              </a:solidFill>
              <a:effectLst/>
              <a:latin typeface="+mn-lt"/>
              <a:ea typeface="+mn-ea"/>
              <a:cs typeface="+mn-cs"/>
            </a:rPr>
            <a:t>Event Prob:</a:t>
          </a:r>
          <a:r>
            <a:rPr lang="en-US" sz="1100" b="1" baseline="0">
              <a:solidFill>
                <a:schemeClr val="lt1"/>
              </a:solidFill>
              <a:effectLst/>
              <a:latin typeface="+mn-lt"/>
              <a:ea typeface="+mn-ea"/>
              <a:cs typeface="+mn-cs"/>
            </a:rPr>
            <a:t>  </a:t>
          </a:r>
          <a:r>
            <a:rPr lang="en-US" sz="1100" b="1">
              <a:solidFill>
                <a:schemeClr val="lt1"/>
              </a:solidFill>
              <a:effectLst/>
              <a:latin typeface="+mn-lt"/>
              <a:ea typeface="+mn-ea"/>
              <a:cs typeface="+mn-cs"/>
            </a:rPr>
            <a:t>Default is 1.  If this is a significant event and a two-step is utilized then suggest use of "Yes/No" assumption curve or a binomial curve.</a:t>
          </a:r>
        </a:p>
        <a:p>
          <a:pPr marL="0" indent="0" algn="l"/>
          <a:endParaRPr lang="en-US" sz="1100" b="1">
            <a:solidFill>
              <a:schemeClr val="lt1"/>
            </a:solidFill>
            <a:latin typeface="+mn-lt"/>
            <a:ea typeface="+mn-ea"/>
            <a:cs typeface="+mn-cs"/>
          </a:endParaRPr>
        </a:p>
      </xdr:txBody>
    </xdr:sp>
    <xdr:clientData fPrintsWithSheet="0"/>
  </xdr:twoCellAnchor>
  <xdr:twoCellAnchor>
    <xdr:from>
      <xdr:col>29</xdr:col>
      <xdr:colOff>609600</xdr:colOff>
      <xdr:row>1</xdr:row>
      <xdr:rowOff>20320</xdr:rowOff>
    </xdr:from>
    <xdr:to>
      <xdr:col>33</xdr:col>
      <xdr:colOff>487680</xdr:colOff>
      <xdr:row>8</xdr:row>
      <xdr:rowOff>111760</xdr:rowOff>
    </xdr:to>
    <xdr:sp macro="" textlink="">
      <xdr:nvSpPr>
        <xdr:cNvPr id="2" name="Callout: Up Arrow 1" descr="3d13828b-352d-4eb2-ab37-6e753a36329e">
          <a:extLst>
            <a:ext uri="{FF2B5EF4-FFF2-40B4-BE49-F238E27FC236}">
              <a16:creationId xmlns:a16="http://schemas.microsoft.com/office/drawing/2014/main" id="{46238338-27E9-4B52-8034-4064D4DD17E5}"/>
            </a:ext>
          </a:extLst>
        </xdr:cNvPr>
        <xdr:cNvSpPr/>
      </xdr:nvSpPr>
      <xdr:spPr>
        <a:xfrm>
          <a:off x="34025840" y="294640"/>
          <a:ext cx="4226560" cy="1463040"/>
        </a:xfrm>
        <a:prstGeom prst="upArrowCallout">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lt1"/>
              </a:solidFill>
              <a:effectLst/>
              <a:latin typeface="+mn-lt"/>
              <a:ea typeface="+mn-ea"/>
              <a:cs typeface="+mn-cs"/>
            </a:rPr>
            <a:t>Make sure cells AE and AG sum all of the risks in  each column in the risk register. These totals feed the cost and schedule forecast on the project contingency tab!</a:t>
          </a:r>
        </a:p>
      </xdr:txBody>
    </xdr:sp>
    <xdr:clientData fPrintsWithSheet="0"/>
  </xdr:twoCellAnchor>
  <xdr:twoCellAnchor>
    <xdr:from>
      <xdr:col>44</xdr:col>
      <xdr:colOff>162560</xdr:colOff>
      <xdr:row>6</xdr:row>
      <xdr:rowOff>162560</xdr:rowOff>
    </xdr:from>
    <xdr:to>
      <xdr:col>48</xdr:col>
      <xdr:colOff>132080</xdr:colOff>
      <xdr:row>13</xdr:row>
      <xdr:rowOff>94428</xdr:rowOff>
    </xdr:to>
    <xdr:sp macro="" textlink="">
      <xdr:nvSpPr>
        <xdr:cNvPr id="4" name="Callout: Down Arrow 3" descr="ad715ed1-4606-402c-b63a-cc381bd8a56a">
          <a:extLst>
            <a:ext uri="{FF2B5EF4-FFF2-40B4-BE49-F238E27FC236}">
              <a16:creationId xmlns:a16="http://schemas.microsoft.com/office/drawing/2014/main" id="{006C482C-2D25-4298-A449-84817C22B74E}"/>
            </a:ext>
          </a:extLst>
        </xdr:cNvPr>
        <xdr:cNvSpPr/>
      </xdr:nvSpPr>
      <xdr:spPr>
        <a:xfrm>
          <a:off x="57485280" y="1422400"/>
          <a:ext cx="3434080" cy="1242508"/>
        </a:xfrm>
        <a:prstGeom prst="downArrowCallout">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pPr marL="0" indent="0" algn="l"/>
          <a:r>
            <a:rPr lang="en-US" sz="1100" b="1" u="none">
              <a:solidFill>
                <a:schemeClr val="lt1"/>
              </a:solidFill>
              <a:latin typeface="+mn-lt"/>
              <a:ea typeface="+mn-ea"/>
              <a:cs typeface="+mn-cs"/>
            </a:rPr>
            <a:t>If cells are</a:t>
          </a:r>
          <a:r>
            <a:rPr lang="en-US" sz="1100" b="1" u="none" baseline="0">
              <a:solidFill>
                <a:schemeClr val="lt1"/>
              </a:solidFill>
              <a:latin typeface="+mn-lt"/>
              <a:ea typeface="+mn-ea"/>
              <a:cs typeface="+mn-cs"/>
            </a:rPr>
            <a:t> added or inserted in the risk register, double-check to make sure the forecasts and formulas from columns AU:BX are updated.</a:t>
          </a:r>
          <a:endParaRPr lang="en-US" sz="1100" b="1" u="none">
            <a:solidFill>
              <a:schemeClr val="lt1"/>
            </a:solidFill>
            <a:latin typeface="+mn-lt"/>
            <a:ea typeface="+mn-ea"/>
            <a:cs typeface="+mn-cs"/>
          </a:endParaRPr>
        </a:p>
      </xdr:txBody>
    </xdr:sp>
    <xdr:clientData fPrintsWithSheet="0"/>
  </xdr:twoCellAnchor>
  <xdr:twoCellAnchor>
    <xdr:from>
      <xdr:col>33</xdr:col>
      <xdr:colOff>4419600</xdr:colOff>
      <xdr:row>1</xdr:row>
      <xdr:rowOff>91440</xdr:rowOff>
    </xdr:from>
    <xdr:to>
      <xdr:col>34</xdr:col>
      <xdr:colOff>4450080</xdr:colOff>
      <xdr:row>14</xdr:row>
      <xdr:rowOff>13148</xdr:rowOff>
    </xdr:to>
    <xdr:sp macro="" textlink="">
      <xdr:nvSpPr>
        <xdr:cNvPr id="5" name="Callout: Down Arrow 4" descr="ad715ed1-4606-402c-b63a-cc381bd8a56a">
          <a:extLst>
            <a:ext uri="{FF2B5EF4-FFF2-40B4-BE49-F238E27FC236}">
              <a16:creationId xmlns:a16="http://schemas.microsoft.com/office/drawing/2014/main" id="{683AB63D-1E91-4561-AE62-283A535B1705}"/>
            </a:ext>
          </a:extLst>
        </xdr:cNvPr>
        <xdr:cNvSpPr/>
      </xdr:nvSpPr>
      <xdr:spPr>
        <a:xfrm>
          <a:off x="43850560" y="365760"/>
          <a:ext cx="4531360" cy="2410908"/>
        </a:xfrm>
        <a:prstGeom prst="downArrowCallout">
          <a:avLst>
            <a:gd name="adj1" fmla="val 9922"/>
            <a:gd name="adj2" fmla="val 15953"/>
            <a:gd name="adj3" fmla="val 9546"/>
            <a:gd name="adj4" fmla="val 80809"/>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pPr marL="0" indent="0" algn="l"/>
          <a:r>
            <a:rPr lang="en-US" sz="1100" b="1" u="sng">
              <a:solidFill>
                <a:schemeClr val="lt1"/>
              </a:solidFill>
              <a:latin typeface="+mn-lt"/>
              <a:ea typeface="+mn-ea"/>
              <a:cs typeface="+mn-cs"/>
            </a:rPr>
            <a:t>Examples:  </a:t>
          </a:r>
        </a:p>
        <a:p>
          <a:pPr marL="0" indent="0" algn="l"/>
          <a:r>
            <a:rPr lang="en-US" sz="1100" b="1" u="sng">
              <a:solidFill>
                <a:schemeClr val="lt1"/>
              </a:solidFill>
              <a:latin typeface="+mn-lt"/>
              <a:ea typeface="+mn-ea"/>
              <a:cs typeface="+mn-cs"/>
            </a:rPr>
            <a:t>Mitigate</a:t>
          </a:r>
          <a:r>
            <a:rPr lang="en-US" sz="1100" b="1" u="none">
              <a:solidFill>
                <a:schemeClr val="lt1"/>
              </a:solidFill>
              <a:latin typeface="+mn-lt"/>
              <a:ea typeface="+mn-ea"/>
              <a:cs typeface="+mn-cs"/>
            </a:rPr>
            <a:t>.  The team can reach out to the suppliers to get estimated design and fabrication durations to help ensure our construction schedule captures the appropriate time.</a:t>
          </a:r>
        </a:p>
        <a:p>
          <a:pPr marL="0" indent="0" algn="l"/>
          <a:r>
            <a:rPr lang="en-US" sz="1100" b="1" u="sng">
              <a:solidFill>
                <a:schemeClr val="lt1"/>
              </a:solidFill>
              <a:latin typeface="+mn-lt"/>
              <a:ea typeface="+mn-ea"/>
              <a:cs typeface="+mn-cs"/>
            </a:rPr>
            <a:t>Accept</a:t>
          </a:r>
          <a:r>
            <a:rPr lang="en-US" sz="1100" b="1" u="none">
              <a:solidFill>
                <a:schemeClr val="lt1"/>
              </a:solidFill>
              <a:latin typeface="+mn-lt"/>
              <a:ea typeface="+mn-ea"/>
              <a:cs typeface="+mn-cs"/>
            </a:rPr>
            <a:t>.  If the schedule is accelerated, the estimate, schedule, and CSRA will be updated to reflect the new project schedule which could reduce costs and risks (ex. inflation risk).</a:t>
          </a:r>
        </a:p>
        <a:p>
          <a:pPr marL="0" indent="0" algn="l"/>
          <a:r>
            <a:rPr lang="en-US" sz="1100" b="1" u="sng">
              <a:solidFill>
                <a:schemeClr val="lt1"/>
              </a:solidFill>
              <a:latin typeface="+mn-lt"/>
              <a:ea typeface="+mn-ea"/>
              <a:cs typeface="+mn-cs"/>
            </a:rPr>
            <a:t>Accept/Mitigate</a:t>
          </a:r>
          <a:r>
            <a:rPr lang="en-US" sz="1100" b="1" u="none">
              <a:solidFill>
                <a:schemeClr val="lt1"/>
              </a:solidFill>
              <a:latin typeface="+mn-lt"/>
              <a:ea typeface="+mn-ea"/>
              <a:cs typeface="+mn-cs"/>
            </a:rPr>
            <a:t>.  Industry day and discussions with interested vendors or contractors can help promote awareness and competition.  The more bids we receive typically results in more competition.</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5</xdr:col>
      <xdr:colOff>233083</xdr:colOff>
      <xdr:row>15</xdr:row>
      <xdr:rowOff>1</xdr:rowOff>
    </xdr:from>
    <xdr:to>
      <xdr:col>7</xdr:col>
      <xdr:colOff>744967</xdr:colOff>
      <xdr:row>22</xdr:row>
      <xdr:rowOff>71719</xdr:rowOff>
    </xdr:to>
    <xdr:sp macro="" textlink="">
      <xdr:nvSpPr>
        <xdr:cNvPr id="10" name="Arrow: Left 9" descr="7d47c87b-54fd-4efb-bb62-4a36e2562f74">
          <a:extLst>
            <a:ext uri="{FF2B5EF4-FFF2-40B4-BE49-F238E27FC236}">
              <a16:creationId xmlns:a16="http://schemas.microsoft.com/office/drawing/2014/main" id="{52DC39CB-6567-4ABA-87E8-9D85DF855AB5}"/>
            </a:ext>
          </a:extLst>
        </xdr:cNvPr>
        <xdr:cNvSpPr/>
      </xdr:nvSpPr>
      <xdr:spPr>
        <a:xfrm>
          <a:off x="4401671" y="3370730"/>
          <a:ext cx="3093720" cy="1335742"/>
        </a:xfrm>
        <a:prstGeom prst="leftArrow">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pPr algn="l"/>
          <a:r>
            <a:rPr lang="en-US" sz="1100" b="1"/>
            <a:t>Any changes to these assumptions will change the assumptions in the models.</a:t>
          </a:r>
        </a:p>
      </xdr:txBody>
    </xdr:sp>
    <xdr:clientData/>
  </xdr:twoCellAnchor>
  <xdr:twoCellAnchor>
    <xdr:from>
      <xdr:col>5</xdr:col>
      <xdr:colOff>251011</xdr:colOff>
      <xdr:row>35</xdr:row>
      <xdr:rowOff>134470</xdr:rowOff>
    </xdr:from>
    <xdr:to>
      <xdr:col>7</xdr:col>
      <xdr:colOff>762895</xdr:colOff>
      <xdr:row>42</xdr:row>
      <xdr:rowOff>8965</xdr:rowOff>
    </xdr:to>
    <xdr:sp macro="" textlink="">
      <xdr:nvSpPr>
        <xdr:cNvPr id="11" name="Arrow: Left 10" descr="7d47c87b-54fd-4efb-bb62-4a36e2562f74">
          <a:extLst>
            <a:ext uri="{FF2B5EF4-FFF2-40B4-BE49-F238E27FC236}">
              <a16:creationId xmlns:a16="http://schemas.microsoft.com/office/drawing/2014/main" id="{96D1B73E-B8C3-4402-B09B-7035B8004520}"/>
            </a:ext>
          </a:extLst>
        </xdr:cNvPr>
        <xdr:cNvSpPr/>
      </xdr:nvSpPr>
      <xdr:spPr>
        <a:xfrm>
          <a:off x="4419599" y="8364070"/>
          <a:ext cx="3093720" cy="1335742"/>
        </a:xfrm>
        <a:prstGeom prst="leftArrow">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nchorCtr="1"/>
        <a:lstStyle/>
        <a:p>
          <a:pPr algn="l"/>
          <a:r>
            <a:rPr lang="en-US" sz="1100" b="1"/>
            <a:t>Any changes to these assumptions will change the assumptions in the models.</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36</xdr:row>
      <xdr:rowOff>0</xdr:rowOff>
    </xdr:from>
    <xdr:ext cx="3810" cy="3810"/>
    <xdr:pic>
      <xdr:nvPicPr>
        <xdr:cNvPr id="2" name="Picture 9" hidden="1">
          <a:extLst>
            <a:ext uri="{FF2B5EF4-FFF2-40B4-BE49-F238E27FC236}">
              <a16:creationId xmlns:a16="http://schemas.microsoft.com/office/drawing/2014/main" id="{CE1E2816-D899-42FC-B6A7-ACCABD5B810D}"/>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0" y="7018020"/>
          <a:ext cx="3810" cy="3810"/>
        </a:xfrm>
        <a:prstGeom prst="rect">
          <a:avLst/>
        </a:prstGeom>
        <a:noFill/>
        <a:ln w="9525">
          <a:noFill/>
          <a:miter lim="800000"/>
          <a:headEnd/>
          <a:tailEnd/>
        </a:ln>
      </xdr:spPr>
    </xdr:pic>
    <xdr:clientData/>
  </xdr:oneCellAnchor>
  <xdr:oneCellAnchor>
    <xdr:from>
      <xdr:col>0</xdr:col>
      <xdr:colOff>0</xdr:colOff>
      <xdr:row>36</xdr:row>
      <xdr:rowOff>0</xdr:rowOff>
    </xdr:from>
    <xdr:ext cx="3810" cy="3810"/>
    <xdr:pic>
      <xdr:nvPicPr>
        <xdr:cNvPr id="3" name="Picture 10" hidden="1">
          <a:extLst>
            <a:ext uri="{FF2B5EF4-FFF2-40B4-BE49-F238E27FC236}">
              <a16:creationId xmlns:a16="http://schemas.microsoft.com/office/drawing/2014/main" id="{3CA9A284-30C8-4001-9B4C-E465E8148ED8}"/>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0" y="7018020"/>
          <a:ext cx="3810" cy="3810"/>
        </a:xfrm>
        <a:prstGeom prst="rect">
          <a:avLst/>
        </a:prstGeom>
        <a:noFill/>
        <a:ln w="9525">
          <a:noFill/>
          <a:miter lim="800000"/>
          <a:headEnd/>
          <a:tailEnd/>
        </a:ln>
      </xdr:spPr>
    </xdr:pic>
    <xdr:clientData/>
  </xdr:oneCellAnchor>
  <xdr:oneCellAnchor>
    <xdr:from>
      <xdr:col>0</xdr:col>
      <xdr:colOff>0</xdr:colOff>
      <xdr:row>36</xdr:row>
      <xdr:rowOff>0</xdr:rowOff>
    </xdr:from>
    <xdr:ext cx="3810" cy="3810"/>
    <xdr:pic>
      <xdr:nvPicPr>
        <xdr:cNvPr id="4" name="Picture 11" hidden="1">
          <a:extLst>
            <a:ext uri="{FF2B5EF4-FFF2-40B4-BE49-F238E27FC236}">
              <a16:creationId xmlns:a16="http://schemas.microsoft.com/office/drawing/2014/main" id="{3F8FE6A1-F25B-4797-9B6A-C0E0DABA0334}"/>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0" y="7018020"/>
          <a:ext cx="3810" cy="3810"/>
        </a:xfrm>
        <a:prstGeom prst="rect">
          <a:avLst/>
        </a:prstGeom>
        <a:noFill/>
        <a:ln w="9525">
          <a:noFill/>
          <a:miter lim="800000"/>
          <a:headEnd/>
          <a:tailEnd/>
        </a:ln>
      </xdr:spPr>
    </xdr:pic>
    <xdr:clientData/>
  </xdr:oneCellAnchor>
  <xdr:twoCellAnchor>
    <xdr:from>
      <xdr:col>6</xdr:col>
      <xdr:colOff>60700</xdr:colOff>
      <xdr:row>16</xdr:row>
      <xdr:rowOff>152400</xdr:rowOff>
    </xdr:from>
    <xdr:to>
      <xdr:col>9</xdr:col>
      <xdr:colOff>582670</xdr:colOff>
      <xdr:row>34</xdr:row>
      <xdr:rowOff>91440</xdr:rowOff>
    </xdr:to>
    <xdr:graphicFrame macro="">
      <xdr:nvGraphicFramePr>
        <xdr:cNvPr id="5" name="Chart 4">
          <a:extLst>
            <a:ext uri="{FF2B5EF4-FFF2-40B4-BE49-F238E27FC236}">
              <a16:creationId xmlns:a16="http://schemas.microsoft.com/office/drawing/2014/main" id="{59C1A31B-0491-4ADB-A0B2-9927DA56B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114629</xdr:colOff>
      <xdr:row>37</xdr:row>
      <xdr:rowOff>122555</xdr:rowOff>
    </xdr:from>
    <xdr:to>
      <xdr:col>9</xdr:col>
      <xdr:colOff>634694</xdr:colOff>
      <xdr:row>55</xdr:row>
      <xdr:rowOff>57785</xdr:rowOff>
    </xdr:to>
    <xdr:graphicFrame macro="">
      <xdr:nvGraphicFramePr>
        <xdr:cNvPr id="6" name="Chart 4">
          <a:extLst>
            <a:ext uri="{FF2B5EF4-FFF2-40B4-BE49-F238E27FC236}">
              <a16:creationId xmlns:a16="http://schemas.microsoft.com/office/drawing/2014/main" id="{1413E843-55F1-4111-905C-81D7E6DC6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245713</xdr:colOff>
      <xdr:row>17</xdr:row>
      <xdr:rowOff>21181</xdr:rowOff>
    </xdr:from>
    <xdr:to>
      <xdr:col>19</xdr:col>
      <xdr:colOff>100933</xdr:colOff>
      <xdr:row>34</xdr:row>
      <xdr:rowOff>135481</xdr:rowOff>
    </xdr:to>
    <xdr:graphicFrame macro="">
      <xdr:nvGraphicFramePr>
        <xdr:cNvPr id="7" name="Chart 4">
          <a:extLst>
            <a:ext uri="{FF2B5EF4-FFF2-40B4-BE49-F238E27FC236}">
              <a16:creationId xmlns:a16="http://schemas.microsoft.com/office/drawing/2014/main" id="{44870A89-5759-4981-9671-C4E54D4F8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114300</xdr:colOff>
      <xdr:row>0</xdr:row>
      <xdr:rowOff>38100</xdr:rowOff>
    </xdr:from>
    <xdr:to>
      <xdr:col>21</xdr:col>
      <xdr:colOff>68580</xdr:colOff>
      <xdr:row>7</xdr:row>
      <xdr:rowOff>0</xdr:rowOff>
    </xdr:to>
    <xdr:sp macro="" textlink="">
      <xdr:nvSpPr>
        <xdr:cNvPr id="10" name="Callout: Left Arrow 9" descr="1a855b05-10af-4859-b3bf-e6dd1af0703d">
          <a:extLst>
            <a:ext uri="{FF2B5EF4-FFF2-40B4-BE49-F238E27FC236}">
              <a16:creationId xmlns:a16="http://schemas.microsoft.com/office/drawing/2014/main" id="{CE65D8E3-2612-4517-8289-30FD5FB6DCD9}"/>
            </a:ext>
          </a:extLst>
        </xdr:cNvPr>
        <xdr:cNvSpPr/>
      </xdr:nvSpPr>
      <xdr:spPr>
        <a:xfrm>
          <a:off x="17548860" y="38100"/>
          <a:ext cx="3893820" cy="1089660"/>
        </a:xfrm>
        <a:prstGeom prst="leftArrowCallout">
          <a:avLst>
            <a:gd name="adj1" fmla="val 25000"/>
            <a:gd name="adj2" fmla="val 25000"/>
            <a:gd name="adj3" fmla="val 41339"/>
            <a:gd name="adj4" fmla="val 77635"/>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nchorCtr="1"/>
        <a:lstStyle/>
        <a:p>
          <a:r>
            <a:rPr lang="en-US" sz="1100" b="1">
              <a:solidFill>
                <a:schemeClr val="lt1"/>
              </a:solidFill>
              <a:effectLst/>
              <a:latin typeface="+mn-lt"/>
              <a:ea typeface="+mn-ea"/>
              <a:cs typeface="+mn-cs"/>
            </a:rPr>
            <a:t>Here is where the forecasts are.  They sum from the cells on the risk model tab at the top of the sheet.  The forecasts will auto extract, round, and populate the charts.  You may have to tweak the chart scales on this sheet.</a:t>
          </a:r>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0.00903</cdr:x>
      <cdr:y>0.00996</cdr:y>
    </cdr:from>
    <cdr:to>
      <cdr:x>0.34114</cdr:x>
      <cdr:y>0.21725</cdr:y>
    </cdr:to>
    <cdr:sp macro="" textlink="">
      <cdr:nvSpPr>
        <cdr:cNvPr id="4098" name="Text Box 2"/>
        <cdr:cNvSpPr txBox="1">
          <a:spLocks xmlns:a="http://schemas.openxmlformats.org/drawingml/2006/main" noChangeArrowheads="1"/>
        </cdr:cNvSpPr>
      </cdr:nvSpPr>
      <cdr:spPr bwMode="auto">
        <a:xfrm xmlns:a="http://schemas.openxmlformats.org/drawingml/2006/main">
          <a:off x="50800" y="50800"/>
          <a:ext cx="628269" cy="3784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0.00903</cdr:x>
      <cdr:y>0.00996</cdr:y>
    </cdr:from>
    <cdr:to>
      <cdr:x>0.34114</cdr:x>
      <cdr:y>0.21725</cdr:y>
    </cdr:to>
    <cdr:sp macro="" textlink="">
      <cdr:nvSpPr>
        <cdr:cNvPr id="4098" name="Text Box 2"/>
        <cdr:cNvSpPr txBox="1">
          <a:spLocks xmlns:a="http://schemas.openxmlformats.org/drawingml/2006/main" noChangeArrowheads="1"/>
        </cdr:cNvSpPr>
      </cdr:nvSpPr>
      <cdr:spPr bwMode="auto">
        <a:xfrm xmlns:a="http://schemas.openxmlformats.org/drawingml/2006/main">
          <a:off x="50800" y="50800"/>
          <a:ext cx="628269" cy="3784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0.00903</cdr:x>
      <cdr:y>0.00996</cdr:y>
    </cdr:from>
    <cdr:to>
      <cdr:x>0.34114</cdr:x>
      <cdr:y>0.21725</cdr:y>
    </cdr:to>
    <cdr:sp macro="" textlink="">
      <cdr:nvSpPr>
        <cdr:cNvPr id="4098" name="Text Box 2"/>
        <cdr:cNvSpPr txBox="1">
          <a:spLocks xmlns:a="http://schemas.openxmlformats.org/drawingml/2006/main" noChangeArrowheads="1"/>
        </cdr:cNvSpPr>
      </cdr:nvSpPr>
      <cdr:spPr bwMode="auto">
        <a:xfrm xmlns:a="http://schemas.openxmlformats.org/drawingml/2006/main">
          <a:off x="50800" y="50800"/>
          <a:ext cx="628269" cy="3784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8.xml><?xml version="1.0" encoding="utf-8"?>
<xdr:wsDr xmlns:xdr="http://schemas.openxmlformats.org/drawingml/2006/spreadsheetDrawing" xmlns:a="http://schemas.openxmlformats.org/drawingml/2006/main">
  <xdr:oneCellAnchor>
    <xdr:from>
      <xdr:col>0</xdr:col>
      <xdr:colOff>0</xdr:colOff>
      <xdr:row>36</xdr:row>
      <xdr:rowOff>0</xdr:rowOff>
    </xdr:from>
    <xdr:ext cx="24765" cy="24765"/>
    <xdr:pic>
      <xdr:nvPicPr>
        <xdr:cNvPr id="2" name="Picture 9" hidden="1">
          <a:extLst>
            <a:ext uri="{FF2B5EF4-FFF2-40B4-BE49-F238E27FC236}">
              <a16:creationId xmlns:a16="http://schemas.microsoft.com/office/drawing/2014/main" id="{702CE44F-3810-4EAD-AA5D-CD8A621651D6}"/>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0" y="5181600"/>
          <a:ext cx="24765" cy="24765"/>
        </a:xfrm>
        <a:prstGeom prst="rect">
          <a:avLst/>
        </a:prstGeom>
        <a:noFill/>
        <a:ln w="9525">
          <a:noFill/>
          <a:miter lim="800000"/>
          <a:headEnd/>
          <a:tailEnd/>
        </a:ln>
      </xdr:spPr>
    </xdr:pic>
    <xdr:clientData/>
  </xdr:oneCellAnchor>
  <xdr:oneCellAnchor>
    <xdr:from>
      <xdr:col>0</xdr:col>
      <xdr:colOff>0</xdr:colOff>
      <xdr:row>36</xdr:row>
      <xdr:rowOff>0</xdr:rowOff>
    </xdr:from>
    <xdr:ext cx="24765" cy="24765"/>
    <xdr:pic>
      <xdr:nvPicPr>
        <xdr:cNvPr id="3" name="Picture 10" hidden="1">
          <a:extLst>
            <a:ext uri="{FF2B5EF4-FFF2-40B4-BE49-F238E27FC236}">
              <a16:creationId xmlns:a16="http://schemas.microsoft.com/office/drawing/2014/main" id="{6E0E226E-CACA-4AEE-88F8-B7C82B37F9AA}"/>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0" y="5181600"/>
          <a:ext cx="24765" cy="24765"/>
        </a:xfrm>
        <a:prstGeom prst="rect">
          <a:avLst/>
        </a:prstGeom>
        <a:noFill/>
        <a:ln w="9525">
          <a:noFill/>
          <a:miter lim="800000"/>
          <a:headEnd/>
          <a:tailEnd/>
        </a:ln>
      </xdr:spPr>
    </xdr:pic>
    <xdr:clientData/>
  </xdr:oneCellAnchor>
  <xdr:oneCellAnchor>
    <xdr:from>
      <xdr:col>0</xdr:col>
      <xdr:colOff>0</xdr:colOff>
      <xdr:row>36</xdr:row>
      <xdr:rowOff>0</xdr:rowOff>
    </xdr:from>
    <xdr:ext cx="24765" cy="24765"/>
    <xdr:pic>
      <xdr:nvPicPr>
        <xdr:cNvPr id="4" name="Picture 11" hidden="1">
          <a:extLst>
            <a:ext uri="{FF2B5EF4-FFF2-40B4-BE49-F238E27FC236}">
              <a16:creationId xmlns:a16="http://schemas.microsoft.com/office/drawing/2014/main" id="{3BBEB240-F4A6-4571-917B-72152721D8B9}"/>
            </a:ext>
          </a:extLst>
        </xdr:cNvPr>
        <xdr:cNvPicPr>
          <a:picLocks noGrp="1" noChangeAspect="1" noChangeArrowheads="1"/>
        </xdr:cNvPicPr>
      </xdr:nvPicPr>
      <xdr:blipFill>
        <a:blip xmlns:r="http://schemas.openxmlformats.org/officeDocument/2006/relationships" r:embed="rId1" cstate="print"/>
        <a:srcRect/>
        <a:stretch>
          <a:fillRect/>
        </a:stretch>
      </xdr:blipFill>
      <xdr:spPr bwMode="auto">
        <a:xfrm>
          <a:off x="0" y="5181600"/>
          <a:ext cx="24765" cy="24765"/>
        </a:xfrm>
        <a:prstGeom prst="rect">
          <a:avLst/>
        </a:prstGeom>
        <a:noFill/>
        <a:ln w="9525">
          <a:noFill/>
          <a:miter lim="800000"/>
          <a:headEnd/>
          <a:tailEnd/>
        </a:ln>
      </xdr:spPr>
    </xdr:pic>
    <xdr:clientData/>
  </xdr:oneCellAnchor>
  <xdr:oneCellAnchor>
    <xdr:from>
      <xdr:col>2</xdr:col>
      <xdr:colOff>198120</xdr:colOff>
      <xdr:row>16</xdr:row>
      <xdr:rowOff>60960</xdr:rowOff>
    </xdr:from>
    <xdr:ext cx="7315200" cy="3657600"/>
    <xdr:graphicFrame macro="">
      <xdr:nvGraphicFramePr>
        <xdr:cNvPr id="7" name="Chart 6">
          <a:extLst>
            <a:ext uri="{FF2B5EF4-FFF2-40B4-BE49-F238E27FC236}">
              <a16:creationId xmlns:a16="http://schemas.microsoft.com/office/drawing/2014/main" id="{5B590F30-A81C-4887-8736-5F9EF8A10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297180</xdr:colOff>
      <xdr:row>38</xdr:row>
      <xdr:rowOff>83820</xdr:rowOff>
    </xdr:from>
    <xdr:ext cx="7315200" cy="3657600"/>
    <xdr:graphicFrame macro="">
      <xdr:nvGraphicFramePr>
        <xdr:cNvPr id="8" name="Chart 7">
          <a:extLst>
            <a:ext uri="{FF2B5EF4-FFF2-40B4-BE49-F238E27FC236}">
              <a16:creationId xmlns:a16="http://schemas.microsoft.com/office/drawing/2014/main" id="{CD7EF0D6-E3CC-44F9-8586-1E1FF25B6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xdr:col>
      <xdr:colOff>414020</xdr:colOff>
      <xdr:row>60</xdr:row>
      <xdr:rowOff>99060</xdr:rowOff>
    </xdr:from>
    <xdr:ext cx="7315200" cy="3657600"/>
    <xdr:graphicFrame macro="">
      <xdr:nvGraphicFramePr>
        <xdr:cNvPr id="9" name="Chart 8">
          <a:extLst>
            <a:ext uri="{FF2B5EF4-FFF2-40B4-BE49-F238E27FC236}">
              <a16:creationId xmlns:a16="http://schemas.microsoft.com/office/drawing/2014/main" id="{594403B0-01C3-491D-81C0-2A09DCB7A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415713</xdr:colOff>
      <xdr:row>82</xdr:row>
      <xdr:rowOff>92285</xdr:rowOff>
    </xdr:from>
    <xdr:ext cx="7315200" cy="3657600"/>
    <xdr:graphicFrame macro="">
      <xdr:nvGraphicFramePr>
        <xdr:cNvPr id="10" name="Chart 9">
          <a:extLst>
            <a:ext uri="{FF2B5EF4-FFF2-40B4-BE49-F238E27FC236}">
              <a16:creationId xmlns:a16="http://schemas.microsoft.com/office/drawing/2014/main" id="{540C3A6B-7776-4C6B-AA9C-AA94F74CC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twoCellAnchor>
    <xdr:from>
      <xdr:col>13</xdr:col>
      <xdr:colOff>144780</xdr:colOff>
      <xdr:row>18</xdr:row>
      <xdr:rowOff>167640</xdr:rowOff>
    </xdr:from>
    <xdr:to>
      <xdr:col>15</xdr:col>
      <xdr:colOff>99060</xdr:colOff>
      <xdr:row>26</xdr:row>
      <xdr:rowOff>68580</xdr:rowOff>
    </xdr:to>
    <xdr:sp macro="" textlink="">
      <xdr:nvSpPr>
        <xdr:cNvPr id="13" name="Callout: Left Arrow 12" descr="40b7255e-4771-41a1-bdb8-a342ec882410">
          <a:extLst>
            <a:ext uri="{FF2B5EF4-FFF2-40B4-BE49-F238E27FC236}">
              <a16:creationId xmlns:a16="http://schemas.microsoft.com/office/drawing/2014/main" id="{B0893161-32C3-4AD0-A5BA-DBC1852C3F88}"/>
            </a:ext>
          </a:extLst>
        </xdr:cNvPr>
        <xdr:cNvSpPr/>
      </xdr:nvSpPr>
      <xdr:spPr>
        <a:xfrm>
          <a:off x="11216640" y="3520440"/>
          <a:ext cx="2880360" cy="1363980"/>
        </a:xfrm>
        <a:prstGeom prst="leftArrowCallout">
          <a:avLst>
            <a:gd name="adj1" fmla="val 27235"/>
            <a:gd name="adj2" fmla="val 25000"/>
            <a:gd name="adj3" fmla="val 31842"/>
            <a:gd name="adj4" fmla="val 82337"/>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nchorCtr="1"/>
        <a:lstStyle/>
        <a:p>
          <a:r>
            <a:rPr lang="en-US" sz="1100" b="1">
              <a:solidFill>
                <a:schemeClr val="lt1"/>
              </a:solidFill>
              <a:effectLst/>
              <a:latin typeface="+mn-lt"/>
              <a:ea typeface="+mn-ea"/>
              <a:cs typeface="+mn-cs"/>
            </a:rPr>
            <a:t>This information should be automatically populated from the lookup tables to the right.  If not, recommend making sure your forecasts are defined </a:t>
          </a:r>
          <a:r>
            <a:rPr lang="en-US" sz="1100" b="1" baseline="0">
              <a:solidFill>
                <a:schemeClr val="lt1"/>
              </a:solidFill>
              <a:effectLst/>
              <a:latin typeface="+mn-lt"/>
              <a:ea typeface="+mn-ea"/>
              <a:cs typeface="+mn-cs"/>
            </a:rPr>
            <a:t>in the "H-Risk Register-Model" worksheet for each risk item.</a:t>
          </a:r>
          <a:endParaRPr lang="en-US">
            <a:effectLst/>
          </a:endParaRPr>
        </a:p>
      </xdr:txBody>
    </xdr:sp>
    <xdr:clientData fPrintsWithSheet="0"/>
  </xdr:twoCellAnchor>
  <xdr:twoCellAnchor>
    <xdr:from>
      <xdr:col>13</xdr:col>
      <xdr:colOff>137160</xdr:colOff>
      <xdr:row>41</xdr:row>
      <xdr:rowOff>91440</xdr:rowOff>
    </xdr:from>
    <xdr:to>
      <xdr:col>15</xdr:col>
      <xdr:colOff>91440</xdr:colOff>
      <xdr:row>48</xdr:row>
      <xdr:rowOff>175260</xdr:rowOff>
    </xdr:to>
    <xdr:sp macro="" textlink="">
      <xdr:nvSpPr>
        <xdr:cNvPr id="14" name="Callout: Left Arrow 13" descr="6ceb4852-3b06-49c3-898f-20fc902ba870">
          <a:extLst>
            <a:ext uri="{FF2B5EF4-FFF2-40B4-BE49-F238E27FC236}">
              <a16:creationId xmlns:a16="http://schemas.microsoft.com/office/drawing/2014/main" id="{CBC9FA4E-10C3-401F-8CBE-D395073A1951}"/>
            </a:ext>
          </a:extLst>
        </xdr:cNvPr>
        <xdr:cNvSpPr/>
      </xdr:nvSpPr>
      <xdr:spPr>
        <a:xfrm>
          <a:off x="11209020" y="7863840"/>
          <a:ext cx="2880360" cy="1363980"/>
        </a:xfrm>
        <a:prstGeom prst="leftArrowCallout">
          <a:avLst>
            <a:gd name="adj1" fmla="val 27235"/>
            <a:gd name="adj2" fmla="val 25000"/>
            <a:gd name="adj3" fmla="val 31842"/>
            <a:gd name="adj4" fmla="val 82337"/>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nchorCtr="1"/>
        <a:lstStyle/>
        <a:p>
          <a:r>
            <a:rPr lang="en-US" sz="1100" b="1">
              <a:solidFill>
                <a:schemeClr val="lt1"/>
              </a:solidFill>
              <a:effectLst/>
              <a:latin typeface="+mn-lt"/>
              <a:ea typeface="+mn-ea"/>
              <a:cs typeface="+mn-cs"/>
            </a:rPr>
            <a:t>This information should be automatically populated from the lookup tables to the right.  If not, recommend making sure your forecasts are defined </a:t>
          </a:r>
          <a:r>
            <a:rPr lang="en-US" sz="1100" b="1" baseline="0">
              <a:solidFill>
                <a:schemeClr val="lt1"/>
              </a:solidFill>
              <a:effectLst/>
              <a:latin typeface="+mn-lt"/>
              <a:ea typeface="+mn-ea"/>
              <a:cs typeface="+mn-cs"/>
            </a:rPr>
            <a:t>in the "H-Risk Register-Model" worksheet for each risk item.</a:t>
          </a:r>
          <a:endParaRPr lang="en-US">
            <a:effectLst/>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xdr:col>
      <xdr:colOff>181658</xdr:colOff>
      <xdr:row>7</xdr:row>
      <xdr:rowOff>60768</xdr:rowOff>
    </xdr:from>
    <xdr:to>
      <xdr:col>4</xdr:col>
      <xdr:colOff>3940858</xdr:colOff>
      <xdr:row>32</xdr:row>
      <xdr:rowOff>60768</xdr:rowOff>
    </xdr:to>
    <xdr:graphicFrame macro="">
      <xdr:nvGraphicFramePr>
        <xdr:cNvPr id="2" name="Chart 4">
          <a:extLst>
            <a:ext uri="{FF2B5EF4-FFF2-40B4-BE49-F238E27FC236}">
              <a16:creationId xmlns:a16="http://schemas.microsoft.com/office/drawing/2014/main" id="{3A458247-B144-46D7-91C6-7BD4F6DCB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7620</xdr:colOff>
      <xdr:row>37</xdr:row>
      <xdr:rowOff>175260</xdr:rowOff>
    </xdr:from>
    <xdr:to>
      <xdr:col>15</xdr:col>
      <xdr:colOff>38100</xdr:colOff>
      <xdr:row>48</xdr:row>
      <xdr:rowOff>231</xdr:rowOff>
    </xdr:to>
    <xdr:sp macro="" textlink="">
      <xdr:nvSpPr>
        <xdr:cNvPr id="3" name="Right Brace 2" descr="035cd50e-0913-40a8-ad28-0516041179a1">
          <a:extLst>
            <a:ext uri="{FF2B5EF4-FFF2-40B4-BE49-F238E27FC236}">
              <a16:creationId xmlns:a16="http://schemas.microsoft.com/office/drawing/2014/main" id="{94DA27A0-9534-4B09-BD2A-99CC87DC3B04}"/>
            </a:ext>
          </a:extLst>
        </xdr:cNvPr>
        <xdr:cNvSpPr/>
      </xdr:nvSpPr>
      <xdr:spPr>
        <a:xfrm>
          <a:off x="18280380" y="7109460"/>
          <a:ext cx="1249680" cy="5265651"/>
        </a:xfrm>
        <a:prstGeom prst="rightBrace">
          <a:avLst>
            <a:gd name="adj1" fmla="val 8333"/>
            <a:gd name="adj2" fmla="val 49413"/>
          </a:avLst>
        </a:prstGeom>
        <a:ln w="57150">
          <a:solidFill>
            <a:srgbClr val="C00000"/>
          </a:solidFill>
        </a:ln>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97491</xdr:colOff>
      <xdr:row>39</xdr:row>
      <xdr:rowOff>664774</xdr:rowOff>
    </xdr:from>
    <xdr:to>
      <xdr:col>19</xdr:col>
      <xdr:colOff>416261</xdr:colOff>
      <xdr:row>40</xdr:row>
      <xdr:rowOff>451612</xdr:rowOff>
    </xdr:to>
    <xdr:sp macro="" textlink="">
      <xdr:nvSpPr>
        <xdr:cNvPr id="4" name="TextBox 3">
          <a:extLst>
            <a:ext uri="{FF2B5EF4-FFF2-40B4-BE49-F238E27FC236}">
              <a16:creationId xmlns:a16="http://schemas.microsoft.com/office/drawing/2014/main" id="{8392ACE8-8E61-4936-8F2B-CFF0091369DD}"/>
            </a:ext>
          </a:extLst>
        </xdr:cNvPr>
        <xdr:cNvSpPr txBox="1"/>
      </xdr:nvSpPr>
      <xdr:spPr>
        <a:xfrm>
          <a:off x="19589451" y="9008674"/>
          <a:ext cx="2757170" cy="1158438"/>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nchorCtr="1"/>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lt1"/>
              </a:solidFill>
              <a:effectLst/>
              <a:latin typeface="+mn-lt"/>
              <a:ea typeface="+mn-ea"/>
              <a:cs typeface="+mn-cs"/>
            </a:rPr>
            <a:t>Resize cells after inputting top risk items in cells M19:M28 in the 'J-Sensitivity Charts' tab.</a:t>
          </a:r>
        </a:p>
        <a:p>
          <a:pPr marL="0" indent="0"/>
          <a:endParaRPr lang="en-US" sz="1100" b="1">
            <a:solidFill>
              <a:schemeClr val="lt1"/>
            </a:solidFill>
            <a:effectLst/>
            <a:latin typeface="+mn-lt"/>
            <a:ea typeface="+mn-ea"/>
            <a:cs typeface="+mn-cs"/>
          </a:endParaRPr>
        </a:p>
      </xdr:txBody>
    </xdr:sp>
    <xdr:clientData/>
  </xdr:twoCellAnchor>
  <xdr:oneCellAnchor>
    <xdr:from>
      <xdr:col>5</xdr:col>
      <xdr:colOff>91440</xdr:colOff>
      <xdr:row>7</xdr:row>
      <xdr:rowOff>60960</xdr:rowOff>
    </xdr:from>
    <xdr:ext cx="8686800" cy="4572000"/>
    <xdr:graphicFrame macro="">
      <xdr:nvGraphicFramePr>
        <xdr:cNvPr id="9" name="Chart 8">
          <a:extLst>
            <a:ext uri="{FF2B5EF4-FFF2-40B4-BE49-F238E27FC236}">
              <a16:creationId xmlns:a16="http://schemas.microsoft.com/office/drawing/2014/main" id="{C04E5D61-51E3-451A-9CC1-BDB729F7D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persons/person.xml><?xml version="1.0" encoding="utf-8"?>
<personList xmlns="http://schemas.microsoft.com/office/spreadsheetml/2018/threadedcomments" xmlns:x="http://schemas.openxmlformats.org/spreadsheetml/2006/main">
  <person displayName="Dustin Sawyers" id="{8D964E47-0F3D-4764-AB3B-29156849CC93}" userId="b5152a481551df19"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3" displayName="Table3" ref="A3:D35" totalsRowShown="0" headerRowDxfId="90" dataDxfId="89">
  <autoFilter ref="A3:D35" xr:uid="{00000000-0009-0000-0100-000002000000}"/>
  <tableColumns count="4">
    <tableColumn id="1" xr3:uid="{00000000-0010-0000-0000-000001000000}" name="REV" dataDxfId="88"/>
    <tableColumn id="2" xr3:uid="{00000000-0010-0000-0000-000002000000}" name="Date" dataDxfId="87"/>
    <tableColumn id="3" xr3:uid="{00000000-0010-0000-0000-000003000000}" name="Description of Changes" dataDxfId="86"/>
    <tableColumn id="4" xr3:uid="{00000000-0010-0000-0000-000004000000}" name="Change Made By" dataDxfId="8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30" displayName="Table30" ref="B2:B13" totalsRowShown="0" headerRowDxfId="84" dataDxfId="82" headerRowBorderDxfId="83" tableBorderDxfId="81" totalsRowBorderDxfId="80">
  <autoFilter ref="B2:B13" xr:uid="{00000000-0009-0000-0100-000005000000}"/>
  <tableColumns count="1">
    <tableColumn id="1" xr3:uid="{00000000-0010-0000-0100-000001000000}" name="Risk Register Legend" dataDxfId="79"/>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 displayName="Table1" ref="A9:D34" totalsRowShown="0" headerRowDxfId="78" dataDxfId="76" headerRowBorderDxfId="77" tableBorderDxfId="75">
  <autoFilter ref="A9:D34" xr:uid="{00000000-0009-0000-0100-000003000000}"/>
  <sortState xmlns:xlrd2="http://schemas.microsoft.com/office/spreadsheetml/2017/richdata2" ref="A10:D34">
    <sortCondition ref="B9:B34"/>
  </sortState>
  <tableColumns count="4">
    <tableColumn id="2" xr3:uid="{00000000-0010-0000-0200-000002000000}" name="Attendance" dataDxfId="74"/>
    <tableColumn id="3" xr3:uid="{00000000-0010-0000-0200-000003000000}" name="Name" dataDxfId="73"/>
    <tableColumn id="4" xr3:uid="{00000000-0010-0000-0200-000004000000}" name="Office" dataDxfId="72"/>
    <tableColumn id="5" xr3:uid="{00000000-0010-0000-0200-000005000000}" name="Role / Discipline" dataDxfId="7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3" displayName="Table13" ref="A40:D50" totalsRowShown="0" headerRowDxfId="70" dataDxfId="68" headerRowBorderDxfId="69" tableBorderDxfId="67">
  <autoFilter ref="A40:D50" xr:uid="{00000000-0009-0000-0100-000004000000}"/>
  <sortState xmlns:xlrd2="http://schemas.microsoft.com/office/spreadsheetml/2017/richdata2" ref="A41:D50">
    <sortCondition ref="B40:B50"/>
  </sortState>
  <tableColumns count="4">
    <tableColumn id="2" xr3:uid="{00000000-0010-0000-0300-000002000000}" name="Attendance" dataDxfId="66"/>
    <tableColumn id="3" xr3:uid="{00000000-0010-0000-0300-000003000000}" name="Name" dataDxfId="65"/>
    <tableColumn id="4" xr3:uid="{00000000-0010-0000-0300-000004000000}" name="Office" dataDxfId="64"/>
    <tableColumn id="5" xr3:uid="{00000000-0010-0000-0300-000005000000}" name="Role / Discipline" dataDxfId="63"/>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Y17" dT="2022-03-30T19:16:28.79" personId="{8D964E47-0F3D-4764-AB3B-29156849CC93}" id="{3B947149-B857-4707-B827-9EDD159F302E}">
    <text>Default is 100%, if significant event and a two step is utilized then suggest use of "Yes/No" assumption curve or a binomial curve.</text>
  </threadedComment>
  <threadedComment ref="Z17" dT="2022-03-30T19:17:00.02" personId="{8D964E47-0F3D-4764-AB3B-29156849CC93}" id="{734AB3CA-ECDD-4F07-861F-5D57D7AECF9A}">
    <text>Default is 1, if significant event and a two step is utilized then suggest use of "Yes/No" assumption curve or a binomial curve.</text>
  </threadedComment>
</ThreadedComments>
</file>

<file path=xl/threadedComments/threadedComment2.xml><?xml version="1.0" encoding="utf-8"?>
<ThreadedComments xmlns="http://schemas.microsoft.com/office/spreadsheetml/2018/threadedcomments" xmlns:x="http://schemas.openxmlformats.org/spreadsheetml/2006/main">
  <threadedComment ref="E60" dT="2022-03-30T19:18:19.02" personId="{8D964E47-0F3D-4764-AB3B-29156849CC93}" id="{2D4313C2-E7C3-4F54-9474-509813339751}">
    <text>These are populated from the forecast above.</text>
  </threadedComment>
  <threadedComment ref="F60" dT="2022-03-30T19:18:44.51" personId="{8D964E47-0F3D-4764-AB3B-29156849CC93}" id="{6FFE8484-7FD8-4213-B804-735AA096A88B}">
    <text>This is rounded for presentation purposes. This way the numbers will match the TPCS.</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ustin.l.sawyers@usace.army.mil"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pageSetUpPr fitToPage="1"/>
  </sheetPr>
  <dimension ref="A1:R35"/>
  <sheetViews>
    <sheetView showGridLines="0" zoomScaleNormal="100" workbookViewId="0">
      <pane ySplit="3" topLeftCell="A4" activePane="bottomLeft" state="frozen"/>
      <selection activeCell="A3" sqref="A3"/>
      <selection pane="bottomLeft" activeCell="A4" sqref="A4"/>
    </sheetView>
  </sheetViews>
  <sheetFormatPr defaultColWidth="8.88671875" defaultRowHeight="14.4" x14ac:dyDescent="0.3"/>
  <cols>
    <col min="1" max="1" width="10.88671875" style="1" customWidth="1"/>
    <col min="2" max="2" width="15.88671875" style="1" customWidth="1"/>
    <col min="3" max="3" width="50.88671875" style="1" customWidth="1"/>
    <col min="4" max="4" width="25.88671875" style="1" customWidth="1"/>
    <col min="5" max="16384" width="8.88671875" style="1"/>
  </cols>
  <sheetData>
    <row r="1" spans="1:18" s="7" customFormat="1" ht="21" x14ac:dyDescent="0.4">
      <c r="A1" s="850" t="s">
        <v>4</v>
      </c>
      <c r="B1" s="850"/>
      <c r="C1" s="850"/>
      <c r="D1" s="850"/>
      <c r="F1" s="1109" t="s">
        <v>1431</v>
      </c>
      <c r="G1" s="1109"/>
      <c r="H1" s="1109"/>
      <c r="I1" s="1109"/>
      <c r="J1" s="1109"/>
      <c r="K1" s="1109"/>
      <c r="L1" s="1109"/>
      <c r="M1" s="1109"/>
      <c r="N1" s="1109"/>
      <c r="O1" s="1109"/>
      <c r="P1" s="1109"/>
      <c r="Q1" s="1109"/>
      <c r="R1" s="1109"/>
    </row>
    <row r="2" spans="1:18" x14ac:dyDescent="0.3">
      <c r="F2" s="1" t="s">
        <v>1432</v>
      </c>
      <c r="J2" s="1108" t="s">
        <v>1433</v>
      </c>
    </row>
    <row r="3" spans="1:18" x14ac:dyDescent="0.3">
      <c r="A3" s="2" t="s">
        <v>1421</v>
      </c>
      <c r="B3" s="2" t="s">
        <v>3</v>
      </c>
      <c r="C3" s="2" t="s">
        <v>1333</v>
      </c>
      <c r="D3" s="2" t="s">
        <v>1</v>
      </c>
    </row>
    <row r="4" spans="1:18" x14ac:dyDescent="0.3">
      <c r="A4" s="3">
        <v>1</v>
      </c>
      <c r="B4" s="4">
        <v>44588</v>
      </c>
      <c r="C4" s="5" t="s">
        <v>1330</v>
      </c>
      <c r="D4" s="6" t="s">
        <v>0</v>
      </c>
    </row>
    <row r="5" spans="1:18" ht="43.2" x14ac:dyDescent="0.3">
      <c r="A5" s="3">
        <v>2</v>
      </c>
      <c r="B5" s="4">
        <v>44588</v>
      </c>
      <c r="C5" s="5" t="s">
        <v>1331</v>
      </c>
      <c r="D5" s="6" t="s">
        <v>0</v>
      </c>
    </row>
    <row r="6" spans="1:18" ht="57.6" x14ac:dyDescent="0.3">
      <c r="A6" s="3">
        <v>3</v>
      </c>
      <c r="B6" s="4">
        <v>44650</v>
      </c>
      <c r="C6" s="5" t="s">
        <v>1332</v>
      </c>
      <c r="D6" s="6" t="s">
        <v>0</v>
      </c>
    </row>
    <row r="7" spans="1:18" ht="172.8" x14ac:dyDescent="0.3">
      <c r="A7" s="3">
        <v>4</v>
      </c>
      <c r="B7" s="4">
        <v>44841</v>
      </c>
      <c r="C7" s="5" t="s">
        <v>1369</v>
      </c>
      <c r="D7" s="6" t="s">
        <v>0</v>
      </c>
    </row>
    <row r="8" spans="1:18" ht="43.2" x14ac:dyDescent="0.3">
      <c r="A8" s="3">
        <v>5</v>
      </c>
      <c r="B8" s="4">
        <v>44861</v>
      </c>
      <c r="C8" s="5" t="s">
        <v>1378</v>
      </c>
      <c r="D8" s="6" t="s">
        <v>1379</v>
      </c>
    </row>
    <row r="9" spans="1:18" ht="43.2" x14ac:dyDescent="0.3">
      <c r="A9" s="3">
        <v>6</v>
      </c>
      <c r="B9" s="4">
        <v>44867</v>
      </c>
      <c r="C9" s="5" t="s">
        <v>1370</v>
      </c>
      <c r="D9" s="6" t="s">
        <v>0</v>
      </c>
    </row>
    <row r="10" spans="1:18" ht="86.4" x14ac:dyDescent="0.3">
      <c r="A10" s="3">
        <v>7</v>
      </c>
      <c r="B10" s="4">
        <v>44871</v>
      </c>
      <c r="C10" s="5" t="s">
        <v>1430</v>
      </c>
      <c r="D10" s="6" t="s">
        <v>0</v>
      </c>
    </row>
    <row r="11" spans="1:18" x14ac:dyDescent="0.3">
      <c r="A11" s="3"/>
      <c r="B11" s="4"/>
      <c r="C11" s="5"/>
      <c r="D11" s="6"/>
    </row>
    <row r="12" spans="1:18" x14ac:dyDescent="0.3">
      <c r="A12" s="3"/>
      <c r="B12" s="4"/>
      <c r="C12" s="5"/>
      <c r="D12" s="6"/>
    </row>
    <row r="13" spans="1:18" x14ac:dyDescent="0.3">
      <c r="A13" s="3"/>
      <c r="B13" s="4"/>
      <c r="C13" s="5"/>
      <c r="D13" s="6"/>
    </row>
    <row r="14" spans="1:18" x14ac:dyDescent="0.3">
      <c r="A14" s="3"/>
      <c r="B14" s="4"/>
      <c r="C14" s="5"/>
      <c r="D14" s="6"/>
    </row>
    <row r="15" spans="1:18" x14ac:dyDescent="0.3">
      <c r="A15" s="3"/>
      <c r="B15" s="4"/>
      <c r="C15" s="5"/>
      <c r="D15" s="6"/>
    </row>
    <row r="16" spans="1:18" x14ac:dyDescent="0.3">
      <c r="A16" s="3"/>
      <c r="B16" s="4"/>
      <c r="C16" s="5"/>
      <c r="D16" s="6"/>
    </row>
    <row r="17" spans="1:4" x14ac:dyDescent="0.3">
      <c r="A17" s="3"/>
      <c r="B17" s="4"/>
      <c r="C17" s="5"/>
      <c r="D17" s="6"/>
    </row>
    <row r="18" spans="1:4" x14ac:dyDescent="0.3">
      <c r="A18" s="3"/>
      <c r="B18" s="4"/>
      <c r="C18" s="5"/>
      <c r="D18" s="6"/>
    </row>
    <row r="19" spans="1:4" x14ac:dyDescent="0.3">
      <c r="A19" s="3"/>
      <c r="B19" s="4"/>
      <c r="C19" s="5"/>
      <c r="D19" s="6"/>
    </row>
    <row r="20" spans="1:4" x14ac:dyDescent="0.3">
      <c r="A20" s="3"/>
      <c r="B20" s="4"/>
      <c r="C20" s="5"/>
      <c r="D20" s="6"/>
    </row>
    <row r="21" spans="1:4" x14ac:dyDescent="0.3">
      <c r="A21" s="3"/>
      <c r="B21" s="4"/>
      <c r="C21" s="5"/>
      <c r="D21" s="6"/>
    </row>
    <row r="22" spans="1:4" x14ac:dyDescent="0.3">
      <c r="A22" s="3"/>
      <c r="B22" s="4"/>
      <c r="C22" s="5"/>
      <c r="D22" s="6"/>
    </row>
    <row r="23" spans="1:4" x14ac:dyDescent="0.3">
      <c r="A23" s="3"/>
      <c r="B23" s="4"/>
      <c r="C23" s="5"/>
      <c r="D23" s="6"/>
    </row>
    <row r="24" spans="1:4" x14ac:dyDescent="0.3">
      <c r="A24" s="3"/>
      <c r="B24" s="4"/>
      <c r="C24" s="5"/>
      <c r="D24" s="6"/>
    </row>
    <row r="25" spans="1:4" x14ac:dyDescent="0.3">
      <c r="A25" s="3"/>
      <c r="B25" s="4"/>
      <c r="C25" s="5"/>
      <c r="D25" s="6"/>
    </row>
    <row r="26" spans="1:4" x14ac:dyDescent="0.3">
      <c r="A26" s="3"/>
      <c r="B26" s="4"/>
      <c r="C26" s="5"/>
      <c r="D26" s="6"/>
    </row>
    <row r="27" spans="1:4" x14ac:dyDescent="0.3">
      <c r="A27" s="3"/>
      <c r="B27" s="4"/>
      <c r="C27" s="5"/>
      <c r="D27" s="6"/>
    </row>
    <row r="28" spans="1:4" x14ac:dyDescent="0.3">
      <c r="A28" s="3"/>
      <c r="B28" s="4"/>
      <c r="C28" s="5"/>
      <c r="D28" s="6"/>
    </row>
    <row r="29" spans="1:4" x14ac:dyDescent="0.3">
      <c r="A29" s="3"/>
      <c r="B29" s="4"/>
      <c r="C29" s="5"/>
      <c r="D29" s="6"/>
    </row>
    <row r="30" spans="1:4" x14ac:dyDescent="0.3">
      <c r="A30" s="3"/>
      <c r="B30" s="4"/>
      <c r="C30" s="5"/>
      <c r="D30" s="6"/>
    </row>
    <row r="31" spans="1:4" x14ac:dyDescent="0.3">
      <c r="A31" s="3"/>
      <c r="B31" s="4"/>
      <c r="C31" s="5"/>
      <c r="D31" s="6"/>
    </row>
    <row r="32" spans="1:4" x14ac:dyDescent="0.3">
      <c r="A32" s="3"/>
      <c r="B32" s="4"/>
      <c r="C32" s="5"/>
      <c r="D32" s="6"/>
    </row>
    <row r="33" spans="1:4" x14ac:dyDescent="0.3">
      <c r="A33" s="3"/>
      <c r="B33" s="4"/>
      <c r="C33" s="5"/>
      <c r="D33" s="6"/>
    </row>
    <row r="34" spans="1:4" x14ac:dyDescent="0.3">
      <c r="A34" s="3"/>
      <c r="B34" s="4"/>
      <c r="C34" s="5"/>
      <c r="D34" s="6"/>
    </row>
    <row r="35" spans="1:4" x14ac:dyDescent="0.3">
      <c r="A35" s="3"/>
      <c r="B35" s="4"/>
      <c r="C35" s="5"/>
      <c r="D35" s="6"/>
    </row>
  </sheetData>
  <sheetProtection algorithmName="SHA-512" hashValue="2OYE8NNqnm76yEzwZeyy1Rzacd15rPw80EkTBgRjd2BwyLOyQxGFSyQoJblOPzPZonERZvIR4N2b0HivSeH58A==" saltValue="UsBcBKwszrCEj3DLk4MFGQ==" spinCount="100000" sheet="1" objects="1" scenarios="1"/>
  <mergeCells count="1">
    <mergeCell ref="A1:D1"/>
  </mergeCells>
  <hyperlinks>
    <hyperlink ref="J2" r:id="rId1" xr:uid="{B0EC70EF-6C0F-40A5-98F8-C6D75CC05AF2}"/>
  </hyperlinks>
  <pageMargins left="0.25" right="0.25" top="0.25" bottom="0.5" header="0.25" footer="0.25"/>
  <pageSetup scale="99" fitToHeight="0" orientation="portrait" horizontalDpi="1200" verticalDpi="1200" r:id="rId2"/>
  <headerFooter>
    <oddFooter>&amp;CPage &amp;P of &amp;N</oddFooter>
  </headerFooter>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4"/>
  <sheetViews>
    <sheetView showGridLines="0" zoomScaleNormal="100" workbookViewId="0">
      <pane xSplit="2" ySplit="11" topLeftCell="C12" activePane="bottomRight" state="frozen"/>
      <selection pane="topRight" activeCell="C1" sqref="C1"/>
      <selection pane="bottomLeft" activeCell="A10" sqref="A10"/>
      <selection pane="bottomRight" activeCell="C12" sqref="C12"/>
    </sheetView>
  </sheetViews>
  <sheetFormatPr defaultRowHeight="14.4" x14ac:dyDescent="0.3"/>
  <cols>
    <col min="1" max="1" width="5.88671875" style="40" customWidth="1"/>
    <col min="2" max="2" width="40.88671875" customWidth="1"/>
    <col min="3" max="3" width="45.5546875" customWidth="1"/>
    <col min="4" max="4" width="20.5546875" customWidth="1"/>
    <col min="5" max="7" width="22.88671875" customWidth="1"/>
    <col min="8" max="8" width="13.88671875" bestFit="1" customWidth="1"/>
    <col min="9" max="9" width="9.109375" bestFit="1" customWidth="1"/>
  </cols>
  <sheetData>
    <row r="1" spans="1:7" ht="21" x14ac:dyDescent="0.3">
      <c r="B1" s="865" t="s">
        <v>1069</v>
      </c>
      <c r="C1" s="865"/>
      <c r="D1" s="865"/>
      <c r="E1" s="865"/>
      <c r="F1" s="865"/>
      <c r="G1" s="865"/>
    </row>
    <row r="2" spans="1:7" x14ac:dyDescent="0.3">
      <c r="A2" s="422"/>
      <c r="B2" s="42"/>
      <c r="C2" s="42"/>
      <c r="D2" s="42"/>
      <c r="E2" s="42"/>
      <c r="F2" s="42"/>
      <c r="G2" s="42"/>
    </row>
    <row r="3" spans="1:7" x14ac:dyDescent="0.3">
      <c r="A3" s="41"/>
      <c r="B3" s="51" t="str">
        <f>'D-Project Data'!B9</f>
        <v>Project:</v>
      </c>
      <c r="C3" s="866" t="str">
        <f>'D-Project Data'!C9</f>
        <v>Project Name</v>
      </c>
      <c r="D3" s="866"/>
      <c r="E3" s="52"/>
      <c r="F3" s="424"/>
      <c r="G3" s="424"/>
    </row>
    <row r="4" spans="1:7" x14ac:dyDescent="0.3">
      <c r="A4" s="41"/>
      <c r="B4" s="51" t="str">
        <f>'D-Project Data'!B11</f>
        <v>Project Development Phase:</v>
      </c>
      <c r="C4" s="866" t="str">
        <f>'D-Project Data'!C11</f>
        <v>Current Working Estimate</v>
      </c>
      <c r="D4" s="866"/>
      <c r="E4" s="53" t="s">
        <v>674</v>
      </c>
      <c r="F4" s="831" t="str">
        <f>'F-Meeting Attendance'!D7</f>
        <v>TBD</v>
      </c>
      <c r="G4" s="42"/>
    </row>
    <row r="5" spans="1:7" x14ac:dyDescent="0.3">
      <c r="A5" s="422"/>
      <c r="B5" s="42"/>
      <c r="C5" s="42"/>
      <c r="D5" s="42"/>
      <c r="E5" s="42"/>
      <c r="F5" s="42"/>
      <c r="G5" s="42"/>
    </row>
    <row r="6" spans="1:7" x14ac:dyDescent="0.3">
      <c r="A6" s="41"/>
      <c r="B6" s="53" t="s">
        <v>1070</v>
      </c>
      <c r="C6" s="832">
        <v>44470</v>
      </c>
      <c r="D6" s="483" t="s">
        <v>1073</v>
      </c>
      <c r="E6" s="42"/>
      <c r="F6" s="53" t="str">
        <f>'I-Project Contingency'!G12&amp;":"</f>
        <v>Schedule Contingency Duration:</v>
      </c>
      <c r="G6" s="830">
        <f>'I-Project Contingency'!I12</f>
        <v>4.548028169014084</v>
      </c>
    </row>
    <row r="7" spans="1:7" x14ac:dyDescent="0.3">
      <c r="A7" s="41"/>
      <c r="B7" s="53" t="s">
        <v>1071</v>
      </c>
      <c r="C7" s="833">
        <v>46447</v>
      </c>
      <c r="D7" s="483" t="s">
        <v>1073</v>
      </c>
      <c r="E7" s="42"/>
      <c r="F7" s="53" t="s">
        <v>1072</v>
      </c>
      <c r="G7" s="829">
        <f>'I-Project Contingency'!$J$12</f>
        <v>6.9999999999999993E-2</v>
      </c>
    </row>
    <row r="8" spans="1:7" x14ac:dyDescent="0.3">
      <c r="A8" s="41"/>
      <c r="B8" s="53" t="s">
        <v>1080</v>
      </c>
      <c r="C8" s="828">
        <f>YEARFRAC(C6,C7,1)*12</f>
        <v>64.971830985915489</v>
      </c>
      <c r="D8" s="42"/>
      <c r="E8" s="42"/>
      <c r="F8" s="53" t="str">
        <f>"Schedule with Contingency ("&amp;TEXT('I-Project Contingency'!G13,"0%")&amp;" Confidence):"</f>
        <v>Schedule with Contingency (80% Confidence):</v>
      </c>
      <c r="G8" s="828">
        <f>'I-Project Contingency'!I13</f>
        <v>69.519859154929577</v>
      </c>
    </row>
    <row r="9" spans="1:7" x14ac:dyDescent="0.3">
      <c r="A9" s="41"/>
      <c r="B9" s="53"/>
      <c r="C9" s="482"/>
      <c r="D9" s="42"/>
      <c r="E9" s="42"/>
      <c r="F9" s="53" t="str">
        <f>"Finish Date with Contingency ("&amp;TEXT('I-Project Contingency'!G14,"0%")&amp;" Confidence):"</f>
        <v>Finish Date with Contingency (80% Confidence):</v>
      </c>
      <c r="G9" s="827">
        <f>'I-Project Contingency'!I14</f>
        <v>46586</v>
      </c>
    </row>
    <row r="10" spans="1:7" ht="15" thickBot="1" x14ac:dyDescent="0.35">
      <c r="A10" s="41"/>
      <c r="B10" s="54"/>
      <c r="C10" s="55"/>
      <c r="D10" s="56"/>
      <c r="E10" s="42"/>
      <c r="F10" s="42"/>
    </row>
    <row r="11" spans="1:7" x14ac:dyDescent="0.3">
      <c r="A11" s="769"/>
      <c r="B11" s="770" t="str">
        <f>IF('D-Project Data'!C5="Civil Works",'1-Drop Down List'!K4,'1-Drop Down List'!L4)</f>
        <v>MILCON_WBS</v>
      </c>
      <c r="C11" s="770" t="s">
        <v>672</v>
      </c>
      <c r="D11" s="770" t="s">
        <v>671</v>
      </c>
      <c r="E11" s="771">
        <f>'D-Project Data'!$C$6</f>
        <v>0.8</v>
      </c>
      <c r="F11" s="772">
        <f>'D-Project Data'!$C$6</f>
        <v>0.8</v>
      </c>
      <c r="G11" s="773">
        <f>'D-Project Data'!$C$6</f>
        <v>0.8</v>
      </c>
    </row>
    <row r="12" spans="1:7" x14ac:dyDescent="0.3">
      <c r="A12" s="499"/>
      <c r="B12" s="500" t="s">
        <v>1397</v>
      </c>
      <c r="C12" s="500"/>
      <c r="D12" s="500"/>
      <c r="E12" s="501"/>
      <c r="F12" s="502"/>
      <c r="G12" s="503"/>
    </row>
    <row r="13" spans="1:7" x14ac:dyDescent="0.3">
      <c r="A13" s="43"/>
      <c r="B13" s="544" t="s">
        <v>1008</v>
      </c>
      <c r="C13" s="842" t="s">
        <v>1426</v>
      </c>
      <c r="D13" s="834">
        <v>0</v>
      </c>
      <c r="E13" s="835">
        <v>0</v>
      </c>
      <c r="F13" s="67">
        <f>IF($D$13&gt;0,ROUNDUP($D$13*E13,0),0)</f>
        <v>0</v>
      </c>
      <c r="G13" s="68">
        <f>D13+F13</f>
        <v>0</v>
      </c>
    </row>
    <row r="14" spans="1:7" x14ac:dyDescent="0.3">
      <c r="A14" s="44"/>
      <c r="B14" s="544"/>
      <c r="C14" s="58"/>
      <c r="D14" s="834">
        <v>0</v>
      </c>
      <c r="E14" s="835">
        <v>0</v>
      </c>
      <c r="F14" s="67">
        <f t="shared" ref="F14:F16" si="0">IF($D$13&gt;0,ROUNDUP($D$13*E14,0),0)</f>
        <v>0</v>
      </c>
      <c r="G14" s="68">
        <f>D14+F14</f>
        <v>0</v>
      </c>
    </row>
    <row r="15" spans="1:7" x14ac:dyDescent="0.3">
      <c r="A15" s="44"/>
      <c r="B15" s="544"/>
      <c r="C15" s="58"/>
      <c r="D15" s="834">
        <v>0</v>
      </c>
      <c r="E15" s="835">
        <v>0</v>
      </c>
      <c r="F15" s="67">
        <f t="shared" si="0"/>
        <v>0</v>
      </c>
      <c r="G15" s="68">
        <f>D15+F15</f>
        <v>0</v>
      </c>
    </row>
    <row r="16" spans="1:7" x14ac:dyDescent="0.3">
      <c r="A16" s="44"/>
      <c r="B16" s="544"/>
      <c r="C16" s="58"/>
      <c r="D16" s="834">
        <v>0</v>
      </c>
      <c r="E16" s="835">
        <v>0</v>
      </c>
      <c r="F16" s="67">
        <f t="shared" si="0"/>
        <v>0</v>
      </c>
      <c r="G16" s="68">
        <f>D16+F16</f>
        <v>0</v>
      </c>
    </row>
    <row r="17" spans="1:7" x14ac:dyDescent="0.3">
      <c r="A17" s="499"/>
      <c r="B17" s="500" t="s">
        <v>1398</v>
      </c>
      <c r="C17" s="500"/>
      <c r="D17" s="504"/>
      <c r="E17" s="501"/>
      <c r="F17" s="505"/>
      <c r="G17" s="506"/>
    </row>
    <row r="18" spans="1:7" x14ac:dyDescent="0.3">
      <c r="A18" s="44">
        <v>1</v>
      </c>
      <c r="B18" s="544" t="s">
        <v>1380</v>
      </c>
      <c r="C18" s="836" t="s">
        <v>1386</v>
      </c>
      <c r="D18" s="837">
        <v>10961875.57</v>
      </c>
      <c r="E18" s="547">
        <f>IF(D18&gt;0,VLOOKUP($E$11,'I-Project Contingency'!$C$23:$E$33,3,FALSE),0)</f>
        <v>0.3</v>
      </c>
      <c r="F18" s="548">
        <f t="shared" ref="F18:F41" si="1">IF(D18&gt;0,ROUND(D18*E18,0),0)</f>
        <v>3288563</v>
      </c>
      <c r="G18" s="549">
        <f t="shared" ref="G18:G42" si="2">D18+F18</f>
        <v>14250438.57</v>
      </c>
    </row>
    <row r="19" spans="1:7" x14ac:dyDescent="0.3">
      <c r="A19" s="44">
        <v>2</v>
      </c>
      <c r="B19" s="544" t="s">
        <v>1380</v>
      </c>
      <c r="C19" s="836" t="s">
        <v>1387</v>
      </c>
      <c r="D19" s="837">
        <v>14964965.65</v>
      </c>
      <c r="E19" s="547">
        <f>IF(D19&gt;0,VLOOKUP($E$11,'I-Project Contingency'!$C$23:$E$33,3,FALSE),0)</f>
        <v>0.3</v>
      </c>
      <c r="F19" s="548">
        <f t="shared" si="1"/>
        <v>4489490</v>
      </c>
      <c r="G19" s="549">
        <f t="shared" si="2"/>
        <v>19454455.649999999</v>
      </c>
    </row>
    <row r="20" spans="1:7" x14ac:dyDescent="0.3">
      <c r="A20" s="44">
        <v>3</v>
      </c>
      <c r="B20" s="544" t="s">
        <v>907</v>
      </c>
      <c r="C20" s="836" t="s">
        <v>1388</v>
      </c>
      <c r="D20" s="837">
        <v>800029.79</v>
      </c>
      <c r="E20" s="547">
        <f>IF(D20&gt;0,VLOOKUP($E$11,'I-Project Contingency'!$C$23:$E$33,3,FALSE),0)</f>
        <v>0.3</v>
      </c>
      <c r="F20" s="548">
        <f t="shared" si="1"/>
        <v>240009</v>
      </c>
      <c r="G20" s="549">
        <f t="shared" si="2"/>
        <v>1040038.79</v>
      </c>
    </row>
    <row r="21" spans="1:7" x14ac:dyDescent="0.3">
      <c r="A21" s="44">
        <v>4</v>
      </c>
      <c r="B21" s="544" t="s">
        <v>906</v>
      </c>
      <c r="C21" s="836" t="s">
        <v>1389</v>
      </c>
      <c r="D21" s="837">
        <v>447051.3</v>
      </c>
      <c r="E21" s="547">
        <f>IF(D21&gt;0,VLOOKUP($E$11,'I-Project Contingency'!$C$23:$E$33,3,FALSE),0)</f>
        <v>0.3</v>
      </c>
      <c r="F21" s="548">
        <f t="shared" si="1"/>
        <v>134115</v>
      </c>
      <c r="G21" s="549">
        <f t="shared" si="2"/>
        <v>581166.30000000005</v>
      </c>
    </row>
    <row r="22" spans="1:7" x14ac:dyDescent="0.3">
      <c r="A22" s="44">
        <v>5</v>
      </c>
      <c r="B22" s="544" t="s">
        <v>905</v>
      </c>
      <c r="C22" s="836" t="s">
        <v>1390</v>
      </c>
      <c r="D22" s="837">
        <v>895511.29</v>
      </c>
      <c r="E22" s="547">
        <f>IF(D22&gt;0,VLOOKUP($E$11,'I-Project Contingency'!$C$23:$E$33,3,FALSE),0)</f>
        <v>0.3</v>
      </c>
      <c r="F22" s="548">
        <f t="shared" si="1"/>
        <v>268653</v>
      </c>
      <c r="G22" s="549">
        <f t="shared" si="2"/>
        <v>1164164.29</v>
      </c>
    </row>
    <row r="23" spans="1:7" x14ac:dyDescent="0.3">
      <c r="A23" s="44">
        <v>6</v>
      </c>
      <c r="B23" s="544" t="s">
        <v>904</v>
      </c>
      <c r="C23" s="836" t="s">
        <v>1391</v>
      </c>
      <c r="D23" s="837">
        <v>909664.89</v>
      </c>
      <c r="E23" s="547">
        <f>IF(D23&gt;0,VLOOKUP($E$11,'I-Project Contingency'!$C$23:$E$33,3,FALSE),0)</f>
        <v>0.3</v>
      </c>
      <c r="F23" s="548">
        <f t="shared" si="1"/>
        <v>272899</v>
      </c>
      <c r="G23" s="549">
        <f t="shared" si="2"/>
        <v>1182563.8900000001</v>
      </c>
    </row>
    <row r="24" spans="1:7" x14ac:dyDescent="0.3">
      <c r="A24" s="44">
        <v>7</v>
      </c>
      <c r="B24" s="544"/>
      <c r="C24" s="836"/>
      <c r="D24" s="837">
        <v>0</v>
      </c>
      <c r="E24" s="547">
        <f>IF(D24&gt;0,VLOOKUP($E$11,'I-Project Contingency'!$C$23:$E$33,3,FALSE),0)</f>
        <v>0</v>
      </c>
      <c r="F24" s="548">
        <f t="shared" si="1"/>
        <v>0</v>
      </c>
      <c r="G24" s="549">
        <f t="shared" si="2"/>
        <v>0</v>
      </c>
    </row>
    <row r="25" spans="1:7" x14ac:dyDescent="0.3">
      <c r="A25" s="44">
        <v>8</v>
      </c>
      <c r="B25" s="544"/>
      <c r="C25" s="836"/>
      <c r="D25" s="837">
        <v>0</v>
      </c>
      <c r="E25" s="547">
        <f>IF(D25&gt;0,VLOOKUP($E$11,'I-Project Contingency'!$C$23:$E$33,3,FALSE),0)</f>
        <v>0</v>
      </c>
      <c r="F25" s="548">
        <f t="shared" si="1"/>
        <v>0</v>
      </c>
      <c r="G25" s="549">
        <f t="shared" si="2"/>
        <v>0</v>
      </c>
    </row>
    <row r="26" spans="1:7" x14ac:dyDescent="0.3">
      <c r="A26" s="44">
        <v>9</v>
      </c>
      <c r="B26" s="544"/>
      <c r="C26" s="836"/>
      <c r="D26" s="837">
        <v>0</v>
      </c>
      <c r="E26" s="547">
        <f>IF(D26&gt;0,VLOOKUP($E$11,'I-Project Contingency'!$C$23:$E$33,3,FALSE),0)</f>
        <v>0</v>
      </c>
      <c r="F26" s="548">
        <f t="shared" si="1"/>
        <v>0</v>
      </c>
      <c r="G26" s="549">
        <f t="shared" si="2"/>
        <v>0</v>
      </c>
    </row>
    <row r="27" spans="1:7" x14ac:dyDescent="0.3">
      <c r="A27" s="44">
        <v>10</v>
      </c>
      <c r="B27" s="544"/>
      <c r="C27" s="836"/>
      <c r="D27" s="837">
        <v>0</v>
      </c>
      <c r="E27" s="547">
        <f>IF(D27&gt;0,VLOOKUP($E$11,'I-Project Contingency'!$C$23:$E$33,3,FALSE),0)</f>
        <v>0</v>
      </c>
      <c r="F27" s="548">
        <f t="shared" si="1"/>
        <v>0</v>
      </c>
      <c r="G27" s="549">
        <f t="shared" si="2"/>
        <v>0</v>
      </c>
    </row>
    <row r="28" spans="1:7" x14ac:dyDescent="0.3">
      <c r="A28" s="44">
        <v>11</v>
      </c>
      <c r="B28" s="544"/>
      <c r="C28" s="838"/>
      <c r="D28" s="839">
        <v>0</v>
      </c>
      <c r="E28" s="547">
        <f>IF(D28&gt;0,VLOOKUP($E$11,'I-Project Contingency'!$C$23:$E$33,3,FALSE),0)</f>
        <v>0</v>
      </c>
      <c r="F28" s="548">
        <f t="shared" si="1"/>
        <v>0</v>
      </c>
      <c r="G28" s="549">
        <f t="shared" si="2"/>
        <v>0</v>
      </c>
    </row>
    <row r="29" spans="1:7" x14ac:dyDescent="0.3">
      <c r="A29" s="44">
        <v>12</v>
      </c>
      <c r="B29" s="544"/>
      <c r="C29" s="836"/>
      <c r="D29" s="839">
        <v>0</v>
      </c>
      <c r="E29" s="547">
        <f>IF(D29&gt;0,VLOOKUP($E$11,'I-Project Contingency'!$C$23:$E$33,3,FALSE),0)</f>
        <v>0</v>
      </c>
      <c r="F29" s="548">
        <f t="shared" si="1"/>
        <v>0</v>
      </c>
      <c r="G29" s="549">
        <f t="shared" si="2"/>
        <v>0</v>
      </c>
    </row>
    <row r="30" spans="1:7" x14ac:dyDescent="0.3">
      <c r="A30" s="44">
        <v>13</v>
      </c>
      <c r="B30" s="544"/>
      <c r="C30" s="836"/>
      <c r="D30" s="839">
        <v>0</v>
      </c>
      <c r="E30" s="547">
        <f>IF(D30&gt;0,VLOOKUP($E$11,'I-Project Contingency'!$C$23:$E$33,3,FALSE),0)</f>
        <v>0</v>
      </c>
      <c r="F30" s="548">
        <f t="shared" si="1"/>
        <v>0</v>
      </c>
      <c r="G30" s="549">
        <f t="shared" si="2"/>
        <v>0</v>
      </c>
    </row>
    <row r="31" spans="1:7" x14ac:dyDescent="0.3">
      <c r="A31" s="44">
        <v>14</v>
      </c>
      <c r="B31" s="544"/>
      <c r="C31" s="836"/>
      <c r="D31" s="839">
        <v>0</v>
      </c>
      <c r="E31" s="547">
        <f>IF(D31&gt;0,VLOOKUP($E$11,'I-Project Contingency'!$C$23:$E$33,3,FALSE),0)</f>
        <v>0</v>
      </c>
      <c r="F31" s="548">
        <f t="shared" si="1"/>
        <v>0</v>
      </c>
      <c r="G31" s="549">
        <f t="shared" si="2"/>
        <v>0</v>
      </c>
    </row>
    <row r="32" spans="1:7" x14ac:dyDescent="0.3">
      <c r="A32" s="44">
        <v>15</v>
      </c>
      <c r="B32" s="544"/>
      <c r="C32" s="836"/>
      <c r="D32" s="839">
        <v>0</v>
      </c>
      <c r="E32" s="547">
        <f>IF(D32&gt;0,VLOOKUP($E$11,'I-Project Contingency'!$C$23:$E$33,3,FALSE),0)</f>
        <v>0</v>
      </c>
      <c r="F32" s="548">
        <f t="shared" si="1"/>
        <v>0</v>
      </c>
      <c r="G32" s="549">
        <f t="shared" si="2"/>
        <v>0</v>
      </c>
    </row>
    <row r="33" spans="1:7" x14ac:dyDescent="0.3">
      <c r="A33" s="44">
        <v>16</v>
      </c>
      <c r="B33" s="544"/>
      <c r="C33" s="836"/>
      <c r="D33" s="839">
        <v>0</v>
      </c>
      <c r="E33" s="547">
        <f>IF(D33&gt;0,VLOOKUP($E$11,'I-Project Contingency'!$C$23:$E$33,3,FALSE),0)</f>
        <v>0</v>
      </c>
      <c r="F33" s="548">
        <f t="shared" si="1"/>
        <v>0</v>
      </c>
      <c r="G33" s="549">
        <f t="shared" si="2"/>
        <v>0</v>
      </c>
    </row>
    <row r="34" spans="1:7" x14ac:dyDescent="0.3">
      <c r="A34" s="44">
        <v>17</v>
      </c>
      <c r="B34" s="544"/>
      <c r="C34" s="836"/>
      <c r="D34" s="839">
        <v>0</v>
      </c>
      <c r="E34" s="547">
        <f>IF(D34&gt;0,VLOOKUP($E$11,'I-Project Contingency'!$C$23:$E$33,3,FALSE),0)</f>
        <v>0</v>
      </c>
      <c r="F34" s="548">
        <f t="shared" si="1"/>
        <v>0</v>
      </c>
      <c r="G34" s="549">
        <f t="shared" si="2"/>
        <v>0</v>
      </c>
    </row>
    <row r="35" spans="1:7" x14ac:dyDescent="0.3">
      <c r="A35" s="44">
        <v>18</v>
      </c>
      <c r="B35" s="544"/>
      <c r="C35" s="836"/>
      <c r="D35" s="839">
        <v>0</v>
      </c>
      <c r="E35" s="547">
        <f>IF(D35&gt;0,VLOOKUP($E$11,'I-Project Contingency'!$C$23:$E$33,3,FALSE),0)</f>
        <v>0</v>
      </c>
      <c r="F35" s="548">
        <f t="shared" si="1"/>
        <v>0</v>
      </c>
      <c r="G35" s="549">
        <f t="shared" si="2"/>
        <v>0</v>
      </c>
    </row>
    <row r="36" spans="1:7" x14ac:dyDescent="0.3">
      <c r="A36" s="44">
        <v>19</v>
      </c>
      <c r="B36" s="544"/>
      <c r="C36" s="836"/>
      <c r="D36" s="839">
        <v>0</v>
      </c>
      <c r="E36" s="547">
        <f>IF(D36&gt;0,VLOOKUP($E$11,'I-Project Contingency'!$C$23:$E$33,3,FALSE),0)</f>
        <v>0</v>
      </c>
      <c r="F36" s="548">
        <f t="shared" si="1"/>
        <v>0</v>
      </c>
      <c r="G36" s="549">
        <f t="shared" si="2"/>
        <v>0</v>
      </c>
    </row>
    <row r="37" spans="1:7" x14ac:dyDescent="0.3">
      <c r="A37" s="44">
        <v>20</v>
      </c>
      <c r="B37" s="544"/>
      <c r="C37" s="836"/>
      <c r="D37" s="839">
        <v>0</v>
      </c>
      <c r="E37" s="547">
        <f>IF(D37&gt;0,VLOOKUP($E$11,'I-Project Contingency'!$C$23:$E$33,3,FALSE),0)</f>
        <v>0</v>
      </c>
      <c r="F37" s="548">
        <f t="shared" si="1"/>
        <v>0</v>
      </c>
      <c r="G37" s="549">
        <f t="shared" si="2"/>
        <v>0</v>
      </c>
    </row>
    <row r="38" spans="1:7" x14ac:dyDescent="0.3">
      <c r="A38" s="44">
        <v>21</v>
      </c>
      <c r="B38" s="544"/>
      <c r="C38" s="836"/>
      <c r="D38" s="839">
        <v>0</v>
      </c>
      <c r="E38" s="547">
        <f>IF(D38&gt;0,VLOOKUP($E$11,'I-Project Contingency'!$C$23:$E$33,3,FALSE),0)</f>
        <v>0</v>
      </c>
      <c r="F38" s="548">
        <f t="shared" si="1"/>
        <v>0</v>
      </c>
      <c r="G38" s="549">
        <f t="shared" si="2"/>
        <v>0</v>
      </c>
    </row>
    <row r="39" spans="1:7" x14ac:dyDescent="0.3">
      <c r="A39" s="44">
        <v>22</v>
      </c>
      <c r="B39" s="544"/>
      <c r="C39" s="836"/>
      <c r="D39" s="839">
        <v>0</v>
      </c>
      <c r="E39" s="547">
        <f>IF(D39&gt;0,VLOOKUP($E$11,'I-Project Contingency'!$C$23:$E$33,3,FALSE),0)</f>
        <v>0</v>
      </c>
      <c r="F39" s="548">
        <f t="shared" si="1"/>
        <v>0</v>
      </c>
      <c r="G39" s="549">
        <f t="shared" si="2"/>
        <v>0</v>
      </c>
    </row>
    <row r="40" spans="1:7" x14ac:dyDescent="0.3">
      <c r="A40" s="44">
        <v>23</v>
      </c>
      <c r="B40" s="544" t="s">
        <v>1028</v>
      </c>
      <c r="C40" s="836" t="s">
        <v>1426</v>
      </c>
      <c r="D40" s="839">
        <v>0</v>
      </c>
      <c r="E40" s="547">
        <f>IF(D40&gt;0,VLOOKUP($E$11,'I-Project Contingency'!$C$23:$E$33,3,FALSE),0)</f>
        <v>0</v>
      </c>
      <c r="F40" s="548">
        <f t="shared" si="1"/>
        <v>0</v>
      </c>
      <c r="G40" s="549">
        <f t="shared" si="2"/>
        <v>0</v>
      </c>
    </row>
    <row r="41" spans="1:7" x14ac:dyDescent="0.3">
      <c r="A41" s="44">
        <v>24</v>
      </c>
      <c r="B41" s="544" t="s">
        <v>1029</v>
      </c>
      <c r="C41" s="836" t="s">
        <v>1426</v>
      </c>
      <c r="D41" s="839">
        <v>0</v>
      </c>
      <c r="E41" s="547">
        <f>IF(D41&gt;0,VLOOKUP($E$11,'I-Project Contingency'!$C$23:$E$33,3,FALSE),0)</f>
        <v>0</v>
      </c>
      <c r="F41" s="548">
        <f t="shared" si="1"/>
        <v>0</v>
      </c>
      <c r="G41" s="549">
        <f t="shared" si="2"/>
        <v>0</v>
      </c>
    </row>
    <row r="42" spans="1:7" x14ac:dyDescent="0.3">
      <c r="A42" s="596" t="s">
        <v>658</v>
      </c>
      <c r="B42" s="60" t="s">
        <v>657</v>
      </c>
      <c r="C42" s="59"/>
      <c r="D42" s="546"/>
      <c r="E42" s="57"/>
      <c r="F42" s="840">
        <v>0</v>
      </c>
      <c r="G42" s="841">
        <f t="shared" si="2"/>
        <v>0</v>
      </c>
    </row>
    <row r="43" spans="1:7" ht="15" thickBot="1" x14ac:dyDescent="0.35">
      <c r="A43" s="45"/>
      <c r="B43" s="61" t="s">
        <v>648</v>
      </c>
      <c r="C43" s="62"/>
      <c r="D43" s="64"/>
      <c r="E43" s="46"/>
      <c r="F43" s="69"/>
      <c r="G43" s="70"/>
    </row>
    <row r="44" spans="1:7" x14ac:dyDescent="0.3">
      <c r="A44" s="45"/>
      <c r="B44" s="61" t="s">
        <v>648</v>
      </c>
      <c r="C44" s="63" t="s">
        <v>677</v>
      </c>
      <c r="D44" s="65"/>
      <c r="E44" s="47"/>
      <c r="F44" s="71"/>
      <c r="G44" s="72"/>
    </row>
    <row r="45" spans="1:7" x14ac:dyDescent="0.3">
      <c r="A45" s="45"/>
      <c r="B45" s="61" t="s">
        <v>648</v>
      </c>
      <c r="C45" s="48" t="str">
        <f>B12</f>
        <v>Risk Not Included In CSRA</v>
      </c>
      <c r="D45" s="820">
        <f>SUM(D13:D16)</f>
        <v>0</v>
      </c>
      <c r="E45" s="603">
        <f>IFERROR(F45/D45,0)</f>
        <v>0</v>
      </c>
      <c r="F45" s="821">
        <f>SUM(F13:F16)</f>
        <v>0</v>
      </c>
      <c r="G45" s="73">
        <f>SUM(G13:G16)</f>
        <v>0</v>
      </c>
    </row>
    <row r="46" spans="1:7" x14ac:dyDescent="0.3">
      <c r="A46" s="45"/>
      <c r="B46" s="61" t="s">
        <v>648</v>
      </c>
      <c r="C46" s="48" t="s">
        <v>655</v>
      </c>
      <c r="D46" s="822">
        <f>SUM(D18:D39)</f>
        <v>28979098.489999998</v>
      </c>
      <c r="E46" s="823">
        <f>E18</f>
        <v>0.3</v>
      </c>
      <c r="F46" s="824">
        <f>IF(D46&gt;0,ROUND(D46*E46,0),0)</f>
        <v>8693730</v>
      </c>
      <c r="G46" s="825">
        <f>D46+F46</f>
        <v>37672828.489999995</v>
      </c>
    </row>
    <row r="47" spans="1:7" x14ac:dyDescent="0.3">
      <c r="A47" s="45"/>
      <c r="B47" s="61" t="s">
        <v>654</v>
      </c>
      <c r="C47" s="48" t="s">
        <v>653</v>
      </c>
      <c r="D47" s="822">
        <f>D40</f>
        <v>0</v>
      </c>
      <c r="E47" s="823">
        <f>E46</f>
        <v>0.3</v>
      </c>
      <c r="F47" s="824">
        <f>IF(D47&gt;0,ROUNDUP(D47*E47,0),0)</f>
        <v>0</v>
      </c>
      <c r="G47" s="825">
        <f>D47+F47</f>
        <v>0</v>
      </c>
    </row>
    <row r="48" spans="1:7" x14ac:dyDescent="0.3">
      <c r="A48" s="45"/>
      <c r="B48" s="61" t="s">
        <v>648</v>
      </c>
      <c r="C48" s="48" t="s">
        <v>652</v>
      </c>
      <c r="D48" s="822">
        <f>D41</f>
        <v>0</v>
      </c>
      <c r="E48" s="823">
        <f>E47</f>
        <v>0.3</v>
      </c>
      <c r="F48" s="824">
        <f>IF(D48&gt;0,ROUNDUP(D48*E48,0),0)</f>
        <v>0</v>
      </c>
      <c r="G48" s="825">
        <f>D48+F48</f>
        <v>0</v>
      </c>
    </row>
    <row r="49" spans="1:7" ht="15" thickBot="1" x14ac:dyDescent="0.35">
      <c r="A49" s="45"/>
      <c r="B49" s="61" t="s">
        <v>648</v>
      </c>
      <c r="C49" s="48"/>
      <c r="D49" s="826"/>
      <c r="E49" s="604"/>
      <c r="F49" s="69"/>
      <c r="G49" s="70"/>
    </row>
    <row r="50" spans="1:7" ht="15" thickBot="1" x14ac:dyDescent="0.35">
      <c r="A50" s="45"/>
      <c r="B50" s="61" t="s">
        <v>648</v>
      </c>
      <c r="C50" s="597" t="str">
        <f>"Total EXCLUDING "&amp;B12</f>
        <v>Total EXCLUDING Risk Not Included In CSRA</v>
      </c>
      <c r="D50" s="66">
        <f>SUM(D46:D48)</f>
        <v>28979098.489999998</v>
      </c>
      <c r="E50" s="626">
        <f>ROUND(F50/D50,2)</f>
        <v>0.3</v>
      </c>
      <c r="F50" s="74">
        <f>SUM(F46:F48,F42)</f>
        <v>8693730</v>
      </c>
      <c r="G50" s="75">
        <f>SUM(G46:G48,G42)</f>
        <v>37672828.489999995</v>
      </c>
    </row>
    <row r="51" spans="1:7" ht="15" thickBot="1" x14ac:dyDescent="0.35">
      <c r="A51" s="45"/>
      <c r="B51" s="61" t="s">
        <v>648</v>
      </c>
      <c r="C51" s="597" t="str">
        <f>"Total INCLUDING "&amp;B12</f>
        <v>Total INCLUDING Risk Not Included In CSRA</v>
      </c>
      <c r="D51" s="420">
        <f>D50+D45</f>
        <v>28979098.489999998</v>
      </c>
      <c r="E51" s="626">
        <f>ROUND(F51/D51,2)</f>
        <v>0.3</v>
      </c>
      <c r="F51" s="74">
        <f t="shared" ref="F51:G51" si="3">F50+F45</f>
        <v>8693730</v>
      </c>
      <c r="G51" s="75">
        <f t="shared" si="3"/>
        <v>37672828.489999995</v>
      </c>
    </row>
    <row r="52" spans="1:7" ht="15" thickBot="1" x14ac:dyDescent="0.35">
      <c r="A52" s="45"/>
      <c r="B52" s="61" t="s">
        <v>649</v>
      </c>
      <c r="C52" s="598" t="s">
        <v>651</v>
      </c>
      <c r="D52" s="76"/>
      <c r="E52" s="77"/>
      <c r="F52" s="78"/>
      <c r="G52" s="79">
        <v>0</v>
      </c>
    </row>
    <row r="53" spans="1:7" x14ac:dyDescent="0.3">
      <c r="A53" s="45"/>
      <c r="B53" s="61" t="s">
        <v>649</v>
      </c>
      <c r="D53" s="49"/>
      <c r="E53" s="50"/>
      <c r="F53" s="50"/>
      <c r="G53" s="50"/>
    </row>
    <row r="54" spans="1:7" ht="24.9" customHeight="1" x14ac:dyDescent="0.3">
      <c r="A54" s="867" t="s">
        <v>1392</v>
      </c>
      <c r="B54" s="867"/>
      <c r="C54" s="867"/>
      <c r="D54" s="867"/>
      <c r="E54" s="867"/>
      <c r="F54" s="867"/>
      <c r="G54" s="868"/>
    </row>
  </sheetData>
  <dataConsolidate/>
  <mergeCells count="4">
    <mergeCell ref="B1:G1"/>
    <mergeCell ref="C3:D3"/>
    <mergeCell ref="C4:D4"/>
    <mergeCell ref="A54:G54"/>
  </mergeCells>
  <dataValidations disablePrompts="1" count="1">
    <dataValidation type="list" allowBlank="1" showInputMessage="1" showErrorMessage="1" sqref="B13:B16 B18:B41" xr:uid="{00000000-0002-0000-0900-000000000000}">
      <formula1>INDIRECT($B$11)</formula1>
    </dataValidation>
  </dataValidations>
  <printOptions horizontalCentered="1"/>
  <pageMargins left="0.25" right="0.25" top="0.25" bottom="0.5" header="0.25" footer="0.25"/>
  <pageSetup scale="70" fitToWidth="0" fitToHeight="0" orientation="landscape" horizontalDpi="1200" verticalDpi="1200" r:id="rId1"/>
  <headerFooter>
    <oddFooter>&amp;CPage &amp;P of &amp;N</oddFooter>
  </headerFooter>
  <ignoredErrors>
    <ignoredError sqref="C3:D4 C8"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56"/>
  <sheetViews>
    <sheetView showGridLines="0" zoomScaleNormal="100" workbookViewId="0">
      <pane xSplit="1" ySplit="11" topLeftCell="B12" activePane="bottomRight" state="frozen"/>
      <selection pane="topRight" activeCell="C1" sqref="C1"/>
      <selection pane="bottomLeft" activeCell="A10" sqref="A10"/>
      <selection pane="bottomRight" activeCell="G34" sqref="G34"/>
    </sheetView>
  </sheetViews>
  <sheetFormatPr defaultRowHeight="14.4" x14ac:dyDescent="0.3"/>
  <cols>
    <col min="1" max="1" width="25.88671875" customWidth="1"/>
    <col min="2" max="2" width="60.88671875" customWidth="1"/>
    <col min="3" max="3" width="2.88671875" customWidth="1"/>
    <col min="4" max="4" width="20.88671875" customWidth="1"/>
    <col min="5" max="5" width="25.88671875" customWidth="1"/>
  </cols>
  <sheetData>
    <row r="1" spans="1:5" ht="21" x14ac:dyDescent="0.3">
      <c r="A1" s="865" t="s">
        <v>1069</v>
      </c>
      <c r="B1" s="865"/>
      <c r="C1" s="865"/>
      <c r="D1" s="865"/>
      <c r="E1" s="865"/>
    </row>
    <row r="2" spans="1:5" ht="21" x14ac:dyDescent="0.3">
      <c r="A2" s="80"/>
      <c r="B2" s="80"/>
      <c r="C2" s="80"/>
      <c r="D2" s="80"/>
      <c r="E2" s="80"/>
    </row>
    <row r="3" spans="1:5" x14ac:dyDescent="0.3">
      <c r="A3" s="51" t="str">
        <f>'D-Project Data'!B9</f>
        <v>Project:</v>
      </c>
      <c r="B3" s="432" t="str">
        <f>'D-Project Data'!C9</f>
        <v>Project Name</v>
      </c>
      <c r="C3" s="426"/>
      <c r="D3" s="53" t="s">
        <v>674</v>
      </c>
      <c r="E3" s="429" t="str">
        <f>'F-Meeting Attendance'!D7</f>
        <v>TBD</v>
      </c>
    </row>
    <row r="4" spans="1:5" x14ac:dyDescent="0.3">
      <c r="A4" s="51" t="str">
        <f>'D-Project Data'!B11</f>
        <v>Project Development Phase:</v>
      </c>
      <c r="B4" s="433" t="str">
        <f>'D-Project Data'!C11</f>
        <v>Current Working Estimate</v>
      </c>
      <c r="C4" s="426"/>
      <c r="D4" s="53" t="s">
        <v>1070</v>
      </c>
      <c r="E4" s="436">
        <v>44470</v>
      </c>
    </row>
    <row r="5" spans="1:5" x14ac:dyDescent="0.3">
      <c r="A5" s="53" t="str">
        <f>'D-Project Data'!B12</f>
        <v>Risk Category:</v>
      </c>
      <c r="B5" s="434" t="str">
        <f>'D-Project Data'!C12</f>
        <v>Low Risk: Simple Project-No Life Safety</v>
      </c>
      <c r="C5" s="425"/>
      <c r="D5" s="53" t="s">
        <v>1071</v>
      </c>
      <c r="E5" s="436">
        <v>46447</v>
      </c>
    </row>
    <row r="6" spans="1:5" x14ac:dyDescent="0.3">
      <c r="A6" s="53" t="str">
        <f>'D-Project Data'!B6</f>
        <v>Confidence Level:</v>
      </c>
      <c r="B6" s="435">
        <f>'D-Project Data'!C6</f>
        <v>0.8</v>
      </c>
      <c r="C6" s="424"/>
      <c r="D6" s="53" t="s">
        <v>673</v>
      </c>
      <c r="E6" s="430">
        <f>YEARFRAC(E4,E5,1)*12</f>
        <v>64.971830985915489</v>
      </c>
    </row>
    <row r="7" spans="1:5" x14ac:dyDescent="0.3">
      <c r="A7" s="42"/>
      <c r="B7" s="42"/>
      <c r="C7" s="427"/>
      <c r="D7" s="53" t="str">
        <f>'E-Cost &amp; Schedule Summary'!F6</f>
        <v>Schedule Contingency Duration:</v>
      </c>
      <c r="E7" s="430">
        <f>'E-Cost &amp; Schedule Summary'!G6</f>
        <v>4.548028169014084</v>
      </c>
    </row>
    <row r="8" spans="1:5" x14ac:dyDescent="0.3">
      <c r="A8" s="42"/>
      <c r="B8" s="42"/>
      <c r="C8" s="427"/>
      <c r="D8" s="53" t="s">
        <v>1072</v>
      </c>
      <c r="E8" s="431">
        <f>'I-Project Contingency'!$J$12</f>
        <v>6.9999999999999993E-2</v>
      </c>
    </row>
    <row r="9" spans="1:5" x14ac:dyDescent="0.3">
      <c r="A9" s="53"/>
      <c r="B9" s="424"/>
      <c r="C9" s="424"/>
      <c r="D9" s="484" t="str">
        <f>"Finish Date with Contingency ("&amp;TEXT('I-Project Contingency'!G14,"0%")&amp;" Confidence):"</f>
        <v>Finish Date with Contingency (80% Confidence):</v>
      </c>
      <c r="E9" s="437">
        <f>'I-Project Contingency'!I14</f>
        <v>46586</v>
      </c>
    </row>
    <row r="10" spans="1:5" ht="15" thickBot="1" x14ac:dyDescent="0.35">
      <c r="A10" s="42"/>
      <c r="B10" s="42"/>
      <c r="C10" s="42"/>
      <c r="D10" s="42"/>
      <c r="E10" s="42"/>
    </row>
    <row r="11" spans="1:5" ht="15" thickBot="1" x14ac:dyDescent="0.35">
      <c r="A11" s="451"/>
      <c r="B11" s="451" t="s">
        <v>1064</v>
      </c>
      <c r="C11" s="452"/>
      <c r="D11" s="453" t="s">
        <v>888</v>
      </c>
      <c r="E11" s="454"/>
    </row>
    <row r="12" spans="1:5" x14ac:dyDescent="0.3">
      <c r="A12" s="872" t="s">
        <v>1078</v>
      </c>
      <c r="B12" s="467" t="s">
        <v>656</v>
      </c>
      <c r="C12" s="468"/>
      <c r="D12" s="469">
        <f>'E-Cost &amp; Schedule Summary'!D13</f>
        <v>0</v>
      </c>
      <c r="E12" s="470"/>
    </row>
    <row r="13" spans="1:5" x14ac:dyDescent="0.3">
      <c r="A13" s="873"/>
      <c r="B13" s="460" t="s">
        <v>1028</v>
      </c>
      <c r="C13" s="444"/>
      <c r="D13" s="463">
        <v>0</v>
      </c>
      <c r="E13" s="456"/>
    </row>
    <row r="14" spans="1:5" x14ac:dyDescent="0.3">
      <c r="A14" s="873"/>
      <c r="B14" s="460" t="s">
        <v>1029</v>
      </c>
      <c r="C14" s="444"/>
      <c r="D14" s="463">
        <v>0</v>
      </c>
      <c r="E14" s="456"/>
    </row>
    <row r="15" spans="1:5" x14ac:dyDescent="0.3">
      <c r="A15" s="873"/>
      <c r="B15" s="460"/>
      <c r="C15" s="444"/>
      <c r="D15" s="463">
        <v>0</v>
      </c>
      <c r="E15" s="456"/>
    </row>
    <row r="16" spans="1:5" ht="15" thickBot="1" x14ac:dyDescent="0.35">
      <c r="A16" s="874"/>
      <c r="B16" s="461"/>
      <c r="C16" s="457"/>
      <c r="D16" s="464">
        <v>0</v>
      </c>
      <c r="E16" s="458"/>
    </row>
    <row r="17" spans="1:5" ht="15" thickBot="1" x14ac:dyDescent="0.35">
      <c r="A17" s="54"/>
      <c r="B17" s="62"/>
      <c r="C17" s="62"/>
      <c r="D17" s="64"/>
      <c r="E17" s="64"/>
    </row>
    <row r="18" spans="1:5" ht="14.4" customHeight="1" x14ac:dyDescent="0.3">
      <c r="A18" s="872" t="s">
        <v>1077</v>
      </c>
      <c r="B18" s="471" t="str">
        <f>'E-Cost &amp; Schedule Summary'!C18</f>
        <v>Primary Facilities- Flight Simulator</v>
      </c>
      <c r="C18" s="468"/>
      <c r="D18" s="469">
        <f>'E-Cost &amp; Schedule Summary'!D18</f>
        <v>10961875.57</v>
      </c>
      <c r="E18" s="470"/>
    </row>
    <row r="19" spans="1:5" x14ac:dyDescent="0.3">
      <c r="A19" s="873"/>
      <c r="B19" s="605" t="str">
        <f>'E-Cost &amp; Schedule Summary'!C19</f>
        <v>Primary Facilities- OPS Facility</v>
      </c>
      <c r="C19" s="606"/>
      <c r="D19" s="545">
        <f>'E-Cost &amp; Schedule Summary'!D19</f>
        <v>14964965.65</v>
      </c>
      <c r="E19" s="607"/>
    </row>
    <row r="20" spans="1:5" x14ac:dyDescent="0.3">
      <c r="A20" s="873"/>
      <c r="B20" s="605" t="str">
        <f>'E-Cost &amp; Schedule Summary'!C20</f>
        <v>Site Preparations</v>
      </c>
      <c r="C20" s="606"/>
      <c r="D20" s="545">
        <f>'E-Cost &amp; Schedule Summary'!D20</f>
        <v>800029.79</v>
      </c>
      <c r="E20" s="607"/>
    </row>
    <row r="21" spans="1:5" x14ac:dyDescent="0.3">
      <c r="A21" s="873"/>
      <c r="B21" s="605"/>
      <c r="C21" s="606"/>
      <c r="D21" s="545">
        <v>0</v>
      </c>
      <c r="E21" s="607"/>
    </row>
    <row r="22" spans="1:5" x14ac:dyDescent="0.3">
      <c r="A22" s="873"/>
      <c r="B22" s="605"/>
      <c r="C22" s="606"/>
      <c r="D22" s="545">
        <v>0</v>
      </c>
      <c r="E22" s="607"/>
    </row>
    <row r="23" spans="1:5" x14ac:dyDescent="0.3">
      <c r="A23" s="873"/>
      <c r="B23" s="605"/>
      <c r="C23" s="606"/>
      <c r="D23" s="545">
        <v>0</v>
      </c>
      <c r="E23" s="607"/>
    </row>
    <row r="24" spans="1:5" x14ac:dyDescent="0.3">
      <c r="A24" s="873"/>
      <c r="B24" s="605"/>
      <c r="C24" s="606"/>
      <c r="D24" s="545">
        <v>0</v>
      </c>
      <c r="E24" s="607"/>
    </row>
    <row r="25" spans="1:5" x14ac:dyDescent="0.3">
      <c r="A25" s="873"/>
      <c r="B25" s="605"/>
      <c r="C25" s="606"/>
      <c r="D25" s="545">
        <v>0</v>
      </c>
      <c r="E25" s="607"/>
    </row>
    <row r="26" spans="1:5" x14ac:dyDescent="0.3">
      <c r="A26" s="873"/>
      <c r="B26" s="605"/>
      <c r="C26" s="606"/>
      <c r="D26" s="545">
        <v>0</v>
      </c>
      <c r="E26" s="607"/>
    </row>
    <row r="27" spans="1:5" x14ac:dyDescent="0.3">
      <c r="A27" s="873"/>
      <c r="B27" s="605"/>
      <c r="C27" s="606"/>
      <c r="D27" s="545">
        <v>0</v>
      </c>
      <c r="E27" s="607"/>
    </row>
    <row r="28" spans="1:5" x14ac:dyDescent="0.3">
      <c r="A28" s="873"/>
      <c r="B28" s="605"/>
      <c r="C28" s="606"/>
      <c r="D28" s="545">
        <v>0</v>
      </c>
      <c r="E28" s="607"/>
    </row>
    <row r="29" spans="1:5" x14ac:dyDescent="0.3">
      <c r="A29" s="873"/>
      <c r="B29" s="605"/>
      <c r="C29" s="606"/>
      <c r="D29" s="545">
        <v>0</v>
      </c>
      <c r="E29" s="607"/>
    </row>
    <row r="30" spans="1:5" x14ac:dyDescent="0.3">
      <c r="A30" s="873"/>
      <c r="B30" s="605"/>
      <c r="C30" s="606"/>
      <c r="D30" s="545">
        <v>0</v>
      </c>
      <c r="E30" s="607"/>
    </row>
    <row r="31" spans="1:5" x14ac:dyDescent="0.3">
      <c r="A31" s="873"/>
      <c r="B31" s="605"/>
      <c r="C31" s="606"/>
      <c r="D31" s="545">
        <v>0</v>
      </c>
      <c r="E31" s="607"/>
    </row>
    <row r="32" spans="1:5" x14ac:dyDescent="0.3">
      <c r="A32" s="873"/>
      <c r="B32" s="605"/>
      <c r="C32" s="606"/>
      <c r="D32" s="545">
        <v>0</v>
      </c>
      <c r="E32" s="607"/>
    </row>
    <row r="33" spans="1:5" x14ac:dyDescent="0.3">
      <c r="A33" s="873"/>
      <c r="B33" s="605"/>
      <c r="C33" s="606"/>
      <c r="D33" s="545">
        <v>0</v>
      </c>
      <c r="E33" s="607"/>
    </row>
    <row r="34" spans="1:5" x14ac:dyDescent="0.3">
      <c r="A34" s="873"/>
      <c r="B34" s="605"/>
      <c r="C34" s="606"/>
      <c r="D34" s="545">
        <v>0</v>
      </c>
      <c r="E34" s="607"/>
    </row>
    <row r="35" spans="1:5" x14ac:dyDescent="0.3">
      <c r="A35" s="873"/>
      <c r="B35" s="605"/>
      <c r="C35" s="606"/>
      <c r="D35" s="545">
        <v>0</v>
      </c>
      <c r="E35" s="607"/>
    </row>
    <row r="36" spans="1:5" x14ac:dyDescent="0.3">
      <c r="A36" s="873"/>
      <c r="B36" s="605"/>
      <c r="C36" s="606"/>
      <c r="D36" s="545">
        <v>0</v>
      </c>
      <c r="E36" s="607"/>
    </row>
    <row r="37" spans="1:5" x14ac:dyDescent="0.3">
      <c r="A37" s="873"/>
      <c r="B37" s="605"/>
      <c r="C37" s="606"/>
      <c r="D37" s="545">
        <v>0</v>
      </c>
      <c r="E37" s="607"/>
    </row>
    <row r="38" spans="1:5" x14ac:dyDescent="0.3">
      <c r="A38" s="873"/>
      <c r="B38" s="605"/>
      <c r="C38" s="606"/>
      <c r="D38" s="545">
        <v>0</v>
      </c>
      <c r="E38" s="607"/>
    </row>
    <row r="39" spans="1:5" x14ac:dyDescent="0.3">
      <c r="A39" s="873"/>
      <c r="B39" s="605"/>
      <c r="C39" s="606"/>
      <c r="D39" s="545">
        <v>0</v>
      </c>
      <c r="E39" s="607"/>
    </row>
    <row r="40" spans="1:5" x14ac:dyDescent="0.3">
      <c r="A40" s="873"/>
      <c r="B40" s="605" t="s">
        <v>1028</v>
      </c>
      <c r="C40" s="606"/>
      <c r="D40" s="545">
        <f>SUM(D18:D39)*15%</f>
        <v>4009030.6514999997</v>
      </c>
      <c r="E40" s="608"/>
    </row>
    <row r="41" spans="1:5" ht="15" thickBot="1" x14ac:dyDescent="0.35">
      <c r="A41" s="874"/>
      <c r="B41" s="609" t="s">
        <v>1029</v>
      </c>
      <c r="C41" s="610"/>
      <c r="D41" s="611">
        <f>SUM(D18:D39)*7.5%</f>
        <v>2004515.3257499998</v>
      </c>
      <c r="E41" s="612"/>
    </row>
    <row r="42" spans="1:5" ht="15" thickBot="1" x14ac:dyDescent="0.35">
      <c r="A42" s="54"/>
      <c r="B42" s="62"/>
      <c r="C42" s="62"/>
      <c r="D42" s="64"/>
      <c r="E42" s="64"/>
    </row>
    <row r="43" spans="1:5" x14ac:dyDescent="0.3">
      <c r="A43" s="875" t="s">
        <v>1065</v>
      </c>
      <c r="B43" s="471" t="s">
        <v>1067</v>
      </c>
      <c r="C43" s="472"/>
      <c r="D43" s="469">
        <v>0</v>
      </c>
      <c r="E43" s="470"/>
    </row>
    <row r="44" spans="1:5" x14ac:dyDescent="0.3">
      <c r="A44" s="876"/>
      <c r="B44" s="476" t="s">
        <v>1066</v>
      </c>
      <c r="C44" s="444"/>
      <c r="D44" s="462">
        <f>'I-Project Contingency'!I5</f>
        <v>8693729.5469999984</v>
      </c>
      <c r="E44" s="477" t="str">
        <f>"&lt;-- "&amp;TEXT('D-Project Data'!$C$6,"0%")&amp;" Confidence Level"</f>
        <v>&lt;-- 80% Confidence Level</v>
      </c>
    </row>
    <row r="45" spans="1:5" ht="29.4" thickBot="1" x14ac:dyDescent="0.35">
      <c r="A45" s="877"/>
      <c r="B45" s="473" t="s">
        <v>1075</v>
      </c>
      <c r="C45" s="457"/>
      <c r="D45" s="474">
        <v>0</v>
      </c>
      <c r="E45" s="475"/>
    </row>
    <row r="46" spans="1:5" ht="15" thickBot="1" x14ac:dyDescent="0.35">
      <c r="A46" s="54"/>
      <c r="B46" s="62"/>
      <c r="C46" s="62"/>
      <c r="D46" s="64"/>
      <c r="E46" s="64"/>
    </row>
    <row r="47" spans="1:5" ht="15" customHeight="1" thickBot="1" x14ac:dyDescent="0.35">
      <c r="A47" s="872" t="s">
        <v>1079</v>
      </c>
      <c r="B47" s="459"/>
      <c r="C47" s="428"/>
      <c r="D47" s="479" t="s">
        <v>888</v>
      </c>
      <c r="E47" s="480" t="s">
        <v>865</v>
      </c>
    </row>
    <row r="48" spans="1:5" x14ac:dyDescent="0.3">
      <c r="A48" s="873"/>
      <c r="B48" s="48" t="str">
        <f>"Not Included Within CSRA Model:  "&amp;TEXT(IFERROR(E48/D48,0),"0%")&amp;" Contingency"</f>
        <v>Not Included Within CSRA Model:  0% Contingency</v>
      </c>
      <c r="C48" s="423"/>
      <c r="D48" s="478">
        <f>SUM(D12:D16)</f>
        <v>0</v>
      </c>
      <c r="E48" s="481">
        <f>D43</f>
        <v>0</v>
      </c>
    </row>
    <row r="49" spans="1:5" x14ac:dyDescent="0.3">
      <c r="A49" s="873"/>
      <c r="B49" s="48" t="str">
        <f>"Included Within CSRA Model:  "&amp;TEXT(IFERROR(E49/D49,0),"0%")&amp;" Contingency"</f>
        <v>Included Within CSRA Model:  27% Contingency</v>
      </c>
      <c r="C49" s="423"/>
      <c r="D49" s="465">
        <f>SUM(D18:D41)</f>
        <v>32740416.98725</v>
      </c>
      <c r="E49" s="481">
        <f>D44</f>
        <v>8693729.5469999984</v>
      </c>
    </row>
    <row r="50" spans="1:5" ht="14.4" customHeight="1" x14ac:dyDescent="0.3">
      <c r="A50" s="873"/>
      <c r="B50" s="48" t="s">
        <v>1252</v>
      </c>
      <c r="C50" s="423"/>
      <c r="D50" s="478"/>
      <c r="E50" s="481">
        <f>D45</f>
        <v>0</v>
      </c>
    </row>
    <row r="51" spans="1:5" ht="15" thickBot="1" x14ac:dyDescent="0.35">
      <c r="A51" s="873"/>
      <c r="B51" s="441"/>
      <c r="C51" s="442"/>
      <c r="D51" s="466"/>
      <c r="E51" s="443"/>
    </row>
    <row r="52" spans="1:5" ht="15" thickBot="1" x14ac:dyDescent="0.35">
      <c r="A52" s="874"/>
      <c r="B52" s="600" t="str">
        <f>"TOTAL:  "&amp;TEXT(IFERROR(E52/D52,0),"0%")&amp;" Contingency"</f>
        <v>TOTAL:  27% Contingency</v>
      </c>
      <c r="C52" s="428"/>
      <c r="D52" s="530">
        <f>SUM(D48:D50)</f>
        <v>32740416.98725</v>
      </c>
      <c r="E52" s="531">
        <f>SUM(E48:E50)</f>
        <v>8693729.5469999984</v>
      </c>
    </row>
    <row r="53" spans="1:5" ht="15" thickBot="1" x14ac:dyDescent="0.35"/>
    <row r="54" spans="1:5" ht="15" thickBot="1" x14ac:dyDescent="0.35">
      <c r="A54" s="438"/>
      <c r="B54" s="599" t="s">
        <v>651</v>
      </c>
      <c r="C54" s="439"/>
      <c r="D54" s="78" t="s">
        <v>650</v>
      </c>
      <c r="E54" s="440"/>
    </row>
    <row r="55" spans="1:5" ht="15" thickBot="1" x14ac:dyDescent="0.35">
      <c r="A55" s="61" t="s">
        <v>649</v>
      </c>
      <c r="D55" s="49"/>
      <c r="E55" s="49"/>
    </row>
    <row r="56" spans="1:5" ht="24.9" customHeight="1" thickBot="1" x14ac:dyDescent="0.35">
      <c r="A56" s="869" t="s">
        <v>1076</v>
      </c>
      <c r="B56" s="870"/>
      <c r="C56" s="870"/>
      <c r="D56" s="870"/>
      <c r="E56" s="871"/>
    </row>
  </sheetData>
  <dataConsolidate/>
  <mergeCells count="6">
    <mergeCell ref="A56:E56"/>
    <mergeCell ref="A1:E1"/>
    <mergeCell ref="A12:A16"/>
    <mergeCell ref="A18:A41"/>
    <mergeCell ref="A43:A45"/>
    <mergeCell ref="A47:A52"/>
  </mergeCells>
  <pageMargins left="0.25" right="0.25" top="0.25" bottom="0.5" header="0.25" footer="0.25"/>
  <pageSetup scale="76" fitToHeight="0" orientation="portrait" horizontalDpi="1200" verticalDpi="1200" r:id="rId1"/>
  <ignoredErrors>
    <ignoredError sqref="B3:B5"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X793"/>
  <sheetViews>
    <sheetView showGridLines="0" tabSelected="1" zoomScale="75" zoomScaleNormal="75" zoomScaleSheetLayoutView="75" workbookViewId="0">
      <pane xSplit="3" ySplit="17" topLeftCell="D18" activePane="bottomRight" state="frozen"/>
      <selection activeCell="A3" sqref="A3"/>
      <selection pane="topRight" activeCell="A3" sqref="A3"/>
      <selection pane="bottomLeft" activeCell="A3" sqref="A3"/>
      <selection pane="bottomRight" activeCell="D18" sqref="D18"/>
    </sheetView>
  </sheetViews>
  <sheetFormatPr defaultColWidth="8.88671875" defaultRowHeight="14.4" outlineLevelCol="1" x14ac:dyDescent="0.3"/>
  <cols>
    <col min="1" max="1" width="12.5546875" style="212" customWidth="1"/>
    <col min="2" max="2" width="25.44140625" style="212" customWidth="1"/>
    <col min="3" max="3" width="25.5546875" style="122" customWidth="1"/>
    <col min="4" max="4" width="40.5546875" style="28" customWidth="1"/>
    <col min="5" max="5" width="75.5546875" style="28" customWidth="1"/>
    <col min="6" max="6" width="11.5546875" style="155" customWidth="1"/>
    <col min="7" max="7" width="11.5546875" style="156" customWidth="1"/>
    <col min="8" max="10" width="11.5546875" style="155" customWidth="1"/>
    <col min="11" max="11" width="11.5546875" style="157" customWidth="1"/>
    <col min="12" max="13" width="11.5546875" style="155" customWidth="1"/>
    <col min="14" max="14" width="15.88671875" style="155" customWidth="1"/>
    <col min="15" max="15" width="13.44140625" style="155" customWidth="1"/>
    <col min="16" max="18" width="15.88671875" style="153" customWidth="1" outlineLevel="1"/>
    <col min="19" max="21" width="15.88671875" style="158" customWidth="1" outlineLevel="1"/>
    <col min="22" max="24" width="15.88671875" style="153" customWidth="1" outlineLevel="1"/>
    <col min="25" max="25" width="10.88671875" style="137" customWidth="1" outlineLevel="1"/>
    <col min="26" max="26" width="8.44140625" style="138" customWidth="1" outlineLevel="1"/>
    <col min="27" max="30" width="15.88671875" style="138" customWidth="1" outlineLevel="1"/>
    <col min="31" max="31" width="15.88671875" style="153" customWidth="1" outlineLevel="1" collapsed="1"/>
    <col min="32" max="32" width="15.88671875" style="137" customWidth="1" outlineLevel="1"/>
    <col min="33" max="33" width="15.88671875" style="154" customWidth="1" outlineLevel="1"/>
    <col min="34" max="34" width="65.5546875" style="114" customWidth="1" outlineLevel="1"/>
    <col min="35" max="35" width="65.44140625" style="114" customWidth="1"/>
    <col min="36" max="36" width="2.88671875" customWidth="1"/>
    <col min="37" max="41" width="15.88671875" customWidth="1" outlineLevel="1"/>
    <col min="42" max="42" width="17.6640625" bestFit="1" customWidth="1" outlineLevel="1"/>
    <col min="43" max="45" width="15.88671875" customWidth="1" outlineLevel="1"/>
    <col min="46" max="46" width="2.88671875" customWidth="1"/>
    <col min="47" max="76" width="15.88671875" customWidth="1" outlineLevel="1"/>
  </cols>
  <sheetData>
    <row r="1" spans="1:76" ht="21.6" thickBot="1" x14ac:dyDescent="0.35">
      <c r="A1" s="214" t="s">
        <v>836</v>
      </c>
      <c r="B1" s="140"/>
      <c r="C1" s="141"/>
      <c r="D1" s="141"/>
      <c r="E1" s="142"/>
      <c r="F1" s="159"/>
      <c r="G1" s="142"/>
      <c r="H1" s="159"/>
      <c r="I1" s="159"/>
      <c r="J1" s="159"/>
      <c r="K1" s="160"/>
      <c r="L1" s="159"/>
      <c r="M1" s="159"/>
      <c r="N1" s="159"/>
      <c r="O1" s="213"/>
      <c r="P1" s="161">
        <f t="shared" ref="P1:X1" ca="1" si="0">SUM(P18:P1051)</f>
        <v>-6750000</v>
      </c>
      <c r="Q1" s="161">
        <f t="shared" ca="1" si="0"/>
        <v>0</v>
      </c>
      <c r="R1" s="161">
        <f t="shared" ca="1" si="0"/>
        <v>14500000</v>
      </c>
      <c r="S1" s="216">
        <f t="shared" ca="1" si="0"/>
        <v>0</v>
      </c>
      <c r="T1" s="216">
        <f t="shared" ca="1" si="0"/>
        <v>0</v>
      </c>
      <c r="U1" s="216">
        <f t="shared" ca="1" si="0"/>
        <v>12</v>
      </c>
      <c r="V1" s="161">
        <f t="shared" ca="1" si="0"/>
        <v>0</v>
      </c>
      <c r="W1" s="161">
        <f t="shared" ca="1" si="0"/>
        <v>0</v>
      </c>
      <c r="X1" s="161">
        <f t="shared" ca="1" si="0"/>
        <v>7800000</v>
      </c>
      <c r="Y1" s="162"/>
      <c r="Z1" s="163"/>
      <c r="AA1" s="163"/>
      <c r="AB1" s="163"/>
      <c r="AC1" s="163"/>
      <c r="AD1" s="163"/>
      <c r="AE1" s="164">
        <f>SUM(AE18:AE1051)</f>
        <v>0</v>
      </c>
      <c r="AF1" s="165"/>
      <c r="AG1" s="215">
        <f>SUM(AG18:AG1051)</f>
        <v>0</v>
      </c>
      <c r="AH1" s="143"/>
      <c r="AI1" s="143"/>
    </row>
    <row r="2" spans="1:76" ht="15" thickBot="1" x14ac:dyDescent="0.35">
      <c r="A2" s="166"/>
      <c r="B2" s="167"/>
      <c r="C2" s="144"/>
      <c r="D2" s="145" t="s">
        <v>834</v>
      </c>
      <c r="E2" s="906" t="s">
        <v>833</v>
      </c>
      <c r="F2" s="168" t="str">
        <f>'G-Assumptions'!B18</f>
        <v>Certain</v>
      </c>
      <c r="G2" s="169" t="str">
        <f>'G-Assumptions'!B19</f>
        <v>Very Likely</v>
      </c>
      <c r="H2" s="169" t="str">
        <f>'G-Assumptions'!B20</f>
        <v>Likely</v>
      </c>
      <c r="I2" s="169" t="str">
        <f>'G-Assumptions'!B21</f>
        <v>Possible</v>
      </c>
      <c r="J2" s="169" t="str">
        <f>'G-Assumptions'!B22</f>
        <v>Unlikely</v>
      </c>
      <c r="K2" s="170" t="str">
        <f>'G-Assumptions'!B23</f>
        <v>Unrated</v>
      </c>
      <c r="L2" s="171"/>
      <c r="M2" s="171"/>
      <c r="N2" s="171"/>
      <c r="O2" s="171"/>
      <c r="P2" s="172"/>
      <c r="Q2" s="172"/>
      <c r="R2" s="172"/>
      <c r="S2" s="173"/>
      <c r="T2" s="173"/>
      <c r="U2" s="173"/>
      <c r="V2" s="172"/>
      <c r="W2" s="172"/>
      <c r="X2" s="172"/>
      <c r="Y2" s="174"/>
      <c r="Z2" s="175"/>
      <c r="AA2" s="175"/>
      <c r="AB2" s="175"/>
      <c r="AC2" s="175"/>
      <c r="AD2" s="175"/>
      <c r="AE2" s="172"/>
      <c r="AF2" s="174"/>
      <c r="AG2" s="176"/>
      <c r="AH2" s="146"/>
      <c r="AI2" s="146"/>
    </row>
    <row r="3" spans="1:76" ht="15.6" thickTop="1" thickBot="1" x14ac:dyDescent="0.35">
      <c r="A3" s="177"/>
      <c r="B3" s="167"/>
      <c r="C3" s="147"/>
      <c r="D3" s="148"/>
      <c r="E3" s="907"/>
      <c r="F3" s="178" t="str">
        <f>"&gt; "&amp;TEXT('G-Assumptions'!C18*100,0%)&amp;"%"</f>
        <v>&gt; 90%</v>
      </c>
      <c r="G3" s="179" t="str">
        <f>TEXT('G-Assumptions'!C19*100,0%)&amp;"-"&amp;TEXT('G-Assumptions'!D19*100,0%)&amp;"%"</f>
        <v>70-90%</v>
      </c>
      <c r="H3" s="179" t="str">
        <f>TEXT('G-Assumptions'!C20*100,0%)&amp;"-"&amp;TEXT('G-Assumptions'!D20*100,0%)&amp;"%"</f>
        <v>30-70%</v>
      </c>
      <c r="I3" s="179" t="str">
        <f>TEXT('G-Assumptions'!C21*100,0%)&amp;"-"&amp;TEXT('G-Assumptions'!D21*100,0%)&amp;"%"</f>
        <v>5-30%</v>
      </c>
      <c r="J3" s="179" t="str">
        <f>"&lt; "&amp;TEXT('G-Assumptions'!D22*100,0%)&amp;"%"</f>
        <v>&lt; 5%</v>
      </c>
      <c r="K3" s="180" t="s">
        <v>650</v>
      </c>
      <c r="L3" s="171"/>
      <c r="M3" s="171"/>
      <c r="N3" s="171"/>
      <c r="O3" s="171"/>
      <c r="P3" s="172"/>
      <c r="Q3" s="172"/>
      <c r="R3" s="172"/>
      <c r="S3" s="173"/>
      <c r="T3" s="173"/>
      <c r="U3" s="173"/>
      <c r="V3" s="172"/>
      <c r="W3" s="172"/>
      <c r="X3" s="172"/>
      <c r="Y3" s="174"/>
      <c r="Z3" s="175"/>
      <c r="AA3" s="175"/>
      <c r="AB3" s="175"/>
      <c r="AC3" s="175"/>
      <c r="AD3" s="175"/>
      <c r="AE3" s="172"/>
      <c r="AF3" s="174"/>
      <c r="AG3" s="176"/>
      <c r="AH3" s="146"/>
      <c r="AI3" s="146"/>
    </row>
    <row r="4" spans="1:76" ht="15" thickBot="1" x14ac:dyDescent="0.35">
      <c r="A4" s="167"/>
      <c r="B4" s="167"/>
      <c r="C4" s="147"/>
      <c r="D4" s="148"/>
      <c r="E4" s="908" t="s">
        <v>832</v>
      </c>
      <c r="F4" s="912" t="str">
        <f>'G-Assumptions'!B38</f>
        <v>Negligible</v>
      </c>
      <c r="G4" s="901"/>
      <c r="H4" s="901" t="str">
        <f>'G-Assumptions'!B39</f>
        <v>Marginal</v>
      </c>
      <c r="I4" s="901"/>
      <c r="J4" s="901" t="str">
        <f>'G-Assumptions'!B40</f>
        <v>Moderate</v>
      </c>
      <c r="K4" s="901"/>
      <c r="L4" s="901" t="str">
        <f>'G-Assumptions'!B41</f>
        <v>Significant</v>
      </c>
      <c r="M4" s="901"/>
      <c r="N4" s="901" t="str">
        <f>'G-Assumptions'!B42</f>
        <v>Critical</v>
      </c>
      <c r="O4" s="902"/>
      <c r="P4" s="172"/>
      <c r="Q4" s="172"/>
      <c r="R4" s="172"/>
      <c r="S4" s="173"/>
      <c r="T4" s="173"/>
      <c r="U4" s="173"/>
      <c r="V4" s="172"/>
      <c r="W4" s="172"/>
      <c r="X4" s="172"/>
      <c r="Y4" s="174"/>
      <c r="Z4" s="175"/>
      <c r="AA4" s="175"/>
      <c r="AB4" s="175"/>
      <c r="AC4" s="175"/>
      <c r="AD4" s="175"/>
      <c r="AE4" s="172"/>
      <c r="AF4" s="174"/>
      <c r="AG4" s="176"/>
      <c r="AH4" s="146"/>
      <c r="AI4" s="146"/>
    </row>
    <row r="5" spans="1:76" ht="15.6" thickTop="1" thickBot="1" x14ac:dyDescent="0.35">
      <c r="A5" s="167"/>
      <c r="B5" s="167"/>
      <c r="C5" s="147"/>
      <c r="D5" s="148"/>
      <c r="E5" s="909"/>
      <c r="F5" s="903" t="str">
        <f>"&lt; "&amp;TEXT('G-Assumptions'!G75,"$#,##0")</f>
        <v>&lt; $250,000</v>
      </c>
      <c r="G5" s="904"/>
      <c r="H5" s="904" t="str">
        <f>TEXT('G-Assumptions'!G75,"$#,##0")&amp;" to "&amp;TEXT('G-Assumptions'!G76,"$#,##0")</f>
        <v>$250,000 to $500,000</v>
      </c>
      <c r="I5" s="904"/>
      <c r="J5" s="904" t="str">
        <f>TEXT('G-Assumptions'!G76,"$#,##0")&amp;" to "&amp;TEXT('G-Assumptions'!G77,"$#,##0")</f>
        <v>$500,000 to $750,000</v>
      </c>
      <c r="K5" s="904"/>
      <c r="L5" s="904" t="str">
        <f>TEXT('G-Assumptions'!G77,"$#,##0")&amp;" to "&amp;TEXT('G-Assumptions'!G78,"$#,##0")</f>
        <v>$750,000 to $1,500,000</v>
      </c>
      <c r="M5" s="904"/>
      <c r="N5" s="904" t="str">
        <f>"&gt; "&amp;TEXT('G-Assumptions'!G78,"$#,##0")</f>
        <v>&gt; $1,500,000</v>
      </c>
      <c r="O5" s="905"/>
      <c r="P5" s="172"/>
      <c r="Q5" s="172"/>
      <c r="R5" s="172"/>
      <c r="S5" s="173"/>
      <c r="T5" s="173"/>
      <c r="U5" s="173"/>
      <c r="V5" s="172"/>
      <c r="W5" s="172"/>
      <c r="X5" s="172"/>
      <c r="Y5" s="174"/>
      <c r="Z5" s="175"/>
      <c r="AA5" s="175"/>
      <c r="AB5" s="175"/>
      <c r="AC5" s="175"/>
      <c r="AD5" s="175"/>
      <c r="AE5" s="172"/>
      <c r="AF5" s="174"/>
      <c r="AG5" s="176"/>
      <c r="AH5" s="146"/>
      <c r="AI5" s="146"/>
    </row>
    <row r="6" spans="1:76" ht="15" thickBot="1" x14ac:dyDescent="0.35">
      <c r="A6" s="167"/>
      <c r="B6" s="167"/>
      <c r="C6" s="147"/>
      <c r="D6" s="148"/>
      <c r="E6" s="910"/>
      <c r="F6" s="895" t="str">
        <f>" &lt; "&amp;TEXT('G-Assumptions'!I75,"0.00")&amp;" MO"</f>
        <v xml:space="preserve"> &lt; 1.00 MO</v>
      </c>
      <c r="G6" s="893"/>
      <c r="H6" s="893" t="str">
        <f>TEXT('G-Assumptions'!I75,"0.00")&amp;" MO to "&amp;TEXT('G-Assumptions'!I76,"0.00")&amp;" MO"</f>
        <v>1.00 MO to 1.50 MO</v>
      </c>
      <c r="I6" s="893"/>
      <c r="J6" s="893" t="str">
        <f>TEXT('G-Assumptions'!I76,"0.00")&amp;" MO to "&amp;TEXT('G-Assumptions'!I77,"0.00")&amp;" MO"</f>
        <v>1.50 MO to 3.50 MO</v>
      </c>
      <c r="K6" s="893"/>
      <c r="L6" s="893" t="str">
        <f>TEXT('G-Assumptions'!I77,"0.00")&amp;" MO to "&amp;TEXT('G-Assumptions'!I78,"0.00")&amp;" MO"</f>
        <v>3.50 MO to 6.50 MO</v>
      </c>
      <c r="M6" s="893"/>
      <c r="N6" s="893" t="str">
        <f>"&gt; "&amp;TEXT('G-Assumptions'!I78,"0.00")&amp;" MO"</f>
        <v>&gt; 6.50 MO</v>
      </c>
      <c r="O6" s="894"/>
      <c r="P6" s="29"/>
      <c r="Q6" s="29"/>
      <c r="R6" s="172"/>
      <c r="S6" s="173"/>
      <c r="T6" s="173"/>
      <c r="U6" s="173"/>
      <c r="V6" s="172"/>
      <c r="W6" s="172"/>
      <c r="X6" s="172"/>
      <c r="Y6" s="174"/>
      <c r="Z6" s="175"/>
      <c r="AA6" s="175"/>
      <c r="AB6" s="175"/>
      <c r="AC6" s="175"/>
      <c r="AD6" s="175"/>
      <c r="AE6" s="172"/>
      <c r="AF6" s="174"/>
      <c r="AG6" s="176"/>
      <c r="AH6" s="146"/>
      <c r="AI6" s="146"/>
      <c r="AL6" s="888" t="s">
        <v>706</v>
      </c>
      <c r="AM6" s="888"/>
      <c r="AN6" s="888"/>
      <c r="AP6" s="888" t="s">
        <v>705</v>
      </c>
      <c r="AQ6" s="888"/>
      <c r="AR6" s="888"/>
    </row>
    <row r="7" spans="1:76" ht="15" thickBot="1" x14ac:dyDescent="0.35">
      <c r="A7" s="167"/>
      <c r="B7" s="167"/>
      <c r="C7" s="147"/>
      <c r="D7" s="148"/>
      <c r="E7" s="171"/>
      <c r="F7" s="171"/>
      <c r="G7" s="171"/>
      <c r="H7" s="171"/>
      <c r="I7" s="171"/>
      <c r="J7" s="171"/>
      <c r="K7" s="171"/>
      <c r="L7" s="171"/>
      <c r="M7" s="171"/>
      <c r="N7" s="29"/>
      <c r="O7" s="29"/>
      <c r="P7" s="29"/>
      <c r="Q7" s="29"/>
      <c r="R7" s="172"/>
      <c r="S7" s="173"/>
      <c r="T7" s="173"/>
      <c r="U7" s="173"/>
      <c r="V7" s="172"/>
      <c r="W7" s="172"/>
      <c r="X7" s="172"/>
      <c r="Y7" s="174"/>
      <c r="Z7" s="175"/>
      <c r="AA7" s="175"/>
      <c r="AB7" s="175"/>
      <c r="AC7" s="175"/>
      <c r="AD7" s="175"/>
      <c r="AE7" s="172"/>
      <c r="AF7" s="174"/>
      <c r="AG7" s="176"/>
      <c r="AH7" s="146"/>
      <c r="AI7" s="146"/>
    </row>
    <row r="8" spans="1:76" ht="15" thickBot="1" x14ac:dyDescent="0.35">
      <c r="A8" s="167"/>
      <c r="B8" s="167"/>
      <c r="C8" s="147"/>
      <c r="D8" s="148"/>
      <c r="E8" s="906" t="s">
        <v>831</v>
      </c>
      <c r="F8" s="171"/>
      <c r="G8" s="181" t="str">
        <f>'G-Assumptions'!F6</f>
        <v>Negligible</v>
      </c>
      <c r="H8" s="182" t="str">
        <f>'G-Assumptions'!G6</f>
        <v>Marginal</v>
      </c>
      <c r="I8" s="182" t="str">
        <f>'G-Assumptions'!H6</f>
        <v>Moderate</v>
      </c>
      <c r="J8" s="182" t="str">
        <f>'G-Assumptions'!I6</f>
        <v>Significant</v>
      </c>
      <c r="K8" s="183" t="str">
        <f>'G-Assumptions'!J6</f>
        <v>Critical</v>
      </c>
      <c r="L8" s="171"/>
      <c r="M8" s="171"/>
      <c r="N8" s="171"/>
      <c r="O8" s="171"/>
      <c r="P8" s="171"/>
      <c r="Q8" s="171"/>
      <c r="R8" s="172"/>
      <c r="S8" s="173"/>
      <c r="T8" s="173"/>
      <c r="U8" s="173"/>
      <c r="V8" s="172"/>
      <c r="W8" s="172"/>
      <c r="X8" s="172"/>
      <c r="Y8" s="174"/>
      <c r="Z8" s="175"/>
      <c r="AA8" s="175"/>
      <c r="AB8" s="175"/>
      <c r="AC8" s="175"/>
      <c r="AD8" s="175"/>
      <c r="AE8" s="172"/>
      <c r="AF8" s="174"/>
      <c r="AG8" s="176"/>
      <c r="AH8" s="146"/>
      <c r="AI8" s="146"/>
      <c r="AL8" s="1103" t="s">
        <v>710</v>
      </c>
      <c r="AM8" s="139" t="s">
        <v>704</v>
      </c>
      <c r="AN8" s="139" t="s">
        <v>703</v>
      </c>
      <c r="AP8" s="1103" t="s">
        <v>710</v>
      </c>
      <c r="AQ8" s="139" t="s">
        <v>704</v>
      </c>
      <c r="AR8" s="139" t="s">
        <v>703</v>
      </c>
    </row>
    <row r="9" spans="1:76" x14ac:dyDescent="0.3">
      <c r="A9" s="167"/>
      <c r="B9" s="167"/>
      <c r="C9" s="147"/>
      <c r="D9" s="148"/>
      <c r="E9" s="911"/>
      <c r="F9" s="184" t="str">
        <f>'G-Assumptions'!D7</f>
        <v>Certain</v>
      </c>
      <c r="G9" s="913" t="s">
        <v>725</v>
      </c>
      <c r="H9" s="914"/>
      <c r="I9" s="914"/>
      <c r="J9" s="914"/>
      <c r="K9" s="915"/>
      <c r="L9" s="171"/>
      <c r="M9" s="171"/>
      <c r="N9" s="171"/>
      <c r="O9" s="171"/>
      <c r="P9" s="171"/>
      <c r="Q9" s="171"/>
      <c r="R9" s="172"/>
      <c r="S9" s="173"/>
      <c r="T9" s="173"/>
      <c r="U9" s="173"/>
      <c r="V9" s="172"/>
      <c r="W9" s="172"/>
      <c r="X9" s="172"/>
      <c r="Y9" s="174"/>
      <c r="Z9" s="175"/>
      <c r="AA9" s="175"/>
      <c r="AB9" s="175"/>
      <c r="AC9" s="175"/>
      <c r="AD9" s="175"/>
      <c r="AE9" s="172"/>
      <c r="AF9" s="174"/>
      <c r="AG9" s="176"/>
      <c r="AH9" s="146"/>
      <c r="AI9" s="146"/>
      <c r="AL9" s="1104" t="str">
        <f>'G-Assumptions'!F74</f>
        <v>Negligible</v>
      </c>
      <c r="AM9" s="149">
        <f>'G-Assumptions'!G74</f>
        <v>0</v>
      </c>
      <c r="AN9" s="149">
        <f>'G-Assumptions'!H74</f>
        <v>250000</v>
      </c>
      <c r="AO9" s="98" t="str">
        <f>AL9</f>
        <v>Negligible</v>
      </c>
      <c r="AP9" s="1104" t="str">
        <f>AL9</f>
        <v>Negligible</v>
      </c>
      <c r="AQ9" s="843">
        <f>'G-Assumptions'!I74</f>
        <v>0</v>
      </c>
      <c r="AR9" s="843">
        <f>'G-Assumptions'!J74</f>
        <v>1</v>
      </c>
      <c r="AS9" s="98" t="str">
        <f>AP9</f>
        <v>Negligible</v>
      </c>
    </row>
    <row r="10" spans="1:76" x14ac:dyDescent="0.3">
      <c r="A10" s="167"/>
      <c r="B10" s="167"/>
      <c r="C10" s="147"/>
      <c r="D10" s="148"/>
      <c r="E10" s="911"/>
      <c r="F10" s="185" t="str">
        <f>'G-Assumptions'!D8</f>
        <v>Very Likely</v>
      </c>
      <c r="G10" s="186" t="s">
        <v>723</v>
      </c>
      <c r="H10" s="187" t="s">
        <v>722</v>
      </c>
      <c r="I10" s="187" t="s">
        <v>724</v>
      </c>
      <c r="J10" s="187" t="s">
        <v>724</v>
      </c>
      <c r="K10" s="188" t="s">
        <v>724</v>
      </c>
      <c r="L10" s="171"/>
      <c r="M10" s="171"/>
      <c r="N10" s="171"/>
      <c r="O10" s="171"/>
      <c r="P10" s="171"/>
      <c r="Q10" s="171"/>
      <c r="R10" s="172"/>
      <c r="S10" s="173"/>
      <c r="T10" s="173"/>
      <c r="U10" s="173"/>
      <c r="V10" s="172"/>
      <c r="W10" s="172"/>
      <c r="X10" s="172"/>
      <c r="Y10" s="174"/>
      <c r="Z10" s="175"/>
      <c r="AA10" s="175"/>
      <c r="AB10" s="175"/>
      <c r="AC10" s="175"/>
      <c r="AD10" s="175"/>
      <c r="AE10" s="172"/>
      <c r="AF10" s="174"/>
      <c r="AG10" s="176"/>
      <c r="AH10" s="146"/>
      <c r="AI10" s="146"/>
      <c r="AL10" s="1105" t="str">
        <f>'G-Assumptions'!F75</f>
        <v>Marginal</v>
      </c>
      <c r="AM10" s="150">
        <f>'G-Assumptions'!G75</f>
        <v>250000</v>
      </c>
      <c r="AN10" s="150">
        <f>'G-Assumptions'!H75</f>
        <v>500000</v>
      </c>
      <c r="AO10" s="98" t="str">
        <f t="shared" ref="AO10:AO13" si="1">AL10</f>
        <v>Marginal</v>
      </c>
      <c r="AP10" s="1105" t="str">
        <f>AL10</f>
        <v>Marginal</v>
      </c>
      <c r="AQ10" s="844">
        <f>'G-Assumptions'!I75</f>
        <v>1</v>
      </c>
      <c r="AR10" s="844">
        <f>'G-Assumptions'!J75</f>
        <v>1.5</v>
      </c>
      <c r="AS10" s="98" t="str">
        <f t="shared" ref="AS10:AS13" si="2">AP10</f>
        <v>Marginal</v>
      </c>
    </row>
    <row r="11" spans="1:76" x14ac:dyDescent="0.3">
      <c r="A11" s="167"/>
      <c r="B11" s="167"/>
      <c r="C11" s="147"/>
      <c r="D11" s="148"/>
      <c r="E11" s="911"/>
      <c r="F11" s="185" t="str">
        <f>'G-Assumptions'!D9</f>
        <v>Likely</v>
      </c>
      <c r="G11" s="186" t="s">
        <v>723</v>
      </c>
      <c r="H11" s="187" t="s">
        <v>722</v>
      </c>
      <c r="I11" s="187" t="s">
        <v>722</v>
      </c>
      <c r="J11" s="187" t="s">
        <v>724</v>
      </c>
      <c r="K11" s="188" t="s">
        <v>724</v>
      </c>
      <c r="L11" s="171"/>
      <c r="M11" s="171"/>
      <c r="N11" s="171"/>
      <c r="O11" s="171"/>
      <c r="P11" s="171"/>
      <c r="Q11" s="171"/>
      <c r="R11" s="172"/>
      <c r="S11" s="173"/>
      <c r="T11" s="173"/>
      <c r="U11" s="173"/>
      <c r="V11" s="172"/>
      <c r="W11" s="172"/>
      <c r="X11" s="172"/>
      <c r="Y11" s="174"/>
      <c r="Z11" s="175"/>
      <c r="AA11" s="175"/>
      <c r="AB11" s="175"/>
      <c r="AC11" s="175"/>
      <c r="AD11" s="175"/>
      <c r="AE11" s="172"/>
      <c r="AF11" s="174"/>
      <c r="AG11" s="176"/>
      <c r="AH11" s="146"/>
      <c r="AI11" s="146"/>
      <c r="AL11" s="1106" t="str">
        <f>'G-Assumptions'!F76</f>
        <v>Moderate</v>
      </c>
      <c r="AM11" s="151">
        <f>'G-Assumptions'!G76</f>
        <v>500000</v>
      </c>
      <c r="AN11" s="151">
        <f>'G-Assumptions'!H76</f>
        <v>750000</v>
      </c>
      <c r="AO11" s="98" t="str">
        <f t="shared" si="1"/>
        <v>Moderate</v>
      </c>
      <c r="AP11" s="1106" t="str">
        <f>AL11</f>
        <v>Moderate</v>
      </c>
      <c r="AQ11" s="845">
        <f>'G-Assumptions'!I76</f>
        <v>1.5</v>
      </c>
      <c r="AR11" s="845">
        <f>'G-Assumptions'!J76</f>
        <v>3.5</v>
      </c>
      <c r="AS11" s="98" t="str">
        <f t="shared" si="2"/>
        <v>Moderate</v>
      </c>
    </row>
    <row r="12" spans="1:76" x14ac:dyDescent="0.3">
      <c r="A12" s="167"/>
      <c r="B12" s="167"/>
      <c r="C12" s="147"/>
      <c r="D12" s="148"/>
      <c r="E12" s="911"/>
      <c r="F12" s="185" t="str">
        <f>'G-Assumptions'!D10</f>
        <v>Possible</v>
      </c>
      <c r="G12" s="186" t="s">
        <v>723</v>
      </c>
      <c r="H12" s="187" t="s">
        <v>723</v>
      </c>
      <c r="I12" s="187" t="s">
        <v>722</v>
      </c>
      <c r="J12" s="187" t="s">
        <v>722</v>
      </c>
      <c r="K12" s="188" t="s">
        <v>724</v>
      </c>
      <c r="L12" s="171"/>
      <c r="M12" s="171"/>
      <c r="N12" s="171"/>
      <c r="O12" s="171"/>
      <c r="P12" s="171"/>
      <c r="Q12" s="171"/>
      <c r="R12" s="172"/>
      <c r="S12" s="173"/>
      <c r="T12" s="173"/>
      <c r="U12" s="173"/>
      <c r="V12" s="172"/>
      <c r="W12" s="172"/>
      <c r="X12" s="172"/>
      <c r="Y12" s="174"/>
      <c r="Z12" s="175"/>
      <c r="AA12" s="175"/>
      <c r="AB12" s="175"/>
      <c r="AC12" s="175"/>
      <c r="AD12" s="175"/>
      <c r="AE12" s="172"/>
      <c r="AF12" s="174"/>
      <c r="AG12" s="176"/>
      <c r="AH12" s="146"/>
      <c r="AI12" s="146"/>
      <c r="AL12" s="1105" t="str">
        <f>'G-Assumptions'!F77</f>
        <v>Significant</v>
      </c>
      <c r="AM12" s="150">
        <f>'G-Assumptions'!G77</f>
        <v>750000</v>
      </c>
      <c r="AN12" s="150">
        <f>'G-Assumptions'!H77</f>
        <v>1500000</v>
      </c>
      <c r="AO12" s="98" t="str">
        <f t="shared" si="1"/>
        <v>Significant</v>
      </c>
      <c r="AP12" s="1105" t="str">
        <f>AL12</f>
        <v>Significant</v>
      </c>
      <c r="AQ12" s="844">
        <f>'G-Assumptions'!I77</f>
        <v>3.5</v>
      </c>
      <c r="AR12" s="844">
        <f>'G-Assumptions'!J77</f>
        <v>6.5</v>
      </c>
      <c r="AS12" s="98" t="str">
        <f t="shared" si="2"/>
        <v>Significant</v>
      </c>
    </row>
    <row r="13" spans="1:76" ht="15" thickBot="1" x14ac:dyDescent="0.35">
      <c r="A13" s="167"/>
      <c r="B13" s="167"/>
      <c r="C13" s="147"/>
      <c r="D13" s="148"/>
      <c r="E13" s="907"/>
      <c r="F13" s="189" t="str">
        <f>'G-Assumptions'!D11</f>
        <v>Unlikely</v>
      </c>
      <c r="G13" s="190" t="s">
        <v>723</v>
      </c>
      <c r="H13" s="191" t="s">
        <v>723</v>
      </c>
      <c r="I13" s="191" t="s">
        <v>723</v>
      </c>
      <c r="J13" s="191" t="s">
        <v>722</v>
      </c>
      <c r="K13" s="192" t="s">
        <v>722</v>
      </c>
      <c r="L13" s="171"/>
      <c r="M13" s="171"/>
      <c r="N13" s="171"/>
      <c r="O13" s="171"/>
      <c r="P13" s="171"/>
      <c r="Q13" s="171"/>
      <c r="R13" s="172"/>
      <c r="S13" s="173"/>
      <c r="T13" s="173"/>
      <c r="U13" s="173"/>
      <c r="V13" s="172"/>
      <c r="W13" s="172"/>
      <c r="X13" s="172"/>
      <c r="Y13" s="174"/>
      <c r="Z13" s="175"/>
      <c r="AA13" s="175"/>
      <c r="AB13" s="175"/>
      <c r="AC13" s="175"/>
      <c r="AD13" s="175"/>
      <c r="AE13" s="172"/>
      <c r="AF13" s="174"/>
      <c r="AG13" s="176"/>
      <c r="AH13" s="146"/>
      <c r="AI13" s="146"/>
      <c r="AL13" s="1107" t="str">
        <f>'G-Assumptions'!F78</f>
        <v>Critical</v>
      </c>
      <c r="AM13" s="152">
        <f>'G-Assumptions'!G78</f>
        <v>1500000</v>
      </c>
      <c r="AN13" s="152" t="str">
        <f>'G-Assumptions'!H78</f>
        <v>∞</v>
      </c>
      <c r="AO13" s="98" t="str">
        <f t="shared" si="1"/>
        <v>Critical</v>
      </c>
      <c r="AP13" s="1107" t="str">
        <f>AL13</f>
        <v>Critical</v>
      </c>
      <c r="AQ13" s="846">
        <f>'G-Assumptions'!I78</f>
        <v>6.5</v>
      </c>
      <c r="AR13" s="846" t="str">
        <f>'G-Assumptions'!J78</f>
        <v>∞</v>
      </c>
      <c r="AS13" s="98" t="str">
        <f t="shared" si="2"/>
        <v>Critical</v>
      </c>
    </row>
    <row r="14" spans="1:76" ht="15" thickBot="1" x14ac:dyDescent="0.35">
      <c r="A14" s="167"/>
      <c r="B14" s="167"/>
      <c r="C14" s="147"/>
      <c r="D14" s="148"/>
      <c r="E14" s="171"/>
      <c r="F14" s="171"/>
      <c r="G14" s="171"/>
      <c r="H14" s="171"/>
      <c r="I14" s="171"/>
      <c r="J14" s="171"/>
      <c r="K14" s="171"/>
      <c r="L14" s="171"/>
      <c r="M14" s="171"/>
      <c r="N14" s="29"/>
      <c r="O14" s="29"/>
      <c r="P14" s="573" t="s">
        <v>1102</v>
      </c>
      <c r="Q14" s="574" t="s">
        <v>1103</v>
      </c>
      <c r="R14" s="574" t="s">
        <v>1104</v>
      </c>
      <c r="S14" s="574" t="s">
        <v>1105</v>
      </c>
      <c r="T14" s="573" t="s">
        <v>1106</v>
      </c>
      <c r="U14" s="573" t="s">
        <v>1107</v>
      </c>
      <c r="V14" s="534"/>
      <c r="W14" s="534"/>
      <c r="X14" s="172"/>
      <c r="Y14" s="174"/>
      <c r="Z14" s="175"/>
      <c r="AA14" s="175"/>
      <c r="AB14" s="175"/>
      <c r="AC14" s="175"/>
      <c r="AD14" s="175"/>
      <c r="AE14" s="172"/>
      <c r="AF14" s="174"/>
      <c r="AG14" s="176"/>
      <c r="AH14" s="146"/>
      <c r="AI14" s="146"/>
    </row>
    <row r="15" spans="1:76" ht="15" thickBot="1" x14ac:dyDescent="0.35">
      <c r="A15" s="487" t="str">
        <f>'D-Project Data'!C9&amp;" - "&amp;'D-Project Data'!C11</f>
        <v>Project Name - Current Working Estimate</v>
      </c>
      <c r="B15" s="488"/>
      <c r="C15" s="488"/>
      <c r="D15" s="488"/>
      <c r="E15" s="488"/>
      <c r="F15" s="488"/>
      <c r="G15" s="488"/>
      <c r="H15" s="488"/>
      <c r="I15" s="488"/>
      <c r="J15" s="488"/>
      <c r="K15" s="489"/>
      <c r="L15" s="489"/>
      <c r="M15" s="489"/>
      <c r="N15" s="489"/>
      <c r="O15" s="490"/>
      <c r="P15" s="900"/>
      <c r="Q15" s="900"/>
      <c r="R15" s="900"/>
      <c r="S15" s="883"/>
      <c r="T15" s="883"/>
      <c r="U15" s="883"/>
      <c r="V15" s="879"/>
      <c r="W15" s="879"/>
      <c r="X15" s="879"/>
      <c r="Y15" s="491"/>
      <c r="Z15" s="492"/>
      <c r="AA15" s="492"/>
      <c r="AB15" s="492"/>
      <c r="AC15" s="492"/>
      <c r="AD15" s="492"/>
      <c r="AE15" s="493" t="s">
        <v>665</v>
      </c>
      <c r="AF15" s="491"/>
      <c r="AG15" s="493" t="s">
        <v>665</v>
      </c>
      <c r="AH15" s="493" t="s">
        <v>665</v>
      </c>
      <c r="AI15" s="493"/>
      <c r="AJ15" s="8"/>
      <c r="AK15" s="624"/>
      <c r="AL15" s="625"/>
      <c r="AM15" s="625"/>
      <c r="AN15" s="625"/>
      <c r="AO15" s="625"/>
      <c r="AP15" s="625"/>
      <c r="AQ15" s="625"/>
      <c r="AR15" s="622"/>
      <c r="AS15" s="62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4"/>
    </row>
    <row r="16" spans="1:76" ht="15" customHeight="1" thickBot="1" x14ac:dyDescent="0.35">
      <c r="A16" s="896">
        <f>'D-Project Data'!C14</f>
        <v>44867</v>
      </c>
      <c r="B16" s="897"/>
      <c r="C16" s="897"/>
      <c r="D16" s="897"/>
      <c r="E16" s="897"/>
      <c r="F16" s="897"/>
      <c r="G16" s="887" t="s">
        <v>748</v>
      </c>
      <c r="H16" s="887"/>
      <c r="I16" s="887" t="s">
        <v>830</v>
      </c>
      <c r="J16" s="887"/>
      <c r="K16" s="887" t="s">
        <v>829</v>
      </c>
      <c r="L16" s="887"/>
      <c r="M16" s="887"/>
      <c r="N16" s="887"/>
      <c r="O16" s="887"/>
      <c r="P16" s="878" t="s">
        <v>706</v>
      </c>
      <c r="Q16" s="878"/>
      <c r="R16" s="878"/>
      <c r="S16" s="889" t="s">
        <v>705</v>
      </c>
      <c r="T16" s="890"/>
      <c r="U16" s="890"/>
      <c r="V16" s="891" t="s">
        <v>1033</v>
      </c>
      <c r="W16" s="892"/>
      <c r="X16" s="892"/>
      <c r="Y16" s="898" t="s">
        <v>1034</v>
      </c>
      <c r="Z16" s="898"/>
      <c r="AA16" s="898" t="s">
        <v>1035</v>
      </c>
      <c r="AB16" s="898"/>
      <c r="AC16" s="898"/>
      <c r="AD16" s="898"/>
      <c r="AE16" s="898"/>
      <c r="AF16" s="887" t="s">
        <v>1036</v>
      </c>
      <c r="AG16" s="887"/>
      <c r="AH16" s="890" t="s">
        <v>1038</v>
      </c>
      <c r="AI16" s="899"/>
      <c r="AJ16" s="8"/>
      <c r="AK16" s="880" t="s">
        <v>1039</v>
      </c>
      <c r="AL16" s="881"/>
      <c r="AM16" s="881"/>
      <c r="AN16" s="881"/>
      <c r="AO16" s="881"/>
      <c r="AP16" s="881"/>
      <c r="AQ16" s="882"/>
      <c r="AR16" s="885" t="s">
        <v>1041</v>
      </c>
      <c r="AS16" s="886"/>
      <c r="AU16" s="884" t="s">
        <v>1042</v>
      </c>
      <c r="AV16" s="884"/>
      <c r="AW16" s="884"/>
      <c r="AX16" s="884"/>
      <c r="AY16" s="884"/>
      <c r="AZ16" s="884"/>
      <c r="BA16" s="884"/>
      <c r="BB16" s="884" t="s">
        <v>1043</v>
      </c>
      <c r="BC16" s="884"/>
      <c r="BD16" s="884"/>
      <c r="BE16" s="884"/>
      <c r="BF16" s="884"/>
      <c r="BG16" s="884"/>
      <c r="BH16" s="884"/>
      <c r="BI16" s="884" t="s">
        <v>1044</v>
      </c>
      <c r="BJ16" s="884"/>
      <c r="BK16" s="884"/>
      <c r="BL16" s="884"/>
      <c r="BM16" s="884"/>
      <c r="BN16" s="884" t="s">
        <v>1045</v>
      </c>
      <c r="BO16" s="884"/>
      <c r="BP16" s="884"/>
      <c r="BQ16" s="884"/>
      <c r="BR16" s="884"/>
      <c r="BS16" s="884" t="s">
        <v>1046</v>
      </c>
      <c r="BT16" s="884"/>
      <c r="BU16" s="884"/>
      <c r="BV16" s="884"/>
      <c r="BW16" s="884"/>
      <c r="BX16" s="884"/>
    </row>
    <row r="17" spans="1:76" ht="43.8" thickBot="1" x14ac:dyDescent="0.35">
      <c r="A17" s="390" t="s">
        <v>828</v>
      </c>
      <c r="B17" s="391" t="s">
        <v>827</v>
      </c>
      <c r="C17" s="391" t="s">
        <v>480</v>
      </c>
      <c r="D17" s="391" t="s">
        <v>826</v>
      </c>
      <c r="E17" s="391" t="s">
        <v>825</v>
      </c>
      <c r="F17" s="391" t="s">
        <v>719</v>
      </c>
      <c r="G17" s="391" t="s">
        <v>824</v>
      </c>
      <c r="H17" s="391" t="s">
        <v>823</v>
      </c>
      <c r="I17" s="391" t="s">
        <v>822</v>
      </c>
      <c r="J17" s="391" t="s">
        <v>821</v>
      </c>
      <c r="K17" s="391" t="s">
        <v>820</v>
      </c>
      <c r="L17" s="391" t="s">
        <v>819</v>
      </c>
      <c r="M17" s="391" t="s">
        <v>818</v>
      </c>
      <c r="N17" s="391" t="s">
        <v>817</v>
      </c>
      <c r="O17" s="391" t="s">
        <v>816</v>
      </c>
      <c r="P17" s="392" t="s">
        <v>837</v>
      </c>
      <c r="Q17" s="392" t="s">
        <v>815</v>
      </c>
      <c r="R17" s="392" t="s">
        <v>838</v>
      </c>
      <c r="S17" s="393" t="s">
        <v>839</v>
      </c>
      <c r="T17" s="393" t="s">
        <v>814</v>
      </c>
      <c r="U17" s="393" t="s">
        <v>840</v>
      </c>
      <c r="V17" s="392" t="s">
        <v>841</v>
      </c>
      <c r="W17" s="392" t="s">
        <v>842</v>
      </c>
      <c r="X17" s="392" t="s">
        <v>843</v>
      </c>
      <c r="Y17" s="394" t="s">
        <v>848</v>
      </c>
      <c r="Z17" s="395" t="s">
        <v>813</v>
      </c>
      <c r="AA17" s="392" t="s">
        <v>844</v>
      </c>
      <c r="AB17" s="392" t="s">
        <v>845</v>
      </c>
      <c r="AC17" s="392" t="s">
        <v>846</v>
      </c>
      <c r="AD17" s="392" t="s">
        <v>812</v>
      </c>
      <c r="AE17" s="392" t="s">
        <v>847</v>
      </c>
      <c r="AF17" s="394" t="s">
        <v>811</v>
      </c>
      <c r="AG17" s="396" t="s">
        <v>849</v>
      </c>
      <c r="AH17" s="396" t="s">
        <v>810</v>
      </c>
      <c r="AI17" s="397" t="s">
        <v>809</v>
      </c>
      <c r="AJ17" s="83"/>
      <c r="AK17" s="354" t="s">
        <v>1040</v>
      </c>
      <c r="AL17" s="402" t="s">
        <v>808</v>
      </c>
      <c r="AM17" s="402" t="s">
        <v>807</v>
      </c>
      <c r="AN17" s="402" t="s">
        <v>835</v>
      </c>
      <c r="AO17" s="402" t="s">
        <v>806</v>
      </c>
      <c r="AP17" s="402" t="s">
        <v>741</v>
      </c>
      <c r="AQ17" s="402" t="s">
        <v>742</v>
      </c>
      <c r="AR17" s="402" t="s">
        <v>805</v>
      </c>
      <c r="AS17" s="403" t="s">
        <v>804</v>
      </c>
      <c r="AU17" s="354" t="s">
        <v>803</v>
      </c>
      <c r="AV17" s="402" t="s">
        <v>802</v>
      </c>
      <c r="AW17" s="402" t="s">
        <v>801</v>
      </c>
      <c r="AX17" s="402" t="s">
        <v>800</v>
      </c>
      <c r="AY17" s="402" t="s">
        <v>799</v>
      </c>
      <c r="AZ17" s="402" t="s">
        <v>798</v>
      </c>
      <c r="BA17" s="402" t="s">
        <v>797</v>
      </c>
      <c r="BB17" s="402" t="s">
        <v>796</v>
      </c>
      <c r="BC17" s="402" t="s">
        <v>795</v>
      </c>
      <c r="BD17" s="402" t="s">
        <v>794</v>
      </c>
      <c r="BE17" s="402" t="s">
        <v>793</v>
      </c>
      <c r="BF17" s="402" t="s">
        <v>792</v>
      </c>
      <c r="BG17" s="402" t="s">
        <v>791</v>
      </c>
      <c r="BH17" s="402" t="s">
        <v>790</v>
      </c>
      <c r="BI17" s="402" t="str">
        <f>"ABS Value Cost Risk @ "&amp;TEXT('D-Project Data'!$C$6,"0%")</f>
        <v>ABS Value Cost Risk @ 80%</v>
      </c>
      <c r="BJ17" s="402" t="str">
        <f>"Cost Risk Rank @ "&amp;TEXT('D-Project Data'!$C$6,"0%")</f>
        <v>Cost Risk Rank @ 80%</v>
      </c>
      <c r="BK17" s="402" t="s">
        <v>789</v>
      </c>
      <c r="BL17" s="402" t="s">
        <v>788</v>
      </c>
      <c r="BM17" s="402" t="s">
        <v>787</v>
      </c>
      <c r="BN17" s="402" t="str">
        <f>"ABS Value Schedule Risk @ "&amp;TEXT('D-Project Data'!$C$6,"0%")</f>
        <v>ABS Value Schedule Risk @ 80%</v>
      </c>
      <c r="BO17" s="402" t="str">
        <f>"Schedule Risk Rank @ "&amp;TEXT('D-Project Data'!$C$6,"0%")</f>
        <v>Schedule Risk Rank @ 80%</v>
      </c>
      <c r="BP17" s="402" t="s">
        <v>786</v>
      </c>
      <c r="BQ17" s="402" t="s">
        <v>785</v>
      </c>
      <c r="BR17" s="402" t="s">
        <v>784</v>
      </c>
      <c r="BS17" s="402" t="s">
        <v>783</v>
      </c>
      <c r="BT17" s="402" t="s">
        <v>782</v>
      </c>
      <c r="BU17" s="402" t="s">
        <v>781</v>
      </c>
      <c r="BV17" s="402" t="s">
        <v>780</v>
      </c>
      <c r="BW17" s="402" t="s">
        <v>779</v>
      </c>
      <c r="BX17" s="403" t="s">
        <v>778</v>
      </c>
    </row>
    <row r="18" spans="1:76" ht="100.8" x14ac:dyDescent="0.3">
      <c r="A18" s="382">
        <v>1</v>
      </c>
      <c r="B18" s="194" t="s">
        <v>747</v>
      </c>
      <c r="C18" s="383" t="s">
        <v>1233</v>
      </c>
      <c r="D18" s="383" t="s">
        <v>1230</v>
      </c>
      <c r="E18" s="383" t="s">
        <v>1232</v>
      </c>
      <c r="F18" s="196" t="s">
        <v>715</v>
      </c>
      <c r="G18" s="196" t="s">
        <v>727</v>
      </c>
      <c r="H18" s="347" t="str">
        <f>IF('H-Risk Register-Model'!F18="Certain","Relook at Basis of Estimate",INDEX('G-Assumptions'!$F$8:$J$11,MATCH(F18,'G-Assumptions'!$D$8:$D$11,0),MATCH(G18,'G-Assumptions'!$F$6:$J$6,0)))</f>
        <v>High</v>
      </c>
      <c r="I18" s="197" t="s">
        <v>727</v>
      </c>
      <c r="J18" s="347" t="str">
        <f>IF('H-Risk Register-Model'!F18="Certain","Relook at Basis of Estimate",INDEX('G-Assumptions'!$F$8:$J$11,MATCH(F18,'G-Assumptions'!$D$8:$D$11,0),MATCH(I18,'G-Assumptions'!$F$6:$J$6,0)))</f>
        <v>High</v>
      </c>
      <c r="K18" s="384" t="s">
        <v>1254</v>
      </c>
      <c r="L18" s="384" t="s">
        <v>1254</v>
      </c>
      <c r="M18" s="384"/>
      <c r="N18" s="384" t="s">
        <v>747</v>
      </c>
      <c r="O18" s="384" t="s">
        <v>747</v>
      </c>
      <c r="P18" s="198" cm="1">
        <f t="array" aca="1" ref="P18" ca="1">IFERROR(INDIRECT("'"&amp;$A18&amp;"'!"&amp;P$14),0)</f>
        <v>-6250000</v>
      </c>
      <c r="Q18" s="198" cm="1">
        <f t="array" aca="1" ref="Q18" ca="1">IFERROR(INDIRECT("'"&amp;$A18&amp;"'!"&amp;Q$14),0)</f>
        <v>0</v>
      </c>
      <c r="R18" s="198" cm="1">
        <f t="array" aca="1" ref="R18" ca="1">IFERROR(INDIRECT("'"&amp;$A18&amp;"'!"&amp;R$14),0)</f>
        <v>12500000</v>
      </c>
      <c r="S18" s="199" cm="1">
        <f t="array" aca="1" ref="S18" ca="1">IFERROR(INDIRECT("'"&amp;$A18&amp;"'!"&amp;S$14),0)</f>
        <v>-3</v>
      </c>
      <c r="T18" s="199" cm="1">
        <f t="array" aca="1" ref="T18" ca="1">IFERROR(INDIRECT("'"&amp;$A18&amp;"'!"&amp;T$14),0)</f>
        <v>0</v>
      </c>
      <c r="U18" s="199" cm="1">
        <f t="array" aca="1" ref="U18" ca="1">IFERROR(INDIRECT("'"&amp;$A18&amp;"'!"&amp;U$14),0)</f>
        <v>6</v>
      </c>
      <c r="V18" s="206">
        <f ca="1">(FOOH_MO+EDC_MO+CM_MO)*S18</f>
        <v>-1950000</v>
      </c>
      <c r="W18" s="198">
        <f ca="1">(FOOH_MO+EDC_MO+CM_MO)*T18</f>
        <v>0</v>
      </c>
      <c r="X18" s="198">
        <f ca="1">(FOOH_MO+EDC_MO+CM_MO)*U18</f>
        <v>3900000</v>
      </c>
      <c r="Y18" s="387">
        <v>1</v>
      </c>
      <c r="Z18" s="388">
        <v>1</v>
      </c>
      <c r="AA18" s="389">
        <f t="shared" ref="AA18:AA49" ca="1" si="3">P18+V18</f>
        <v>-8200000</v>
      </c>
      <c r="AB18" s="389">
        <f t="shared" ref="AB18:AB49" ca="1" si="4">Q18+W18</f>
        <v>0</v>
      </c>
      <c r="AC18" s="389">
        <f t="shared" ref="AC18:AC49" ca="1" si="5">R18+X18</f>
        <v>16400000</v>
      </c>
      <c r="AD18" s="601">
        <v>0</v>
      </c>
      <c r="AE18" s="385">
        <f t="shared" ref="AE18:AE49" si="6">AD18*Z18</f>
        <v>0</v>
      </c>
      <c r="AF18" s="602">
        <v>0</v>
      </c>
      <c r="AG18" s="386">
        <f t="shared" ref="AG18:AG49" si="7">AF18*Z18</f>
        <v>0</v>
      </c>
      <c r="AH18" s="195" t="s">
        <v>1186</v>
      </c>
      <c r="AI18" s="195" t="s">
        <v>1229</v>
      </c>
      <c r="AJ18" s="8"/>
      <c r="AK18" s="401" t="str">
        <f t="shared" ref="AK18:AK49" si="8">IF(OR(H18="Medium",H18="High",J18="Medium",J18="High"),"Yes","No")</f>
        <v>Yes</v>
      </c>
      <c r="AL18" s="398">
        <f>'I-Project Contingency'!$I$4</f>
        <v>28979098.489999998</v>
      </c>
      <c r="AM18" s="399">
        <f>'I-Project Contingency'!$I$11</f>
        <v>64.971830985915489</v>
      </c>
      <c r="AN18" s="398">
        <f ca="1">IF(B18="","",MAX(ABS(AA18),ABS(AB18),ABS(AC18)))</f>
        <v>16400000</v>
      </c>
      <c r="AO18" s="399">
        <f t="shared" ref="AO18" ca="1" si="9">IF(B18="","",MAX(ABS(S18),ABS(T18),ABS(U18)))</f>
        <v>6</v>
      </c>
      <c r="AP18" s="1110" t="str">
        <f ca="1">IF(AND(H18="Low",AN18=0),G18,IF(ISNUMBER(AN18),IF(AND(AN18&gt;=VLOOKUP(G18,$AL$9:$AN$13,2,FALSE),AN18&lt;=VLOOKUP(G18,$AL$9:$AN$13,3,FALSE)), G18, VLOOKUP(AN18,$AM$9:$AO$13,3,TRUE)),G18))</f>
        <v>Critical</v>
      </c>
      <c r="AQ18" s="1110" t="str">
        <f ca="1">IF(AND(J18="Low",AO18=0),I18,IF(ISNUMBER(AO18),IF(AND(AO18&gt;=VLOOKUP(I18,$AP$9:$AR$13,2,FALSE),AO18&lt;=VLOOKUP(I18,$AP$9:$AR$13,3,FALSE)), I18, VLOOKUP(AO18,$AQ$9:$AS$13,3,TRUE)),I18))</f>
        <v>Significant</v>
      </c>
      <c r="AR18" s="400" t="str">
        <f t="shared" ref="AR18:AR49" ca="1" si="10">IF(B18="","",IF(G18=AP18,"","Check Impact"))</f>
        <v>Check Impact</v>
      </c>
      <c r="AS18" s="400" t="str">
        <f t="shared" ref="AS18:AS49" ca="1" si="11">IF(B18="","",IF(I18=AQ18,"","Check Impact"))</f>
        <v/>
      </c>
      <c r="AT18" s="8"/>
      <c r="AU18" s="404">
        <f>'I-Project Contingency'!$O$4-AE18</f>
        <v>0</v>
      </c>
      <c r="AV18" s="405">
        <v>337159.75905636325</v>
      </c>
      <c r="AW18" s="405">
        <v>2899143.9700930309</v>
      </c>
      <c r="AX18" s="405">
        <v>3934355.482325593</v>
      </c>
      <c r="AY18" s="405">
        <f>'I-Project Contingency'!$E$66-AV18</f>
        <v>2762608.426946932</v>
      </c>
      <c r="AZ18" s="405">
        <f>'I-Project Contingency'!$E$69-AW18</f>
        <v>5531739.8161164708</v>
      </c>
      <c r="BA18" s="405">
        <f>'I-Project Contingency'!$E$70-AX18</f>
        <v>7239381.1921573635</v>
      </c>
      <c r="BB18" s="406">
        <f>'I-Project Contingency'!$O$5-AG18</f>
        <v>0</v>
      </c>
      <c r="BC18" s="407">
        <v>0</v>
      </c>
      <c r="BD18" s="407">
        <v>3.6695825312130999</v>
      </c>
      <c r="BE18" s="408">
        <v>4.8403959367309692</v>
      </c>
      <c r="BF18" s="407">
        <f>'I-Project Contingency'!$E$81-BC18</f>
        <v>1.78464631257918</v>
      </c>
      <c r="BG18" s="407">
        <f>'I-Project Contingency'!$E$84-BD18</f>
        <v>0.81116903160407405</v>
      </c>
      <c r="BH18" s="407">
        <f>'I-Project Contingency'!$E$85-BE18</f>
        <v>1.0215204426318572</v>
      </c>
      <c r="BI18" s="409">
        <f>IF(BK18="N/A","N/A",IF('D-Project Data'!$C$6=50%,ABS(BK18),IF('D-Project Data'!$C$6=80%,ABS(BL18),IF('D-Project Data'!$C$6=90%,ABS(BM18)))))</f>
        <v>7222736.5282655787</v>
      </c>
      <c r="BJ18" s="410">
        <f>IF(BI18="N/A","N/A",RANK(BI18,$BI$18:$BI$117,0)+COUNTIF($BI$18:BI18,BI18)-1)</f>
        <v>1</v>
      </c>
      <c r="BK18" s="409">
        <f>IF(AY18/SUM(AY:AY)*'I-Project Contingency'!$F$66=0,"N/A",AY18/SUM(AY:AY)*'I-Project Contingency'!$F$66)</f>
        <v>2378917.6390124438</v>
      </c>
      <c r="BL18" s="409">
        <f>IF(AZ18/SUM(AZ:AZ)*'I-Project Contingency'!$F$69=0,"N/A",AZ18/SUM(AZ:AZ)*'I-Project Contingency'!$F$69)</f>
        <v>7222736.5282655787</v>
      </c>
      <c r="BM18" s="409">
        <f>IF(BA18/SUM(BA:BA)*'I-Project Contingency'!$F$70=0,"N/A",BA18/SUM(BA:BA)*'I-Project Contingency'!$F$70)</f>
        <v>9600107.4637635425</v>
      </c>
      <c r="BN18" s="408">
        <f>IF(BP18="N/A","N/A",IF('D-Project Data'!$C$6=50%,ABS(BP18),IF('D-Project Data'!$C$6=80%,ABS(BQ18),IF('D-Project Data'!$C$6=90%,ABS(BR18)))))</f>
        <v>1.4194193374385644</v>
      </c>
      <c r="BO18" s="410">
        <f>IF(BN18="N/A","N/A",RANK(BN18,$BN$18:$BN$117,0)+COUNTIF($BN$18:BN18,BN18)-1)</f>
        <v>2</v>
      </c>
      <c r="BP18" s="408">
        <f>IF(BF18/SUM(BF:BF)*'I-Project Contingency'!$F$81=0,"N/A",BF18/SUM(BF:BF)*'I-Project Contingency'!$F$81)</f>
        <v>1.2660137680815036</v>
      </c>
      <c r="BQ18" s="408">
        <f>IF(BG18/SUM(BG:BG)*'I-Project Contingency'!$F$84=0,"N/A",BG18/SUM(BG:BG)*'I-Project Contingency'!$F$84)</f>
        <v>1.4194193374385644</v>
      </c>
      <c r="BR18" s="408">
        <f>IF(BH18/SUM(BH:BH)*'I-Project Contingency'!$F$85=0,"N/A",BH18/SUM(BH:BH)*'I-Project Contingency'!$F$85)</f>
        <v>2.076782086113699</v>
      </c>
      <c r="BS18" s="410">
        <f t="shared" ref="BS18:BS49" si="12">A18</f>
        <v>1</v>
      </c>
      <c r="BT18" s="411" t="str">
        <f t="shared" ref="BT18:BT49" si="13">A18&amp;" - "&amp;C18</f>
        <v>1 - Example Variation Risk of Relatively Known Quantities</v>
      </c>
      <c r="BU18" s="405">
        <f t="shared" ref="BU18:BU49" ca="1" si="14">AA18</f>
        <v>-8200000</v>
      </c>
      <c r="BV18" s="405">
        <f t="shared" ref="BV18:BV49" ca="1" si="15">AC18</f>
        <v>16400000</v>
      </c>
      <c r="BW18" s="407">
        <f t="shared" ref="BW18:BW49" ca="1" si="16">IFERROR(S18,0)</f>
        <v>-3</v>
      </c>
      <c r="BX18" s="407">
        <f t="shared" ref="BX18:BX49" ca="1" si="17">IFERROR(U18,0)</f>
        <v>6</v>
      </c>
    </row>
    <row r="19" spans="1:76" ht="115.2" x14ac:dyDescent="0.3">
      <c r="A19" s="193">
        <f>A18+1</f>
        <v>2</v>
      </c>
      <c r="B19" s="194" t="s">
        <v>747</v>
      </c>
      <c r="C19" s="195" t="s">
        <v>1234</v>
      </c>
      <c r="D19" s="383" t="s">
        <v>1235</v>
      </c>
      <c r="E19" s="383" t="s">
        <v>1241</v>
      </c>
      <c r="F19" s="196" t="s">
        <v>715</v>
      </c>
      <c r="G19" s="196" t="s">
        <v>729</v>
      </c>
      <c r="H19" s="187" t="str">
        <f>IF('H-Risk Register-Model'!F19="Certain","Relook at Basis of Estimate",INDEX('G-Assumptions'!$F$8:$J$11,MATCH(F19,'G-Assumptions'!$D$8:$D$11,0),MATCH(G19,'G-Assumptions'!$F$6:$J$6,0)))</f>
        <v>Medium</v>
      </c>
      <c r="I19" s="197" t="s">
        <v>730</v>
      </c>
      <c r="J19" s="187" t="str">
        <f>IF('H-Risk Register-Model'!F19="Certain","Relook at Basis of Estimate",INDEX('G-Assumptions'!$F$8:$J$11,MATCH(F19,'G-Assumptions'!$D$8:$D$11,0),MATCH(I19,'G-Assumptions'!$F$6:$J$6,0)))</f>
        <v>Low</v>
      </c>
      <c r="K19" s="197" t="s">
        <v>757</v>
      </c>
      <c r="L19" s="197" t="s">
        <v>750</v>
      </c>
      <c r="M19" s="197"/>
      <c r="N19" s="384" t="s">
        <v>747</v>
      </c>
      <c r="O19" s="384" t="s">
        <v>747</v>
      </c>
      <c r="P19" s="198">
        <f>-1000000</f>
        <v>-1000000</v>
      </c>
      <c r="Q19" s="198">
        <v>0</v>
      </c>
      <c r="R19" s="198">
        <f>1000000</f>
        <v>1000000</v>
      </c>
      <c r="S19" s="199"/>
      <c r="T19" s="199"/>
      <c r="U19" s="199"/>
      <c r="V19" s="198"/>
      <c r="W19" s="198"/>
      <c r="X19" s="198"/>
      <c r="Y19" s="200">
        <v>1</v>
      </c>
      <c r="Z19" s="201">
        <v>1</v>
      </c>
      <c r="AA19" s="202">
        <f>P19+V19</f>
        <v>-1000000</v>
      </c>
      <c r="AB19" s="202">
        <f>Q19+W19</f>
        <v>0</v>
      </c>
      <c r="AC19" s="202">
        <f>R19+X19</f>
        <v>1000000</v>
      </c>
      <c r="AD19" s="557">
        <v>0</v>
      </c>
      <c r="AE19" s="198">
        <f>AD19*Z19</f>
        <v>0</v>
      </c>
      <c r="AF19" s="203"/>
      <c r="AG19" s="199">
        <f>AF19*Z19</f>
        <v>0</v>
      </c>
      <c r="AH19" s="195" t="s">
        <v>1187</v>
      </c>
      <c r="AI19" s="195" t="s">
        <v>1229</v>
      </c>
      <c r="AJ19" s="8"/>
      <c r="AK19" s="616" t="str">
        <f>IF(OR(H19="Medium",H19="High",J19="Medium",J19="High"),"Yes","No")</f>
        <v>Yes</v>
      </c>
      <c r="AL19" s="617">
        <f>'I-Project Contingency'!$I$4</f>
        <v>28979098.489999998</v>
      </c>
      <c r="AM19" s="399">
        <f>'I-Project Contingency'!$I$11</f>
        <v>64.971830985915489</v>
      </c>
      <c r="AN19" s="398">
        <f>IF(B19="","",MAX(ABS(AA19),ABS(AB19),ABS(AC19)))</f>
        <v>1000000</v>
      </c>
      <c r="AO19" s="399">
        <f t="shared" ref="AO18:AO82" si="18">IF(B19="","",MAX(ABS(S19),ABS(T19),ABS(U19)))</f>
        <v>0</v>
      </c>
      <c r="AP19" s="1110" t="str">
        <f t="shared" ref="AP19:AP82" si="19">IF(AND(H19="Low",AN19=0),G19,IF(ISNUMBER(AN19),IF(AND(AN19&gt;=VLOOKUP(G19,$AL$9:$AN$13,2,FALSE),AN19&lt;=VLOOKUP(G19,$AL$9:$AN$13,3,FALSE)), G19, VLOOKUP(AN19,$AM$9:$AO$13,3,TRUE)),G19))</f>
        <v>Significant</v>
      </c>
      <c r="AQ19" s="1110" t="str">
        <f t="shared" ref="AQ19:AQ82" si="20">IF(AND(J19="Low",AO19=0),I19,IF(ISNUMBER(AO19),IF(AND(AO19&gt;=VLOOKUP(I19,$AP$9:$AR$13,2,FALSE),AO19&lt;=VLOOKUP(I19,$AP$9:$AR$13,3,FALSE)), I19, VLOOKUP(AO19,$AQ$9:$AS$13,3,TRUE)),I19))</f>
        <v>Negligible</v>
      </c>
      <c r="AR19" s="618" t="str">
        <f>IF(B19="","",IF(G19=AP19,"","Check Impact"))</f>
        <v>Check Impact</v>
      </c>
      <c r="AS19" s="618" t="str">
        <f>IF(B19="","",IF(I19=AQ19,"","Check Impact"))</f>
        <v/>
      </c>
      <c r="AT19" s="8"/>
      <c r="AU19" s="412">
        <f>'I-Project Contingency'!$O$4-AE19</f>
        <v>0</v>
      </c>
      <c r="AV19" s="413">
        <v>3107351.1835549418</v>
      </c>
      <c r="AW19" s="413">
        <v>8421412.9576109704</v>
      </c>
      <c r="AX19" s="413">
        <v>11162767.119327594</v>
      </c>
      <c r="AY19" s="413">
        <f>'I-Project Contingency'!$E$66-AV19</f>
        <v>-7582.9975516465493</v>
      </c>
      <c r="AZ19" s="413">
        <f>'I-Project Contingency'!$E$69-AW19</f>
        <v>9470.8285985309631</v>
      </c>
      <c r="BA19" s="413">
        <f>'I-Project Contingency'!$E$70-AX19</f>
        <v>10969.555155362934</v>
      </c>
      <c r="BB19" s="414">
        <f>'I-Project Contingency'!$O$5-AG19</f>
        <v>0</v>
      </c>
      <c r="BC19" s="415">
        <v>1.78464631257918</v>
      </c>
      <c r="BD19" s="415">
        <v>4.4807515628171739</v>
      </c>
      <c r="BE19" s="416">
        <v>5.8619163793628264</v>
      </c>
      <c r="BF19" s="415">
        <f>'I-Project Contingency'!$E$81-BC19</f>
        <v>0</v>
      </c>
      <c r="BG19" s="415">
        <f>'I-Project Contingency'!$E$84-BD19</f>
        <v>0</v>
      </c>
      <c r="BH19" s="415">
        <f>'I-Project Contingency'!$E$85-BE19</f>
        <v>0</v>
      </c>
      <c r="BI19" s="417">
        <f>IF(BK19="N/A","N/A",IF('D-Project Data'!$C$6=50%,ABS(BK19),IF('D-Project Data'!$C$6=80%,ABS(BL19),IF('D-Project Data'!$C$6=90%,ABS(BM19)))))</f>
        <v>12365.964767948082</v>
      </c>
      <c r="BJ19" s="418">
        <f>IF(BI19="N/A","N/A",RANK(BI19,$BI$18:$BI$117,0)+COUNTIF($BI$18:BI19,BI19)-1)</f>
        <v>3</v>
      </c>
      <c r="BK19" s="417">
        <f>IF(AY19/SUM(AY:AY)*'I-Project Contingency'!$F$66=0,"N/A",AY19/SUM(AY:AY)*'I-Project Contingency'!$F$66)</f>
        <v>-6529.8166965110313</v>
      </c>
      <c r="BL19" s="417">
        <f>IF(AZ19/SUM(AZ:AZ)*'I-Project Contingency'!$F$69=0,"N/A",AZ19/SUM(AZ:AZ)*'I-Project Contingency'!$F$69)</f>
        <v>12365.964767948082</v>
      </c>
      <c r="BM19" s="417">
        <f>IF(BA19/SUM(BA:BA)*'I-Project Contingency'!$F$70=0,"N/A",BA19/SUM(BA:BA)*'I-Project Contingency'!$F$70)</f>
        <v>14546.67264037012</v>
      </c>
      <c r="BN19" s="416" t="str">
        <f>IF(BP19="N/A","N/A",IF('D-Project Data'!$C$6=50%,ABS(BP19),IF('D-Project Data'!$C$6=80%,ABS(BQ19),IF('D-Project Data'!$C$6=90%,ABS(BR19)))))</f>
        <v>N/A</v>
      </c>
      <c r="BO19" s="418" t="str">
        <f>IF(BN19="N/A","N/A",RANK(BN19,$BN$18:$BN$117,0)+COUNTIF($BN$18:BN19,BN19)-1)</f>
        <v>N/A</v>
      </c>
      <c r="BP19" s="416" t="str">
        <f>IF(BF19/SUM(BF:BF)*'I-Project Contingency'!$F$81=0,"N/A",BF19/SUM(BF:BF)*'I-Project Contingency'!$F$81)</f>
        <v>N/A</v>
      </c>
      <c r="BQ19" s="416" t="str">
        <f>IF(BG19/SUM(BG:BG)*'I-Project Contingency'!$F$84=0,"N/A",BG19/SUM(BG:BG)*'I-Project Contingency'!$F$84)</f>
        <v>N/A</v>
      </c>
      <c r="BR19" s="416" t="str">
        <f>IF(BH19/SUM(BH:BH)*'I-Project Contingency'!$F$85=0,"N/A",BH19/SUM(BH:BH)*'I-Project Contingency'!$F$85)</f>
        <v>N/A</v>
      </c>
      <c r="BS19" s="418">
        <f>A19</f>
        <v>2</v>
      </c>
      <c r="BT19" s="419" t="str">
        <f>A19&amp;" - "&amp;C19</f>
        <v>2 - Example Variation Risk with Placeholder Costs</v>
      </c>
      <c r="BU19" s="413">
        <f>AA19</f>
        <v>-1000000</v>
      </c>
      <c r="BV19" s="413">
        <f>AC19</f>
        <v>1000000</v>
      </c>
      <c r="BW19" s="415">
        <f>IFERROR(S19,0)</f>
        <v>0</v>
      </c>
      <c r="BX19" s="415">
        <f>IFERROR(U19,0)</f>
        <v>0</v>
      </c>
    </row>
    <row r="20" spans="1:76" ht="115.2" x14ac:dyDescent="0.3">
      <c r="A20" s="193">
        <f>A19+1</f>
        <v>3</v>
      </c>
      <c r="B20" s="194" t="s">
        <v>747</v>
      </c>
      <c r="C20" s="383" t="s">
        <v>1253</v>
      </c>
      <c r="D20" s="195" t="s">
        <v>1231</v>
      </c>
      <c r="E20" s="383" t="s">
        <v>1427</v>
      </c>
      <c r="F20" s="196" t="s">
        <v>713</v>
      </c>
      <c r="G20" s="196" t="s">
        <v>728</v>
      </c>
      <c r="H20" s="187" t="str">
        <f>IF('H-Risk Register-Model'!F20="Certain","Relook at Basis of Estimate",INDEX('G-Assumptions'!$F$8:$J$11,MATCH(F20,'G-Assumptions'!$D$8:$D$11,0),MATCH(G20,'G-Assumptions'!$F$6:$J$6,0)))</f>
        <v>Medium</v>
      </c>
      <c r="I20" s="197" t="s">
        <v>727</v>
      </c>
      <c r="J20" s="187" t="str">
        <f>IF('H-Risk Register-Model'!F20="Certain","Relook at Basis of Estimate",INDEX('G-Assumptions'!$F$8:$J$11,MATCH(F20,'G-Assumptions'!$D$8:$D$11,0),MATCH(I20,'G-Assumptions'!$F$6:$J$6,0)))</f>
        <v>Medium</v>
      </c>
      <c r="K20" s="197" t="s">
        <v>951</v>
      </c>
      <c r="L20" s="197" t="s">
        <v>951</v>
      </c>
      <c r="M20" s="197"/>
      <c r="N20" s="384" t="s">
        <v>747</v>
      </c>
      <c r="O20" s="384" t="s">
        <v>747</v>
      </c>
      <c r="P20" s="198">
        <v>500000</v>
      </c>
      <c r="Q20" s="198">
        <v>0</v>
      </c>
      <c r="R20" s="198">
        <f>1000000</f>
        <v>1000000</v>
      </c>
      <c r="S20" s="199">
        <v>3</v>
      </c>
      <c r="T20" s="199">
        <v>0</v>
      </c>
      <c r="U20" s="199">
        <v>6</v>
      </c>
      <c r="V20" s="206">
        <f>(FOOH_MO+EDC_MO+CM_MO)*S20</f>
        <v>1950000</v>
      </c>
      <c r="W20" s="198">
        <f>(FOOH_MO+EDC_MO+CM_MO)*T20</f>
        <v>0</v>
      </c>
      <c r="X20" s="198">
        <f>(FOOH_MO+EDC_MO+CM_MO)*U20</f>
        <v>3900000</v>
      </c>
      <c r="Y20" s="200">
        <v>0.25</v>
      </c>
      <c r="Z20" s="559">
        <v>1</v>
      </c>
      <c r="AA20" s="202">
        <f t="shared" si="3"/>
        <v>2450000</v>
      </c>
      <c r="AB20" s="202">
        <f t="shared" si="4"/>
        <v>0</v>
      </c>
      <c r="AC20" s="202">
        <f t="shared" si="5"/>
        <v>4900000</v>
      </c>
      <c r="AD20" s="557">
        <v>0</v>
      </c>
      <c r="AE20" s="198">
        <f t="shared" si="6"/>
        <v>0</v>
      </c>
      <c r="AF20" s="558">
        <v>0</v>
      </c>
      <c r="AG20" s="199">
        <f t="shared" si="7"/>
        <v>0</v>
      </c>
      <c r="AH20" s="195" t="s">
        <v>1186</v>
      </c>
      <c r="AI20" s="195" t="s">
        <v>1229</v>
      </c>
      <c r="AJ20" s="8"/>
      <c r="AK20" s="616" t="str">
        <f t="shared" si="8"/>
        <v>Yes</v>
      </c>
      <c r="AL20" s="617">
        <f>'I-Project Contingency'!$I$4</f>
        <v>28979098.489999998</v>
      </c>
      <c r="AM20" s="399">
        <f>'I-Project Contingency'!$I$11</f>
        <v>64.971830985915489</v>
      </c>
      <c r="AN20" s="398">
        <f t="shared" ref="AN20:AN82" si="21">IF(B20="","",MAX(ABS(AA20),ABS(AB20),ABS(AC20)))</f>
        <v>4900000</v>
      </c>
      <c r="AO20" s="399">
        <f t="shared" si="18"/>
        <v>6</v>
      </c>
      <c r="AP20" s="1110" t="str">
        <f t="shared" si="19"/>
        <v>Critical</v>
      </c>
      <c r="AQ20" s="1110" t="str">
        <f t="shared" si="20"/>
        <v>Significant</v>
      </c>
      <c r="AR20" s="618" t="str">
        <f t="shared" si="10"/>
        <v>Check Impact</v>
      </c>
      <c r="AS20" s="618" t="str">
        <f t="shared" si="11"/>
        <v/>
      </c>
      <c r="AT20" s="8"/>
      <c r="AU20" s="412">
        <f>'I-Project Contingency'!$O$4-AE20</f>
        <v>0</v>
      </c>
      <c r="AV20" s="413">
        <v>2152954.99690245</v>
      </c>
      <c r="AW20" s="413">
        <v>7313752.4441323485</v>
      </c>
      <c r="AX20" s="413">
        <v>9901433.9897625837</v>
      </c>
      <c r="AY20" s="413">
        <f>'I-Project Contingency'!$E$66-AV20</f>
        <v>946813.18910084525</v>
      </c>
      <c r="AZ20" s="413">
        <f>'I-Project Contingency'!$E$69-AW20</f>
        <v>1117131.3420771528</v>
      </c>
      <c r="BA20" s="413">
        <f>'I-Project Contingency'!$E$70-AX20</f>
        <v>1272302.6847203728</v>
      </c>
      <c r="BB20" s="414">
        <f>'I-Project Contingency'!$O$5-AG20</f>
        <v>0</v>
      </c>
      <c r="BC20" s="415">
        <v>0.82165097589944702</v>
      </c>
      <c r="BD20" s="415">
        <v>2.6928157997630011</v>
      </c>
      <c r="BE20" s="416">
        <v>3.68762470520522</v>
      </c>
      <c r="BF20" s="415">
        <f>'I-Project Contingency'!$E$81-BC20</f>
        <v>0.96299533667973303</v>
      </c>
      <c r="BG20" s="415">
        <f>'I-Project Contingency'!$E$84-BD20</f>
        <v>1.7879357630541728</v>
      </c>
      <c r="BH20" s="415">
        <f>'I-Project Contingency'!$E$85-BE20</f>
        <v>2.1742916741576064</v>
      </c>
      <c r="BI20" s="417">
        <f>IF(BK20="N/A","N/A",IF('D-Project Data'!$C$6=50%,ABS(BK20),IF('D-Project Data'!$C$6=80%,ABS(BL20),IF('D-Project Data'!$C$6=90%,ABS(BM20)))))</f>
        <v>1458627.0539664719</v>
      </c>
      <c r="BJ20" s="418">
        <f>IF(BI20="N/A","N/A",RANK(BI20,$BI$18:$BI$117,0)+COUNTIF($BI$18:BI20,BI20)-1)</f>
        <v>2</v>
      </c>
      <c r="BK20" s="417">
        <f>IF(AY20/SUM(AY:AY)*'I-Project Contingency'!$F$66=0,"N/A",AY20/SUM(AY:AY)*'I-Project Contingency'!$F$66)</f>
        <v>815313.01158406714</v>
      </c>
      <c r="BL20" s="417">
        <f>IF(AZ20/SUM(AZ:AZ)*'I-Project Contingency'!$F$69=0,"N/A",AZ20/SUM(AZ:AZ)*'I-Project Contingency'!$F$69)</f>
        <v>1458627.0539664719</v>
      </c>
      <c r="BM20" s="417">
        <f>IF(BA20/SUM(BA:BA)*'I-Project Contingency'!$F$70=0,"N/A",BA20/SUM(BA:BA)*'I-Project Contingency'!$F$70)</f>
        <v>1687194.2746960877</v>
      </c>
      <c r="BN20" s="416">
        <f>IF(BP20="N/A","N/A",IF('D-Project Data'!$C$6=50%,ABS(BP20),IF('D-Project Data'!$C$6=80%,ABS(BQ20),IF('D-Project Data'!$C$6=90%,ABS(BR20)))))</f>
        <v>3.1286088315755198</v>
      </c>
      <c r="BO20" s="418">
        <f>IF(BN20="N/A","N/A",RANK(BN20,$BN$18:$BN$117,0)+COUNTIF($BN$18:BN20,BN20)-1)</f>
        <v>1</v>
      </c>
      <c r="BP20" s="416">
        <f>IF(BF20/SUM(BF:BF)*'I-Project Contingency'!$F$81=0,"N/A",BF20/SUM(BF:BF)*'I-Project Contingency'!$F$81)</f>
        <v>0.68314116149596105</v>
      </c>
      <c r="BQ20" s="416">
        <f>IF(BG20/SUM(BG:BG)*'I-Project Contingency'!$F$84=0,"N/A",BG20/SUM(BG:BG)*'I-Project Contingency'!$F$84)</f>
        <v>3.1286088315755198</v>
      </c>
      <c r="BR20" s="416">
        <f>IF(BH20/SUM(BH:BH)*'I-Project Contingency'!$F$85=0,"N/A",BH20/SUM(BH:BH)*'I-Project Contingency'!$F$85)</f>
        <v>4.420401012477849</v>
      </c>
      <c r="BS20" s="418">
        <f t="shared" si="12"/>
        <v>3</v>
      </c>
      <c r="BT20" s="419" t="str">
        <f t="shared" si="13"/>
        <v>3 - Example Event Risk with Range of Costs</v>
      </c>
      <c r="BU20" s="413">
        <f t="shared" si="14"/>
        <v>2450000</v>
      </c>
      <c r="BV20" s="413">
        <f t="shared" si="15"/>
        <v>4900000</v>
      </c>
      <c r="BW20" s="415">
        <f t="shared" si="16"/>
        <v>3</v>
      </c>
      <c r="BX20" s="415">
        <f t="shared" si="17"/>
        <v>6</v>
      </c>
    </row>
    <row r="21" spans="1:76" ht="72" x14ac:dyDescent="0.3">
      <c r="A21" s="193">
        <f>A20+1</f>
        <v>4</v>
      </c>
      <c r="B21" s="194" t="s">
        <v>747</v>
      </c>
      <c r="C21" s="195" t="s">
        <v>1328</v>
      </c>
      <c r="D21" s="195" t="s">
        <v>1305</v>
      </c>
      <c r="E21" s="195" t="s">
        <v>1309</v>
      </c>
      <c r="F21" s="196" t="s">
        <v>716</v>
      </c>
      <c r="G21" s="196" t="s">
        <v>730</v>
      </c>
      <c r="H21" s="187" t="str">
        <f>IF('H-Risk Register-Model'!F21="Certain","Relook at Basis of Estimate",INDEX('G-Assumptions'!$F$8:$J$11,MATCH(F21,'G-Assumptions'!$D$8:$D$11,0),MATCH(G21,'G-Assumptions'!$F$6:$J$6,0)))</f>
        <v>Relook at Basis of Estimate</v>
      </c>
      <c r="I21" s="197" t="s">
        <v>730</v>
      </c>
      <c r="J21" s="187" t="str">
        <f>IF('H-Risk Register-Model'!F21="Certain","Relook at Basis of Estimate",INDEX('G-Assumptions'!$F$8:$J$11,MATCH(F21,'G-Assumptions'!$D$8:$D$11,0),MATCH(I21,'G-Assumptions'!$F$6:$J$6,0)))</f>
        <v>Relook at Basis of Estimate</v>
      </c>
      <c r="K21" s="197" t="s">
        <v>747</v>
      </c>
      <c r="L21" s="197" t="s">
        <v>747</v>
      </c>
      <c r="M21" s="197"/>
      <c r="N21" s="384" t="s">
        <v>747</v>
      </c>
      <c r="O21" s="384" t="s">
        <v>747</v>
      </c>
      <c r="P21" s="198"/>
      <c r="Q21" s="198"/>
      <c r="R21" s="198"/>
      <c r="S21" s="199"/>
      <c r="T21" s="199"/>
      <c r="U21" s="199"/>
      <c r="V21" s="198"/>
      <c r="W21" s="198"/>
      <c r="X21" s="198"/>
      <c r="Y21" s="200">
        <v>1</v>
      </c>
      <c r="Z21" s="201">
        <v>1</v>
      </c>
      <c r="AA21" s="202">
        <f t="shared" si="3"/>
        <v>0</v>
      </c>
      <c r="AB21" s="202">
        <f t="shared" si="4"/>
        <v>0</v>
      </c>
      <c r="AC21" s="202">
        <f t="shared" si="5"/>
        <v>0</v>
      </c>
      <c r="AD21" s="202"/>
      <c r="AE21" s="198">
        <f t="shared" si="6"/>
        <v>0</v>
      </c>
      <c r="AF21" s="203"/>
      <c r="AG21" s="199">
        <f t="shared" si="7"/>
        <v>0</v>
      </c>
      <c r="AH21" s="195"/>
      <c r="AI21" s="195"/>
      <c r="AJ21" s="8"/>
      <c r="AK21" s="616" t="str">
        <f t="shared" si="8"/>
        <v>No</v>
      </c>
      <c r="AL21" s="617">
        <f>'I-Project Contingency'!$I$4</f>
        <v>28979098.489999998</v>
      </c>
      <c r="AM21" s="399">
        <f>'I-Project Contingency'!$I$11</f>
        <v>64.971830985915489</v>
      </c>
      <c r="AN21" s="398">
        <f t="shared" si="21"/>
        <v>0</v>
      </c>
      <c r="AO21" s="399">
        <f t="shared" si="18"/>
        <v>0</v>
      </c>
      <c r="AP21" s="1110" t="str">
        <f t="shared" si="19"/>
        <v>Negligible</v>
      </c>
      <c r="AQ21" s="1110" t="str">
        <f t="shared" si="20"/>
        <v>Negligible</v>
      </c>
      <c r="AR21" s="618" t="str">
        <f t="shared" si="10"/>
        <v/>
      </c>
      <c r="AS21" s="618" t="str">
        <f t="shared" si="11"/>
        <v/>
      </c>
      <c r="AT21" s="8"/>
      <c r="AU21" s="412">
        <f>'I-Project Contingency'!$O$4-AE21</f>
        <v>0</v>
      </c>
      <c r="AV21" s="413">
        <v>3099768.1860032952</v>
      </c>
      <c r="AW21" s="413">
        <v>8430883.7862095013</v>
      </c>
      <c r="AX21" s="413">
        <v>11173736.674482957</v>
      </c>
      <c r="AY21" s="413">
        <f>'I-Project Contingency'!$E$66-AV21</f>
        <v>0</v>
      </c>
      <c r="AZ21" s="413">
        <f>'I-Project Contingency'!$E$69-AW21</f>
        <v>0</v>
      </c>
      <c r="BA21" s="413">
        <f>'I-Project Contingency'!$E$70-AX21</f>
        <v>0</v>
      </c>
      <c r="BB21" s="414">
        <f>'I-Project Contingency'!$O$5-AG21</f>
        <v>0</v>
      </c>
      <c r="BC21" s="415">
        <v>1.78464631257918</v>
      </c>
      <c r="BD21" s="415">
        <v>4.4807515628171739</v>
      </c>
      <c r="BE21" s="416">
        <v>5.8619163793628264</v>
      </c>
      <c r="BF21" s="415">
        <f>'I-Project Contingency'!$E$81-BC21</f>
        <v>0</v>
      </c>
      <c r="BG21" s="415">
        <f>'I-Project Contingency'!$E$84-BD21</f>
        <v>0</v>
      </c>
      <c r="BH21" s="415">
        <f>'I-Project Contingency'!$E$85-BE21</f>
        <v>0</v>
      </c>
      <c r="BI21" s="417" t="str">
        <f>IF(BK21="N/A","N/A",IF('D-Project Data'!$C$6=50%,ABS(BK21),IF('D-Project Data'!$C$6=80%,ABS(BL21),IF('D-Project Data'!$C$6=90%,ABS(BM21)))))</f>
        <v>N/A</v>
      </c>
      <c r="BJ21" s="418" t="str">
        <f>IF(BI21="N/A","N/A",RANK(BI21,$BI$18:$BI$117,0)+COUNTIF($BI$18:BI21,BI21)-1)</f>
        <v>N/A</v>
      </c>
      <c r="BK21" s="417" t="str">
        <f>IF(AY21/SUM(AY:AY)*'I-Project Contingency'!$F$66=0,"N/A",AY21/SUM(AY:AY)*'I-Project Contingency'!$F$66)</f>
        <v>N/A</v>
      </c>
      <c r="BL21" s="417" t="str">
        <f>IF(AZ21/SUM(AZ:AZ)*'I-Project Contingency'!$F$69=0,"N/A",AZ21/SUM(AZ:AZ)*'I-Project Contingency'!$F$69)</f>
        <v>N/A</v>
      </c>
      <c r="BM21" s="417" t="str">
        <f>IF(BA21/SUM(BA:BA)*'I-Project Contingency'!$F$70=0,"N/A",BA21/SUM(BA:BA)*'I-Project Contingency'!$F$70)</f>
        <v>N/A</v>
      </c>
      <c r="BN21" s="416" t="str">
        <f>IF(BP21="N/A","N/A",IF('D-Project Data'!$C$6=50%,ABS(BP21),IF('D-Project Data'!$C$6=80%,ABS(BQ21),IF('D-Project Data'!$C$6=90%,ABS(BR21)))))</f>
        <v>N/A</v>
      </c>
      <c r="BO21" s="418" t="str">
        <f>IF(BN21="N/A","N/A",RANK(BN21,$BN$18:$BN$117,0)+COUNTIF($BN$18:BN21,BN21)-1)</f>
        <v>N/A</v>
      </c>
      <c r="BP21" s="416" t="str">
        <f>IF(BF21/SUM(BF:BF)*'I-Project Contingency'!$F$81=0,"N/A",BF21/SUM(BF:BF)*'I-Project Contingency'!$F$81)</f>
        <v>N/A</v>
      </c>
      <c r="BQ21" s="416" t="str">
        <f>IF(BG21/SUM(BG:BG)*'I-Project Contingency'!$F$84=0,"N/A",BG21/SUM(BG:BG)*'I-Project Contingency'!$F$84)</f>
        <v>N/A</v>
      </c>
      <c r="BR21" s="416" t="str">
        <f>IF(BH21/SUM(BH:BH)*'I-Project Contingency'!$F$85=0,"N/A",BH21/SUM(BH:BH)*'I-Project Contingency'!$F$85)</f>
        <v>N/A</v>
      </c>
      <c r="BS21" s="418">
        <f t="shared" si="12"/>
        <v>4</v>
      </c>
      <c r="BT21" s="419" t="str">
        <f t="shared" si="13"/>
        <v>4 - Common Risks to Consider:  Variation of Contractor Markups</v>
      </c>
      <c r="BU21" s="413">
        <f t="shared" si="14"/>
        <v>0</v>
      </c>
      <c r="BV21" s="413">
        <f t="shared" si="15"/>
        <v>0</v>
      </c>
      <c r="BW21" s="415">
        <f t="shared" si="16"/>
        <v>0</v>
      </c>
      <c r="BX21" s="415">
        <f t="shared" si="17"/>
        <v>0</v>
      </c>
    </row>
    <row r="22" spans="1:76" ht="43.2" x14ac:dyDescent="0.3">
      <c r="A22" s="193">
        <f t="shared" ref="A22:A117" si="22">A21+1</f>
        <v>5</v>
      </c>
      <c r="B22" s="194" t="s">
        <v>747</v>
      </c>
      <c r="C22" s="195" t="s">
        <v>1329</v>
      </c>
      <c r="D22" s="195" t="s">
        <v>1301</v>
      </c>
      <c r="E22" s="195" t="s">
        <v>1302</v>
      </c>
      <c r="F22" s="196" t="s">
        <v>716</v>
      </c>
      <c r="G22" s="196" t="s">
        <v>730</v>
      </c>
      <c r="H22" s="187" t="str">
        <f>IF('H-Risk Register-Model'!F22="Certain","Relook at Basis of Estimate",INDEX('G-Assumptions'!$F$8:$J$11,MATCH(F22,'G-Assumptions'!$D$8:$D$11,0),MATCH(G22,'G-Assumptions'!$F$6:$J$6,0)))</f>
        <v>Relook at Basis of Estimate</v>
      </c>
      <c r="I22" s="197" t="s">
        <v>730</v>
      </c>
      <c r="J22" s="187" t="str">
        <f>IF('H-Risk Register-Model'!F22="Certain","Relook at Basis of Estimate",INDEX('G-Assumptions'!$F$8:$J$11,MATCH(F22,'G-Assumptions'!$D$8:$D$11,0),MATCH(I22,'G-Assumptions'!$F$6:$J$6,0)))</f>
        <v>Relook at Basis of Estimate</v>
      </c>
      <c r="K22" s="197" t="s">
        <v>747</v>
      </c>
      <c r="L22" s="197" t="s">
        <v>747</v>
      </c>
      <c r="M22" s="197"/>
      <c r="N22" s="384" t="s">
        <v>747</v>
      </c>
      <c r="O22" s="384" t="s">
        <v>747</v>
      </c>
      <c r="P22" s="198"/>
      <c r="Q22" s="198"/>
      <c r="R22" s="198"/>
      <c r="S22" s="199"/>
      <c r="T22" s="199"/>
      <c r="U22" s="199"/>
      <c r="V22" s="206"/>
      <c r="W22" s="206"/>
      <c r="X22" s="206"/>
      <c r="Y22" s="200">
        <v>1</v>
      </c>
      <c r="Z22" s="201">
        <v>1</v>
      </c>
      <c r="AA22" s="202">
        <f t="shared" si="3"/>
        <v>0</v>
      </c>
      <c r="AB22" s="202">
        <f t="shared" si="4"/>
        <v>0</v>
      </c>
      <c r="AC22" s="202">
        <f t="shared" si="5"/>
        <v>0</v>
      </c>
      <c r="AD22" s="202"/>
      <c r="AE22" s="198">
        <f t="shared" si="6"/>
        <v>0</v>
      </c>
      <c r="AF22" s="203"/>
      <c r="AG22" s="199">
        <f t="shared" si="7"/>
        <v>0</v>
      </c>
      <c r="AH22" s="195"/>
      <c r="AI22" s="195"/>
      <c r="AJ22" s="8"/>
      <c r="AK22" s="616" t="str">
        <f t="shared" si="8"/>
        <v>No</v>
      </c>
      <c r="AL22" s="617">
        <f>'I-Project Contingency'!$I$4</f>
        <v>28979098.489999998</v>
      </c>
      <c r="AM22" s="399">
        <f>'I-Project Contingency'!$I$11</f>
        <v>64.971830985915489</v>
      </c>
      <c r="AN22" s="398">
        <f t="shared" si="21"/>
        <v>0</v>
      </c>
      <c r="AO22" s="399">
        <f t="shared" si="18"/>
        <v>0</v>
      </c>
      <c r="AP22" s="1110" t="str">
        <f t="shared" si="19"/>
        <v>Negligible</v>
      </c>
      <c r="AQ22" s="1110" t="str">
        <f t="shared" si="20"/>
        <v>Negligible</v>
      </c>
      <c r="AR22" s="618" t="str">
        <f t="shared" si="10"/>
        <v/>
      </c>
      <c r="AS22" s="618" t="str">
        <f t="shared" si="11"/>
        <v/>
      </c>
      <c r="AT22" s="8"/>
      <c r="AU22" s="412">
        <f>'I-Project Contingency'!$O$4-AE22</f>
        <v>0</v>
      </c>
      <c r="AV22" s="413">
        <v>3099768.1860032952</v>
      </c>
      <c r="AW22" s="413">
        <v>8430883.7862095013</v>
      </c>
      <c r="AX22" s="413">
        <v>11173736.674482957</v>
      </c>
      <c r="AY22" s="413">
        <f>'I-Project Contingency'!$E$66-AV22</f>
        <v>0</v>
      </c>
      <c r="AZ22" s="413">
        <f>'I-Project Contingency'!$E$69-AW22</f>
        <v>0</v>
      </c>
      <c r="BA22" s="413">
        <f>'I-Project Contingency'!$E$70-AX22</f>
        <v>0</v>
      </c>
      <c r="BB22" s="414">
        <f>'I-Project Contingency'!$O$5-AG22</f>
        <v>0</v>
      </c>
      <c r="BC22" s="415">
        <v>1.78464631257918</v>
      </c>
      <c r="BD22" s="415">
        <v>4.4807515628171739</v>
      </c>
      <c r="BE22" s="416">
        <v>5.8619163793628264</v>
      </c>
      <c r="BF22" s="415">
        <f>'I-Project Contingency'!$E$81-BC22</f>
        <v>0</v>
      </c>
      <c r="BG22" s="415">
        <f>'I-Project Contingency'!$E$84-BD22</f>
        <v>0</v>
      </c>
      <c r="BH22" s="415">
        <f>'I-Project Contingency'!$E$85-BE22</f>
        <v>0</v>
      </c>
      <c r="BI22" s="417" t="str">
        <f>IF(BK22="N/A","N/A",IF('D-Project Data'!$C$6=50%,ABS(BK22),IF('D-Project Data'!$C$6=80%,ABS(BL22),IF('D-Project Data'!$C$6=90%,ABS(BM22)))))</f>
        <v>N/A</v>
      </c>
      <c r="BJ22" s="418" t="str">
        <f>IF(BI22="N/A","N/A",RANK(BI22,$BI$18:$BI$117,0)+COUNTIF($BI$18:BI22,BI22)-1)</f>
        <v>N/A</v>
      </c>
      <c r="BK22" s="417" t="str">
        <f>IF(AY22/SUM(AY:AY)*'I-Project Contingency'!$F$66=0,"N/A",AY22/SUM(AY:AY)*'I-Project Contingency'!$F$66)</f>
        <v>N/A</v>
      </c>
      <c r="BL22" s="417" t="str">
        <f>IF(AZ22/SUM(AZ:AZ)*'I-Project Contingency'!$F$69=0,"N/A",AZ22/SUM(AZ:AZ)*'I-Project Contingency'!$F$69)</f>
        <v>N/A</v>
      </c>
      <c r="BM22" s="417" t="str">
        <f>IF(BA22/SUM(BA:BA)*'I-Project Contingency'!$F$70=0,"N/A",BA22/SUM(BA:BA)*'I-Project Contingency'!$F$70)</f>
        <v>N/A</v>
      </c>
      <c r="BN22" s="416" t="str">
        <f>IF(BP22="N/A","N/A",IF('D-Project Data'!$C$6=50%,ABS(BP22),IF('D-Project Data'!$C$6=80%,ABS(BQ22),IF('D-Project Data'!$C$6=90%,ABS(BR22)))))</f>
        <v>N/A</v>
      </c>
      <c r="BO22" s="418" t="str">
        <f>IF(BN22="N/A","N/A",RANK(BN22,$BN$18:$BN$117,0)+COUNTIF($BN$18:BN22,BN22)-1)</f>
        <v>N/A</v>
      </c>
      <c r="BP22" s="416" t="str">
        <f>IF(BF22/SUM(BF:BF)*'I-Project Contingency'!$F$81=0,"N/A",BF22/SUM(BF:BF)*'I-Project Contingency'!$F$81)</f>
        <v>N/A</v>
      </c>
      <c r="BQ22" s="416" t="str">
        <f>IF(BG22/SUM(BG:BG)*'I-Project Contingency'!$F$84=0,"N/A",BG22/SUM(BG:BG)*'I-Project Contingency'!$F$84)</f>
        <v>N/A</v>
      </c>
      <c r="BR22" s="416" t="str">
        <f>IF(BH22/SUM(BH:BH)*'I-Project Contingency'!$F$85=0,"N/A",BH22/SUM(BH:BH)*'I-Project Contingency'!$F$85)</f>
        <v>N/A</v>
      </c>
      <c r="BS22" s="418">
        <f t="shared" si="12"/>
        <v>5</v>
      </c>
      <c r="BT22" s="419" t="str">
        <f t="shared" si="13"/>
        <v>5 - Common Risks to Consider:  Escalation</v>
      </c>
      <c r="BU22" s="413">
        <f t="shared" si="14"/>
        <v>0</v>
      </c>
      <c r="BV22" s="413">
        <f t="shared" si="15"/>
        <v>0</v>
      </c>
      <c r="BW22" s="415">
        <f t="shared" si="16"/>
        <v>0</v>
      </c>
      <c r="BX22" s="415">
        <f t="shared" si="17"/>
        <v>0</v>
      </c>
    </row>
    <row r="23" spans="1:76" ht="43.2" x14ac:dyDescent="0.3">
      <c r="A23" s="193">
        <f t="shared" si="22"/>
        <v>6</v>
      </c>
      <c r="B23" s="194" t="s">
        <v>747</v>
      </c>
      <c r="C23" s="195" t="s">
        <v>1321</v>
      </c>
      <c r="D23" s="195" t="s">
        <v>1303</v>
      </c>
      <c r="E23" s="195" t="s">
        <v>1308</v>
      </c>
      <c r="F23" s="196" t="s">
        <v>716</v>
      </c>
      <c r="G23" s="196" t="s">
        <v>730</v>
      </c>
      <c r="H23" s="187" t="str">
        <f>IF('H-Risk Register-Model'!F23="Certain","Relook at Basis of Estimate",INDEX('G-Assumptions'!$F$8:$J$11,MATCH(F23,'G-Assumptions'!$D$8:$D$11,0),MATCH(G23,'G-Assumptions'!$F$6:$J$6,0)))</f>
        <v>Relook at Basis of Estimate</v>
      </c>
      <c r="I23" s="197" t="s">
        <v>730</v>
      </c>
      <c r="J23" s="187" t="str">
        <f>IF('H-Risk Register-Model'!F23="Certain","Relook at Basis of Estimate",INDEX('G-Assumptions'!$F$8:$J$11,MATCH(F23,'G-Assumptions'!$D$8:$D$11,0),MATCH(I23,'G-Assumptions'!$F$6:$J$6,0)))</f>
        <v>Relook at Basis of Estimate</v>
      </c>
      <c r="K23" s="197" t="s">
        <v>747</v>
      </c>
      <c r="L23" s="197" t="s">
        <v>747</v>
      </c>
      <c r="M23" s="197"/>
      <c r="N23" s="384" t="s">
        <v>747</v>
      </c>
      <c r="O23" s="384" t="s">
        <v>747</v>
      </c>
      <c r="P23" s="198"/>
      <c r="Q23" s="198"/>
      <c r="R23" s="198"/>
      <c r="S23" s="199"/>
      <c r="T23" s="199"/>
      <c r="U23" s="199"/>
      <c r="V23" s="206"/>
      <c r="W23" s="198"/>
      <c r="X23" s="198"/>
      <c r="Y23" s="200">
        <v>1</v>
      </c>
      <c r="Z23" s="201">
        <v>1</v>
      </c>
      <c r="AA23" s="202">
        <f t="shared" si="3"/>
        <v>0</v>
      </c>
      <c r="AB23" s="202">
        <f t="shared" si="4"/>
        <v>0</v>
      </c>
      <c r="AC23" s="202">
        <f t="shared" si="5"/>
        <v>0</v>
      </c>
      <c r="AD23" s="202"/>
      <c r="AE23" s="198">
        <f t="shared" si="6"/>
        <v>0</v>
      </c>
      <c r="AF23" s="203"/>
      <c r="AG23" s="199">
        <f t="shared" si="7"/>
        <v>0</v>
      </c>
      <c r="AH23" s="195"/>
      <c r="AI23" s="195"/>
      <c r="AJ23" s="8"/>
      <c r="AK23" s="616" t="str">
        <f t="shared" si="8"/>
        <v>No</v>
      </c>
      <c r="AL23" s="617">
        <f>'I-Project Contingency'!$I$4</f>
        <v>28979098.489999998</v>
      </c>
      <c r="AM23" s="399">
        <f>'I-Project Contingency'!$I$11</f>
        <v>64.971830985915489</v>
      </c>
      <c r="AN23" s="398">
        <f t="shared" si="21"/>
        <v>0</v>
      </c>
      <c r="AO23" s="399">
        <f t="shared" si="18"/>
        <v>0</v>
      </c>
      <c r="AP23" s="1110" t="str">
        <f t="shared" si="19"/>
        <v>Negligible</v>
      </c>
      <c r="AQ23" s="1110" t="str">
        <f t="shared" si="20"/>
        <v>Negligible</v>
      </c>
      <c r="AR23" s="618" t="str">
        <f t="shared" si="10"/>
        <v/>
      </c>
      <c r="AS23" s="618" t="str">
        <f t="shared" si="11"/>
        <v/>
      </c>
      <c r="AT23" s="8"/>
      <c r="AU23" s="412">
        <f>'I-Project Contingency'!$O$4-AE23</f>
        <v>0</v>
      </c>
      <c r="AV23" s="413">
        <v>3099768.1860032952</v>
      </c>
      <c r="AW23" s="413">
        <v>8430883.7862095013</v>
      </c>
      <c r="AX23" s="413">
        <v>11173736.674482957</v>
      </c>
      <c r="AY23" s="413">
        <f>'I-Project Contingency'!$E$66-AV23</f>
        <v>0</v>
      </c>
      <c r="AZ23" s="413">
        <f>'I-Project Contingency'!$E$69-AW23</f>
        <v>0</v>
      </c>
      <c r="BA23" s="413">
        <f>'I-Project Contingency'!$E$70-AX23</f>
        <v>0</v>
      </c>
      <c r="BB23" s="414">
        <f>'I-Project Contingency'!$O$5-AG23</f>
        <v>0</v>
      </c>
      <c r="BC23" s="415">
        <v>1.78464631257918</v>
      </c>
      <c r="BD23" s="415">
        <v>4.4807515628171739</v>
      </c>
      <c r="BE23" s="416">
        <v>5.8619163793628264</v>
      </c>
      <c r="BF23" s="415">
        <f>'I-Project Contingency'!$E$81-BC23</f>
        <v>0</v>
      </c>
      <c r="BG23" s="415">
        <f>'I-Project Contingency'!$E$84-BD23</f>
        <v>0</v>
      </c>
      <c r="BH23" s="415">
        <f>'I-Project Contingency'!$E$85-BE23</f>
        <v>0</v>
      </c>
      <c r="BI23" s="417" t="str">
        <f>IF(BK23="N/A","N/A",IF('D-Project Data'!$C$6=50%,ABS(BK23),IF('D-Project Data'!$C$6=80%,ABS(BL23),IF('D-Project Data'!$C$6=90%,ABS(BM23)))))</f>
        <v>N/A</v>
      </c>
      <c r="BJ23" s="418" t="str">
        <f>IF(BI23="N/A","N/A",RANK(BI23,$BI$18:$BI$117,0)+COUNTIF($BI$18:BI23,BI23)-1)</f>
        <v>N/A</v>
      </c>
      <c r="BK23" s="417" t="str">
        <f>IF(AY23/SUM(AY:AY)*'I-Project Contingency'!$F$66=0,"N/A",AY23/SUM(AY:AY)*'I-Project Contingency'!$F$66)</f>
        <v>N/A</v>
      </c>
      <c r="BL23" s="417" t="str">
        <f>IF(AZ23/SUM(AZ:AZ)*'I-Project Contingency'!$F$69=0,"N/A",AZ23/SUM(AZ:AZ)*'I-Project Contingency'!$F$69)</f>
        <v>N/A</v>
      </c>
      <c r="BM23" s="417" t="str">
        <f>IF(BA23/SUM(BA:BA)*'I-Project Contingency'!$F$70=0,"N/A",BA23/SUM(BA:BA)*'I-Project Contingency'!$F$70)</f>
        <v>N/A</v>
      </c>
      <c r="BN23" s="416" t="str">
        <f>IF(BP23="N/A","N/A",IF('D-Project Data'!$C$6=50%,ABS(BP23),IF('D-Project Data'!$C$6=80%,ABS(BQ23),IF('D-Project Data'!$C$6=90%,ABS(BR23)))))</f>
        <v>N/A</v>
      </c>
      <c r="BO23" s="418" t="str">
        <f>IF(BN23="N/A","N/A",RANK(BN23,$BN$18:$BN$117,0)+COUNTIF($BN$18:BN23,BN23)-1)</f>
        <v>N/A</v>
      </c>
      <c r="BP23" s="416" t="str">
        <f>IF(BF23/SUM(BF:BF)*'I-Project Contingency'!$F$81=0,"N/A",BF23/SUM(BF:BF)*'I-Project Contingency'!$F$81)</f>
        <v>N/A</v>
      </c>
      <c r="BQ23" s="416" t="str">
        <f>IF(BG23/SUM(BG:BG)*'I-Project Contingency'!$F$84=0,"N/A",BG23/SUM(BG:BG)*'I-Project Contingency'!$F$84)</f>
        <v>N/A</v>
      </c>
      <c r="BR23" s="416" t="str">
        <f>IF(BH23/SUM(BH:BH)*'I-Project Contingency'!$F$85=0,"N/A",BH23/SUM(BH:BH)*'I-Project Contingency'!$F$85)</f>
        <v>N/A</v>
      </c>
      <c r="BS23" s="418">
        <f t="shared" si="12"/>
        <v>6</v>
      </c>
      <c r="BT23" s="419" t="str">
        <f t="shared" si="13"/>
        <v>6 - Common Risks to Consider:  Bid Competition</v>
      </c>
      <c r="BU23" s="413">
        <f t="shared" si="14"/>
        <v>0</v>
      </c>
      <c r="BV23" s="413">
        <f t="shared" si="15"/>
        <v>0</v>
      </c>
      <c r="BW23" s="415">
        <f t="shared" si="16"/>
        <v>0</v>
      </c>
      <c r="BX23" s="415">
        <f t="shared" si="17"/>
        <v>0</v>
      </c>
    </row>
    <row r="24" spans="1:76" ht="43.2" x14ac:dyDescent="0.3">
      <c r="A24" s="193">
        <f t="shared" si="22"/>
        <v>7</v>
      </c>
      <c r="B24" s="194" t="s">
        <v>747</v>
      </c>
      <c r="C24" s="204" t="s">
        <v>1322</v>
      </c>
      <c r="D24" s="205" t="s">
        <v>1304</v>
      </c>
      <c r="E24" s="195" t="s">
        <v>1315</v>
      </c>
      <c r="F24" s="196" t="s">
        <v>716</v>
      </c>
      <c r="G24" s="196" t="s">
        <v>730</v>
      </c>
      <c r="H24" s="187" t="str">
        <f>IF('H-Risk Register-Model'!F24="Certain","Relook at Basis of Estimate",INDEX('G-Assumptions'!$F$8:$J$11,MATCH(F24,'G-Assumptions'!$D$8:$D$11,0),MATCH(G24,'G-Assumptions'!$F$6:$J$6,0)))</f>
        <v>Relook at Basis of Estimate</v>
      </c>
      <c r="I24" s="197" t="s">
        <v>730</v>
      </c>
      <c r="J24" s="187" t="str">
        <f>IF('H-Risk Register-Model'!F24="Certain","Relook at Basis of Estimate",INDEX('G-Assumptions'!$F$8:$J$11,MATCH(F24,'G-Assumptions'!$D$8:$D$11,0),MATCH(I24,'G-Assumptions'!$F$6:$J$6,0)))</f>
        <v>Relook at Basis of Estimate</v>
      </c>
      <c r="K24" s="197" t="s">
        <v>747</v>
      </c>
      <c r="L24" s="197" t="s">
        <v>747</v>
      </c>
      <c r="M24" s="197"/>
      <c r="N24" s="384" t="s">
        <v>747</v>
      </c>
      <c r="O24" s="384" t="s">
        <v>747</v>
      </c>
      <c r="P24" s="198"/>
      <c r="Q24" s="198"/>
      <c r="R24" s="198"/>
      <c r="S24" s="199"/>
      <c r="T24" s="199"/>
      <c r="U24" s="199"/>
      <c r="V24" s="206"/>
      <c r="W24" s="198"/>
      <c r="X24" s="198"/>
      <c r="Y24" s="200">
        <v>1</v>
      </c>
      <c r="Z24" s="201">
        <v>1</v>
      </c>
      <c r="AA24" s="202">
        <f t="shared" si="3"/>
        <v>0</v>
      </c>
      <c r="AB24" s="202">
        <f t="shared" si="4"/>
        <v>0</v>
      </c>
      <c r="AC24" s="202">
        <f t="shared" si="5"/>
        <v>0</v>
      </c>
      <c r="AD24" s="202"/>
      <c r="AE24" s="198">
        <f t="shared" si="6"/>
        <v>0</v>
      </c>
      <c r="AF24" s="203"/>
      <c r="AG24" s="199">
        <f t="shared" si="7"/>
        <v>0</v>
      </c>
      <c r="AH24" s="195"/>
      <c r="AI24" s="195"/>
      <c r="AJ24" s="8"/>
      <c r="AK24" s="616" t="str">
        <f t="shared" si="8"/>
        <v>No</v>
      </c>
      <c r="AL24" s="617">
        <f>'I-Project Contingency'!$I$4</f>
        <v>28979098.489999998</v>
      </c>
      <c r="AM24" s="399">
        <f>'I-Project Contingency'!$I$11</f>
        <v>64.971830985915489</v>
      </c>
      <c r="AN24" s="398">
        <f t="shared" si="21"/>
        <v>0</v>
      </c>
      <c r="AO24" s="399">
        <f t="shared" si="18"/>
        <v>0</v>
      </c>
      <c r="AP24" s="1110" t="str">
        <f t="shared" si="19"/>
        <v>Negligible</v>
      </c>
      <c r="AQ24" s="1110" t="str">
        <f t="shared" si="20"/>
        <v>Negligible</v>
      </c>
      <c r="AR24" s="618" t="str">
        <f t="shared" si="10"/>
        <v/>
      </c>
      <c r="AS24" s="618" t="str">
        <f t="shared" si="11"/>
        <v/>
      </c>
      <c r="AT24" s="8"/>
      <c r="AU24" s="412">
        <f>'I-Project Contingency'!$O$4-AE24</f>
        <v>0</v>
      </c>
      <c r="AV24" s="413">
        <v>3099768.1860032952</v>
      </c>
      <c r="AW24" s="413">
        <v>8430883.7862095013</v>
      </c>
      <c r="AX24" s="413">
        <v>11173736.674482957</v>
      </c>
      <c r="AY24" s="413">
        <f>'I-Project Contingency'!$E$66-AV24</f>
        <v>0</v>
      </c>
      <c r="AZ24" s="413">
        <f>'I-Project Contingency'!$E$69-AW24</f>
        <v>0</v>
      </c>
      <c r="BA24" s="413">
        <f>'I-Project Contingency'!$E$70-AX24</f>
        <v>0</v>
      </c>
      <c r="BB24" s="414">
        <f>'I-Project Contingency'!$O$5-AG24</f>
        <v>0</v>
      </c>
      <c r="BC24" s="415">
        <v>1.78464631257918</v>
      </c>
      <c r="BD24" s="415">
        <v>4.4807515628171739</v>
      </c>
      <c r="BE24" s="416">
        <v>5.8619163793628264</v>
      </c>
      <c r="BF24" s="415">
        <f>'I-Project Contingency'!$E$81-BC24</f>
        <v>0</v>
      </c>
      <c r="BG24" s="415">
        <f>'I-Project Contingency'!$E$84-BD24</f>
        <v>0</v>
      </c>
      <c r="BH24" s="415">
        <f>'I-Project Contingency'!$E$85-BE24</f>
        <v>0</v>
      </c>
      <c r="BI24" s="417" t="str">
        <f>IF(BK24="N/A","N/A",IF('D-Project Data'!$C$6=50%,ABS(BK24),IF('D-Project Data'!$C$6=80%,ABS(BL24),IF('D-Project Data'!$C$6=90%,ABS(BM24)))))</f>
        <v>N/A</v>
      </c>
      <c r="BJ24" s="418" t="str">
        <f>IF(BI24="N/A","N/A",RANK(BI24,$BI$18:$BI$117,0)+COUNTIF($BI$18:BI24,BI24)-1)</f>
        <v>N/A</v>
      </c>
      <c r="BK24" s="417" t="str">
        <f>IF(AY24/SUM(AY:AY)*'I-Project Contingency'!$F$66=0,"N/A",AY24/SUM(AY:AY)*'I-Project Contingency'!$F$66)</f>
        <v>N/A</v>
      </c>
      <c r="BL24" s="417" t="str">
        <f>IF(AZ24/SUM(AZ:AZ)*'I-Project Contingency'!$F$69=0,"N/A",AZ24/SUM(AZ:AZ)*'I-Project Contingency'!$F$69)</f>
        <v>N/A</v>
      </c>
      <c r="BM24" s="417" t="str">
        <f>IF(BA24/SUM(BA:BA)*'I-Project Contingency'!$F$70=0,"N/A",BA24/SUM(BA:BA)*'I-Project Contingency'!$F$70)</f>
        <v>N/A</v>
      </c>
      <c r="BN24" s="416" t="str">
        <f>IF(BP24="N/A","N/A",IF('D-Project Data'!$C$6=50%,ABS(BP24),IF('D-Project Data'!$C$6=80%,ABS(BQ24),IF('D-Project Data'!$C$6=90%,ABS(BR24)))))</f>
        <v>N/A</v>
      </c>
      <c r="BO24" s="418" t="str">
        <f>IF(BN24="N/A","N/A",RANK(BN24,$BN$18:$BN$117,0)+COUNTIF($BN$18:BN24,BN24)-1)</f>
        <v>N/A</v>
      </c>
      <c r="BP24" s="416" t="str">
        <f>IF(BF24/SUM(BF:BF)*'I-Project Contingency'!$F$81=0,"N/A",BF24/SUM(BF:BF)*'I-Project Contingency'!$F$81)</f>
        <v>N/A</v>
      </c>
      <c r="BQ24" s="416" t="str">
        <f>IF(BG24/SUM(BG:BG)*'I-Project Contingency'!$F$84=0,"N/A",BG24/SUM(BG:BG)*'I-Project Contingency'!$F$84)</f>
        <v>N/A</v>
      </c>
      <c r="BR24" s="416" t="str">
        <f>IF(BH24/SUM(BH:BH)*'I-Project Contingency'!$F$85=0,"N/A",BH24/SUM(BH:BH)*'I-Project Contingency'!$F$85)</f>
        <v>N/A</v>
      </c>
      <c r="BS24" s="418">
        <f t="shared" si="12"/>
        <v>7</v>
      </c>
      <c r="BT24" s="419" t="str">
        <f t="shared" si="13"/>
        <v>7 - Common Risks to Consider:  Equipment / Fuel</v>
      </c>
      <c r="BU24" s="413">
        <f t="shared" si="14"/>
        <v>0</v>
      </c>
      <c r="BV24" s="413">
        <f t="shared" si="15"/>
        <v>0</v>
      </c>
      <c r="BW24" s="415">
        <f t="shared" si="16"/>
        <v>0</v>
      </c>
      <c r="BX24" s="415">
        <f t="shared" si="17"/>
        <v>0</v>
      </c>
    </row>
    <row r="25" spans="1:76" ht="57.6" x14ac:dyDescent="0.3">
      <c r="A25" s="193">
        <f t="shared" si="22"/>
        <v>8</v>
      </c>
      <c r="B25" s="194" t="s">
        <v>747</v>
      </c>
      <c r="C25" s="204" t="s">
        <v>1323</v>
      </c>
      <c r="D25" s="205" t="s">
        <v>1306</v>
      </c>
      <c r="E25" s="195" t="s">
        <v>1314</v>
      </c>
      <c r="F25" s="196" t="s">
        <v>716</v>
      </c>
      <c r="G25" s="196" t="s">
        <v>730</v>
      </c>
      <c r="H25" s="187" t="str">
        <f>IF('H-Risk Register-Model'!F25="Certain","Relook at Basis of Estimate",INDEX('G-Assumptions'!$F$8:$J$11,MATCH(F25,'G-Assumptions'!$D$8:$D$11,0),MATCH(G25,'G-Assumptions'!$F$6:$J$6,0)))</f>
        <v>Relook at Basis of Estimate</v>
      </c>
      <c r="I25" s="197" t="s">
        <v>730</v>
      </c>
      <c r="J25" s="187" t="str">
        <f>IF('H-Risk Register-Model'!F25="Certain","Relook at Basis of Estimate",INDEX('G-Assumptions'!$F$8:$J$11,MATCH(F25,'G-Assumptions'!$D$8:$D$11,0),MATCH(I25,'G-Assumptions'!$F$6:$J$6,0)))</f>
        <v>Relook at Basis of Estimate</v>
      </c>
      <c r="K25" s="197" t="s">
        <v>747</v>
      </c>
      <c r="L25" s="197" t="s">
        <v>747</v>
      </c>
      <c r="M25" s="197"/>
      <c r="N25" s="384" t="s">
        <v>747</v>
      </c>
      <c r="O25" s="384" t="s">
        <v>747</v>
      </c>
      <c r="P25" s="198"/>
      <c r="Q25" s="198"/>
      <c r="R25" s="198"/>
      <c r="S25" s="199"/>
      <c r="T25" s="199"/>
      <c r="U25" s="199"/>
      <c r="V25" s="206"/>
      <c r="W25" s="198"/>
      <c r="X25" s="198"/>
      <c r="Y25" s="200">
        <v>1</v>
      </c>
      <c r="Z25" s="201">
        <v>1</v>
      </c>
      <c r="AA25" s="202">
        <f t="shared" si="3"/>
        <v>0</v>
      </c>
      <c r="AB25" s="202">
        <f t="shared" si="4"/>
        <v>0</v>
      </c>
      <c r="AC25" s="202">
        <f t="shared" si="5"/>
        <v>0</v>
      </c>
      <c r="AD25" s="202"/>
      <c r="AE25" s="198">
        <f t="shared" si="6"/>
        <v>0</v>
      </c>
      <c r="AF25" s="203"/>
      <c r="AG25" s="199">
        <f t="shared" si="7"/>
        <v>0</v>
      </c>
      <c r="AH25" s="195"/>
      <c r="AI25" s="195"/>
      <c r="AJ25" s="8"/>
      <c r="AK25" s="616" t="str">
        <f t="shared" si="8"/>
        <v>No</v>
      </c>
      <c r="AL25" s="617">
        <f>'I-Project Contingency'!$I$4</f>
        <v>28979098.489999998</v>
      </c>
      <c r="AM25" s="399">
        <f>'I-Project Contingency'!$I$11</f>
        <v>64.971830985915489</v>
      </c>
      <c r="AN25" s="398">
        <f t="shared" si="21"/>
        <v>0</v>
      </c>
      <c r="AO25" s="399">
        <f t="shared" si="18"/>
        <v>0</v>
      </c>
      <c r="AP25" s="1110" t="str">
        <f t="shared" si="19"/>
        <v>Negligible</v>
      </c>
      <c r="AQ25" s="1110" t="str">
        <f t="shared" si="20"/>
        <v>Negligible</v>
      </c>
      <c r="AR25" s="618" t="str">
        <f t="shared" si="10"/>
        <v/>
      </c>
      <c r="AS25" s="618" t="str">
        <f t="shared" si="11"/>
        <v/>
      </c>
      <c r="AT25" s="8"/>
      <c r="AU25" s="412">
        <f>'I-Project Contingency'!$O$4-AE25</f>
        <v>0</v>
      </c>
      <c r="AV25" s="413">
        <v>3099768.1860032952</v>
      </c>
      <c r="AW25" s="413">
        <v>8430883.7862095013</v>
      </c>
      <c r="AX25" s="413">
        <v>11173736.674482957</v>
      </c>
      <c r="AY25" s="413">
        <f>'I-Project Contingency'!$E$66-AV25</f>
        <v>0</v>
      </c>
      <c r="AZ25" s="413">
        <f>'I-Project Contingency'!$E$69-AW25</f>
        <v>0</v>
      </c>
      <c r="BA25" s="413">
        <f>'I-Project Contingency'!$E$70-AX25</f>
        <v>0</v>
      </c>
      <c r="BB25" s="414">
        <f>'I-Project Contingency'!$O$5-AG25</f>
        <v>0</v>
      </c>
      <c r="BC25" s="415">
        <v>1.78464631257918</v>
      </c>
      <c r="BD25" s="415">
        <v>4.4807515628171739</v>
      </c>
      <c r="BE25" s="416">
        <v>5.8619163793628264</v>
      </c>
      <c r="BF25" s="415">
        <f>'I-Project Contingency'!$E$81-BC25</f>
        <v>0</v>
      </c>
      <c r="BG25" s="415">
        <f>'I-Project Contingency'!$E$84-BD25</f>
        <v>0</v>
      </c>
      <c r="BH25" s="415">
        <f>'I-Project Contingency'!$E$85-BE25</f>
        <v>0</v>
      </c>
      <c r="BI25" s="417" t="str">
        <f>IF(BK25="N/A","N/A",IF('D-Project Data'!$C$6=50%,ABS(BK25),IF('D-Project Data'!$C$6=80%,ABS(BL25),IF('D-Project Data'!$C$6=90%,ABS(BM25)))))</f>
        <v>N/A</v>
      </c>
      <c r="BJ25" s="418" t="str">
        <f>IF(BI25="N/A","N/A",RANK(BI25,$BI$18:$BI$117,0)+COUNTIF($BI$18:BI25,BI25)-1)</f>
        <v>N/A</v>
      </c>
      <c r="BK25" s="417" t="str">
        <f>IF(AY25/SUM(AY:AY)*'I-Project Contingency'!$F$66=0,"N/A",AY25/SUM(AY:AY)*'I-Project Contingency'!$F$66)</f>
        <v>N/A</v>
      </c>
      <c r="BL25" s="417" t="str">
        <f>IF(AZ25/SUM(AZ:AZ)*'I-Project Contingency'!$F$69=0,"N/A",AZ25/SUM(AZ:AZ)*'I-Project Contingency'!$F$69)</f>
        <v>N/A</v>
      </c>
      <c r="BM25" s="417" t="str">
        <f>IF(BA25/SUM(BA:BA)*'I-Project Contingency'!$F$70=0,"N/A",BA25/SUM(BA:BA)*'I-Project Contingency'!$F$70)</f>
        <v>N/A</v>
      </c>
      <c r="BN25" s="416" t="str">
        <f>IF(BP25="N/A","N/A",IF('D-Project Data'!$C$6=50%,ABS(BP25),IF('D-Project Data'!$C$6=80%,ABS(BQ25),IF('D-Project Data'!$C$6=90%,ABS(BR25)))))</f>
        <v>N/A</v>
      </c>
      <c r="BO25" s="418" t="str">
        <f>IF(BN25="N/A","N/A",RANK(BN25,$BN$18:$BN$117,0)+COUNTIF($BN$18:BN25,BN25)-1)</f>
        <v>N/A</v>
      </c>
      <c r="BP25" s="416" t="str">
        <f>IF(BF25/SUM(BF:BF)*'I-Project Contingency'!$F$81=0,"N/A",BF25/SUM(BF:BF)*'I-Project Contingency'!$F$81)</f>
        <v>N/A</v>
      </c>
      <c r="BQ25" s="416" t="str">
        <f>IF(BG25/SUM(BG:BG)*'I-Project Contingency'!$F$84=0,"N/A",BG25/SUM(BG:BG)*'I-Project Contingency'!$F$84)</f>
        <v>N/A</v>
      </c>
      <c r="BR25" s="416" t="str">
        <f>IF(BH25/SUM(BH:BH)*'I-Project Contingency'!$F$85=0,"N/A",BH25/SUM(BH:BH)*'I-Project Contingency'!$F$85)</f>
        <v>N/A</v>
      </c>
      <c r="BS25" s="418">
        <f t="shared" si="12"/>
        <v>8</v>
      </c>
      <c r="BT25" s="419" t="str">
        <f t="shared" si="13"/>
        <v>8 - Common Risks to Consider:  Material</v>
      </c>
      <c r="BU25" s="413">
        <f t="shared" si="14"/>
        <v>0</v>
      </c>
      <c r="BV25" s="413">
        <f t="shared" si="15"/>
        <v>0</v>
      </c>
      <c r="BW25" s="415">
        <f t="shared" si="16"/>
        <v>0</v>
      </c>
      <c r="BX25" s="415">
        <f t="shared" si="17"/>
        <v>0</v>
      </c>
    </row>
    <row r="26" spans="1:76" ht="43.2" x14ac:dyDescent="0.3">
      <c r="A26" s="193">
        <f t="shared" si="22"/>
        <v>9</v>
      </c>
      <c r="B26" s="194" t="s">
        <v>747</v>
      </c>
      <c r="C26" s="204" t="s">
        <v>1324</v>
      </c>
      <c r="D26" s="205" t="s">
        <v>1429</v>
      </c>
      <c r="E26" s="195" t="s">
        <v>1307</v>
      </c>
      <c r="F26" s="196" t="s">
        <v>716</v>
      </c>
      <c r="G26" s="196" t="s">
        <v>730</v>
      </c>
      <c r="H26" s="187" t="str">
        <f>IF('H-Risk Register-Model'!F26="Certain","Relook at Basis of Estimate",INDEX('G-Assumptions'!$F$8:$J$11,MATCH(F26,'G-Assumptions'!$D$8:$D$11,0),MATCH(G26,'G-Assumptions'!$F$6:$J$6,0)))</f>
        <v>Relook at Basis of Estimate</v>
      </c>
      <c r="I26" s="197" t="s">
        <v>730</v>
      </c>
      <c r="J26" s="187" t="str">
        <f>IF('H-Risk Register-Model'!F26="Certain","Relook at Basis of Estimate",INDEX('G-Assumptions'!$F$8:$J$11,MATCH(F26,'G-Assumptions'!$D$8:$D$11,0),MATCH(I26,'G-Assumptions'!$F$6:$J$6,0)))</f>
        <v>Relook at Basis of Estimate</v>
      </c>
      <c r="K26" s="197" t="s">
        <v>747</v>
      </c>
      <c r="L26" s="197" t="s">
        <v>747</v>
      </c>
      <c r="M26" s="197"/>
      <c r="N26" s="384" t="s">
        <v>747</v>
      </c>
      <c r="O26" s="384" t="s">
        <v>747</v>
      </c>
      <c r="P26" s="198"/>
      <c r="Q26" s="198"/>
      <c r="R26" s="198"/>
      <c r="S26" s="199"/>
      <c r="T26" s="199"/>
      <c r="U26" s="199"/>
      <c r="V26" s="206"/>
      <c r="W26" s="198"/>
      <c r="X26" s="198"/>
      <c r="Y26" s="200">
        <v>1</v>
      </c>
      <c r="Z26" s="201">
        <v>1</v>
      </c>
      <c r="AA26" s="202">
        <f t="shared" si="3"/>
        <v>0</v>
      </c>
      <c r="AB26" s="202">
        <f t="shared" si="4"/>
        <v>0</v>
      </c>
      <c r="AC26" s="202">
        <f t="shared" si="5"/>
        <v>0</v>
      </c>
      <c r="AD26" s="202"/>
      <c r="AE26" s="198">
        <f t="shared" si="6"/>
        <v>0</v>
      </c>
      <c r="AF26" s="203"/>
      <c r="AG26" s="199">
        <f t="shared" si="7"/>
        <v>0</v>
      </c>
      <c r="AH26" s="195"/>
      <c r="AI26" s="195"/>
      <c r="AJ26" s="8"/>
      <c r="AK26" s="616" t="str">
        <f t="shared" si="8"/>
        <v>No</v>
      </c>
      <c r="AL26" s="617">
        <f>'I-Project Contingency'!$I$4</f>
        <v>28979098.489999998</v>
      </c>
      <c r="AM26" s="399">
        <f>'I-Project Contingency'!$I$11</f>
        <v>64.971830985915489</v>
      </c>
      <c r="AN26" s="398">
        <f t="shared" si="21"/>
        <v>0</v>
      </c>
      <c r="AO26" s="399">
        <f t="shared" si="18"/>
        <v>0</v>
      </c>
      <c r="AP26" s="1110" t="str">
        <f t="shared" si="19"/>
        <v>Negligible</v>
      </c>
      <c r="AQ26" s="1110" t="str">
        <f t="shared" si="20"/>
        <v>Negligible</v>
      </c>
      <c r="AR26" s="618" t="str">
        <f t="shared" si="10"/>
        <v/>
      </c>
      <c r="AS26" s="618" t="str">
        <f t="shared" si="11"/>
        <v/>
      </c>
      <c r="AT26" s="8"/>
      <c r="AU26" s="412">
        <f>'I-Project Contingency'!$O$4-AE26</f>
        <v>0</v>
      </c>
      <c r="AV26" s="413">
        <v>3099768.1860032952</v>
      </c>
      <c r="AW26" s="413">
        <v>8430883.7862095013</v>
      </c>
      <c r="AX26" s="413">
        <v>11173736.674482957</v>
      </c>
      <c r="AY26" s="413">
        <f>'I-Project Contingency'!$E$66-AV26</f>
        <v>0</v>
      </c>
      <c r="AZ26" s="413">
        <f>'I-Project Contingency'!$E$69-AW26</f>
        <v>0</v>
      </c>
      <c r="BA26" s="413">
        <f>'I-Project Contingency'!$E$70-AX26</f>
        <v>0</v>
      </c>
      <c r="BB26" s="414">
        <f>'I-Project Contingency'!$O$5-AG26</f>
        <v>0</v>
      </c>
      <c r="BC26" s="415">
        <v>1.78464631257918</v>
      </c>
      <c r="BD26" s="415">
        <v>4.4807515628171739</v>
      </c>
      <c r="BE26" s="416">
        <v>5.8619163793628264</v>
      </c>
      <c r="BF26" s="415">
        <f>'I-Project Contingency'!$E$81-BC26</f>
        <v>0</v>
      </c>
      <c r="BG26" s="415">
        <f>'I-Project Contingency'!$E$84-BD26</f>
        <v>0</v>
      </c>
      <c r="BH26" s="415">
        <f>'I-Project Contingency'!$E$85-BE26</f>
        <v>0</v>
      </c>
      <c r="BI26" s="417" t="str">
        <f>IF(BK26="N/A","N/A",IF('D-Project Data'!$C$6=50%,ABS(BK26),IF('D-Project Data'!$C$6=80%,ABS(BL26),IF('D-Project Data'!$C$6=90%,ABS(BM26)))))</f>
        <v>N/A</v>
      </c>
      <c r="BJ26" s="418" t="str">
        <f>IF(BI26="N/A","N/A",RANK(BI26,$BI$18:$BI$117,0)+COUNTIF($BI$18:BI26,BI26)-1)</f>
        <v>N/A</v>
      </c>
      <c r="BK26" s="417" t="str">
        <f>IF(AY26/SUM(AY:AY)*'I-Project Contingency'!$F$66=0,"N/A",AY26/SUM(AY:AY)*'I-Project Contingency'!$F$66)</f>
        <v>N/A</v>
      </c>
      <c r="BL26" s="417" t="str">
        <f>IF(AZ26/SUM(AZ:AZ)*'I-Project Contingency'!$F$69=0,"N/A",AZ26/SUM(AZ:AZ)*'I-Project Contingency'!$F$69)</f>
        <v>N/A</v>
      </c>
      <c r="BM26" s="417" t="str">
        <f>IF(BA26/SUM(BA:BA)*'I-Project Contingency'!$F$70=0,"N/A",BA26/SUM(BA:BA)*'I-Project Contingency'!$F$70)</f>
        <v>N/A</v>
      </c>
      <c r="BN26" s="416" t="str">
        <f>IF(BP26="N/A","N/A",IF('D-Project Data'!$C$6=50%,ABS(BP26),IF('D-Project Data'!$C$6=80%,ABS(BQ26),IF('D-Project Data'!$C$6=90%,ABS(BR26)))))</f>
        <v>N/A</v>
      </c>
      <c r="BO26" s="418" t="str">
        <f>IF(BN26="N/A","N/A",RANK(BN26,$BN$18:$BN$117,0)+COUNTIF($BN$18:BN26,BN26)-1)</f>
        <v>N/A</v>
      </c>
      <c r="BP26" s="416" t="str">
        <f>IF(BF26/SUM(BF:BF)*'I-Project Contingency'!$F$81=0,"N/A",BF26/SUM(BF:BF)*'I-Project Contingency'!$F$81)</f>
        <v>N/A</v>
      </c>
      <c r="BQ26" s="416" t="str">
        <f>IF(BG26/SUM(BG:BG)*'I-Project Contingency'!$F$84=0,"N/A",BG26/SUM(BG:BG)*'I-Project Contingency'!$F$84)</f>
        <v>N/A</v>
      </c>
      <c r="BR26" s="416" t="str">
        <f>IF(BH26/SUM(BH:BH)*'I-Project Contingency'!$F$85=0,"N/A",BH26/SUM(BH:BH)*'I-Project Contingency'!$F$85)</f>
        <v>N/A</v>
      </c>
      <c r="BS26" s="418">
        <f t="shared" si="12"/>
        <v>9</v>
      </c>
      <c r="BT26" s="419" t="str">
        <f t="shared" si="13"/>
        <v>9 - Common Risks to Consider:  Labor</v>
      </c>
      <c r="BU26" s="413">
        <f t="shared" si="14"/>
        <v>0</v>
      </c>
      <c r="BV26" s="413">
        <f t="shared" si="15"/>
        <v>0</v>
      </c>
      <c r="BW26" s="415">
        <f t="shared" si="16"/>
        <v>0</v>
      </c>
      <c r="BX26" s="415">
        <f t="shared" si="17"/>
        <v>0</v>
      </c>
    </row>
    <row r="27" spans="1:76" ht="57.6" x14ac:dyDescent="0.3">
      <c r="A27" s="193">
        <f t="shared" si="22"/>
        <v>10</v>
      </c>
      <c r="B27" s="194" t="s">
        <v>747</v>
      </c>
      <c r="C27" s="204" t="s">
        <v>1325</v>
      </c>
      <c r="D27" s="205" t="s">
        <v>1310</v>
      </c>
      <c r="E27" s="195" t="s">
        <v>1316</v>
      </c>
      <c r="F27" s="196" t="s">
        <v>716</v>
      </c>
      <c r="G27" s="196" t="s">
        <v>730</v>
      </c>
      <c r="H27" s="187" t="str">
        <f>IF('H-Risk Register-Model'!F27="Certain","Relook at Basis of Estimate",INDEX('G-Assumptions'!$F$8:$J$11,MATCH(F27,'G-Assumptions'!$D$8:$D$11,0),MATCH(G27,'G-Assumptions'!$F$6:$J$6,0)))</f>
        <v>Relook at Basis of Estimate</v>
      </c>
      <c r="I27" s="197" t="s">
        <v>730</v>
      </c>
      <c r="J27" s="187" t="str">
        <f>IF('H-Risk Register-Model'!F27="Certain","Relook at Basis of Estimate",INDEX('G-Assumptions'!$F$8:$J$11,MATCH(F27,'G-Assumptions'!$D$8:$D$11,0),MATCH(I27,'G-Assumptions'!$F$6:$J$6,0)))</f>
        <v>Relook at Basis of Estimate</v>
      </c>
      <c r="K27" s="197" t="s">
        <v>747</v>
      </c>
      <c r="L27" s="197" t="s">
        <v>747</v>
      </c>
      <c r="M27" s="197"/>
      <c r="N27" s="384" t="s">
        <v>747</v>
      </c>
      <c r="O27" s="384" t="s">
        <v>747</v>
      </c>
      <c r="P27" s="198"/>
      <c r="Q27" s="198"/>
      <c r="R27" s="198"/>
      <c r="S27" s="199"/>
      <c r="T27" s="199"/>
      <c r="U27" s="199"/>
      <c r="V27" s="206"/>
      <c r="W27" s="198"/>
      <c r="X27" s="198"/>
      <c r="Y27" s="200">
        <v>1</v>
      </c>
      <c r="Z27" s="201">
        <v>1</v>
      </c>
      <c r="AA27" s="202">
        <f t="shared" si="3"/>
        <v>0</v>
      </c>
      <c r="AB27" s="202">
        <f t="shared" si="4"/>
        <v>0</v>
      </c>
      <c r="AC27" s="202">
        <f t="shared" si="5"/>
        <v>0</v>
      </c>
      <c r="AD27" s="202"/>
      <c r="AE27" s="198">
        <f t="shared" si="6"/>
        <v>0</v>
      </c>
      <c r="AF27" s="203"/>
      <c r="AG27" s="199">
        <f t="shared" si="7"/>
        <v>0</v>
      </c>
      <c r="AH27" s="195"/>
      <c r="AI27" s="195"/>
      <c r="AJ27" s="8"/>
      <c r="AK27" s="616" t="str">
        <f t="shared" si="8"/>
        <v>No</v>
      </c>
      <c r="AL27" s="617">
        <f>'I-Project Contingency'!$I$4</f>
        <v>28979098.489999998</v>
      </c>
      <c r="AM27" s="399">
        <f>'I-Project Contingency'!$I$11</f>
        <v>64.971830985915489</v>
      </c>
      <c r="AN27" s="398">
        <f t="shared" si="21"/>
        <v>0</v>
      </c>
      <c r="AO27" s="399">
        <f t="shared" si="18"/>
        <v>0</v>
      </c>
      <c r="AP27" s="1110" t="str">
        <f t="shared" si="19"/>
        <v>Negligible</v>
      </c>
      <c r="AQ27" s="1110" t="str">
        <f t="shared" si="20"/>
        <v>Negligible</v>
      </c>
      <c r="AR27" s="618" t="str">
        <f t="shared" si="10"/>
        <v/>
      </c>
      <c r="AS27" s="618" t="str">
        <f t="shared" si="11"/>
        <v/>
      </c>
      <c r="AT27" s="8"/>
      <c r="AU27" s="412">
        <f>'I-Project Contingency'!$O$4-AE27</f>
        <v>0</v>
      </c>
      <c r="AV27" s="413">
        <v>3099768.1860032952</v>
      </c>
      <c r="AW27" s="413">
        <v>8430883.7862095013</v>
      </c>
      <c r="AX27" s="413">
        <v>11173736.674482957</v>
      </c>
      <c r="AY27" s="413">
        <f>'I-Project Contingency'!$E$66-AV27</f>
        <v>0</v>
      </c>
      <c r="AZ27" s="413">
        <f>'I-Project Contingency'!$E$69-AW27</f>
        <v>0</v>
      </c>
      <c r="BA27" s="413">
        <f>'I-Project Contingency'!$E$70-AX27</f>
        <v>0</v>
      </c>
      <c r="BB27" s="414">
        <f>'I-Project Contingency'!$O$5-AG27</f>
        <v>0</v>
      </c>
      <c r="BC27" s="415">
        <v>1.78464631257918</v>
      </c>
      <c r="BD27" s="415">
        <v>4.4807515628171739</v>
      </c>
      <c r="BE27" s="416">
        <v>5.8619163793628264</v>
      </c>
      <c r="BF27" s="415">
        <f>'I-Project Contingency'!$E$81-BC27</f>
        <v>0</v>
      </c>
      <c r="BG27" s="415">
        <f>'I-Project Contingency'!$E$84-BD27</f>
        <v>0</v>
      </c>
      <c r="BH27" s="415">
        <f>'I-Project Contingency'!$E$85-BE27</f>
        <v>0</v>
      </c>
      <c r="BI27" s="417" t="str">
        <f>IF(BK27="N/A","N/A",IF('D-Project Data'!$C$6=50%,ABS(BK27),IF('D-Project Data'!$C$6=80%,ABS(BL27),IF('D-Project Data'!$C$6=90%,ABS(BM27)))))</f>
        <v>N/A</v>
      </c>
      <c r="BJ27" s="418" t="str">
        <f>IF(BI27="N/A","N/A",RANK(BI27,$BI$18:$BI$117,0)+COUNTIF($BI$18:BI27,BI27)-1)</f>
        <v>N/A</v>
      </c>
      <c r="BK27" s="417" t="str">
        <f>IF(AY27/SUM(AY:AY)*'I-Project Contingency'!$F$66=0,"N/A",AY27/SUM(AY:AY)*'I-Project Contingency'!$F$66)</f>
        <v>N/A</v>
      </c>
      <c r="BL27" s="417" t="str">
        <f>IF(AZ27/SUM(AZ:AZ)*'I-Project Contingency'!$F$69=0,"N/A",AZ27/SUM(AZ:AZ)*'I-Project Contingency'!$F$69)</f>
        <v>N/A</v>
      </c>
      <c r="BM27" s="417" t="str">
        <f>IF(BA27/SUM(BA:BA)*'I-Project Contingency'!$F$70=0,"N/A",BA27/SUM(BA:BA)*'I-Project Contingency'!$F$70)</f>
        <v>N/A</v>
      </c>
      <c r="BN27" s="416" t="str">
        <f>IF(BP27="N/A","N/A",IF('D-Project Data'!$C$6=50%,ABS(BP27),IF('D-Project Data'!$C$6=80%,ABS(BQ27),IF('D-Project Data'!$C$6=90%,ABS(BR27)))))</f>
        <v>N/A</v>
      </c>
      <c r="BO27" s="418" t="str">
        <f>IF(BN27="N/A","N/A",RANK(BN27,$BN$18:$BN$117,0)+COUNTIF($BN$18:BN27,BN27)-1)</f>
        <v>N/A</v>
      </c>
      <c r="BP27" s="416" t="str">
        <f>IF(BF27/SUM(BF:BF)*'I-Project Contingency'!$F$81=0,"N/A",BF27/SUM(BF:BF)*'I-Project Contingency'!$F$81)</f>
        <v>N/A</v>
      </c>
      <c r="BQ27" s="416" t="str">
        <f>IF(BG27/SUM(BG:BG)*'I-Project Contingency'!$F$84=0,"N/A",BG27/SUM(BG:BG)*'I-Project Contingency'!$F$84)</f>
        <v>N/A</v>
      </c>
      <c r="BR27" s="416" t="str">
        <f>IF(BH27/SUM(BH:BH)*'I-Project Contingency'!$F$85=0,"N/A",BH27/SUM(BH:BH)*'I-Project Contingency'!$F$85)</f>
        <v>N/A</v>
      </c>
      <c r="BS27" s="418">
        <f t="shared" si="12"/>
        <v>10</v>
      </c>
      <c r="BT27" s="419" t="str">
        <f t="shared" si="13"/>
        <v>10 - Common Risks to Consider:  Productivity Assumptions</v>
      </c>
      <c r="BU27" s="413">
        <f t="shared" si="14"/>
        <v>0</v>
      </c>
      <c r="BV27" s="413">
        <f t="shared" si="15"/>
        <v>0</v>
      </c>
      <c r="BW27" s="415">
        <f t="shared" si="16"/>
        <v>0</v>
      </c>
      <c r="BX27" s="415">
        <f t="shared" si="17"/>
        <v>0</v>
      </c>
    </row>
    <row r="28" spans="1:76" ht="72" x14ac:dyDescent="0.3">
      <c r="A28" s="193">
        <f t="shared" si="22"/>
        <v>11</v>
      </c>
      <c r="B28" s="194" t="s">
        <v>747</v>
      </c>
      <c r="C28" s="204" t="s">
        <v>1326</v>
      </c>
      <c r="D28" s="205" t="s">
        <v>1428</v>
      </c>
      <c r="E28" s="195" t="s">
        <v>1311</v>
      </c>
      <c r="F28" s="196" t="s">
        <v>716</v>
      </c>
      <c r="G28" s="196" t="s">
        <v>730</v>
      </c>
      <c r="H28" s="187" t="str">
        <f>IF('H-Risk Register-Model'!F28="Certain","Relook at Basis of Estimate",INDEX('G-Assumptions'!$F$8:$J$11,MATCH(F28,'G-Assumptions'!$D$8:$D$11,0),MATCH(G28,'G-Assumptions'!$F$6:$J$6,0)))</f>
        <v>Relook at Basis of Estimate</v>
      </c>
      <c r="I28" s="197" t="s">
        <v>730</v>
      </c>
      <c r="J28" s="187" t="str">
        <f>IF('H-Risk Register-Model'!F28="Certain","Relook at Basis of Estimate",INDEX('G-Assumptions'!$F$8:$J$11,MATCH(F28,'G-Assumptions'!$D$8:$D$11,0),MATCH(I28,'G-Assumptions'!$F$6:$J$6,0)))</f>
        <v>Relook at Basis of Estimate</v>
      </c>
      <c r="K28" s="197" t="s">
        <v>747</v>
      </c>
      <c r="L28" s="197" t="s">
        <v>747</v>
      </c>
      <c r="M28" s="197"/>
      <c r="N28" s="384" t="s">
        <v>747</v>
      </c>
      <c r="O28" s="384" t="s">
        <v>747</v>
      </c>
      <c r="P28" s="198"/>
      <c r="Q28" s="198"/>
      <c r="R28" s="198"/>
      <c r="S28" s="199"/>
      <c r="T28" s="199"/>
      <c r="U28" s="199"/>
      <c r="V28" s="206"/>
      <c r="W28" s="198"/>
      <c r="X28" s="198"/>
      <c r="Y28" s="200">
        <v>1</v>
      </c>
      <c r="Z28" s="201">
        <v>1</v>
      </c>
      <c r="AA28" s="202">
        <f t="shared" si="3"/>
        <v>0</v>
      </c>
      <c r="AB28" s="202">
        <f t="shared" si="4"/>
        <v>0</v>
      </c>
      <c r="AC28" s="202">
        <f t="shared" si="5"/>
        <v>0</v>
      </c>
      <c r="AD28" s="202"/>
      <c r="AE28" s="198">
        <f t="shared" si="6"/>
        <v>0</v>
      </c>
      <c r="AF28" s="203"/>
      <c r="AG28" s="199">
        <f t="shared" si="7"/>
        <v>0</v>
      </c>
      <c r="AH28" s="195"/>
      <c r="AI28" s="195"/>
      <c r="AJ28" s="8"/>
      <c r="AK28" s="616" t="str">
        <f t="shared" si="8"/>
        <v>No</v>
      </c>
      <c r="AL28" s="617">
        <f>'I-Project Contingency'!$I$4</f>
        <v>28979098.489999998</v>
      </c>
      <c r="AM28" s="399">
        <f>'I-Project Contingency'!$I$11</f>
        <v>64.971830985915489</v>
      </c>
      <c r="AN28" s="398">
        <f t="shared" si="21"/>
        <v>0</v>
      </c>
      <c r="AO28" s="399">
        <f t="shared" si="18"/>
        <v>0</v>
      </c>
      <c r="AP28" s="1110" t="str">
        <f t="shared" si="19"/>
        <v>Negligible</v>
      </c>
      <c r="AQ28" s="1110" t="str">
        <f t="shared" si="20"/>
        <v>Negligible</v>
      </c>
      <c r="AR28" s="618" t="str">
        <f t="shared" si="10"/>
        <v/>
      </c>
      <c r="AS28" s="618" t="str">
        <f t="shared" si="11"/>
        <v/>
      </c>
      <c r="AT28" s="8"/>
      <c r="AU28" s="412">
        <f>'I-Project Contingency'!$O$4-AE28</f>
        <v>0</v>
      </c>
      <c r="AV28" s="413">
        <v>3099768.1860032952</v>
      </c>
      <c r="AW28" s="413">
        <v>8430883.7862095013</v>
      </c>
      <c r="AX28" s="413">
        <v>11173736.674482957</v>
      </c>
      <c r="AY28" s="413">
        <f>'I-Project Contingency'!$E$66-AV28</f>
        <v>0</v>
      </c>
      <c r="AZ28" s="413">
        <f>'I-Project Contingency'!$E$69-AW28</f>
        <v>0</v>
      </c>
      <c r="BA28" s="413">
        <f>'I-Project Contingency'!$E$70-AX28</f>
        <v>0</v>
      </c>
      <c r="BB28" s="414">
        <f>'I-Project Contingency'!$O$5-AG28</f>
        <v>0</v>
      </c>
      <c r="BC28" s="415">
        <v>1.78464631257918</v>
      </c>
      <c r="BD28" s="415">
        <v>4.4807515628171739</v>
      </c>
      <c r="BE28" s="416">
        <v>5.8619163793628264</v>
      </c>
      <c r="BF28" s="415">
        <f>'I-Project Contingency'!$E$81-BC28</f>
        <v>0</v>
      </c>
      <c r="BG28" s="415">
        <f>'I-Project Contingency'!$E$84-BD28</f>
        <v>0</v>
      </c>
      <c r="BH28" s="415">
        <f>'I-Project Contingency'!$E$85-BE28</f>
        <v>0</v>
      </c>
      <c r="BI28" s="417" t="str">
        <f>IF(BK28="N/A","N/A",IF('D-Project Data'!$C$6=50%,ABS(BK28),IF('D-Project Data'!$C$6=80%,ABS(BL28),IF('D-Project Data'!$C$6=90%,ABS(BM28)))))</f>
        <v>N/A</v>
      </c>
      <c r="BJ28" s="418" t="str">
        <f>IF(BI28="N/A","N/A",RANK(BI28,$BI$18:$BI$117,0)+COUNTIF($BI$18:BI28,BI28)-1)</f>
        <v>N/A</v>
      </c>
      <c r="BK28" s="417" t="str">
        <f>IF(AY28/SUM(AY:AY)*'I-Project Contingency'!$F$66=0,"N/A",AY28/SUM(AY:AY)*'I-Project Contingency'!$F$66)</f>
        <v>N/A</v>
      </c>
      <c r="BL28" s="417" t="str">
        <f>IF(AZ28/SUM(AZ:AZ)*'I-Project Contingency'!$F$69=0,"N/A",AZ28/SUM(AZ:AZ)*'I-Project Contingency'!$F$69)</f>
        <v>N/A</v>
      </c>
      <c r="BM28" s="417" t="str">
        <f>IF(BA28/SUM(BA:BA)*'I-Project Contingency'!$F$70=0,"N/A",BA28/SUM(BA:BA)*'I-Project Contingency'!$F$70)</f>
        <v>N/A</v>
      </c>
      <c r="BN28" s="416" t="str">
        <f>IF(BP28="N/A","N/A",IF('D-Project Data'!$C$6=50%,ABS(BP28),IF('D-Project Data'!$C$6=80%,ABS(BQ28),IF('D-Project Data'!$C$6=90%,ABS(BR28)))))</f>
        <v>N/A</v>
      </c>
      <c r="BO28" s="418" t="str">
        <f>IF(BN28="N/A","N/A",RANK(BN28,$BN$18:$BN$117,0)+COUNTIF($BN$18:BN28,BN28)-1)</f>
        <v>N/A</v>
      </c>
      <c r="BP28" s="416" t="str">
        <f>IF(BF28/SUM(BF:BF)*'I-Project Contingency'!$F$81=0,"N/A",BF28/SUM(BF:BF)*'I-Project Contingency'!$F$81)</f>
        <v>N/A</v>
      </c>
      <c r="BQ28" s="416" t="str">
        <f>IF(BG28/SUM(BG:BG)*'I-Project Contingency'!$F$84=0,"N/A",BG28/SUM(BG:BG)*'I-Project Contingency'!$F$84)</f>
        <v>N/A</v>
      </c>
      <c r="BR28" s="416" t="str">
        <f>IF(BH28/SUM(BH:BH)*'I-Project Contingency'!$F$85=0,"N/A",BH28/SUM(BH:BH)*'I-Project Contingency'!$F$85)</f>
        <v>N/A</v>
      </c>
      <c r="BS28" s="418">
        <f t="shared" si="12"/>
        <v>11</v>
      </c>
      <c r="BT28" s="419" t="str">
        <f t="shared" si="13"/>
        <v>11 - Common Risks to Consider:  Prime vs. Subcontracted Work</v>
      </c>
      <c r="BU28" s="413">
        <f t="shared" si="14"/>
        <v>0</v>
      </c>
      <c r="BV28" s="413">
        <f t="shared" si="15"/>
        <v>0</v>
      </c>
      <c r="BW28" s="415">
        <f t="shared" si="16"/>
        <v>0</v>
      </c>
      <c r="BX28" s="415">
        <f t="shared" si="17"/>
        <v>0</v>
      </c>
    </row>
    <row r="29" spans="1:76" ht="57.6" x14ac:dyDescent="0.3">
      <c r="A29" s="193">
        <f t="shared" si="22"/>
        <v>12</v>
      </c>
      <c r="B29" s="194" t="s">
        <v>747</v>
      </c>
      <c r="C29" s="204" t="s">
        <v>1327</v>
      </c>
      <c r="D29" s="205" t="s">
        <v>1312</v>
      </c>
      <c r="E29" s="195" t="s">
        <v>1313</v>
      </c>
      <c r="F29" s="196" t="s">
        <v>716</v>
      </c>
      <c r="G29" s="196" t="s">
        <v>730</v>
      </c>
      <c r="H29" s="187" t="str">
        <f>IF('H-Risk Register-Model'!F29="Certain","Relook at Basis of Estimate",INDEX('G-Assumptions'!$F$8:$J$11,MATCH(F29,'G-Assumptions'!$D$8:$D$11,0),MATCH(G29,'G-Assumptions'!$F$6:$J$6,0)))</f>
        <v>Relook at Basis of Estimate</v>
      </c>
      <c r="I29" s="197" t="s">
        <v>730</v>
      </c>
      <c r="J29" s="187" t="str">
        <f>IF('H-Risk Register-Model'!F29="Certain","Relook at Basis of Estimate",INDEX('G-Assumptions'!$F$8:$J$11,MATCH(F29,'G-Assumptions'!$D$8:$D$11,0),MATCH(I29,'G-Assumptions'!$F$6:$J$6,0)))</f>
        <v>Relook at Basis of Estimate</v>
      </c>
      <c r="K29" s="197" t="s">
        <v>747</v>
      </c>
      <c r="L29" s="197" t="s">
        <v>747</v>
      </c>
      <c r="M29" s="197"/>
      <c r="N29" s="384" t="s">
        <v>747</v>
      </c>
      <c r="O29" s="384" t="s">
        <v>747</v>
      </c>
      <c r="P29" s="198"/>
      <c r="Q29" s="198"/>
      <c r="R29" s="198"/>
      <c r="S29" s="199"/>
      <c r="T29" s="199"/>
      <c r="U29" s="199"/>
      <c r="V29" s="206"/>
      <c r="W29" s="198"/>
      <c r="X29" s="198"/>
      <c r="Y29" s="200">
        <v>1</v>
      </c>
      <c r="Z29" s="201">
        <v>1</v>
      </c>
      <c r="AA29" s="202">
        <f t="shared" si="3"/>
        <v>0</v>
      </c>
      <c r="AB29" s="202">
        <f t="shared" si="4"/>
        <v>0</v>
      </c>
      <c r="AC29" s="202">
        <f t="shared" si="5"/>
        <v>0</v>
      </c>
      <c r="AD29" s="202"/>
      <c r="AE29" s="198">
        <f t="shared" si="6"/>
        <v>0</v>
      </c>
      <c r="AF29" s="203"/>
      <c r="AG29" s="199">
        <f t="shared" si="7"/>
        <v>0</v>
      </c>
      <c r="AH29" s="195"/>
      <c r="AI29" s="195"/>
      <c r="AJ29" s="8"/>
      <c r="AK29" s="616" t="str">
        <f t="shared" si="8"/>
        <v>No</v>
      </c>
      <c r="AL29" s="617">
        <f>'I-Project Contingency'!$I$4</f>
        <v>28979098.489999998</v>
      </c>
      <c r="AM29" s="399">
        <f>'I-Project Contingency'!$I$11</f>
        <v>64.971830985915489</v>
      </c>
      <c r="AN29" s="398">
        <f t="shared" si="21"/>
        <v>0</v>
      </c>
      <c r="AO29" s="399">
        <f t="shared" si="18"/>
        <v>0</v>
      </c>
      <c r="AP29" s="1110" t="str">
        <f t="shared" si="19"/>
        <v>Negligible</v>
      </c>
      <c r="AQ29" s="1110" t="str">
        <f t="shared" si="20"/>
        <v>Negligible</v>
      </c>
      <c r="AR29" s="618" t="str">
        <f t="shared" si="10"/>
        <v/>
      </c>
      <c r="AS29" s="618" t="str">
        <f t="shared" si="11"/>
        <v/>
      </c>
      <c r="AT29" s="8"/>
      <c r="AU29" s="412">
        <f>'I-Project Contingency'!$O$4-AE29</f>
        <v>0</v>
      </c>
      <c r="AV29" s="413">
        <v>3099768.1860032952</v>
      </c>
      <c r="AW29" s="413">
        <v>8430883.7862095013</v>
      </c>
      <c r="AX29" s="413">
        <v>11173736.674482957</v>
      </c>
      <c r="AY29" s="413">
        <f>'I-Project Contingency'!$E$66-AV29</f>
        <v>0</v>
      </c>
      <c r="AZ29" s="413">
        <f>'I-Project Contingency'!$E$69-AW29</f>
        <v>0</v>
      </c>
      <c r="BA29" s="413">
        <f>'I-Project Contingency'!$E$70-AX29</f>
        <v>0</v>
      </c>
      <c r="BB29" s="414">
        <f>'I-Project Contingency'!$O$5-AG29</f>
        <v>0</v>
      </c>
      <c r="BC29" s="415">
        <v>1.78464631257918</v>
      </c>
      <c r="BD29" s="415">
        <v>4.4807515628171739</v>
      </c>
      <c r="BE29" s="416">
        <v>5.8619163793628264</v>
      </c>
      <c r="BF29" s="415">
        <f>'I-Project Contingency'!$E$81-BC29</f>
        <v>0</v>
      </c>
      <c r="BG29" s="415">
        <f>'I-Project Contingency'!$E$84-BD29</f>
        <v>0</v>
      </c>
      <c r="BH29" s="415">
        <f>'I-Project Contingency'!$E$85-BE29</f>
        <v>0</v>
      </c>
      <c r="BI29" s="417" t="str">
        <f>IF(BK29="N/A","N/A",IF('D-Project Data'!$C$6=50%,ABS(BK29),IF('D-Project Data'!$C$6=80%,ABS(BL29),IF('D-Project Data'!$C$6=90%,ABS(BM29)))))</f>
        <v>N/A</v>
      </c>
      <c r="BJ29" s="418" t="str">
        <f>IF(BI29="N/A","N/A",RANK(BI29,$BI$18:$BI$117,0)+COUNTIF($BI$18:BI29,BI29)-1)</f>
        <v>N/A</v>
      </c>
      <c r="BK29" s="417" t="str">
        <f>IF(AY29/SUM(AY:AY)*'I-Project Contingency'!$F$66=0,"N/A",AY29/SUM(AY:AY)*'I-Project Contingency'!$F$66)</f>
        <v>N/A</v>
      </c>
      <c r="BL29" s="417" t="str">
        <f>IF(AZ29/SUM(AZ:AZ)*'I-Project Contingency'!$F$69=0,"N/A",AZ29/SUM(AZ:AZ)*'I-Project Contingency'!$F$69)</f>
        <v>N/A</v>
      </c>
      <c r="BM29" s="417" t="str">
        <f>IF(BA29/SUM(BA:BA)*'I-Project Contingency'!$F$70=0,"N/A",BA29/SUM(BA:BA)*'I-Project Contingency'!$F$70)</f>
        <v>N/A</v>
      </c>
      <c r="BN29" s="416" t="str">
        <f>IF(BP29="N/A","N/A",IF('D-Project Data'!$C$6=50%,ABS(BP29),IF('D-Project Data'!$C$6=80%,ABS(BQ29),IF('D-Project Data'!$C$6=90%,ABS(BR29)))))</f>
        <v>N/A</v>
      </c>
      <c r="BO29" s="418" t="str">
        <f>IF(BN29="N/A","N/A",RANK(BN29,$BN$18:$BN$117,0)+COUNTIF($BN$18:BN29,BN29)-1)</f>
        <v>N/A</v>
      </c>
      <c r="BP29" s="416" t="str">
        <f>IF(BF29/SUM(BF:BF)*'I-Project Contingency'!$F$81=0,"N/A",BF29/SUM(BF:BF)*'I-Project Contingency'!$F$81)</f>
        <v>N/A</v>
      </c>
      <c r="BQ29" s="416" t="str">
        <f>IF(BG29/SUM(BG:BG)*'I-Project Contingency'!$F$84=0,"N/A",BG29/SUM(BG:BG)*'I-Project Contingency'!$F$84)</f>
        <v>N/A</v>
      </c>
      <c r="BR29" s="416" t="str">
        <f>IF(BH29/SUM(BH:BH)*'I-Project Contingency'!$F$85=0,"N/A",BH29/SUM(BH:BH)*'I-Project Contingency'!$F$85)</f>
        <v>N/A</v>
      </c>
      <c r="BS29" s="418">
        <f t="shared" si="12"/>
        <v>12</v>
      </c>
      <c r="BT29" s="419" t="str">
        <f t="shared" si="13"/>
        <v>12 - Common Risks to Consider:  Construction Schedule</v>
      </c>
      <c r="BU29" s="413">
        <f t="shared" si="14"/>
        <v>0</v>
      </c>
      <c r="BV29" s="413">
        <f t="shared" si="15"/>
        <v>0</v>
      </c>
      <c r="BW29" s="415">
        <f t="shared" si="16"/>
        <v>0</v>
      </c>
      <c r="BX29" s="415">
        <f t="shared" si="17"/>
        <v>0</v>
      </c>
    </row>
    <row r="30" spans="1:76" s="595" customFormat="1" ht="43.2" x14ac:dyDescent="0.3">
      <c r="A30" s="575">
        <f t="shared" si="22"/>
        <v>13</v>
      </c>
      <c r="B30" s="576" t="s">
        <v>747</v>
      </c>
      <c r="C30" s="577"/>
      <c r="D30" s="578"/>
      <c r="E30" s="579"/>
      <c r="F30" s="196" t="s">
        <v>716</v>
      </c>
      <c r="G30" s="196" t="s">
        <v>730</v>
      </c>
      <c r="H30" s="580" t="str">
        <f>IF('H-Risk Register-Model'!F30="Certain","Relook at Basis of Estimate",INDEX('G-Assumptions'!$F$8:$J$11,MATCH(F30,'G-Assumptions'!$D$8:$D$11,0),MATCH(G30,'G-Assumptions'!$F$6:$J$6,0)))</f>
        <v>Relook at Basis of Estimate</v>
      </c>
      <c r="I30" s="197" t="s">
        <v>730</v>
      </c>
      <c r="J30" s="580" t="str">
        <f>IF('H-Risk Register-Model'!F30="Certain","Relook at Basis of Estimate",INDEX('G-Assumptions'!$F$8:$J$11,MATCH(F30,'G-Assumptions'!$D$8:$D$11,0),MATCH(I30,'G-Assumptions'!$F$6:$J$6,0)))</f>
        <v>Relook at Basis of Estimate</v>
      </c>
      <c r="K30" s="197" t="s">
        <v>747</v>
      </c>
      <c r="L30" s="197" t="s">
        <v>747</v>
      </c>
      <c r="M30" s="581"/>
      <c r="N30" s="384" t="s">
        <v>747</v>
      </c>
      <c r="O30" s="384" t="s">
        <v>747</v>
      </c>
      <c r="P30" s="198"/>
      <c r="Q30" s="198"/>
      <c r="R30" s="198"/>
      <c r="S30" s="199"/>
      <c r="T30" s="199"/>
      <c r="U30" s="199"/>
      <c r="V30" s="206"/>
      <c r="W30" s="198"/>
      <c r="X30" s="198"/>
      <c r="Y30" s="584">
        <v>1</v>
      </c>
      <c r="Z30" s="585">
        <v>1</v>
      </c>
      <c r="AA30" s="586">
        <f t="shared" si="3"/>
        <v>0</v>
      </c>
      <c r="AB30" s="586">
        <f t="shared" si="4"/>
        <v>0</v>
      </c>
      <c r="AC30" s="586">
        <f t="shared" si="5"/>
        <v>0</v>
      </c>
      <c r="AD30" s="586"/>
      <c r="AE30" s="582">
        <f t="shared" si="6"/>
        <v>0</v>
      </c>
      <c r="AF30" s="587"/>
      <c r="AG30" s="583">
        <f t="shared" si="7"/>
        <v>0</v>
      </c>
      <c r="AH30" s="195"/>
      <c r="AI30" s="195"/>
      <c r="AJ30" s="588"/>
      <c r="AK30" s="619" t="str">
        <f t="shared" si="8"/>
        <v>No</v>
      </c>
      <c r="AL30" s="620">
        <f>'I-Project Contingency'!$I$4</f>
        <v>28979098.489999998</v>
      </c>
      <c r="AM30" s="399">
        <f>'I-Project Contingency'!$I$11</f>
        <v>64.971830985915489</v>
      </c>
      <c r="AN30" s="398">
        <f t="shared" si="21"/>
        <v>0</v>
      </c>
      <c r="AO30" s="399">
        <f t="shared" si="18"/>
        <v>0</v>
      </c>
      <c r="AP30" s="1110" t="str">
        <f t="shared" si="19"/>
        <v>Negligible</v>
      </c>
      <c r="AQ30" s="1110" t="str">
        <f t="shared" si="20"/>
        <v>Negligible</v>
      </c>
      <c r="AR30" s="621" t="str">
        <f t="shared" si="10"/>
        <v/>
      </c>
      <c r="AS30" s="621" t="str">
        <f t="shared" si="11"/>
        <v/>
      </c>
      <c r="AT30" s="588"/>
      <c r="AU30" s="412">
        <f>'I-Project Contingency'!$O$4-AE30</f>
        <v>0</v>
      </c>
      <c r="AV30" s="589">
        <v>3099768.1860032952</v>
      </c>
      <c r="AW30" s="589">
        <v>8430883.7862095013</v>
      </c>
      <c r="AX30" s="589">
        <v>11173736.674482957</v>
      </c>
      <c r="AY30" s="589">
        <f>'I-Project Contingency'!$E$66-AV30</f>
        <v>0</v>
      </c>
      <c r="AZ30" s="589">
        <f>'I-Project Contingency'!$E$69-AW30</f>
        <v>0</v>
      </c>
      <c r="BA30" s="589">
        <f>'I-Project Contingency'!$E$70-AX30</f>
        <v>0</v>
      </c>
      <c r="BB30" s="414">
        <f>'I-Project Contingency'!$O$5-AG30</f>
        <v>0</v>
      </c>
      <c r="BC30" s="590">
        <v>1.78464631257918</v>
      </c>
      <c r="BD30" s="590">
        <v>4.4807515628171739</v>
      </c>
      <c r="BE30" s="591">
        <v>5.8619163793628264</v>
      </c>
      <c r="BF30" s="590">
        <f>'I-Project Contingency'!$E$81-BC30</f>
        <v>0</v>
      </c>
      <c r="BG30" s="590">
        <f>'I-Project Contingency'!$E$84-BD30</f>
        <v>0</v>
      </c>
      <c r="BH30" s="590">
        <f>'I-Project Contingency'!$E$85-BE30</f>
        <v>0</v>
      </c>
      <c r="BI30" s="592" t="str">
        <f>IF(BK30="N/A","N/A",IF('D-Project Data'!$C$6=50%,ABS(BK30),IF('D-Project Data'!$C$6=80%,ABS(BL30),IF('D-Project Data'!$C$6=90%,ABS(BM30)))))</f>
        <v>N/A</v>
      </c>
      <c r="BJ30" s="593" t="str">
        <f>IF(BI30="N/A","N/A",RANK(BI30,$BI$18:$BI$117,0)+COUNTIF($BI$18:BI30,BI30)-1)</f>
        <v>N/A</v>
      </c>
      <c r="BK30" s="592" t="str">
        <f>IF(AY30/SUM(AY:AY)*'I-Project Contingency'!$F$66=0,"N/A",AY30/SUM(AY:AY)*'I-Project Contingency'!$F$66)</f>
        <v>N/A</v>
      </c>
      <c r="BL30" s="592" t="str">
        <f>IF(AZ30/SUM(AZ:AZ)*'I-Project Contingency'!$F$69=0,"N/A",AZ30/SUM(AZ:AZ)*'I-Project Contingency'!$F$69)</f>
        <v>N/A</v>
      </c>
      <c r="BM30" s="592" t="str">
        <f>IF(BA30/SUM(BA:BA)*'I-Project Contingency'!$F$70=0,"N/A",BA30/SUM(BA:BA)*'I-Project Contingency'!$F$70)</f>
        <v>N/A</v>
      </c>
      <c r="BN30" s="591" t="str">
        <f>IF(BP30="N/A","N/A",IF('D-Project Data'!$C$6=50%,ABS(BP30),IF('D-Project Data'!$C$6=80%,ABS(BQ30),IF('D-Project Data'!$C$6=90%,ABS(BR30)))))</f>
        <v>N/A</v>
      </c>
      <c r="BO30" s="593" t="str">
        <f>IF(BN30="N/A","N/A",RANK(BN30,$BN$18:$BN$117,0)+COUNTIF($BN$18:BN30,BN30)-1)</f>
        <v>N/A</v>
      </c>
      <c r="BP30" s="591" t="str">
        <f>IF(BF30/SUM(BF:BF)*'I-Project Contingency'!$F$81=0,"N/A",BF30/SUM(BF:BF)*'I-Project Contingency'!$F$81)</f>
        <v>N/A</v>
      </c>
      <c r="BQ30" s="591" t="str">
        <f>IF(BG30/SUM(BG:BG)*'I-Project Contingency'!$F$84=0,"N/A",BG30/SUM(BG:BG)*'I-Project Contingency'!$F$84)</f>
        <v>N/A</v>
      </c>
      <c r="BR30" s="591" t="str">
        <f>IF(BH30/SUM(BH:BH)*'I-Project Contingency'!$F$85=0,"N/A",BH30/SUM(BH:BH)*'I-Project Contingency'!$F$85)</f>
        <v>N/A</v>
      </c>
      <c r="BS30" s="593">
        <f t="shared" si="12"/>
        <v>13</v>
      </c>
      <c r="BT30" s="594" t="str">
        <f t="shared" si="13"/>
        <v xml:space="preserve">13 - </v>
      </c>
      <c r="BU30" s="589">
        <f t="shared" si="14"/>
        <v>0</v>
      </c>
      <c r="BV30" s="589">
        <f t="shared" si="15"/>
        <v>0</v>
      </c>
      <c r="BW30" s="590">
        <f t="shared" si="16"/>
        <v>0</v>
      </c>
      <c r="BX30" s="590">
        <f t="shared" si="17"/>
        <v>0</v>
      </c>
    </row>
    <row r="31" spans="1:76" ht="43.2" x14ac:dyDescent="0.3">
      <c r="A31" s="193">
        <f t="shared" si="22"/>
        <v>14</v>
      </c>
      <c r="B31" s="194" t="s">
        <v>747</v>
      </c>
      <c r="C31" s="204"/>
      <c r="D31" s="205"/>
      <c r="E31" s="195"/>
      <c r="F31" s="196" t="s">
        <v>716</v>
      </c>
      <c r="G31" s="196" t="s">
        <v>730</v>
      </c>
      <c r="H31" s="187" t="str">
        <f>IF('H-Risk Register-Model'!F31="Certain","Relook at Basis of Estimate",INDEX('G-Assumptions'!$F$8:$J$11,MATCH(F31,'G-Assumptions'!$D$8:$D$11,0),MATCH(G31,'G-Assumptions'!$F$6:$J$6,0)))</f>
        <v>Relook at Basis of Estimate</v>
      </c>
      <c r="I31" s="197" t="s">
        <v>730</v>
      </c>
      <c r="J31" s="187" t="str">
        <f>IF('H-Risk Register-Model'!F31="Certain","Relook at Basis of Estimate",INDEX('G-Assumptions'!$F$8:$J$11,MATCH(F31,'G-Assumptions'!$D$8:$D$11,0),MATCH(I31,'G-Assumptions'!$F$6:$J$6,0)))</f>
        <v>Relook at Basis of Estimate</v>
      </c>
      <c r="K31" s="197" t="s">
        <v>747</v>
      </c>
      <c r="L31" s="197" t="s">
        <v>747</v>
      </c>
      <c r="M31" s="197"/>
      <c r="N31" s="384" t="s">
        <v>747</v>
      </c>
      <c r="O31" s="384" t="s">
        <v>747</v>
      </c>
      <c r="P31" s="198"/>
      <c r="Q31" s="198"/>
      <c r="R31" s="198"/>
      <c r="S31" s="199"/>
      <c r="T31" s="199"/>
      <c r="U31" s="199"/>
      <c r="V31" s="206"/>
      <c r="W31" s="198"/>
      <c r="X31" s="198"/>
      <c r="Y31" s="200">
        <v>1</v>
      </c>
      <c r="Z31" s="201">
        <v>1</v>
      </c>
      <c r="AA31" s="202">
        <f t="shared" si="3"/>
        <v>0</v>
      </c>
      <c r="AB31" s="202">
        <f t="shared" si="4"/>
        <v>0</v>
      </c>
      <c r="AC31" s="202">
        <f t="shared" si="5"/>
        <v>0</v>
      </c>
      <c r="AD31" s="202"/>
      <c r="AE31" s="198">
        <f t="shared" si="6"/>
        <v>0</v>
      </c>
      <c r="AF31" s="203"/>
      <c r="AG31" s="199">
        <f t="shared" si="7"/>
        <v>0</v>
      </c>
      <c r="AH31" s="195"/>
      <c r="AI31" s="195"/>
      <c r="AJ31" s="8"/>
      <c r="AK31" s="616" t="str">
        <f t="shared" si="8"/>
        <v>No</v>
      </c>
      <c r="AL31" s="617">
        <f>'I-Project Contingency'!$I$4</f>
        <v>28979098.489999998</v>
      </c>
      <c r="AM31" s="399">
        <f>'I-Project Contingency'!$I$11</f>
        <v>64.971830985915489</v>
      </c>
      <c r="AN31" s="398">
        <f t="shared" si="21"/>
        <v>0</v>
      </c>
      <c r="AO31" s="399">
        <f t="shared" si="18"/>
        <v>0</v>
      </c>
      <c r="AP31" s="1110" t="str">
        <f t="shared" si="19"/>
        <v>Negligible</v>
      </c>
      <c r="AQ31" s="1110" t="str">
        <f t="shared" si="20"/>
        <v>Negligible</v>
      </c>
      <c r="AR31" s="618" t="str">
        <f t="shared" si="10"/>
        <v/>
      </c>
      <c r="AS31" s="618" t="str">
        <f t="shared" si="11"/>
        <v/>
      </c>
      <c r="AT31" s="8"/>
      <c r="AU31" s="412">
        <f>'I-Project Contingency'!$O$4-AE31</f>
        <v>0</v>
      </c>
      <c r="AV31" s="413">
        <v>3099768.1860032952</v>
      </c>
      <c r="AW31" s="413">
        <v>8430883.7862095013</v>
      </c>
      <c r="AX31" s="413">
        <v>11173736.674482957</v>
      </c>
      <c r="AY31" s="413">
        <f>'I-Project Contingency'!$E$66-AV31</f>
        <v>0</v>
      </c>
      <c r="AZ31" s="413">
        <f>'I-Project Contingency'!$E$69-AW31</f>
        <v>0</v>
      </c>
      <c r="BA31" s="413">
        <f>'I-Project Contingency'!$E$70-AX31</f>
        <v>0</v>
      </c>
      <c r="BB31" s="414">
        <f>'I-Project Contingency'!$O$5-AG31</f>
        <v>0</v>
      </c>
      <c r="BC31" s="415">
        <v>1.78464631257918</v>
      </c>
      <c r="BD31" s="415">
        <v>4.4807515628171739</v>
      </c>
      <c r="BE31" s="416">
        <v>5.8619163793628264</v>
      </c>
      <c r="BF31" s="415">
        <f>'I-Project Contingency'!$E$81-BC31</f>
        <v>0</v>
      </c>
      <c r="BG31" s="415">
        <f>'I-Project Contingency'!$E$84-BD31</f>
        <v>0</v>
      </c>
      <c r="BH31" s="415">
        <f>'I-Project Contingency'!$E$85-BE31</f>
        <v>0</v>
      </c>
      <c r="BI31" s="417" t="str">
        <f>IF(BK31="N/A","N/A",IF('D-Project Data'!$C$6=50%,ABS(BK31),IF('D-Project Data'!$C$6=80%,ABS(BL31),IF('D-Project Data'!$C$6=90%,ABS(BM31)))))</f>
        <v>N/A</v>
      </c>
      <c r="BJ31" s="418" t="str">
        <f>IF(BI31="N/A","N/A",RANK(BI31,$BI$18:$BI$117,0)+COUNTIF($BI$18:BI31,BI31)-1)</f>
        <v>N/A</v>
      </c>
      <c r="BK31" s="417" t="str">
        <f>IF(AY31/SUM(AY:AY)*'I-Project Contingency'!$F$66=0,"N/A",AY31/SUM(AY:AY)*'I-Project Contingency'!$F$66)</f>
        <v>N/A</v>
      </c>
      <c r="BL31" s="417" t="str">
        <f>IF(AZ31/SUM(AZ:AZ)*'I-Project Contingency'!$F$69=0,"N/A",AZ31/SUM(AZ:AZ)*'I-Project Contingency'!$F$69)</f>
        <v>N/A</v>
      </c>
      <c r="BM31" s="417" t="str">
        <f>IF(BA31/SUM(BA:BA)*'I-Project Contingency'!$F$70=0,"N/A",BA31/SUM(BA:BA)*'I-Project Contingency'!$F$70)</f>
        <v>N/A</v>
      </c>
      <c r="BN31" s="416" t="str">
        <f>IF(BP31="N/A","N/A",IF('D-Project Data'!$C$6=50%,ABS(BP31),IF('D-Project Data'!$C$6=80%,ABS(BQ31),IF('D-Project Data'!$C$6=90%,ABS(BR31)))))</f>
        <v>N/A</v>
      </c>
      <c r="BO31" s="418" t="str">
        <f>IF(BN31="N/A","N/A",RANK(BN31,$BN$18:$BN$117,0)+COUNTIF($BN$18:BN31,BN31)-1)</f>
        <v>N/A</v>
      </c>
      <c r="BP31" s="416" t="str">
        <f>IF(BF31/SUM(BF:BF)*'I-Project Contingency'!$F$81=0,"N/A",BF31/SUM(BF:BF)*'I-Project Contingency'!$F$81)</f>
        <v>N/A</v>
      </c>
      <c r="BQ31" s="416" t="str">
        <f>IF(BG31/SUM(BG:BG)*'I-Project Contingency'!$F$84=0,"N/A",BG31/SUM(BG:BG)*'I-Project Contingency'!$F$84)</f>
        <v>N/A</v>
      </c>
      <c r="BR31" s="416" t="str">
        <f>IF(BH31/SUM(BH:BH)*'I-Project Contingency'!$F$85=0,"N/A",BH31/SUM(BH:BH)*'I-Project Contingency'!$F$85)</f>
        <v>N/A</v>
      </c>
      <c r="BS31" s="418">
        <f t="shared" si="12"/>
        <v>14</v>
      </c>
      <c r="BT31" s="419" t="str">
        <f t="shared" si="13"/>
        <v xml:space="preserve">14 - </v>
      </c>
      <c r="BU31" s="413">
        <f t="shared" si="14"/>
        <v>0</v>
      </c>
      <c r="BV31" s="413">
        <f t="shared" si="15"/>
        <v>0</v>
      </c>
      <c r="BW31" s="415">
        <f t="shared" si="16"/>
        <v>0</v>
      </c>
      <c r="BX31" s="415">
        <f t="shared" si="17"/>
        <v>0</v>
      </c>
    </row>
    <row r="32" spans="1:76" ht="43.2" x14ac:dyDescent="0.3">
      <c r="A32" s="193">
        <f t="shared" si="22"/>
        <v>15</v>
      </c>
      <c r="B32" s="194" t="s">
        <v>747</v>
      </c>
      <c r="C32" s="204"/>
      <c r="D32" s="205"/>
      <c r="E32" s="195"/>
      <c r="F32" s="196" t="s">
        <v>716</v>
      </c>
      <c r="G32" s="196" t="s">
        <v>730</v>
      </c>
      <c r="H32" s="187" t="str">
        <f>IF('H-Risk Register-Model'!F32="Certain","Relook at Basis of Estimate",INDEX('G-Assumptions'!$F$8:$J$11,MATCH(F32,'G-Assumptions'!$D$8:$D$11,0),MATCH(G32,'G-Assumptions'!$F$6:$J$6,0)))</f>
        <v>Relook at Basis of Estimate</v>
      </c>
      <c r="I32" s="197" t="s">
        <v>730</v>
      </c>
      <c r="J32" s="187" t="str">
        <f>IF('H-Risk Register-Model'!F32="Certain","Relook at Basis of Estimate",INDEX('G-Assumptions'!$F$8:$J$11,MATCH(F32,'G-Assumptions'!$D$8:$D$11,0),MATCH(I32,'G-Assumptions'!$F$6:$J$6,0)))</f>
        <v>Relook at Basis of Estimate</v>
      </c>
      <c r="K32" s="197" t="s">
        <v>747</v>
      </c>
      <c r="L32" s="197" t="s">
        <v>747</v>
      </c>
      <c r="M32" s="197"/>
      <c r="N32" s="384" t="s">
        <v>747</v>
      </c>
      <c r="O32" s="384" t="s">
        <v>747</v>
      </c>
      <c r="P32" s="198"/>
      <c r="Q32" s="198"/>
      <c r="R32" s="198"/>
      <c r="S32" s="199"/>
      <c r="T32" s="199"/>
      <c r="U32" s="199"/>
      <c r="V32" s="206"/>
      <c r="W32" s="198"/>
      <c r="X32" s="198"/>
      <c r="Y32" s="200">
        <v>1</v>
      </c>
      <c r="Z32" s="201">
        <v>1</v>
      </c>
      <c r="AA32" s="202">
        <f t="shared" si="3"/>
        <v>0</v>
      </c>
      <c r="AB32" s="202">
        <f t="shared" si="4"/>
        <v>0</v>
      </c>
      <c r="AC32" s="202">
        <f t="shared" si="5"/>
        <v>0</v>
      </c>
      <c r="AD32" s="202"/>
      <c r="AE32" s="198">
        <f t="shared" si="6"/>
        <v>0</v>
      </c>
      <c r="AF32" s="203"/>
      <c r="AG32" s="199">
        <f t="shared" si="7"/>
        <v>0</v>
      </c>
      <c r="AH32" s="195"/>
      <c r="AI32" s="195"/>
      <c r="AJ32" s="8"/>
      <c r="AK32" s="616" t="str">
        <f t="shared" si="8"/>
        <v>No</v>
      </c>
      <c r="AL32" s="617">
        <f>'I-Project Contingency'!$I$4</f>
        <v>28979098.489999998</v>
      </c>
      <c r="AM32" s="399">
        <f>'I-Project Contingency'!$I$11</f>
        <v>64.971830985915489</v>
      </c>
      <c r="AN32" s="398">
        <f t="shared" si="21"/>
        <v>0</v>
      </c>
      <c r="AO32" s="399">
        <f t="shared" si="18"/>
        <v>0</v>
      </c>
      <c r="AP32" s="1110" t="str">
        <f t="shared" si="19"/>
        <v>Negligible</v>
      </c>
      <c r="AQ32" s="1110" t="str">
        <f t="shared" si="20"/>
        <v>Negligible</v>
      </c>
      <c r="AR32" s="618" t="str">
        <f t="shared" si="10"/>
        <v/>
      </c>
      <c r="AS32" s="618" t="str">
        <f t="shared" si="11"/>
        <v/>
      </c>
      <c r="AT32" s="8"/>
      <c r="AU32" s="412">
        <f>'I-Project Contingency'!$O$4-AE32</f>
        <v>0</v>
      </c>
      <c r="AV32" s="413">
        <v>3099768.1860032952</v>
      </c>
      <c r="AW32" s="413">
        <v>8430883.7862095013</v>
      </c>
      <c r="AX32" s="413">
        <v>11173736.674482957</v>
      </c>
      <c r="AY32" s="413">
        <f>'I-Project Contingency'!$E$66-AV32</f>
        <v>0</v>
      </c>
      <c r="AZ32" s="413">
        <f>'I-Project Contingency'!$E$69-AW32</f>
        <v>0</v>
      </c>
      <c r="BA32" s="413">
        <f>'I-Project Contingency'!$E$70-AX32</f>
        <v>0</v>
      </c>
      <c r="BB32" s="414">
        <f>'I-Project Contingency'!$O$5-AG32</f>
        <v>0</v>
      </c>
      <c r="BC32" s="415">
        <v>1.78464631257918</v>
      </c>
      <c r="BD32" s="415">
        <v>4.4807515628171739</v>
      </c>
      <c r="BE32" s="416">
        <v>5.8619163793628264</v>
      </c>
      <c r="BF32" s="415">
        <f>'I-Project Contingency'!$E$81-BC32</f>
        <v>0</v>
      </c>
      <c r="BG32" s="415">
        <f>'I-Project Contingency'!$E$84-BD32</f>
        <v>0</v>
      </c>
      <c r="BH32" s="415">
        <f>'I-Project Contingency'!$E$85-BE32</f>
        <v>0</v>
      </c>
      <c r="BI32" s="417" t="str">
        <f>IF(BK32="N/A","N/A",IF('D-Project Data'!$C$6=50%,ABS(BK32),IF('D-Project Data'!$C$6=80%,ABS(BL32),IF('D-Project Data'!$C$6=90%,ABS(BM32)))))</f>
        <v>N/A</v>
      </c>
      <c r="BJ32" s="418" t="str">
        <f>IF(BI32="N/A","N/A",RANK(BI32,$BI$18:$BI$117,0)+COUNTIF($BI$18:BI32,BI32)-1)</f>
        <v>N/A</v>
      </c>
      <c r="BK32" s="417" t="str">
        <f>IF(AY32/SUM(AY:AY)*'I-Project Contingency'!$F$66=0,"N/A",AY32/SUM(AY:AY)*'I-Project Contingency'!$F$66)</f>
        <v>N/A</v>
      </c>
      <c r="BL32" s="417" t="str">
        <f>IF(AZ32/SUM(AZ:AZ)*'I-Project Contingency'!$F$69=0,"N/A",AZ32/SUM(AZ:AZ)*'I-Project Contingency'!$F$69)</f>
        <v>N/A</v>
      </c>
      <c r="BM32" s="417" t="str">
        <f>IF(BA32/SUM(BA:BA)*'I-Project Contingency'!$F$70=0,"N/A",BA32/SUM(BA:BA)*'I-Project Contingency'!$F$70)</f>
        <v>N/A</v>
      </c>
      <c r="BN32" s="416" t="str">
        <f>IF(BP32="N/A","N/A",IF('D-Project Data'!$C$6=50%,ABS(BP32),IF('D-Project Data'!$C$6=80%,ABS(BQ32),IF('D-Project Data'!$C$6=90%,ABS(BR32)))))</f>
        <v>N/A</v>
      </c>
      <c r="BO32" s="418" t="str">
        <f>IF(BN32="N/A","N/A",RANK(BN32,$BN$18:$BN$117,0)+COUNTIF($BN$18:BN32,BN32)-1)</f>
        <v>N/A</v>
      </c>
      <c r="BP32" s="416" t="str">
        <f>IF(BF32/SUM(BF:BF)*'I-Project Contingency'!$F$81=0,"N/A",BF32/SUM(BF:BF)*'I-Project Contingency'!$F$81)</f>
        <v>N/A</v>
      </c>
      <c r="BQ32" s="416" t="str">
        <f>IF(BG32/SUM(BG:BG)*'I-Project Contingency'!$F$84=0,"N/A",BG32/SUM(BG:BG)*'I-Project Contingency'!$F$84)</f>
        <v>N/A</v>
      </c>
      <c r="BR32" s="416" t="str">
        <f>IF(BH32/SUM(BH:BH)*'I-Project Contingency'!$F$85=0,"N/A",BH32/SUM(BH:BH)*'I-Project Contingency'!$F$85)</f>
        <v>N/A</v>
      </c>
      <c r="BS32" s="418">
        <f t="shared" si="12"/>
        <v>15</v>
      </c>
      <c r="BT32" s="419" t="str">
        <f t="shared" si="13"/>
        <v xml:space="preserve">15 - </v>
      </c>
      <c r="BU32" s="413">
        <f t="shared" si="14"/>
        <v>0</v>
      </c>
      <c r="BV32" s="413">
        <f t="shared" si="15"/>
        <v>0</v>
      </c>
      <c r="BW32" s="415">
        <f t="shared" si="16"/>
        <v>0</v>
      </c>
      <c r="BX32" s="415">
        <f t="shared" si="17"/>
        <v>0</v>
      </c>
    </row>
    <row r="33" spans="1:76" ht="43.2" x14ac:dyDescent="0.3">
      <c r="A33" s="193">
        <f t="shared" si="22"/>
        <v>16</v>
      </c>
      <c r="B33" s="194" t="s">
        <v>747</v>
      </c>
      <c r="C33" s="204"/>
      <c r="D33" s="205"/>
      <c r="E33" s="195"/>
      <c r="F33" s="196" t="s">
        <v>716</v>
      </c>
      <c r="G33" s="196" t="s">
        <v>730</v>
      </c>
      <c r="H33" s="187" t="str">
        <f>IF('H-Risk Register-Model'!F33="Certain","Relook at Basis of Estimate",INDEX('G-Assumptions'!$F$8:$J$11,MATCH(F33,'G-Assumptions'!$D$8:$D$11,0),MATCH(G33,'G-Assumptions'!$F$6:$J$6,0)))</f>
        <v>Relook at Basis of Estimate</v>
      </c>
      <c r="I33" s="197" t="s">
        <v>730</v>
      </c>
      <c r="J33" s="187" t="str">
        <f>IF('H-Risk Register-Model'!F33="Certain","Relook at Basis of Estimate",INDEX('G-Assumptions'!$F$8:$J$11,MATCH(F33,'G-Assumptions'!$D$8:$D$11,0),MATCH(I33,'G-Assumptions'!$F$6:$J$6,0)))</f>
        <v>Relook at Basis of Estimate</v>
      </c>
      <c r="K33" s="197" t="s">
        <v>747</v>
      </c>
      <c r="L33" s="197" t="s">
        <v>747</v>
      </c>
      <c r="M33" s="197"/>
      <c r="N33" s="384" t="s">
        <v>747</v>
      </c>
      <c r="O33" s="384" t="s">
        <v>747</v>
      </c>
      <c r="P33" s="198"/>
      <c r="Q33" s="198"/>
      <c r="R33" s="198"/>
      <c r="S33" s="199"/>
      <c r="T33" s="199"/>
      <c r="U33" s="199"/>
      <c r="V33" s="206"/>
      <c r="W33" s="198"/>
      <c r="X33" s="198"/>
      <c r="Y33" s="200">
        <v>1</v>
      </c>
      <c r="Z33" s="201">
        <v>1</v>
      </c>
      <c r="AA33" s="202">
        <f t="shared" si="3"/>
        <v>0</v>
      </c>
      <c r="AB33" s="202">
        <f t="shared" si="4"/>
        <v>0</v>
      </c>
      <c r="AC33" s="202">
        <f t="shared" si="5"/>
        <v>0</v>
      </c>
      <c r="AD33" s="202"/>
      <c r="AE33" s="198">
        <f t="shared" si="6"/>
        <v>0</v>
      </c>
      <c r="AF33" s="203"/>
      <c r="AG33" s="199">
        <f t="shared" si="7"/>
        <v>0</v>
      </c>
      <c r="AH33" s="195"/>
      <c r="AI33" s="195"/>
      <c r="AJ33" s="8"/>
      <c r="AK33" s="616" t="str">
        <f t="shared" si="8"/>
        <v>No</v>
      </c>
      <c r="AL33" s="617">
        <f>'I-Project Contingency'!$I$4</f>
        <v>28979098.489999998</v>
      </c>
      <c r="AM33" s="399">
        <f>'I-Project Contingency'!$I$11</f>
        <v>64.971830985915489</v>
      </c>
      <c r="AN33" s="398">
        <f t="shared" si="21"/>
        <v>0</v>
      </c>
      <c r="AO33" s="399">
        <f t="shared" si="18"/>
        <v>0</v>
      </c>
      <c r="AP33" s="1110" t="str">
        <f t="shared" si="19"/>
        <v>Negligible</v>
      </c>
      <c r="AQ33" s="1110" t="str">
        <f t="shared" si="20"/>
        <v>Negligible</v>
      </c>
      <c r="AR33" s="618" t="str">
        <f t="shared" si="10"/>
        <v/>
      </c>
      <c r="AS33" s="618" t="str">
        <f t="shared" si="11"/>
        <v/>
      </c>
      <c r="AT33" s="8"/>
      <c r="AU33" s="412">
        <f>'I-Project Contingency'!$O$4-AE33</f>
        <v>0</v>
      </c>
      <c r="AV33" s="413">
        <v>3099768.1860032952</v>
      </c>
      <c r="AW33" s="413">
        <v>8430883.7862095013</v>
      </c>
      <c r="AX33" s="413">
        <v>11173736.674482957</v>
      </c>
      <c r="AY33" s="413">
        <f>'I-Project Contingency'!$E$66-AV33</f>
        <v>0</v>
      </c>
      <c r="AZ33" s="413">
        <f>'I-Project Contingency'!$E$69-AW33</f>
        <v>0</v>
      </c>
      <c r="BA33" s="413">
        <f>'I-Project Contingency'!$E$70-AX33</f>
        <v>0</v>
      </c>
      <c r="BB33" s="414">
        <f>'I-Project Contingency'!$O$5-AG33</f>
        <v>0</v>
      </c>
      <c r="BC33" s="415">
        <v>1.78464631257918</v>
      </c>
      <c r="BD33" s="415">
        <v>4.4807515628171739</v>
      </c>
      <c r="BE33" s="416">
        <v>5.8619163793628264</v>
      </c>
      <c r="BF33" s="415">
        <f>'I-Project Contingency'!$E$81-BC33</f>
        <v>0</v>
      </c>
      <c r="BG33" s="415">
        <f>'I-Project Contingency'!$E$84-BD33</f>
        <v>0</v>
      </c>
      <c r="BH33" s="415">
        <f>'I-Project Contingency'!$E$85-BE33</f>
        <v>0</v>
      </c>
      <c r="BI33" s="417" t="str">
        <f>IF(BK33="N/A","N/A",IF('D-Project Data'!$C$6=50%,ABS(BK33),IF('D-Project Data'!$C$6=80%,ABS(BL33),IF('D-Project Data'!$C$6=90%,ABS(BM33)))))</f>
        <v>N/A</v>
      </c>
      <c r="BJ33" s="418" t="str">
        <f>IF(BI33="N/A","N/A",RANK(BI33,$BI$18:$BI$117,0)+COUNTIF($BI$18:BI33,BI33)-1)</f>
        <v>N/A</v>
      </c>
      <c r="BK33" s="417" t="str">
        <f>IF(AY33/SUM(AY:AY)*'I-Project Contingency'!$F$66=0,"N/A",AY33/SUM(AY:AY)*'I-Project Contingency'!$F$66)</f>
        <v>N/A</v>
      </c>
      <c r="BL33" s="417" t="str">
        <f>IF(AZ33/SUM(AZ:AZ)*'I-Project Contingency'!$F$69=0,"N/A",AZ33/SUM(AZ:AZ)*'I-Project Contingency'!$F$69)</f>
        <v>N/A</v>
      </c>
      <c r="BM33" s="417" t="str">
        <f>IF(BA33/SUM(BA:BA)*'I-Project Contingency'!$F$70=0,"N/A",BA33/SUM(BA:BA)*'I-Project Contingency'!$F$70)</f>
        <v>N/A</v>
      </c>
      <c r="BN33" s="416" t="str">
        <f>IF(BP33="N/A","N/A",IF('D-Project Data'!$C$6=50%,ABS(BP33),IF('D-Project Data'!$C$6=80%,ABS(BQ33),IF('D-Project Data'!$C$6=90%,ABS(BR33)))))</f>
        <v>N/A</v>
      </c>
      <c r="BO33" s="418" t="str">
        <f>IF(BN33="N/A","N/A",RANK(BN33,$BN$18:$BN$117,0)+COUNTIF($BN$18:BN33,BN33)-1)</f>
        <v>N/A</v>
      </c>
      <c r="BP33" s="416" t="str">
        <f>IF(BF33/SUM(BF:BF)*'I-Project Contingency'!$F$81=0,"N/A",BF33/SUM(BF:BF)*'I-Project Contingency'!$F$81)</f>
        <v>N/A</v>
      </c>
      <c r="BQ33" s="416" t="str">
        <f>IF(BG33/SUM(BG:BG)*'I-Project Contingency'!$F$84=0,"N/A",BG33/SUM(BG:BG)*'I-Project Contingency'!$F$84)</f>
        <v>N/A</v>
      </c>
      <c r="BR33" s="416" t="str">
        <f>IF(BH33/SUM(BH:BH)*'I-Project Contingency'!$F$85=0,"N/A",BH33/SUM(BH:BH)*'I-Project Contingency'!$F$85)</f>
        <v>N/A</v>
      </c>
      <c r="BS33" s="418">
        <f t="shared" si="12"/>
        <v>16</v>
      </c>
      <c r="BT33" s="419" t="str">
        <f t="shared" si="13"/>
        <v xml:space="preserve">16 - </v>
      </c>
      <c r="BU33" s="413">
        <f t="shared" si="14"/>
        <v>0</v>
      </c>
      <c r="BV33" s="413">
        <f t="shared" si="15"/>
        <v>0</v>
      </c>
      <c r="BW33" s="415">
        <f t="shared" si="16"/>
        <v>0</v>
      </c>
      <c r="BX33" s="415">
        <f t="shared" si="17"/>
        <v>0</v>
      </c>
    </row>
    <row r="34" spans="1:76" ht="43.2" x14ac:dyDescent="0.3">
      <c r="A34" s="193">
        <f t="shared" si="22"/>
        <v>17</v>
      </c>
      <c r="B34" s="194" t="s">
        <v>747</v>
      </c>
      <c r="C34" s="204"/>
      <c r="D34" s="205"/>
      <c r="E34" s="195"/>
      <c r="F34" s="196" t="s">
        <v>716</v>
      </c>
      <c r="G34" s="196" t="s">
        <v>730</v>
      </c>
      <c r="H34" s="187" t="str">
        <f>IF('H-Risk Register-Model'!F34="Certain","Relook at Basis of Estimate",INDEX('G-Assumptions'!$F$8:$J$11,MATCH(F34,'G-Assumptions'!$D$8:$D$11,0),MATCH(G34,'G-Assumptions'!$F$6:$J$6,0)))</f>
        <v>Relook at Basis of Estimate</v>
      </c>
      <c r="I34" s="197" t="s">
        <v>730</v>
      </c>
      <c r="J34" s="187" t="str">
        <f>IF('H-Risk Register-Model'!F34="Certain","Relook at Basis of Estimate",INDEX('G-Assumptions'!$F$8:$J$11,MATCH(F34,'G-Assumptions'!$D$8:$D$11,0),MATCH(I34,'G-Assumptions'!$F$6:$J$6,0)))</f>
        <v>Relook at Basis of Estimate</v>
      </c>
      <c r="K34" s="197" t="s">
        <v>747</v>
      </c>
      <c r="L34" s="197" t="s">
        <v>747</v>
      </c>
      <c r="M34" s="197"/>
      <c r="N34" s="384" t="s">
        <v>747</v>
      </c>
      <c r="O34" s="384" t="s">
        <v>747</v>
      </c>
      <c r="P34" s="198"/>
      <c r="Q34" s="198"/>
      <c r="R34" s="198"/>
      <c r="S34" s="199"/>
      <c r="T34" s="199"/>
      <c r="U34" s="199"/>
      <c r="V34" s="206"/>
      <c r="W34" s="198"/>
      <c r="X34" s="198"/>
      <c r="Y34" s="200">
        <v>1</v>
      </c>
      <c r="Z34" s="201">
        <v>1</v>
      </c>
      <c r="AA34" s="202">
        <f t="shared" si="3"/>
        <v>0</v>
      </c>
      <c r="AB34" s="202">
        <f t="shared" si="4"/>
        <v>0</v>
      </c>
      <c r="AC34" s="202">
        <f t="shared" si="5"/>
        <v>0</v>
      </c>
      <c r="AD34" s="202"/>
      <c r="AE34" s="198">
        <f t="shared" si="6"/>
        <v>0</v>
      </c>
      <c r="AF34" s="203"/>
      <c r="AG34" s="199">
        <f t="shared" si="7"/>
        <v>0</v>
      </c>
      <c r="AH34" s="195"/>
      <c r="AI34" s="195"/>
      <c r="AJ34" s="8"/>
      <c r="AK34" s="616" t="str">
        <f t="shared" si="8"/>
        <v>No</v>
      </c>
      <c r="AL34" s="617">
        <f>'I-Project Contingency'!$I$4</f>
        <v>28979098.489999998</v>
      </c>
      <c r="AM34" s="399">
        <f>'I-Project Contingency'!$I$11</f>
        <v>64.971830985915489</v>
      </c>
      <c r="AN34" s="398">
        <f t="shared" si="21"/>
        <v>0</v>
      </c>
      <c r="AO34" s="399">
        <f t="shared" si="18"/>
        <v>0</v>
      </c>
      <c r="AP34" s="1110" t="str">
        <f t="shared" si="19"/>
        <v>Negligible</v>
      </c>
      <c r="AQ34" s="1110" t="str">
        <f t="shared" si="20"/>
        <v>Negligible</v>
      </c>
      <c r="AR34" s="618" t="str">
        <f t="shared" si="10"/>
        <v/>
      </c>
      <c r="AS34" s="618" t="str">
        <f t="shared" si="11"/>
        <v/>
      </c>
      <c r="AT34" s="8"/>
      <c r="AU34" s="412">
        <f>'I-Project Contingency'!$O$4-AE34</f>
        <v>0</v>
      </c>
      <c r="AV34" s="413">
        <v>3099768.1860032952</v>
      </c>
      <c r="AW34" s="413">
        <v>8430883.7862095013</v>
      </c>
      <c r="AX34" s="413">
        <v>11173736.674482957</v>
      </c>
      <c r="AY34" s="413">
        <f>'I-Project Contingency'!$E$66-AV34</f>
        <v>0</v>
      </c>
      <c r="AZ34" s="413">
        <f>'I-Project Contingency'!$E$69-AW34</f>
        <v>0</v>
      </c>
      <c r="BA34" s="413">
        <f>'I-Project Contingency'!$E$70-AX34</f>
        <v>0</v>
      </c>
      <c r="BB34" s="414">
        <f>'I-Project Contingency'!$O$5-AG34</f>
        <v>0</v>
      </c>
      <c r="BC34" s="415">
        <v>1.78464631257918</v>
      </c>
      <c r="BD34" s="415">
        <v>4.4807515628171739</v>
      </c>
      <c r="BE34" s="416">
        <v>5.8619163793628264</v>
      </c>
      <c r="BF34" s="415">
        <f>'I-Project Contingency'!$E$81-BC34</f>
        <v>0</v>
      </c>
      <c r="BG34" s="415">
        <f>'I-Project Contingency'!$E$84-BD34</f>
        <v>0</v>
      </c>
      <c r="BH34" s="415">
        <f>'I-Project Contingency'!$E$85-BE34</f>
        <v>0</v>
      </c>
      <c r="BI34" s="417" t="str">
        <f>IF(BK34="N/A","N/A",IF('D-Project Data'!$C$6=50%,ABS(BK34),IF('D-Project Data'!$C$6=80%,ABS(BL34),IF('D-Project Data'!$C$6=90%,ABS(BM34)))))</f>
        <v>N/A</v>
      </c>
      <c r="BJ34" s="418" t="str">
        <f>IF(BI34="N/A","N/A",RANK(BI34,$BI$18:$BI$117,0)+COUNTIF($BI$18:BI34,BI34)-1)</f>
        <v>N/A</v>
      </c>
      <c r="BK34" s="417" t="str">
        <f>IF(AY34/SUM(AY:AY)*'I-Project Contingency'!$F$66=0,"N/A",AY34/SUM(AY:AY)*'I-Project Contingency'!$F$66)</f>
        <v>N/A</v>
      </c>
      <c r="BL34" s="417" t="str">
        <f>IF(AZ34/SUM(AZ:AZ)*'I-Project Contingency'!$F$69=0,"N/A",AZ34/SUM(AZ:AZ)*'I-Project Contingency'!$F$69)</f>
        <v>N/A</v>
      </c>
      <c r="BM34" s="417" t="str">
        <f>IF(BA34/SUM(BA:BA)*'I-Project Contingency'!$F$70=0,"N/A",BA34/SUM(BA:BA)*'I-Project Contingency'!$F$70)</f>
        <v>N/A</v>
      </c>
      <c r="BN34" s="416" t="str">
        <f>IF(BP34="N/A","N/A",IF('D-Project Data'!$C$6=50%,ABS(BP34),IF('D-Project Data'!$C$6=80%,ABS(BQ34),IF('D-Project Data'!$C$6=90%,ABS(BR34)))))</f>
        <v>N/A</v>
      </c>
      <c r="BO34" s="418" t="str">
        <f>IF(BN34="N/A","N/A",RANK(BN34,$BN$18:$BN$117,0)+COUNTIF($BN$18:BN34,BN34)-1)</f>
        <v>N/A</v>
      </c>
      <c r="BP34" s="416" t="str">
        <f>IF(BF34/SUM(BF:BF)*'I-Project Contingency'!$F$81=0,"N/A",BF34/SUM(BF:BF)*'I-Project Contingency'!$F$81)</f>
        <v>N/A</v>
      </c>
      <c r="BQ34" s="416" t="str">
        <f>IF(BG34/SUM(BG:BG)*'I-Project Contingency'!$F$84=0,"N/A",BG34/SUM(BG:BG)*'I-Project Contingency'!$F$84)</f>
        <v>N/A</v>
      </c>
      <c r="BR34" s="416" t="str">
        <f>IF(BH34/SUM(BH:BH)*'I-Project Contingency'!$F$85=0,"N/A",BH34/SUM(BH:BH)*'I-Project Contingency'!$F$85)</f>
        <v>N/A</v>
      </c>
      <c r="BS34" s="418">
        <f t="shared" si="12"/>
        <v>17</v>
      </c>
      <c r="BT34" s="419" t="str">
        <f t="shared" si="13"/>
        <v xml:space="preserve">17 - </v>
      </c>
      <c r="BU34" s="413">
        <f t="shared" si="14"/>
        <v>0</v>
      </c>
      <c r="BV34" s="413">
        <f t="shared" si="15"/>
        <v>0</v>
      </c>
      <c r="BW34" s="415">
        <f t="shared" si="16"/>
        <v>0</v>
      </c>
      <c r="BX34" s="415">
        <f t="shared" si="17"/>
        <v>0</v>
      </c>
    </row>
    <row r="35" spans="1:76" ht="43.2" x14ac:dyDescent="0.3">
      <c r="A35" s="193">
        <f t="shared" si="22"/>
        <v>18</v>
      </c>
      <c r="B35" s="194" t="s">
        <v>747</v>
      </c>
      <c r="C35" s="204"/>
      <c r="D35" s="205"/>
      <c r="E35" s="195"/>
      <c r="F35" s="196" t="s">
        <v>716</v>
      </c>
      <c r="G35" s="196" t="s">
        <v>730</v>
      </c>
      <c r="H35" s="187" t="str">
        <f>IF('H-Risk Register-Model'!F35="Certain","Relook at Basis of Estimate",INDEX('G-Assumptions'!$F$8:$J$11,MATCH(F35,'G-Assumptions'!$D$8:$D$11,0),MATCH(G35,'G-Assumptions'!$F$6:$J$6,0)))</f>
        <v>Relook at Basis of Estimate</v>
      </c>
      <c r="I35" s="197" t="s">
        <v>730</v>
      </c>
      <c r="J35" s="187" t="str">
        <f>IF('H-Risk Register-Model'!F35="Certain","Relook at Basis of Estimate",INDEX('G-Assumptions'!$F$8:$J$11,MATCH(F35,'G-Assumptions'!$D$8:$D$11,0),MATCH(I35,'G-Assumptions'!$F$6:$J$6,0)))</f>
        <v>Relook at Basis of Estimate</v>
      </c>
      <c r="K35" s="197" t="s">
        <v>747</v>
      </c>
      <c r="L35" s="197" t="s">
        <v>747</v>
      </c>
      <c r="M35" s="197"/>
      <c r="N35" s="384" t="s">
        <v>747</v>
      </c>
      <c r="O35" s="384" t="s">
        <v>747</v>
      </c>
      <c r="P35" s="198"/>
      <c r="Q35" s="198"/>
      <c r="R35" s="198"/>
      <c r="S35" s="199"/>
      <c r="T35" s="199"/>
      <c r="U35" s="199"/>
      <c r="V35" s="206"/>
      <c r="W35" s="198"/>
      <c r="X35" s="198"/>
      <c r="Y35" s="200">
        <v>1</v>
      </c>
      <c r="Z35" s="201">
        <v>1</v>
      </c>
      <c r="AA35" s="202">
        <f t="shared" si="3"/>
        <v>0</v>
      </c>
      <c r="AB35" s="202">
        <f t="shared" si="4"/>
        <v>0</v>
      </c>
      <c r="AC35" s="202">
        <f t="shared" si="5"/>
        <v>0</v>
      </c>
      <c r="AD35" s="202"/>
      <c r="AE35" s="198">
        <f t="shared" si="6"/>
        <v>0</v>
      </c>
      <c r="AF35" s="203"/>
      <c r="AG35" s="199">
        <f t="shared" si="7"/>
        <v>0</v>
      </c>
      <c r="AH35" s="195"/>
      <c r="AI35" s="195"/>
      <c r="AJ35" s="8"/>
      <c r="AK35" s="616" t="str">
        <f t="shared" si="8"/>
        <v>No</v>
      </c>
      <c r="AL35" s="617">
        <f>'I-Project Contingency'!$I$4</f>
        <v>28979098.489999998</v>
      </c>
      <c r="AM35" s="399">
        <f>'I-Project Contingency'!$I$11</f>
        <v>64.971830985915489</v>
      </c>
      <c r="AN35" s="398">
        <f t="shared" si="21"/>
        <v>0</v>
      </c>
      <c r="AO35" s="399">
        <f t="shared" si="18"/>
        <v>0</v>
      </c>
      <c r="AP35" s="1110" t="str">
        <f t="shared" si="19"/>
        <v>Negligible</v>
      </c>
      <c r="AQ35" s="1110" t="str">
        <f t="shared" si="20"/>
        <v>Negligible</v>
      </c>
      <c r="AR35" s="618" t="str">
        <f t="shared" si="10"/>
        <v/>
      </c>
      <c r="AS35" s="618" t="str">
        <f t="shared" si="11"/>
        <v/>
      </c>
      <c r="AT35" s="8"/>
      <c r="AU35" s="412">
        <f>'I-Project Contingency'!$O$4-AE35</f>
        <v>0</v>
      </c>
      <c r="AV35" s="413">
        <v>3099768.1860032952</v>
      </c>
      <c r="AW35" s="413">
        <v>8430883.7862095013</v>
      </c>
      <c r="AX35" s="413">
        <v>11173736.674482957</v>
      </c>
      <c r="AY35" s="413">
        <f>'I-Project Contingency'!$E$66-AV35</f>
        <v>0</v>
      </c>
      <c r="AZ35" s="413">
        <f>'I-Project Contingency'!$E$69-AW35</f>
        <v>0</v>
      </c>
      <c r="BA35" s="413">
        <f>'I-Project Contingency'!$E$70-AX35</f>
        <v>0</v>
      </c>
      <c r="BB35" s="414">
        <f>'I-Project Contingency'!$O$5-AG35</f>
        <v>0</v>
      </c>
      <c r="BC35" s="415">
        <v>1.78464631257918</v>
      </c>
      <c r="BD35" s="415">
        <v>4.4807515628171739</v>
      </c>
      <c r="BE35" s="416">
        <v>5.8619163793628264</v>
      </c>
      <c r="BF35" s="415">
        <f>'I-Project Contingency'!$E$81-BC35</f>
        <v>0</v>
      </c>
      <c r="BG35" s="415">
        <f>'I-Project Contingency'!$E$84-BD35</f>
        <v>0</v>
      </c>
      <c r="BH35" s="415">
        <f>'I-Project Contingency'!$E$85-BE35</f>
        <v>0</v>
      </c>
      <c r="BI35" s="417" t="str">
        <f>IF(BK35="N/A","N/A",IF('D-Project Data'!$C$6=50%,ABS(BK35),IF('D-Project Data'!$C$6=80%,ABS(BL35),IF('D-Project Data'!$C$6=90%,ABS(BM35)))))</f>
        <v>N/A</v>
      </c>
      <c r="BJ35" s="418" t="str">
        <f>IF(BI35="N/A","N/A",RANK(BI35,$BI$18:$BI$117,0)+COUNTIF($BI$18:BI35,BI35)-1)</f>
        <v>N/A</v>
      </c>
      <c r="BK35" s="417" t="str">
        <f>IF(AY35/SUM(AY:AY)*'I-Project Contingency'!$F$66=0,"N/A",AY35/SUM(AY:AY)*'I-Project Contingency'!$F$66)</f>
        <v>N/A</v>
      </c>
      <c r="BL35" s="417" t="str">
        <f>IF(AZ35/SUM(AZ:AZ)*'I-Project Contingency'!$F$69=0,"N/A",AZ35/SUM(AZ:AZ)*'I-Project Contingency'!$F$69)</f>
        <v>N/A</v>
      </c>
      <c r="BM35" s="417" t="str">
        <f>IF(BA35/SUM(BA:BA)*'I-Project Contingency'!$F$70=0,"N/A",BA35/SUM(BA:BA)*'I-Project Contingency'!$F$70)</f>
        <v>N/A</v>
      </c>
      <c r="BN35" s="416" t="str">
        <f>IF(BP35="N/A","N/A",IF('D-Project Data'!$C$6=50%,ABS(BP35),IF('D-Project Data'!$C$6=80%,ABS(BQ35),IF('D-Project Data'!$C$6=90%,ABS(BR35)))))</f>
        <v>N/A</v>
      </c>
      <c r="BO35" s="418" t="str">
        <f>IF(BN35="N/A","N/A",RANK(BN35,$BN$18:$BN$117,0)+COUNTIF($BN$18:BN35,BN35)-1)</f>
        <v>N/A</v>
      </c>
      <c r="BP35" s="416" t="str">
        <f>IF(BF35/SUM(BF:BF)*'I-Project Contingency'!$F$81=0,"N/A",BF35/SUM(BF:BF)*'I-Project Contingency'!$F$81)</f>
        <v>N/A</v>
      </c>
      <c r="BQ35" s="416" t="str">
        <f>IF(BG35/SUM(BG:BG)*'I-Project Contingency'!$F$84=0,"N/A",BG35/SUM(BG:BG)*'I-Project Contingency'!$F$84)</f>
        <v>N/A</v>
      </c>
      <c r="BR35" s="416" t="str">
        <f>IF(BH35/SUM(BH:BH)*'I-Project Contingency'!$F$85=0,"N/A",BH35/SUM(BH:BH)*'I-Project Contingency'!$F$85)</f>
        <v>N/A</v>
      </c>
      <c r="BS35" s="418">
        <f t="shared" si="12"/>
        <v>18</v>
      </c>
      <c r="BT35" s="419" t="str">
        <f t="shared" si="13"/>
        <v xml:space="preserve">18 - </v>
      </c>
      <c r="BU35" s="413">
        <f t="shared" si="14"/>
        <v>0</v>
      </c>
      <c r="BV35" s="413">
        <f t="shared" si="15"/>
        <v>0</v>
      </c>
      <c r="BW35" s="415">
        <f t="shared" si="16"/>
        <v>0</v>
      </c>
      <c r="BX35" s="415">
        <f t="shared" si="17"/>
        <v>0</v>
      </c>
    </row>
    <row r="36" spans="1:76" ht="43.2" x14ac:dyDescent="0.3">
      <c r="A36" s="193">
        <f t="shared" si="22"/>
        <v>19</v>
      </c>
      <c r="B36" s="194" t="s">
        <v>747</v>
      </c>
      <c r="C36" s="204"/>
      <c r="D36" s="205"/>
      <c r="E36" s="195"/>
      <c r="F36" s="196" t="s">
        <v>716</v>
      </c>
      <c r="G36" s="196" t="s">
        <v>730</v>
      </c>
      <c r="H36" s="187" t="str">
        <f>IF('H-Risk Register-Model'!F36="Certain","Relook at Basis of Estimate",INDEX('G-Assumptions'!$F$8:$J$11,MATCH(F36,'G-Assumptions'!$D$8:$D$11,0),MATCH(G36,'G-Assumptions'!$F$6:$J$6,0)))</f>
        <v>Relook at Basis of Estimate</v>
      </c>
      <c r="I36" s="197" t="s">
        <v>730</v>
      </c>
      <c r="J36" s="187" t="str">
        <f>IF('H-Risk Register-Model'!F36="Certain","Relook at Basis of Estimate",INDEX('G-Assumptions'!$F$8:$J$11,MATCH(F36,'G-Assumptions'!$D$8:$D$11,0),MATCH(I36,'G-Assumptions'!$F$6:$J$6,0)))</f>
        <v>Relook at Basis of Estimate</v>
      </c>
      <c r="K36" s="197" t="s">
        <v>747</v>
      </c>
      <c r="L36" s="197" t="s">
        <v>747</v>
      </c>
      <c r="M36" s="197"/>
      <c r="N36" s="384" t="s">
        <v>747</v>
      </c>
      <c r="O36" s="384" t="s">
        <v>747</v>
      </c>
      <c r="P36" s="198"/>
      <c r="Q36" s="198"/>
      <c r="R36" s="198"/>
      <c r="S36" s="199"/>
      <c r="T36" s="199"/>
      <c r="U36" s="199"/>
      <c r="V36" s="206"/>
      <c r="W36" s="198"/>
      <c r="X36" s="198"/>
      <c r="Y36" s="200">
        <v>0.5</v>
      </c>
      <c r="Z36" s="201">
        <v>1</v>
      </c>
      <c r="AA36" s="202">
        <f t="shared" si="3"/>
        <v>0</v>
      </c>
      <c r="AB36" s="202">
        <f t="shared" si="4"/>
        <v>0</v>
      </c>
      <c r="AC36" s="202">
        <f t="shared" si="5"/>
        <v>0</v>
      </c>
      <c r="AD36" s="202">
        <v>0</v>
      </c>
      <c r="AE36" s="198">
        <f t="shared" si="6"/>
        <v>0</v>
      </c>
      <c r="AF36" s="203">
        <v>0</v>
      </c>
      <c r="AG36" s="199">
        <f t="shared" si="7"/>
        <v>0</v>
      </c>
      <c r="AH36" s="195"/>
      <c r="AI36" s="195"/>
      <c r="AJ36" s="8"/>
      <c r="AK36" s="616" t="str">
        <f t="shared" si="8"/>
        <v>No</v>
      </c>
      <c r="AL36" s="617">
        <f>'I-Project Contingency'!$I$4</f>
        <v>28979098.489999998</v>
      </c>
      <c r="AM36" s="399">
        <f>'I-Project Contingency'!$I$11</f>
        <v>64.971830985915489</v>
      </c>
      <c r="AN36" s="398">
        <f t="shared" si="21"/>
        <v>0</v>
      </c>
      <c r="AO36" s="399">
        <f t="shared" si="18"/>
        <v>0</v>
      </c>
      <c r="AP36" s="1110" t="str">
        <f t="shared" si="19"/>
        <v>Negligible</v>
      </c>
      <c r="AQ36" s="1110" t="str">
        <f t="shared" si="20"/>
        <v>Negligible</v>
      </c>
      <c r="AR36" s="618" t="str">
        <f t="shared" si="10"/>
        <v/>
      </c>
      <c r="AS36" s="618" t="str">
        <f t="shared" si="11"/>
        <v/>
      </c>
      <c r="AT36" s="8"/>
      <c r="AU36" s="412">
        <f>'I-Project Contingency'!$O$4-AE36</f>
        <v>0</v>
      </c>
      <c r="AV36" s="413">
        <v>3099768.1860032952</v>
      </c>
      <c r="AW36" s="413">
        <v>8430883.7862095013</v>
      </c>
      <c r="AX36" s="413">
        <v>11173736.674482957</v>
      </c>
      <c r="AY36" s="413">
        <f>'I-Project Contingency'!$E$66-AV36</f>
        <v>0</v>
      </c>
      <c r="AZ36" s="413">
        <f>'I-Project Contingency'!$E$69-AW36</f>
        <v>0</v>
      </c>
      <c r="BA36" s="413">
        <f>'I-Project Contingency'!$E$70-AX36</f>
        <v>0</v>
      </c>
      <c r="BB36" s="414">
        <f>'I-Project Contingency'!$O$5-AG36</f>
        <v>0</v>
      </c>
      <c r="BC36" s="415">
        <v>1.78464631257918</v>
      </c>
      <c r="BD36" s="415">
        <v>4.4807515628171739</v>
      </c>
      <c r="BE36" s="416">
        <v>5.8619163793628264</v>
      </c>
      <c r="BF36" s="415">
        <f>'I-Project Contingency'!$E$81-BC36</f>
        <v>0</v>
      </c>
      <c r="BG36" s="415">
        <f>'I-Project Contingency'!$E$84-BD36</f>
        <v>0</v>
      </c>
      <c r="BH36" s="415">
        <f>'I-Project Contingency'!$E$85-BE36</f>
        <v>0</v>
      </c>
      <c r="BI36" s="417" t="str">
        <f>IF(BK36="N/A","N/A",IF('D-Project Data'!$C$6=50%,ABS(BK36),IF('D-Project Data'!$C$6=80%,ABS(BL36),IF('D-Project Data'!$C$6=90%,ABS(BM36)))))</f>
        <v>N/A</v>
      </c>
      <c r="BJ36" s="418" t="str">
        <f>IF(BI36="N/A","N/A",RANK(BI36,$BI$18:$BI$117,0)+COUNTIF($BI$18:BI36,BI36)-1)</f>
        <v>N/A</v>
      </c>
      <c r="BK36" s="417" t="str">
        <f>IF(AY36/SUM(AY:AY)*'I-Project Contingency'!$F$66=0,"N/A",AY36/SUM(AY:AY)*'I-Project Contingency'!$F$66)</f>
        <v>N/A</v>
      </c>
      <c r="BL36" s="417" t="str">
        <f>IF(AZ36/SUM(AZ:AZ)*'I-Project Contingency'!$F$69=0,"N/A",AZ36/SUM(AZ:AZ)*'I-Project Contingency'!$F$69)</f>
        <v>N/A</v>
      </c>
      <c r="BM36" s="417" t="str">
        <f>IF(BA36/SUM(BA:BA)*'I-Project Contingency'!$F$70=0,"N/A",BA36/SUM(BA:BA)*'I-Project Contingency'!$F$70)</f>
        <v>N/A</v>
      </c>
      <c r="BN36" s="416" t="str">
        <f>IF(BP36="N/A","N/A",IF('D-Project Data'!$C$6=50%,ABS(BP36),IF('D-Project Data'!$C$6=80%,ABS(BQ36),IF('D-Project Data'!$C$6=90%,ABS(BR36)))))</f>
        <v>N/A</v>
      </c>
      <c r="BO36" s="418" t="str">
        <f>IF(BN36="N/A","N/A",RANK(BN36,$BN$18:$BN$117,0)+COUNTIF($BN$18:BN36,BN36)-1)</f>
        <v>N/A</v>
      </c>
      <c r="BP36" s="416" t="str">
        <f>IF(BF36/SUM(BF:BF)*'I-Project Contingency'!$F$81=0,"N/A",BF36/SUM(BF:BF)*'I-Project Contingency'!$F$81)</f>
        <v>N/A</v>
      </c>
      <c r="BQ36" s="416" t="str">
        <f>IF(BG36/SUM(BG:BG)*'I-Project Contingency'!$F$84=0,"N/A",BG36/SUM(BG:BG)*'I-Project Contingency'!$F$84)</f>
        <v>N/A</v>
      </c>
      <c r="BR36" s="416" t="str">
        <f>IF(BH36/SUM(BH:BH)*'I-Project Contingency'!$F$85=0,"N/A",BH36/SUM(BH:BH)*'I-Project Contingency'!$F$85)</f>
        <v>N/A</v>
      </c>
      <c r="BS36" s="418">
        <f t="shared" si="12"/>
        <v>19</v>
      </c>
      <c r="BT36" s="419" t="str">
        <f t="shared" si="13"/>
        <v xml:space="preserve">19 - </v>
      </c>
      <c r="BU36" s="413">
        <f t="shared" si="14"/>
        <v>0</v>
      </c>
      <c r="BV36" s="413">
        <f t="shared" si="15"/>
        <v>0</v>
      </c>
      <c r="BW36" s="415">
        <f t="shared" si="16"/>
        <v>0</v>
      </c>
      <c r="BX36" s="415">
        <f t="shared" si="17"/>
        <v>0</v>
      </c>
    </row>
    <row r="37" spans="1:76" ht="43.2" x14ac:dyDescent="0.3">
      <c r="A37" s="193">
        <f t="shared" si="22"/>
        <v>20</v>
      </c>
      <c r="B37" s="194" t="s">
        <v>747</v>
      </c>
      <c r="C37" s="204"/>
      <c r="D37" s="205"/>
      <c r="E37" s="195"/>
      <c r="F37" s="196" t="s">
        <v>716</v>
      </c>
      <c r="G37" s="196" t="s">
        <v>730</v>
      </c>
      <c r="H37" s="187" t="str">
        <f>IF('H-Risk Register-Model'!F37="Certain","Relook at Basis of Estimate",INDEX('G-Assumptions'!$F$8:$J$11,MATCH(F37,'G-Assumptions'!$D$8:$D$11,0),MATCH(G37,'G-Assumptions'!$F$6:$J$6,0)))</f>
        <v>Relook at Basis of Estimate</v>
      </c>
      <c r="I37" s="197" t="s">
        <v>730</v>
      </c>
      <c r="J37" s="187" t="str">
        <f>IF('H-Risk Register-Model'!F37="Certain","Relook at Basis of Estimate",INDEX('G-Assumptions'!$F$8:$J$11,MATCH(F37,'G-Assumptions'!$D$8:$D$11,0),MATCH(I37,'G-Assumptions'!$F$6:$J$6,0)))</f>
        <v>Relook at Basis of Estimate</v>
      </c>
      <c r="K37" s="197" t="s">
        <v>747</v>
      </c>
      <c r="L37" s="197" t="s">
        <v>747</v>
      </c>
      <c r="M37" s="197"/>
      <c r="N37" s="384" t="s">
        <v>747</v>
      </c>
      <c r="O37" s="384" t="s">
        <v>747</v>
      </c>
      <c r="P37" s="198"/>
      <c r="Q37" s="198"/>
      <c r="R37" s="198"/>
      <c r="S37" s="199"/>
      <c r="T37" s="199"/>
      <c r="U37" s="199"/>
      <c r="V37" s="206"/>
      <c r="W37" s="198"/>
      <c r="X37" s="198"/>
      <c r="Y37" s="200">
        <v>1</v>
      </c>
      <c r="Z37" s="201">
        <v>1</v>
      </c>
      <c r="AA37" s="202">
        <f t="shared" si="3"/>
        <v>0</v>
      </c>
      <c r="AB37" s="202">
        <f t="shared" si="4"/>
        <v>0</v>
      </c>
      <c r="AC37" s="202">
        <f t="shared" si="5"/>
        <v>0</v>
      </c>
      <c r="AD37" s="202">
        <v>0</v>
      </c>
      <c r="AE37" s="198">
        <f t="shared" si="6"/>
        <v>0</v>
      </c>
      <c r="AF37" s="203"/>
      <c r="AG37" s="199">
        <f t="shared" si="7"/>
        <v>0</v>
      </c>
      <c r="AH37" s="195"/>
      <c r="AI37" s="195"/>
      <c r="AJ37" s="8"/>
      <c r="AK37" s="616" t="str">
        <f t="shared" si="8"/>
        <v>No</v>
      </c>
      <c r="AL37" s="617">
        <f>'I-Project Contingency'!$I$4</f>
        <v>28979098.489999998</v>
      </c>
      <c r="AM37" s="399">
        <f>'I-Project Contingency'!$I$11</f>
        <v>64.971830985915489</v>
      </c>
      <c r="AN37" s="398">
        <f t="shared" si="21"/>
        <v>0</v>
      </c>
      <c r="AO37" s="399">
        <f t="shared" si="18"/>
        <v>0</v>
      </c>
      <c r="AP37" s="1110" t="str">
        <f t="shared" si="19"/>
        <v>Negligible</v>
      </c>
      <c r="AQ37" s="1110" t="str">
        <f t="shared" si="20"/>
        <v>Negligible</v>
      </c>
      <c r="AR37" s="618" t="str">
        <f t="shared" si="10"/>
        <v/>
      </c>
      <c r="AS37" s="618" t="str">
        <f t="shared" si="11"/>
        <v/>
      </c>
      <c r="AT37" s="8"/>
      <c r="AU37" s="412">
        <f>'I-Project Contingency'!$O$4-AE37</f>
        <v>0</v>
      </c>
      <c r="AV37" s="413">
        <v>3099768.1860032952</v>
      </c>
      <c r="AW37" s="413">
        <v>8430883.7862095013</v>
      </c>
      <c r="AX37" s="413">
        <v>11173736.674482957</v>
      </c>
      <c r="AY37" s="413">
        <f>'I-Project Contingency'!$E$66-AV37</f>
        <v>0</v>
      </c>
      <c r="AZ37" s="413">
        <f>'I-Project Contingency'!$E$69-AW37</f>
        <v>0</v>
      </c>
      <c r="BA37" s="413">
        <f>'I-Project Contingency'!$E$70-AX37</f>
        <v>0</v>
      </c>
      <c r="BB37" s="414">
        <f>'I-Project Contingency'!$O$5-AG37</f>
        <v>0</v>
      </c>
      <c r="BC37" s="415">
        <v>1.78464631257918</v>
      </c>
      <c r="BD37" s="415">
        <v>4.4807515628171739</v>
      </c>
      <c r="BE37" s="416">
        <v>5.8619163793628264</v>
      </c>
      <c r="BF37" s="415">
        <f>'I-Project Contingency'!$E$81-BC37</f>
        <v>0</v>
      </c>
      <c r="BG37" s="415">
        <f>'I-Project Contingency'!$E$84-BD37</f>
        <v>0</v>
      </c>
      <c r="BH37" s="415">
        <f>'I-Project Contingency'!$E$85-BE37</f>
        <v>0</v>
      </c>
      <c r="BI37" s="417" t="str">
        <f>IF(BK37="N/A","N/A",IF('D-Project Data'!$C$6=50%,ABS(BK37),IF('D-Project Data'!$C$6=80%,ABS(BL37),IF('D-Project Data'!$C$6=90%,ABS(BM37)))))</f>
        <v>N/A</v>
      </c>
      <c r="BJ37" s="418" t="str">
        <f>IF(BI37="N/A","N/A",RANK(BI37,$BI$18:$BI$117,0)+COUNTIF($BI$18:BI37,BI37)-1)</f>
        <v>N/A</v>
      </c>
      <c r="BK37" s="417" t="str">
        <f>IF(AY37/SUM(AY:AY)*'I-Project Contingency'!$F$66=0,"N/A",AY37/SUM(AY:AY)*'I-Project Contingency'!$F$66)</f>
        <v>N/A</v>
      </c>
      <c r="BL37" s="417" t="str">
        <f>IF(AZ37/SUM(AZ:AZ)*'I-Project Contingency'!$F$69=0,"N/A",AZ37/SUM(AZ:AZ)*'I-Project Contingency'!$F$69)</f>
        <v>N/A</v>
      </c>
      <c r="BM37" s="417" t="str">
        <f>IF(BA37/SUM(BA:BA)*'I-Project Contingency'!$F$70=0,"N/A",BA37/SUM(BA:BA)*'I-Project Contingency'!$F$70)</f>
        <v>N/A</v>
      </c>
      <c r="BN37" s="416" t="str">
        <f>IF(BP37="N/A","N/A",IF('D-Project Data'!$C$6=50%,ABS(BP37),IF('D-Project Data'!$C$6=80%,ABS(BQ37),IF('D-Project Data'!$C$6=90%,ABS(BR37)))))</f>
        <v>N/A</v>
      </c>
      <c r="BO37" s="418" t="str">
        <f>IF(BN37="N/A","N/A",RANK(BN37,$BN$18:$BN$117,0)+COUNTIF($BN$18:BN37,BN37)-1)</f>
        <v>N/A</v>
      </c>
      <c r="BP37" s="416" t="str">
        <f>IF(BF37/SUM(BF:BF)*'I-Project Contingency'!$F$81=0,"N/A",BF37/SUM(BF:BF)*'I-Project Contingency'!$F$81)</f>
        <v>N/A</v>
      </c>
      <c r="BQ37" s="416" t="str">
        <f>IF(BG37/SUM(BG:BG)*'I-Project Contingency'!$F$84=0,"N/A",BG37/SUM(BG:BG)*'I-Project Contingency'!$F$84)</f>
        <v>N/A</v>
      </c>
      <c r="BR37" s="416" t="str">
        <f>IF(BH37/SUM(BH:BH)*'I-Project Contingency'!$F$85=0,"N/A",BH37/SUM(BH:BH)*'I-Project Contingency'!$F$85)</f>
        <v>N/A</v>
      </c>
      <c r="BS37" s="418">
        <f t="shared" si="12"/>
        <v>20</v>
      </c>
      <c r="BT37" s="419" t="str">
        <f t="shared" si="13"/>
        <v xml:space="preserve">20 - </v>
      </c>
      <c r="BU37" s="413">
        <f t="shared" si="14"/>
        <v>0</v>
      </c>
      <c r="BV37" s="413">
        <f t="shared" si="15"/>
        <v>0</v>
      </c>
      <c r="BW37" s="415">
        <f t="shared" si="16"/>
        <v>0</v>
      </c>
      <c r="BX37" s="415">
        <f t="shared" si="17"/>
        <v>0</v>
      </c>
    </row>
    <row r="38" spans="1:76" ht="43.2" x14ac:dyDescent="0.3">
      <c r="A38" s="193">
        <f t="shared" si="22"/>
        <v>21</v>
      </c>
      <c r="B38" s="194" t="s">
        <v>747</v>
      </c>
      <c r="C38" s="204"/>
      <c r="D38" s="205"/>
      <c r="E38" s="195"/>
      <c r="F38" s="196" t="s">
        <v>716</v>
      </c>
      <c r="G38" s="196" t="s">
        <v>730</v>
      </c>
      <c r="H38" s="187" t="str">
        <f>IF('H-Risk Register-Model'!F38="Certain","Relook at Basis of Estimate",INDEX('G-Assumptions'!$F$8:$J$11,MATCH(F38,'G-Assumptions'!$D$8:$D$11,0),MATCH(G38,'G-Assumptions'!$F$6:$J$6,0)))</f>
        <v>Relook at Basis of Estimate</v>
      </c>
      <c r="I38" s="197" t="s">
        <v>730</v>
      </c>
      <c r="J38" s="187" t="str">
        <f>IF('H-Risk Register-Model'!F38="Certain","Relook at Basis of Estimate",INDEX('G-Assumptions'!$F$8:$J$11,MATCH(F38,'G-Assumptions'!$D$8:$D$11,0),MATCH(I38,'G-Assumptions'!$F$6:$J$6,0)))</f>
        <v>Relook at Basis of Estimate</v>
      </c>
      <c r="K38" s="197" t="s">
        <v>747</v>
      </c>
      <c r="L38" s="197" t="s">
        <v>747</v>
      </c>
      <c r="M38" s="197"/>
      <c r="N38" s="384" t="s">
        <v>747</v>
      </c>
      <c r="O38" s="384" t="s">
        <v>747</v>
      </c>
      <c r="P38" s="198"/>
      <c r="Q38" s="198"/>
      <c r="R38" s="198"/>
      <c r="S38" s="199"/>
      <c r="T38" s="199"/>
      <c r="U38" s="199"/>
      <c r="V38" s="206"/>
      <c r="W38" s="198"/>
      <c r="X38" s="198"/>
      <c r="Y38" s="200">
        <v>1</v>
      </c>
      <c r="Z38" s="201">
        <v>1</v>
      </c>
      <c r="AA38" s="202">
        <f t="shared" si="3"/>
        <v>0</v>
      </c>
      <c r="AB38" s="202">
        <f t="shared" si="4"/>
        <v>0</v>
      </c>
      <c r="AC38" s="202">
        <f t="shared" si="5"/>
        <v>0</v>
      </c>
      <c r="AD38" s="202"/>
      <c r="AE38" s="198">
        <f t="shared" si="6"/>
        <v>0</v>
      </c>
      <c r="AF38" s="203"/>
      <c r="AG38" s="199">
        <f t="shared" si="7"/>
        <v>0</v>
      </c>
      <c r="AH38" s="195"/>
      <c r="AI38" s="195"/>
      <c r="AJ38" s="8"/>
      <c r="AK38" s="616" t="str">
        <f t="shared" si="8"/>
        <v>No</v>
      </c>
      <c r="AL38" s="617">
        <f>'I-Project Contingency'!$I$4</f>
        <v>28979098.489999998</v>
      </c>
      <c r="AM38" s="399">
        <f>'I-Project Contingency'!$I$11</f>
        <v>64.971830985915489</v>
      </c>
      <c r="AN38" s="398">
        <f t="shared" si="21"/>
        <v>0</v>
      </c>
      <c r="AO38" s="399">
        <f t="shared" si="18"/>
        <v>0</v>
      </c>
      <c r="AP38" s="1110" t="str">
        <f t="shared" si="19"/>
        <v>Negligible</v>
      </c>
      <c r="AQ38" s="1110" t="str">
        <f t="shared" si="20"/>
        <v>Negligible</v>
      </c>
      <c r="AR38" s="618" t="str">
        <f t="shared" si="10"/>
        <v/>
      </c>
      <c r="AS38" s="618" t="str">
        <f t="shared" si="11"/>
        <v/>
      </c>
      <c r="AT38" s="8"/>
      <c r="AU38" s="412">
        <f>'I-Project Contingency'!$O$4-AE38</f>
        <v>0</v>
      </c>
      <c r="AV38" s="413">
        <v>3099768.1860032952</v>
      </c>
      <c r="AW38" s="413">
        <v>8430883.7862095013</v>
      </c>
      <c r="AX38" s="413">
        <v>11173736.674482957</v>
      </c>
      <c r="AY38" s="413">
        <f>'I-Project Contingency'!$E$66-AV38</f>
        <v>0</v>
      </c>
      <c r="AZ38" s="413">
        <f>'I-Project Contingency'!$E$69-AW38</f>
        <v>0</v>
      </c>
      <c r="BA38" s="413">
        <f>'I-Project Contingency'!$E$70-AX38</f>
        <v>0</v>
      </c>
      <c r="BB38" s="414">
        <f>'I-Project Contingency'!$O$5-AG38</f>
        <v>0</v>
      </c>
      <c r="BC38" s="415">
        <v>1.78464631257918</v>
      </c>
      <c r="BD38" s="415">
        <v>4.4807515628171739</v>
      </c>
      <c r="BE38" s="416">
        <v>5.8619163793628264</v>
      </c>
      <c r="BF38" s="415">
        <f>'I-Project Contingency'!$E$81-BC38</f>
        <v>0</v>
      </c>
      <c r="BG38" s="415">
        <f>'I-Project Contingency'!$E$84-BD38</f>
        <v>0</v>
      </c>
      <c r="BH38" s="415">
        <f>'I-Project Contingency'!$E$85-BE38</f>
        <v>0</v>
      </c>
      <c r="BI38" s="417" t="str">
        <f>IF(BK38="N/A","N/A",IF('D-Project Data'!$C$6=50%,ABS(BK38),IF('D-Project Data'!$C$6=80%,ABS(BL38),IF('D-Project Data'!$C$6=90%,ABS(BM38)))))</f>
        <v>N/A</v>
      </c>
      <c r="BJ38" s="418" t="str">
        <f>IF(BI38="N/A","N/A",RANK(BI38,$BI$18:$BI$117,0)+COUNTIF($BI$18:BI38,BI38)-1)</f>
        <v>N/A</v>
      </c>
      <c r="BK38" s="417" t="str">
        <f>IF(AY38/SUM(AY:AY)*'I-Project Contingency'!$F$66=0,"N/A",AY38/SUM(AY:AY)*'I-Project Contingency'!$F$66)</f>
        <v>N/A</v>
      </c>
      <c r="BL38" s="417" t="str">
        <f>IF(AZ38/SUM(AZ:AZ)*'I-Project Contingency'!$F$69=0,"N/A",AZ38/SUM(AZ:AZ)*'I-Project Contingency'!$F$69)</f>
        <v>N/A</v>
      </c>
      <c r="BM38" s="417" t="str">
        <f>IF(BA38/SUM(BA:BA)*'I-Project Contingency'!$F$70=0,"N/A",BA38/SUM(BA:BA)*'I-Project Contingency'!$F$70)</f>
        <v>N/A</v>
      </c>
      <c r="BN38" s="416" t="str">
        <f>IF(BP38="N/A","N/A",IF('D-Project Data'!$C$6=50%,ABS(BP38),IF('D-Project Data'!$C$6=80%,ABS(BQ38),IF('D-Project Data'!$C$6=90%,ABS(BR38)))))</f>
        <v>N/A</v>
      </c>
      <c r="BO38" s="418" t="str">
        <f>IF(BN38="N/A","N/A",RANK(BN38,$BN$18:$BN$117,0)+COUNTIF($BN$18:BN38,BN38)-1)</f>
        <v>N/A</v>
      </c>
      <c r="BP38" s="416" t="str">
        <f>IF(BF38/SUM(BF:BF)*'I-Project Contingency'!$F$81=0,"N/A",BF38/SUM(BF:BF)*'I-Project Contingency'!$F$81)</f>
        <v>N/A</v>
      </c>
      <c r="BQ38" s="416" t="str">
        <f>IF(BG38/SUM(BG:BG)*'I-Project Contingency'!$F$84=0,"N/A",BG38/SUM(BG:BG)*'I-Project Contingency'!$F$84)</f>
        <v>N/A</v>
      </c>
      <c r="BR38" s="416" t="str">
        <f>IF(BH38/SUM(BH:BH)*'I-Project Contingency'!$F$85=0,"N/A",BH38/SUM(BH:BH)*'I-Project Contingency'!$F$85)</f>
        <v>N/A</v>
      </c>
      <c r="BS38" s="418">
        <f t="shared" si="12"/>
        <v>21</v>
      </c>
      <c r="BT38" s="419" t="str">
        <f t="shared" si="13"/>
        <v xml:space="preserve">21 - </v>
      </c>
      <c r="BU38" s="413">
        <f t="shared" si="14"/>
        <v>0</v>
      </c>
      <c r="BV38" s="413">
        <f t="shared" si="15"/>
        <v>0</v>
      </c>
      <c r="BW38" s="415">
        <f t="shared" si="16"/>
        <v>0</v>
      </c>
      <c r="BX38" s="415">
        <f t="shared" si="17"/>
        <v>0</v>
      </c>
    </row>
    <row r="39" spans="1:76" ht="43.2" x14ac:dyDescent="0.3">
      <c r="A39" s="193">
        <f t="shared" si="22"/>
        <v>22</v>
      </c>
      <c r="B39" s="194" t="s">
        <v>747</v>
      </c>
      <c r="C39" s="204"/>
      <c r="D39" s="205"/>
      <c r="E39" s="195"/>
      <c r="F39" s="196" t="s">
        <v>716</v>
      </c>
      <c r="G39" s="196" t="s">
        <v>730</v>
      </c>
      <c r="H39" s="187" t="str">
        <f>IF('H-Risk Register-Model'!F39="Certain","Relook at Basis of Estimate",INDEX('G-Assumptions'!$F$8:$J$11,MATCH(F39,'G-Assumptions'!$D$8:$D$11,0),MATCH(G39,'G-Assumptions'!$F$6:$J$6,0)))</f>
        <v>Relook at Basis of Estimate</v>
      </c>
      <c r="I39" s="197" t="s">
        <v>730</v>
      </c>
      <c r="J39" s="187" t="str">
        <f>IF('H-Risk Register-Model'!F39="Certain","Relook at Basis of Estimate",INDEX('G-Assumptions'!$F$8:$J$11,MATCH(F39,'G-Assumptions'!$D$8:$D$11,0),MATCH(I39,'G-Assumptions'!$F$6:$J$6,0)))</f>
        <v>Relook at Basis of Estimate</v>
      </c>
      <c r="K39" s="197" t="s">
        <v>747</v>
      </c>
      <c r="L39" s="197" t="s">
        <v>747</v>
      </c>
      <c r="M39" s="197"/>
      <c r="N39" s="384" t="s">
        <v>747</v>
      </c>
      <c r="O39" s="384" t="s">
        <v>747</v>
      </c>
      <c r="P39" s="198"/>
      <c r="Q39" s="198"/>
      <c r="R39" s="198"/>
      <c r="S39" s="199"/>
      <c r="T39" s="199"/>
      <c r="U39" s="199"/>
      <c r="V39" s="206"/>
      <c r="W39" s="198"/>
      <c r="X39" s="198"/>
      <c r="Y39" s="200">
        <v>1</v>
      </c>
      <c r="Z39" s="201">
        <v>1</v>
      </c>
      <c r="AA39" s="202">
        <f t="shared" si="3"/>
        <v>0</v>
      </c>
      <c r="AB39" s="202">
        <f t="shared" si="4"/>
        <v>0</v>
      </c>
      <c r="AC39" s="202">
        <f t="shared" si="5"/>
        <v>0</v>
      </c>
      <c r="AD39" s="202"/>
      <c r="AE39" s="198">
        <f t="shared" si="6"/>
        <v>0</v>
      </c>
      <c r="AF39" s="203"/>
      <c r="AG39" s="199">
        <f t="shared" si="7"/>
        <v>0</v>
      </c>
      <c r="AH39" s="195"/>
      <c r="AI39" s="195"/>
      <c r="AJ39" s="8"/>
      <c r="AK39" s="616" t="str">
        <f t="shared" si="8"/>
        <v>No</v>
      </c>
      <c r="AL39" s="617">
        <f>'I-Project Contingency'!$I$4</f>
        <v>28979098.489999998</v>
      </c>
      <c r="AM39" s="399">
        <f>'I-Project Contingency'!$I$11</f>
        <v>64.971830985915489</v>
      </c>
      <c r="AN39" s="398">
        <f t="shared" si="21"/>
        <v>0</v>
      </c>
      <c r="AO39" s="399">
        <f t="shared" si="18"/>
        <v>0</v>
      </c>
      <c r="AP39" s="1110" t="str">
        <f t="shared" si="19"/>
        <v>Negligible</v>
      </c>
      <c r="AQ39" s="1110" t="str">
        <f t="shared" si="20"/>
        <v>Negligible</v>
      </c>
      <c r="AR39" s="618" t="str">
        <f t="shared" si="10"/>
        <v/>
      </c>
      <c r="AS39" s="618" t="str">
        <f t="shared" si="11"/>
        <v/>
      </c>
      <c r="AT39" s="8"/>
      <c r="AU39" s="412">
        <f>'I-Project Contingency'!$O$4-AE39</f>
        <v>0</v>
      </c>
      <c r="AV39" s="413">
        <v>3099768.1860032952</v>
      </c>
      <c r="AW39" s="413">
        <v>8430883.7862095013</v>
      </c>
      <c r="AX39" s="413">
        <v>11173736.674482957</v>
      </c>
      <c r="AY39" s="413">
        <f>'I-Project Contingency'!$E$66-AV39</f>
        <v>0</v>
      </c>
      <c r="AZ39" s="413">
        <f>'I-Project Contingency'!$E$69-AW39</f>
        <v>0</v>
      </c>
      <c r="BA39" s="413">
        <f>'I-Project Contingency'!$E$70-AX39</f>
        <v>0</v>
      </c>
      <c r="BB39" s="414">
        <f>'I-Project Contingency'!$O$5-AG39</f>
        <v>0</v>
      </c>
      <c r="BC39" s="415">
        <v>1.78464631257918</v>
      </c>
      <c r="BD39" s="415">
        <v>4.4807515628171739</v>
      </c>
      <c r="BE39" s="416">
        <v>5.8619163793628264</v>
      </c>
      <c r="BF39" s="415">
        <f>'I-Project Contingency'!$E$81-BC39</f>
        <v>0</v>
      </c>
      <c r="BG39" s="415">
        <f>'I-Project Contingency'!$E$84-BD39</f>
        <v>0</v>
      </c>
      <c r="BH39" s="415">
        <f>'I-Project Contingency'!$E$85-BE39</f>
        <v>0</v>
      </c>
      <c r="BI39" s="417" t="str">
        <f>IF(BK39="N/A","N/A",IF('D-Project Data'!$C$6=50%,ABS(BK39),IF('D-Project Data'!$C$6=80%,ABS(BL39),IF('D-Project Data'!$C$6=90%,ABS(BM39)))))</f>
        <v>N/A</v>
      </c>
      <c r="BJ39" s="418" t="str">
        <f>IF(BI39="N/A","N/A",RANK(BI39,$BI$18:$BI$117,0)+COUNTIF($BI$18:BI39,BI39)-1)</f>
        <v>N/A</v>
      </c>
      <c r="BK39" s="417" t="str">
        <f>IF(AY39/SUM(AY:AY)*'I-Project Contingency'!$F$66=0,"N/A",AY39/SUM(AY:AY)*'I-Project Contingency'!$F$66)</f>
        <v>N/A</v>
      </c>
      <c r="BL39" s="417" t="str">
        <f>IF(AZ39/SUM(AZ:AZ)*'I-Project Contingency'!$F$69=0,"N/A",AZ39/SUM(AZ:AZ)*'I-Project Contingency'!$F$69)</f>
        <v>N/A</v>
      </c>
      <c r="BM39" s="417" t="str">
        <f>IF(BA39/SUM(BA:BA)*'I-Project Contingency'!$F$70=0,"N/A",BA39/SUM(BA:BA)*'I-Project Contingency'!$F$70)</f>
        <v>N/A</v>
      </c>
      <c r="BN39" s="416" t="str">
        <f>IF(BP39="N/A","N/A",IF('D-Project Data'!$C$6=50%,ABS(BP39),IF('D-Project Data'!$C$6=80%,ABS(BQ39),IF('D-Project Data'!$C$6=90%,ABS(BR39)))))</f>
        <v>N/A</v>
      </c>
      <c r="BO39" s="418" t="str">
        <f>IF(BN39="N/A","N/A",RANK(BN39,$BN$18:$BN$117,0)+COUNTIF($BN$18:BN39,BN39)-1)</f>
        <v>N/A</v>
      </c>
      <c r="BP39" s="416" t="str">
        <f>IF(BF39/SUM(BF:BF)*'I-Project Contingency'!$F$81=0,"N/A",BF39/SUM(BF:BF)*'I-Project Contingency'!$F$81)</f>
        <v>N/A</v>
      </c>
      <c r="BQ39" s="416" t="str">
        <f>IF(BG39/SUM(BG:BG)*'I-Project Contingency'!$F$84=0,"N/A",BG39/SUM(BG:BG)*'I-Project Contingency'!$F$84)</f>
        <v>N/A</v>
      </c>
      <c r="BR39" s="416" t="str">
        <f>IF(BH39/SUM(BH:BH)*'I-Project Contingency'!$F$85=0,"N/A",BH39/SUM(BH:BH)*'I-Project Contingency'!$F$85)</f>
        <v>N/A</v>
      </c>
      <c r="BS39" s="418">
        <f t="shared" si="12"/>
        <v>22</v>
      </c>
      <c r="BT39" s="419" t="str">
        <f t="shared" si="13"/>
        <v xml:space="preserve">22 - </v>
      </c>
      <c r="BU39" s="413">
        <f t="shared" si="14"/>
        <v>0</v>
      </c>
      <c r="BV39" s="413">
        <f t="shared" si="15"/>
        <v>0</v>
      </c>
      <c r="BW39" s="415">
        <f t="shared" si="16"/>
        <v>0</v>
      </c>
      <c r="BX39" s="415">
        <f t="shared" si="17"/>
        <v>0</v>
      </c>
    </row>
    <row r="40" spans="1:76" ht="43.2" x14ac:dyDescent="0.3">
      <c r="A40" s="193">
        <f t="shared" si="22"/>
        <v>23</v>
      </c>
      <c r="B40" s="194" t="s">
        <v>747</v>
      </c>
      <c r="C40" s="204"/>
      <c r="D40" s="205"/>
      <c r="E40" s="195"/>
      <c r="F40" s="196" t="s">
        <v>716</v>
      </c>
      <c r="G40" s="196" t="s">
        <v>730</v>
      </c>
      <c r="H40" s="187" t="str">
        <f>IF('H-Risk Register-Model'!F40="Certain","Relook at Basis of Estimate",INDEX('G-Assumptions'!$F$8:$J$11,MATCH(F40,'G-Assumptions'!$D$8:$D$11,0),MATCH(G40,'G-Assumptions'!$F$6:$J$6,0)))</f>
        <v>Relook at Basis of Estimate</v>
      </c>
      <c r="I40" s="197" t="s">
        <v>730</v>
      </c>
      <c r="J40" s="187" t="str">
        <f>IF('H-Risk Register-Model'!F40="Certain","Relook at Basis of Estimate",INDEX('G-Assumptions'!$F$8:$J$11,MATCH(F40,'G-Assumptions'!$D$8:$D$11,0),MATCH(I40,'G-Assumptions'!$F$6:$J$6,0)))</f>
        <v>Relook at Basis of Estimate</v>
      </c>
      <c r="K40" s="197" t="s">
        <v>747</v>
      </c>
      <c r="L40" s="197" t="s">
        <v>747</v>
      </c>
      <c r="M40" s="197"/>
      <c r="N40" s="384" t="s">
        <v>747</v>
      </c>
      <c r="O40" s="384" t="s">
        <v>747</v>
      </c>
      <c r="P40" s="198"/>
      <c r="Q40" s="198"/>
      <c r="R40" s="198"/>
      <c r="S40" s="199"/>
      <c r="T40" s="199"/>
      <c r="U40" s="199"/>
      <c r="V40" s="206"/>
      <c r="W40" s="198"/>
      <c r="X40" s="198"/>
      <c r="Y40" s="200">
        <v>1</v>
      </c>
      <c r="Z40" s="201">
        <v>1</v>
      </c>
      <c r="AA40" s="202">
        <f t="shared" si="3"/>
        <v>0</v>
      </c>
      <c r="AB40" s="202">
        <f>Q40+W40</f>
        <v>0</v>
      </c>
      <c r="AC40" s="202">
        <f t="shared" si="5"/>
        <v>0</v>
      </c>
      <c r="AD40" s="202">
        <v>0</v>
      </c>
      <c r="AE40" s="198">
        <f t="shared" si="6"/>
        <v>0</v>
      </c>
      <c r="AF40" s="203">
        <v>0</v>
      </c>
      <c r="AG40" s="199">
        <f t="shared" si="7"/>
        <v>0</v>
      </c>
      <c r="AH40" s="195"/>
      <c r="AI40" s="195"/>
      <c r="AJ40" s="8"/>
      <c r="AK40" s="616" t="str">
        <f t="shared" si="8"/>
        <v>No</v>
      </c>
      <c r="AL40" s="617">
        <f>'I-Project Contingency'!$I$4</f>
        <v>28979098.489999998</v>
      </c>
      <c r="AM40" s="399">
        <f>'I-Project Contingency'!$I$11</f>
        <v>64.971830985915489</v>
      </c>
      <c r="AN40" s="398">
        <f t="shared" si="21"/>
        <v>0</v>
      </c>
      <c r="AO40" s="399">
        <f t="shared" si="18"/>
        <v>0</v>
      </c>
      <c r="AP40" s="1110" t="str">
        <f t="shared" si="19"/>
        <v>Negligible</v>
      </c>
      <c r="AQ40" s="1110" t="str">
        <f t="shared" si="20"/>
        <v>Negligible</v>
      </c>
      <c r="AR40" s="618" t="str">
        <f t="shared" si="10"/>
        <v/>
      </c>
      <c r="AS40" s="618" t="str">
        <f t="shared" si="11"/>
        <v/>
      </c>
      <c r="AT40" s="8"/>
      <c r="AU40" s="412">
        <f>'I-Project Contingency'!$O$4-AE40</f>
        <v>0</v>
      </c>
      <c r="AV40" s="413">
        <v>3099768.1860032952</v>
      </c>
      <c r="AW40" s="413">
        <v>8430883.7862095013</v>
      </c>
      <c r="AX40" s="413">
        <v>11173736.674482957</v>
      </c>
      <c r="AY40" s="413">
        <f>'I-Project Contingency'!$E$66-AV40</f>
        <v>0</v>
      </c>
      <c r="AZ40" s="413">
        <f>'I-Project Contingency'!$E$69-AW40</f>
        <v>0</v>
      </c>
      <c r="BA40" s="413">
        <f>'I-Project Contingency'!$E$70-AX40</f>
        <v>0</v>
      </c>
      <c r="BB40" s="414">
        <f>'I-Project Contingency'!$O$5-AG40</f>
        <v>0</v>
      </c>
      <c r="BC40" s="415">
        <v>1.78464631257918</v>
      </c>
      <c r="BD40" s="415">
        <v>4.4807515628171739</v>
      </c>
      <c r="BE40" s="416">
        <v>5.8619163793628264</v>
      </c>
      <c r="BF40" s="415">
        <f>'I-Project Contingency'!$E$81-BC40</f>
        <v>0</v>
      </c>
      <c r="BG40" s="415">
        <f>'I-Project Contingency'!$E$84-BD40</f>
        <v>0</v>
      </c>
      <c r="BH40" s="415">
        <f>'I-Project Contingency'!$E$85-BE40</f>
        <v>0</v>
      </c>
      <c r="BI40" s="417" t="str">
        <f>IF(BK40="N/A","N/A",IF('D-Project Data'!$C$6=50%,ABS(BK40),IF('D-Project Data'!$C$6=80%,ABS(BL40),IF('D-Project Data'!$C$6=90%,ABS(BM40)))))</f>
        <v>N/A</v>
      </c>
      <c r="BJ40" s="418" t="str">
        <f>IF(BI40="N/A","N/A",RANK(BI40,$BI$18:$BI$117,0)+COUNTIF($BI$18:BI40,BI40)-1)</f>
        <v>N/A</v>
      </c>
      <c r="BK40" s="417" t="str">
        <f>IF(AY40/SUM(AY:AY)*'I-Project Contingency'!$F$66=0,"N/A",AY40/SUM(AY:AY)*'I-Project Contingency'!$F$66)</f>
        <v>N/A</v>
      </c>
      <c r="BL40" s="417" t="str">
        <f>IF(AZ40/SUM(AZ:AZ)*'I-Project Contingency'!$F$69=0,"N/A",AZ40/SUM(AZ:AZ)*'I-Project Contingency'!$F$69)</f>
        <v>N/A</v>
      </c>
      <c r="BM40" s="417" t="str">
        <f>IF(BA40/SUM(BA:BA)*'I-Project Contingency'!$F$70=0,"N/A",BA40/SUM(BA:BA)*'I-Project Contingency'!$F$70)</f>
        <v>N/A</v>
      </c>
      <c r="BN40" s="416" t="str">
        <f>IF(BP40="N/A","N/A",IF('D-Project Data'!$C$6=50%,ABS(BP40),IF('D-Project Data'!$C$6=80%,ABS(BQ40),IF('D-Project Data'!$C$6=90%,ABS(BR40)))))</f>
        <v>N/A</v>
      </c>
      <c r="BO40" s="418" t="str">
        <f>IF(BN40="N/A","N/A",RANK(BN40,$BN$18:$BN$117,0)+COUNTIF($BN$18:BN40,BN40)-1)</f>
        <v>N/A</v>
      </c>
      <c r="BP40" s="416" t="str">
        <f>IF(BF40/SUM(BF:BF)*'I-Project Contingency'!$F$81=0,"N/A",BF40/SUM(BF:BF)*'I-Project Contingency'!$F$81)</f>
        <v>N/A</v>
      </c>
      <c r="BQ40" s="416" t="str">
        <f>IF(BG40/SUM(BG:BG)*'I-Project Contingency'!$F$84=0,"N/A",BG40/SUM(BG:BG)*'I-Project Contingency'!$F$84)</f>
        <v>N/A</v>
      </c>
      <c r="BR40" s="416" t="str">
        <f>IF(BH40/SUM(BH:BH)*'I-Project Contingency'!$F$85=0,"N/A",BH40/SUM(BH:BH)*'I-Project Contingency'!$F$85)</f>
        <v>N/A</v>
      </c>
      <c r="BS40" s="418">
        <f t="shared" si="12"/>
        <v>23</v>
      </c>
      <c r="BT40" s="419" t="str">
        <f t="shared" si="13"/>
        <v xml:space="preserve">23 - </v>
      </c>
      <c r="BU40" s="413">
        <f t="shared" si="14"/>
        <v>0</v>
      </c>
      <c r="BV40" s="413">
        <f t="shared" si="15"/>
        <v>0</v>
      </c>
      <c r="BW40" s="415">
        <f t="shared" si="16"/>
        <v>0</v>
      </c>
      <c r="BX40" s="415">
        <f t="shared" si="17"/>
        <v>0</v>
      </c>
    </row>
    <row r="41" spans="1:76" ht="43.2" x14ac:dyDescent="0.3">
      <c r="A41" s="193">
        <f t="shared" si="22"/>
        <v>24</v>
      </c>
      <c r="B41" s="194" t="s">
        <v>747</v>
      </c>
      <c r="C41" s="204"/>
      <c r="D41" s="205"/>
      <c r="E41" s="195"/>
      <c r="F41" s="196" t="s">
        <v>716</v>
      </c>
      <c r="G41" s="196" t="s">
        <v>730</v>
      </c>
      <c r="H41" s="187" t="str">
        <f>IF('H-Risk Register-Model'!F41="Certain","Relook at Basis of Estimate",INDEX('G-Assumptions'!$F$8:$J$11,MATCH(F41,'G-Assumptions'!$D$8:$D$11,0),MATCH(G41,'G-Assumptions'!$F$6:$J$6,0)))</f>
        <v>Relook at Basis of Estimate</v>
      </c>
      <c r="I41" s="197" t="s">
        <v>730</v>
      </c>
      <c r="J41" s="187" t="str">
        <f>IF('H-Risk Register-Model'!F41="Certain","Relook at Basis of Estimate",INDEX('G-Assumptions'!$F$8:$J$11,MATCH(F41,'G-Assumptions'!$D$8:$D$11,0),MATCH(I41,'G-Assumptions'!$F$6:$J$6,0)))</f>
        <v>Relook at Basis of Estimate</v>
      </c>
      <c r="K41" s="197" t="s">
        <v>747</v>
      </c>
      <c r="L41" s="197" t="s">
        <v>747</v>
      </c>
      <c r="M41" s="197"/>
      <c r="N41" s="384" t="s">
        <v>747</v>
      </c>
      <c r="O41" s="384" t="s">
        <v>747</v>
      </c>
      <c r="P41" s="198"/>
      <c r="Q41" s="198"/>
      <c r="R41" s="198"/>
      <c r="S41" s="199"/>
      <c r="T41" s="199"/>
      <c r="U41" s="199"/>
      <c r="V41" s="206"/>
      <c r="W41" s="198"/>
      <c r="X41" s="198"/>
      <c r="Y41" s="200">
        <v>1</v>
      </c>
      <c r="Z41" s="201">
        <v>1</v>
      </c>
      <c r="AA41" s="202">
        <f t="shared" si="3"/>
        <v>0</v>
      </c>
      <c r="AB41" s="202">
        <f t="shared" si="4"/>
        <v>0</v>
      </c>
      <c r="AC41" s="202">
        <f t="shared" si="5"/>
        <v>0</v>
      </c>
      <c r="AD41" s="202">
        <v>0</v>
      </c>
      <c r="AE41" s="198">
        <f t="shared" si="6"/>
        <v>0</v>
      </c>
      <c r="AF41" s="203"/>
      <c r="AG41" s="199">
        <f t="shared" si="7"/>
        <v>0</v>
      </c>
      <c r="AH41" s="195"/>
      <c r="AI41" s="195"/>
      <c r="AJ41" s="8"/>
      <c r="AK41" s="616" t="str">
        <f t="shared" si="8"/>
        <v>No</v>
      </c>
      <c r="AL41" s="617">
        <f>'I-Project Contingency'!$I$4</f>
        <v>28979098.489999998</v>
      </c>
      <c r="AM41" s="399">
        <f>'I-Project Contingency'!$I$11</f>
        <v>64.971830985915489</v>
      </c>
      <c r="AN41" s="398">
        <f t="shared" si="21"/>
        <v>0</v>
      </c>
      <c r="AO41" s="399">
        <f t="shared" si="18"/>
        <v>0</v>
      </c>
      <c r="AP41" s="1110" t="str">
        <f t="shared" si="19"/>
        <v>Negligible</v>
      </c>
      <c r="AQ41" s="1110" t="str">
        <f t="shared" si="20"/>
        <v>Negligible</v>
      </c>
      <c r="AR41" s="618" t="str">
        <f t="shared" si="10"/>
        <v/>
      </c>
      <c r="AS41" s="618" t="str">
        <f t="shared" si="11"/>
        <v/>
      </c>
      <c r="AT41" s="8"/>
      <c r="AU41" s="412">
        <f>'I-Project Contingency'!$O$4-AE41</f>
        <v>0</v>
      </c>
      <c r="AV41" s="413">
        <v>3099768.1860032952</v>
      </c>
      <c r="AW41" s="413">
        <v>8430883.7862095013</v>
      </c>
      <c r="AX41" s="413">
        <v>11173736.674482957</v>
      </c>
      <c r="AY41" s="413">
        <f>'I-Project Contingency'!$E$66-AV41</f>
        <v>0</v>
      </c>
      <c r="AZ41" s="413">
        <f>'I-Project Contingency'!$E$69-AW41</f>
        <v>0</v>
      </c>
      <c r="BA41" s="413">
        <f>'I-Project Contingency'!$E$70-AX41</f>
        <v>0</v>
      </c>
      <c r="BB41" s="414">
        <f>'I-Project Contingency'!$O$5-AG41</f>
        <v>0</v>
      </c>
      <c r="BC41" s="415">
        <v>1.78464631257918</v>
      </c>
      <c r="BD41" s="415">
        <v>4.4807515628171739</v>
      </c>
      <c r="BE41" s="416">
        <v>5.8619163793628264</v>
      </c>
      <c r="BF41" s="415">
        <f>'I-Project Contingency'!$E$81-BC41</f>
        <v>0</v>
      </c>
      <c r="BG41" s="415">
        <f>'I-Project Contingency'!$E$84-BD41</f>
        <v>0</v>
      </c>
      <c r="BH41" s="415">
        <f>'I-Project Contingency'!$E$85-BE41</f>
        <v>0</v>
      </c>
      <c r="BI41" s="417" t="str">
        <f>IF(BK41="N/A","N/A",IF('D-Project Data'!$C$6=50%,ABS(BK41),IF('D-Project Data'!$C$6=80%,ABS(BL41),IF('D-Project Data'!$C$6=90%,ABS(BM41)))))</f>
        <v>N/A</v>
      </c>
      <c r="BJ41" s="418" t="str">
        <f>IF(BI41="N/A","N/A",RANK(BI41,$BI$18:$BI$117,0)+COUNTIF($BI$18:BI41,BI41)-1)</f>
        <v>N/A</v>
      </c>
      <c r="BK41" s="417" t="str">
        <f>IF(AY41/SUM(AY:AY)*'I-Project Contingency'!$F$66=0,"N/A",AY41/SUM(AY:AY)*'I-Project Contingency'!$F$66)</f>
        <v>N/A</v>
      </c>
      <c r="BL41" s="417" t="str">
        <f>IF(AZ41/SUM(AZ:AZ)*'I-Project Contingency'!$F$69=0,"N/A",AZ41/SUM(AZ:AZ)*'I-Project Contingency'!$F$69)</f>
        <v>N/A</v>
      </c>
      <c r="BM41" s="417" t="str">
        <f>IF(BA41/SUM(BA:BA)*'I-Project Contingency'!$F$70=0,"N/A",BA41/SUM(BA:BA)*'I-Project Contingency'!$F$70)</f>
        <v>N/A</v>
      </c>
      <c r="BN41" s="416" t="str">
        <f>IF(BP41="N/A","N/A",IF('D-Project Data'!$C$6=50%,ABS(BP41),IF('D-Project Data'!$C$6=80%,ABS(BQ41),IF('D-Project Data'!$C$6=90%,ABS(BR41)))))</f>
        <v>N/A</v>
      </c>
      <c r="BO41" s="418" t="str">
        <f>IF(BN41="N/A","N/A",RANK(BN41,$BN$18:$BN$117,0)+COUNTIF($BN$18:BN41,BN41)-1)</f>
        <v>N/A</v>
      </c>
      <c r="BP41" s="416" t="str">
        <f>IF(BF41/SUM(BF:BF)*'I-Project Contingency'!$F$81=0,"N/A",BF41/SUM(BF:BF)*'I-Project Contingency'!$F$81)</f>
        <v>N/A</v>
      </c>
      <c r="BQ41" s="416" t="str">
        <f>IF(BG41/SUM(BG:BG)*'I-Project Contingency'!$F$84=0,"N/A",BG41/SUM(BG:BG)*'I-Project Contingency'!$F$84)</f>
        <v>N/A</v>
      </c>
      <c r="BR41" s="416" t="str">
        <f>IF(BH41/SUM(BH:BH)*'I-Project Contingency'!$F$85=0,"N/A",BH41/SUM(BH:BH)*'I-Project Contingency'!$F$85)</f>
        <v>N/A</v>
      </c>
      <c r="BS41" s="418">
        <f t="shared" si="12"/>
        <v>24</v>
      </c>
      <c r="BT41" s="419" t="str">
        <f t="shared" si="13"/>
        <v xml:space="preserve">24 - </v>
      </c>
      <c r="BU41" s="413">
        <f t="shared" si="14"/>
        <v>0</v>
      </c>
      <c r="BV41" s="413">
        <f t="shared" si="15"/>
        <v>0</v>
      </c>
      <c r="BW41" s="415">
        <f t="shared" si="16"/>
        <v>0</v>
      </c>
      <c r="BX41" s="415">
        <f t="shared" si="17"/>
        <v>0</v>
      </c>
    </row>
    <row r="42" spans="1:76" ht="43.2" x14ac:dyDescent="0.3">
      <c r="A42" s="193">
        <f t="shared" si="22"/>
        <v>25</v>
      </c>
      <c r="B42" s="194" t="s">
        <v>747</v>
      </c>
      <c r="C42" s="204"/>
      <c r="D42" s="205"/>
      <c r="E42" s="195"/>
      <c r="F42" s="196" t="s">
        <v>716</v>
      </c>
      <c r="G42" s="196" t="s">
        <v>730</v>
      </c>
      <c r="H42" s="187" t="str">
        <f>IF('H-Risk Register-Model'!F42="Certain","Relook at Basis of Estimate",INDEX('G-Assumptions'!$F$8:$J$11,MATCH(F42,'G-Assumptions'!$D$8:$D$11,0),MATCH(G42,'G-Assumptions'!$F$6:$J$6,0)))</f>
        <v>Relook at Basis of Estimate</v>
      </c>
      <c r="I42" s="197" t="s">
        <v>730</v>
      </c>
      <c r="J42" s="187" t="str">
        <f>IF('H-Risk Register-Model'!F42="Certain","Relook at Basis of Estimate",INDEX('G-Assumptions'!$F$8:$J$11,MATCH(F42,'G-Assumptions'!$D$8:$D$11,0),MATCH(I42,'G-Assumptions'!$F$6:$J$6,0)))</f>
        <v>Relook at Basis of Estimate</v>
      </c>
      <c r="K42" s="197" t="s">
        <v>747</v>
      </c>
      <c r="L42" s="197" t="s">
        <v>747</v>
      </c>
      <c r="M42" s="197"/>
      <c r="N42" s="384" t="s">
        <v>747</v>
      </c>
      <c r="O42" s="384" t="s">
        <v>747</v>
      </c>
      <c r="P42" s="198"/>
      <c r="Q42" s="198"/>
      <c r="R42" s="198"/>
      <c r="S42" s="199"/>
      <c r="T42" s="199"/>
      <c r="U42" s="199"/>
      <c r="V42" s="206"/>
      <c r="W42" s="198"/>
      <c r="X42" s="198"/>
      <c r="Y42" s="200">
        <v>1</v>
      </c>
      <c r="Z42" s="201">
        <v>1</v>
      </c>
      <c r="AA42" s="202">
        <f t="shared" si="3"/>
        <v>0</v>
      </c>
      <c r="AB42" s="202">
        <f t="shared" si="4"/>
        <v>0</v>
      </c>
      <c r="AC42" s="202">
        <f t="shared" si="5"/>
        <v>0</v>
      </c>
      <c r="AD42" s="202">
        <v>0</v>
      </c>
      <c r="AE42" s="198">
        <f t="shared" si="6"/>
        <v>0</v>
      </c>
      <c r="AF42" s="203"/>
      <c r="AG42" s="199">
        <f t="shared" si="7"/>
        <v>0</v>
      </c>
      <c r="AH42" s="195"/>
      <c r="AI42" s="195"/>
      <c r="AJ42" s="8"/>
      <c r="AK42" s="616" t="str">
        <f t="shared" si="8"/>
        <v>No</v>
      </c>
      <c r="AL42" s="617">
        <f>'I-Project Contingency'!$I$4</f>
        <v>28979098.489999998</v>
      </c>
      <c r="AM42" s="399">
        <f>'I-Project Contingency'!$I$11</f>
        <v>64.971830985915489</v>
      </c>
      <c r="AN42" s="398">
        <f t="shared" si="21"/>
        <v>0</v>
      </c>
      <c r="AO42" s="399">
        <f t="shared" si="18"/>
        <v>0</v>
      </c>
      <c r="AP42" s="1110" t="str">
        <f t="shared" si="19"/>
        <v>Negligible</v>
      </c>
      <c r="AQ42" s="1110" t="str">
        <f t="shared" si="20"/>
        <v>Negligible</v>
      </c>
      <c r="AR42" s="618" t="str">
        <f t="shared" si="10"/>
        <v/>
      </c>
      <c r="AS42" s="618" t="str">
        <f t="shared" si="11"/>
        <v/>
      </c>
      <c r="AT42" s="8"/>
      <c r="AU42" s="412">
        <f>'I-Project Contingency'!$O$4-AE42</f>
        <v>0</v>
      </c>
      <c r="AV42" s="413">
        <v>3099768.1860032952</v>
      </c>
      <c r="AW42" s="413">
        <v>8430883.7862095013</v>
      </c>
      <c r="AX42" s="413">
        <v>11173736.674482957</v>
      </c>
      <c r="AY42" s="413">
        <f>'I-Project Contingency'!$E$66-AV42</f>
        <v>0</v>
      </c>
      <c r="AZ42" s="413">
        <f>'I-Project Contingency'!$E$69-AW42</f>
        <v>0</v>
      </c>
      <c r="BA42" s="413">
        <f>'I-Project Contingency'!$E$70-AX42</f>
        <v>0</v>
      </c>
      <c r="BB42" s="414">
        <f>'I-Project Contingency'!$O$5-AG42</f>
        <v>0</v>
      </c>
      <c r="BC42" s="415">
        <v>1.78464631257918</v>
      </c>
      <c r="BD42" s="415">
        <v>4.4807515628171739</v>
      </c>
      <c r="BE42" s="416">
        <v>5.8619163793628264</v>
      </c>
      <c r="BF42" s="415">
        <f>'I-Project Contingency'!$E$81-BC42</f>
        <v>0</v>
      </c>
      <c r="BG42" s="415">
        <f>'I-Project Contingency'!$E$84-BD42</f>
        <v>0</v>
      </c>
      <c r="BH42" s="415">
        <f>'I-Project Contingency'!$E$85-BE42</f>
        <v>0</v>
      </c>
      <c r="BI42" s="417" t="str">
        <f>IF(BK42="N/A","N/A",IF('D-Project Data'!$C$6=50%,ABS(BK42),IF('D-Project Data'!$C$6=80%,ABS(BL42),IF('D-Project Data'!$C$6=90%,ABS(BM42)))))</f>
        <v>N/A</v>
      </c>
      <c r="BJ42" s="418" t="str">
        <f>IF(BI42="N/A","N/A",RANK(BI42,$BI$18:$BI$117,0)+COUNTIF($BI$18:BI42,BI42)-1)</f>
        <v>N/A</v>
      </c>
      <c r="BK42" s="417" t="str">
        <f>IF(AY42/SUM(AY:AY)*'I-Project Contingency'!$F$66=0,"N/A",AY42/SUM(AY:AY)*'I-Project Contingency'!$F$66)</f>
        <v>N/A</v>
      </c>
      <c r="BL42" s="417" t="str">
        <f>IF(AZ42/SUM(AZ:AZ)*'I-Project Contingency'!$F$69=0,"N/A",AZ42/SUM(AZ:AZ)*'I-Project Contingency'!$F$69)</f>
        <v>N/A</v>
      </c>
      <c r="BM42" s="417" t="str">
        <f>IF(BA42/SUM(BA:BA)*'I-Project Contingency'!$F$70=0,"N/A",BA42/SUM(BA:BA)*'I-Project Contingency'!$F$70)</f>
        <v>N/A</v>
      </c>
      <c r="BN42" s="416" t="str">
        <f>IF(BP42="N/A","N/A",IF('D-Project Data'!$C$6=50%,ABS(BP42),IF('D-Project Data'!$C$6=80%,ABS(BQ42),IF('D-Project Data'!$C$6=90%,ABS(BR42)))))</f>
        <v>N/A</v>
      </c>
      <c r="BO42" s="418" t="str">
        <f>IF(BN42="N/A","N/A",RANK(BN42,$BN$18:$BN$117,0)+COUNTIF($BN$18:BN42,BN42)-1)</f>
        <v>N/A</v>
      </c>
      <c r="BP42" s="416" t="str">
        <f>IF(BF42/SUM(BF:BF)*'I-Project Contingency'!$F$81=0,"N/A",BF42/SUM(BF:BF)*'I-Project Contingency'!$F$81)</f>
        <v>N/A</v>
      </c>
      <c r="BQ42" s="416" t="str">
        <f>IF(BG42/SUM(BG:BG)*'I-Project Contingency'!$F$84=0,"N/A",BG42/SUM(BG:BG)*'I-Project Contingency'!$F$84)</f>
        <v>N/A</v>
      </c>
      <c r="BR42" s="416" t="str">
        <f>IF(BH42/SUM(BH:BH)*'I-Project Contingency'!$F$85=0,"N/A",BH42/SUM(BH:BH)*'I-Project Contingency'!$F$85)</f>
        <v>N/A</v>
      </c>
      <c r="BS42" s="418">
        <f t="shared" si="12"/>
        <v>25</v>
      </c>
      <c r="BT42" s="419" t="str">
        <f t="shared" si="13"/>
        <v xml:space="preserve">25 - </v>
      </c>
      <c r="BU42" s="413">
        <f t="shared" si="14"/>
        <v>0</v>
      </c>
      <c r="BV42" s="413">
        <f t="shared" si="15"/>
        <v>0</v>
      </c>
      <c r="BW42" s="415">
        <f t="shared" si="16"/>
        <v>0</v>
      </c>
      <c r="BX42" s="415">
        <f t="shared" si="17"/>
        <v>0</v>
      </c>
    </row>
    <row r="43" spans="1:76" ht="43.2" x14ac:dyDescent="0.3">
      <c r="A43" s="193">
        <f t="shared" si="22"/>
        <v>26</v>
      </c>
      <c r="B43" s="194" t="s">
        <v>747</v>
      </c>
      <c r="C43" s="204"/>
      <c r="D43" s="205"/>
      <c r="E43" s="195"/>
      <c r="F43" s="196" t="s">
        <v>716</v>
      </c>
      <c r="G43" s="196" t="s">
        <v>730</v>
      </c>
      <c r="H43" s="187" t="str">
        <f>IF('H-Risk Register-Model'!F43="Certain","Relook at Basis of Estimate",INDEX('G-Assumptions'!$F$8:$J$11,MATCH(F43,'G-Assumptions'!$D$8:$D$11,0),MATCH(G43,'G-Assumptions'!$F$6:$J$6,0)))</f>
        <v>Relook at Basis of Estimate</v>
      </c>
      <c r="I43" s="197" t="s">
        <v>730</v>
      </c>
      <c r="J43" s="187" t="str">
        <f>IF('H-Risk Register-Model'!F43="Certain","Relook at Basis of Estimate",INDEX('G-Assumptions'!$F$8:$J$11,MATCH(F43,'G-Assumptions'!$D$8:$D$11,0),MATCH(I43,'G-Assumptions'!$F$6:$J$6,0)))</f>
        <v>Relook at Basis of Estimate</v>
      </c>
      <c r="K43" s="197" t="s">
        <v>747</v>
      </c>
      <c r="L43" s="197" t="s">
        <v>747</v>
      </c>
      <c r="M43" s="197"/>
      <c r="N43" s="384" t="s">
        <v>747</v>
      </c>
      <c r="O43" s="384" t="s">
        <v>747</v>
      </c>
      <c r="P43" s="198"/>
      <c r="Q43" s="198"/>
      <c r="R43" s="198"/>
      <c r="S43" s="199"/>
      <c r="T43" s="199"/>
      <c r="U43" s="199"/>
      <c r="V43" s="206"/>
      <c r="W43" s="198"/>
      <c r="X43" s="198"/>
      <c r="Y43" s="200">
        <v>1</v>
      </c>
      <c r="Z43" s="201">
        <v>1</v>
      </c>
      <c r="AA43" s="202">
        <f t="shared" si="3"/>
        <v>0</v>
      </c>
      <c r="AB43" s="202">
        <f t="shared" si="4"/>
        <v>0</v>
      </c>
      <c r="AC43" s="202">
        <f t="shared" si="5"/>
        <v>0</v>
      </c>
      <c r="AD43" s="202"/>
      <c r="AE43" s="198">
        <f t="shared" si="6"/>
        <v>0</v>
      </c>
      <c r="AF43" s="203"/>
      <c r="AG43" s="199">
        <f t="shared" si="7"/>
        <v>0</v>
      </c>
      <c r="AH43" s="195"/>
      <c r="AI43" s="195"/>
      <c r="AJ43" s="8"/>
      <c r="AK43" s="616" t="str">
        <f t="shared" si="8"/>
        <v>No</v>
      </c>
      <c r="AL43" s="617">
        <f>'I-Project Contingency'!$I$4</f>
        <v>28979098.489999998</v>
      </c>
      <c r="AM43" s="399">
        <f>'I-Project Contingency'!$I$11</f>
        <v>64.971830985915489</v>
      </c>
      <c r="AN43" s="398">
        <f t="shared" si="21"/>
        <v>0</v>
      </c>
      <c r="AO43" s="399">
        <f t="shared" si="18"/>
        <v>0</v>
      </c>
      <c r="AP43" s="1110" t="str">
        <f t="shared" si="19"/>
        <v>Negligible</v>
      </c>
      <c r="AQ43" s="1110" t="str">
        <f t="shared" si="20"/>
        <v>Negligible</v>
      </c>
      <c r="AR43" s="618" t="str">
        <f t="shared" si="10"/>
        <v/>
      </c>
      <c r="AS43" s="618" t="str">
        <f t="shared" si="11"/>
        <v/>
      </c>
      <c r="AT43" s="8"/>
      <c r="AU43" s="412">
        <f>'I-Project Contingency'!$O$4-AE43</f>
        <v>0</v>
      </c>
      <c r="AV43" s="413">
        <v>3099768.1860032952</v>
      </c>
      <c r="AW43" s="413">
        <v>8430883.7862095013</v>
      </c>
      <c r="AX43" s="413">
        <v>11173736.674482957</v>
      </c>
      <c r="AY43" s="413">
        <f>'I-Project Contingency'!$E$66-AV43</f>
        <v>0</v>
      </c>
      <c r="AZ43" s="413">
        <f>'I-Project Contingency'!$E$69-AW43</f>
        <v>0</v>
      </c>
      <c r="BA43" s="413">
        <f>'I-Project Contingency'!$E$70-AX43</f>
        <v>0</v>
      </c>
      <c r="BB43" s="414">
        <f>'I-Project Contingency'!$O$5-AG43</f>
        <v>0</v>
      </c>
      <c r="BC43" s="415">
        <v>1.78464631257918</v>
      </c>
      <c r="BD43" s="415">
        <v>4.4807515628171739</v>
      </c>
      <c r="BE43" s="416">
        <v>5.8619163793628264</v>
      </c>
      <c r="BF43" s="415">
        <f>'I-Project Contingency'!$E$81-BC43</f>
        <v>0</v>
      </c>
      <c r="BG43" s="415">
        <f>'I-Project Contingency'!$E$84-BD43</f>
        <v>0</v>
      </c>
      <c r="BH43" s="415">
        <f>'I-Project Contingency'!$E$85-BE43</f>
        <v>0</v>
      </c>
      <c r="BI43" s="417" t="str">
        <f>IF(BK43="N/A","N/A",IF('D-Project Data'!$C$6=50%,ABS(BK43),IF('D-Project Data'!$C$6=80%,ABS(BL43),IF('D-Project Data'!$C$6=90%,ABS(BM43)))))</f>
        <v>N/A</v>
      </c>
      <c r="BJ43" s="418" t="str">
        <f>IF(BI43="N/A","N/A",RANK(BI43,$BI$18:$BI$117,0)+COUNTIF($BI$18:BI43,BI43)-1)</f>
        <v>N/A</v>
      </c>
      <c r="BK43" s="417" t="str">
        <f>IF(AY43/SUM(AY:AY)*'I-Project Contingency'!$F$66=0,"N/A",AY43/SUM(AY:AY)*'I-Project Contingency'!$F$66)</f>
        <v>N/A</v>
      </c>
      <c r="BL43" s="417" t="str">
        <f>IF(AZ43/SUM(AZ:AZ)*'I-Project Contingency'!$F$69=0,"N/A",AZ43/SUM(AZ:AZ)*'I-Project Contingency'!$F$69)</f>
        <v>N/A</v>
      </c>
      <c r="BM43" s="417" t="str">
        <f>IF(BA43/SUM(BA:BA)*'I-Project Contingency'!$F$70=0,"N/A",BA43/SUM(BA:BA)*'I-Project Contingency'!$F$70)</f>
        <v>N/A</v>
      </c>
      <c r="BN43" s="416" t="str">
        <f>IF(BP43="N/A","N/A",IF('D-Project Data'!$C$6=50%,ABS(BP43),IF('D-Project Data'!$C$6=80%,ABS(BQ43),IF('D-Project Data'!$C$6=90%,ABS(BR43)))))</f>
        <v>N/A</v>
      </c>
      <c r="BO43" s="418" t="str">
        <f>IF(BN43="N/A","N/A",RANK(BN43,$BN$18:$BN$117,0)+COUNTIF($BN$18:BN43,BN43)-1)</f>
        <v>N/A</v>
      </c>
      <c r="BP43" s="416" t="str">
        <f>IF(BF43/SUM(BF:BF)*'I-Project Contingency'!$F$81=0,"N/A",BF43/SUM(BF:BF)*'I-Project Contingency'!$F$81)</f>
        <v>N/A</v>
      </c>
      <c r="BQ43" s="416" t="str">
        <f>IF(BG43/SUM(BG:BG)*'I-Project Contingency'!$F$84=0,"N/A",BG43/SUM(BG:BG)*'I-Project Contingency'!$F$84)</f>
        <v>N/A</v>
      </c>
      <c r="BR43" s="416" t="str">
        <f>IF(BH43/SUM(BH:BH)*'I-Project Contingency'!$F$85=0,"N/A",BH43/SUM(BH:BH)*'I-Project Contingency'!$F$85)</f>
        <v>N/A</v>
      </c>
      <c r="BS43" s="418">
        <f t="shared" si="12"/>
        <v>26</v>
      </c>
      <c r="BT43" s="419" t="str">
        <f t="shared" si="13"/>
        <v xml:space="preserve">26 - </v>
      </c>
      <c r="BU43" s="413">
        <f t="shared" si="14"/>
        <v>0</v>
      </c>
      <c r="BV43" s="413">
        <f t="shared" si="15"/>
        <v>0</v>
      </c>
      <c r="BW43" s="415">
        <f t="shared" si="16"/>
        <v>0</v>
      </c>
      <c r="BX43" s="415">
        <f t="shared" si="17"/>
        <v>0</v>
      </c>
    </row>
    <row r="44" spans="1:76" ht="43.2" x14ac:dyDescent="0.3">
      <c r="A44" s="193">
        <f t="shared" si="22"/>
        <v>27</v>
      </c>
      <c r="B44" s="194" t="s">
        <v>747</v>
      </c>
      <c r="C44" s="204"/>
      <c r="D44" s="205"/>
      <c r="E44" s="195"/>
      <c r="F44" s="196" t="s">
        <v>716</v>
      </c>
      <c r="G44" s="196" t="s">
        <v>730</v>
      </c>
      <c r="H44" s="187" t="str">
        <f>IF('H-Risk Register-Model'!F44="Certain","Relook at Basis of Estimate",INDEX('G-Assumptions'!$F$8:$J$11,MATCH(F44,'G-Assumptions'!$D$8:$D$11,0),MATCH(G44,'G-Assumptions'!$F$6:$J$6,0)))</f>
        <v>Relook at Basis of Estimate</v>
      </c>
      <c r="I44" s="197" t="s">
        <v>730</v>
      </c>
      <c r="J44" s="187" t="str">
        <f>IF('H-Risk Register-Model'!F44="Certain","Relook at Basis of Estimate",INDEX('G-Assumptions'!$F$8:$J$11,MATCH(F44,'G-Assumptions'!$D$8:$D$11,0),MATCH(I44,'G-Assumptions'!$F$6:$J$6,0)))</f>
        <v>Relook at Basis of Estimate</v>
      </c>
      <c r="K44" s="197" t="s">
        <v>747</v>
      </c>
      <c r="L44" s="197" t="s">
        <v>747</v>
      </c>
      <c r="M44" s="197"/>
      <c r="N44" s="384" t="s">
        <v>747</v>
      </c>
      <c r="O44" s="384" t="s">
        <v>747</v>
      </c>
      <c r="P44" s="198"/>
      <c r="Q44" s="198"/>
      <c r="R44" s="198"/>
      <c r="S44" s="199"/>
      <c r="T44" s="199"/>
      <c r="U44" s="199"/>
      <c r="V44" s="206"/>
      <c r="W44" s="198"/>
      <c r="X44" s="198"/>
      <c r="Y44" s="200">
        <v>1</v>
      </c>
      <c r="Z44" s="201">
        <v>1</v>
      </c>
      <c r="AA44" s="202">
        <f t="shared" si="3"/>
        <v>0</v>
      </c>
      <c r="AB44" s="202">
        <f t="shared" si="4"/>
        <v>0</v>
      </c>
      <c r="AC44" s="202">
        <f t="shared" si="5"/>
        <v>0</v>
      </c>
      <c r="AD44" s="202">
        <v>0</v>
      </c>
      <c r="AE44" s="198">
        <f t="shared" si="6"/>
        <v>0</v>
      </c>
      <c r="AF44" s="203"/>
      <c r="AG44" s="199">
        <f t="shared" si="7"/>
        <v>0</v>
      </c>
      <c r="AH44" s="195"/>
      <c r="AI44" s="195"/>
      <c r="AJ44" s="8"/>
      <c r="AK44" s="616" t="str">
        <f t="shared" si="8"/>
        <v>No</v>
      </c>
      <c r="AL44" s="617">
        <f>'I-Project Contingency'!$I$4</f>
        <v>28979098.489999998</v>
      </c>
      <c r="AM44" s="399">
        <f>'I-Project Contingency'!$I$11</f>
        <v>64.971830985915489</v>
      </c>
      <c r="AN44" s="398">
        <f t="shared" si="21"/>
        <v>0</v>
      </c>
      <c r="AO44" s="399">
        <f t="shared" si="18"/>
        <v>0</v>
      </c>
      <c r="AP44" s="1110" t="str">
        <f t="shared" si="19"/>
        <v>Negligible</v>
      </c>
      <c r="AQ44" s="1110" t="str">
        <f t="shared" si="20"/>
        <v>Negligible</v>
      </c>
      <c r="AR44" s="618" t="str">
        <f t="shared" si="10"/>
        <v/>
      </c>
      <c r="AS44" s="618" t="str">
        <f t="shared" si="11"/>
        <v/>
      </c>
      <c r="AT44" s="8"/>
      <c r="AU44" s="412">
        <f>'I-Project Contingency'!$O$4-AE44</f>
        <v>0</v>
      </c>
      <c r="AV44" s="413">
        <v>3099768.1860032952</v>
      </c>
      <c r="AW44" s="413">
        <v>8430883.7862095013</v>
      </c>
      <c r="AX44" s="413">
        <v>11173736.674482957</v>
      </c>
      <c r="AY44" s="413">
        <f>'I-Project Contingency'!$E$66-AV44</f>
        <v>0</v>
      </c>
      <c r="AZ44" s="413">
        <f>'I-Project Contingency'!$E$69-AW44</f>
        <v>0</v>
      </c>
      <c r="BA44" s="413">
        <f>'I-Project Contingency'!$E$70-AX44</f>
        <v>0</v>
      </c>
      <c r="BB44" s="414">
        <f>'I-Project Contingency'!$O$5-AG44</f>
        <v>0</v>
      </c>
      <c r="BC44" s="415">
        <v>1.78464631257918</v>
      </c>
      <c r="BD44" s="415">
        <v>4.4807515628171739</v>
      </c>
      <c r="BE44" s="416">
        <v>5.8619163793628264</v>
      </c>
      <c r="BF44" s="415">
        <f>'I-Project Contingency'!$E$81-BC44</f>
        <v>0</v>
      </c>
      <c r="BG44" s="415">
        <f>'I-Project Contingency'!$E$84-BD44</f>
        <v>0</v>
      </c>
      <c r="BH44" s="415">
        <f>'I-Project Contingency'!$E$85-BE44</f>
        <v>0</v>
      </c>
      <c r="BI44" s="417" t="str">
        <f>IF(BK44="N/A","N/A",IF('D-Project Data'!$C$6=50%,ABS(BK44),IF('D-Project Data'!$C$6=80%,ABS(BL44),IF('D-Project Data'!$C$6=90%,ABS(BM44)))))</f>
        <v>N/A</v>
      </c>
      <c r="BJ44" s="418" t="str">
        <f>IF(BI44="N/A","N/A",RANK(BI44,$BI$18:$BI$117,0)+COUNTIF($BI$18:BI44,BI44)-1)</f>
        <v>N/A</v>
      </c>
      <c r="BK44" s="417" t="str">
        <f>IF(AY44/SUM(AY:AY)*'I-Project Contingency'!$F$66=0,"N/A",AY44/SUM(AY:AY)*'I-Project Contingency'!$F$66)</f>
        <v>N/A</v>
      </c>
      <c r="BL44" s="417" t="str">
        <f>IF(AZ44/SUM(AZ:AZ)*'I-Project Contingency'!$F$69=0,"N/A",AZ44/SUM(AZ:AZ)*'I-Project Contingency'!$F$69)</f>
        <v>N/A</v>
      </c>
      <c r="BM44" s="417" t="str">
        <f>IF(BA44/SUM(BA:BA)*'I-Project Contingency'!$F$70=0,"N/A",BA44/SUM(BA:BA)*'I-Project Contingency'!$F$70)</f>
        <v>N/A</v>
      </c>
      <c r="BN44" s="416" t="str">
        <f>IF(BP44="N/A","N/A",IF('D-Project Data'!$C$6=50%,ABS(BP44),IF('D-Project Data'!$C$6=80%,ABS(BQ44),IF('D-Project Data'!$C$6=90%,ABS(BR44)))))</f>
        <v>N/A</v>
      </c>
      <c r="BO44" s="418" t="str">
        <f>IF(BN44="N/A","N/A",RANK(BN44,$BN$18:$BN$117,0)+COUNTIF($BN$18:BN44,BN44)-1)</f>
        <v>N/A</v>
      </c>
      <c r="BP44" s="416" t="str">
        <f>IF(BF44/SUM(BF:BF)*'I-Project Contingency'!$F$81=0,"N/A",BF44/SUM(BF:BF)*'I-Project Contingency'!$F$81)</f>
        <v>N/A</v>
      </c>
      <c r="BQ44" s="416" t="str">
        <f>IF(BG44/SUM(BG:BG)*'I-Project Contingency'!$F$84=0,"N/A",BG44/SUM(BG:BG)*'I-Project Contingency'!$F$84)</f>
        <v>N/A</v>
      </c>
      <c r="BR44" s="416" t="str">
        <f>IF(BH44/SUM(BH:BH)*'I-Project Contingency'!$F$85=0,"N/A",BH44/SUM(BH:BH)*'I-Project Contingency'!$F$85)</f>
        <v>N/A</v>
      </c>
      <c r="BS44" s="418">
        <f t="shared" si="12"/>
        <v>27</v>
      </c>
      <c r="BT44" s="419" t="str">
        <f t="shared" si="13"/>
        <v xml:space="preserve">27 - </v>
      </c>
      <c r="BU44" s="413">
        <f t="shared" si="14"/>
        <v>0</v>
      </c>
      <c r="BV44" s="413">
        <f t="shared" si="15"/>
        <v>0</v>
      </c>
      <c r="BW44" s="415">
        <f t="shared" si="16"/>
        <v>0</v>
      </c>
      <c r="BX44" s="415">
        <f t="shared" si="17"/>
        <v>0</v>
      </c>
    </row>
    <row r="45" spans="1:76" ht="43.2" x14ac:dyDescent="0.3">
      <c r="A45" s="193">
        <f t="shared" si="22"/>
        <v>28</v>
      </c>
      <c r="B45" s="194" t="s">
        <v>747</v>
      </c>
      <c r="C45" s="204"/>
      <c r="D45" s="205"/>
      <c r="E45" s="195"/>
      <c r="F45" s="196" t="s">
        <v>716</v>
      </c>
      <c r="G45" s="196" t="s">
        <v>730</v>
      </c>
      <c r="H45" s="187" t="str">
        <f>IF('H-Risk Register-Model'!F45="Certain","Relook at Basis of Estimate",INDEX('G-Assumptions'!$F$8:$J$11,MATCH(F45,'G-Assumptions'!$D$8:$D$11,0),MATCH(G45,'G-Assumptions'!$F$6:$J$6,0)))</f>
        <v>Relook at Basis of Estimate</v>
      </c>
      <c r="I45" s="197" t="s">
        <v>730</v>
      </c>
      <c r="J45" s="187" t="str">
        <f>IF('H-Risk Register-Model'!F45="Certain","Relook at Basis of Estimate",INDEX('G-Assumptions'!$F$8:$J$11,MATCH(F45,'G-Assumptions'!$D$8:$D$11,0),MATCH(I45,'G-Assumptions'!$F$6:$J$6,0)))</f>
        <v>Relook at Basis of Estimate</v>
      </c>
      <c r="K45" s="197" t="s">
        <v>747</v>
      </c>
      <c r="L45" s="197" t="s">
        <v>747</v>
      </c>
      <c r="M45" s="197"/>
      <c r="N45" s="384" t="s">
        <v>747</v>
      </c>
      <c r="O45" s="384" t="s">
        <v>747</v>
      </c>
      <c r="P45" s="198"/>
      <c r="Q45" s="198"/>
      <c r="R45" s="198"/>
      <c r="S45" s="199"/>
      <c r="T45" s="199"/>
      <c r="U45" s="199"/>
      <c r="V45" s="206"/>
      <c r="W45" s="198"/>
      <c r="X45" s="198"/>
      <c r="Y45" s="200">
        <v>1</v>
      </c>
      <c r="Z45" s="201">
        <v>1</v>
      </c>
      <c r="AA45" s="202">
        <f t="shared" si="3"/>
        <v>0</v>
      </c>
      <c r="AB45" s="202">
        <f t="shared" si="4"/>
        <v>0</v>
      </c>
      <c r="AC45" s="202">
        <f t="shared" si="5"/>
        <v>0</v>
      </c>
      <c r="AD45" s="202"/>
      <c r="AE45" s="198">
        <f t="shared" si="6"/>
        <v>0</v>
      </c>
      <c r="AF45" s="203">
        <v>0</v>
      </c>
      <c r="AG45" s="199">
        <f t="shared" si="7"/>
        <v>0</v>
      </c>
      <c r="AH45" s="195"/>
      <c r="AI45" s="195"/>
      <c r="AJ45" s="8"/>
      <c r="AK45" s="616" t="str">
        <f t="shared" si="8"/>
        <v>No</v>
      </c>
      <c r="AL45" s="617">
        <f>'I-Project Contingency'!$I$4</f>
        <v>28979098.489999998</v>
      </c>
      <c r="AM45" s="399">
        <f>'I-Project Contingency'!$I$11</f>
        <v>64.971830985915489</v>
      </c>
      <c r="AN45" s="398">
        <f t="shared" si="21"/>
        <v>0</v>
      </c>
      <c r="AO45" s="399">
        <f t="shared" si="18"/>
        <v>0</v>
      </c>
      <c r="AP45" s="1110" t="str">
        <f t="shared" si="19"/>
        <v>Negligible</v>
      </c>
      <c r="AQ45" s="1110" t="str">
        <f t="shared" si="20"/>
        <v>Negligible</v>
      </c>
      <c r="AR45" s="618" t="str">
        <f t="shared" si="10"/>
        <v/>
      </c>
      <c r="AS45" s="618" t="str">
        <f t="shared" si="11"/>
        <v/>
      </c>
      <c r="AT45" s="8"/>
      <c r="AU45" s="412">
        <f>'I-Project Contingency'!$O$4-AE45</f>
        <v>0</v>
      </c>
      <c r="AV45" s="413">
        <v>3099768.1860032952</v>
      </c>
      <c r="AW45" s="413">
        <v>8430883.7862095013</v>
      </c>
      <c r="AX45" s="413">
        <v>11173736.674482957</v>
      </c>
      <c r="AY45" s="413">
        <f>'I-Project Contingency'!$E$66-AV45</f>
        <v>0</v>
      </c>
      <c r="AZ45" s="413">
        <f>'I-Project Contingency'!$E$69-AW45</f>
        <v>0</v>
      </c>
      <c r="BA45" s="413">
        <f>'I-Project Contingency'!$E$70-AX45</f>
        <v>0</v>
      </c>
      <c r="BB45" s="414">
        <f>'I-Project Contingency'!$O$5-AG45</f>
        <v>0</v>
      </c>
      <c r="BC45" s="415">
        <v>1.78464631257918</v>
      </c>
      <c r="BD45" s="415">
        <v>4.4807515628171739</v>
      </c>
      <c r="BE45" s="416">
        <v>5.8619163793628264</v>
      </c>
      <c r="BF45" s="415">
        <f>'I-Project Contingency'!$E$81-BC45</f>
        <v>0</v>
      </c>
      <c r="BG45" s="415">
        <f>'I-Project Contingency'!$E$84-BD45</f>
        <v>0</v>
      </c>
      <c r="BH45" s="415">
        <f>'I-Project Contingency'!$E$85-BE45</f>
        <v>0</v>
      </c>
      <c r="BI45" s="417" t="str">
        <f>IF(BK45="N/A","N/A",IF('D-Project Data'!$C$6=50%,ABS(BK45),IF('D-Project Data'!$C$6=80%,ABS(BL45),IF('D-Project Data'!$C$6=90%,ABS(BM45)))))</f>
        <v>N/A</v>
      </c>
      <c r="BJ45" s="418" t="str">
        <f>IF(BI45="N/A","N/A",RANK(BI45,$BI$18:$BI$117,0)+COUNTIF($BI$18:BI45,BI45)-1)</f>
        <v>N/A</v>
      </c>
      <c r="BK45" s="417" t="str">
        <f>IF(AY45/SUM(AY:AY)*'I-Project Contingency'!$F$66=0,"N/A",AY45/SUM(AY:AY)*'I-Project Contingency'!$F$66)</f>
        <v>N/A</v>
      </c>
      <c r="BL45" s="417" t="str">
        <f>IF(AZ45/SUM(AZ:AZ)*'I-Project Contingency'!$F$69=0,"N/A",AZ45/SUM(AZ:AZ)*'I-Project Contingency'!$F$69)</f>
        <v>N/A</v>
      </c>
      <c r="BM45" s="417" t="str">
        <f>IF(BA45/SUM(BA:BA)*'I-Project Contingency'!$F$70=0,"N/A",BA45/SUM(BA:BA)*'I-Project Contingency'!$F$70)</f>
        <v>N/A</v>
      </c>
      <c r="BN45" s="416" t="str">
        <f>IF(BP45="N/A","N/A",IF('D-Project Data'!$C$6=50%,ABS(BP45),IF('D-Project Data'!$C$6=80%,ABS(BQ45),IF('D-Project Data'!$C$6=90%,ABS(BR45)))))</f>
        <v>N/A</v>
      </c>
      <c r="BO45" s="418" t="str">
        <f>IF(BN45="N/A","N/A",RANK(BN45,$BN$18:$BN$117,0)+COUNTIF($BN$18:BN45,BN45)-1)</f>
        <v>N/A</v>
      </c>
      <c r="BP45" s="416" t="str">
        <f>IF(BF45/SUM(BF:BF)*'I-Project Contingency'!$F$81=0,"N/A",BF45/SUM(BF:BF)*'I-Project Contingency'!$F$81)</f>
        <v>N/A</v>
      </c>
      <c r="BQ45" s="416" t="str">
        <f>IF(BG45/SUM(BG:BG)*'I-Project Contingency'!$F$84=0,"N/A",BG45/SUM(BG:BG)*'I-Project Contingency'!$F$84)</f>
        <v>N/A</v>
      </c>
      <c r="BR45" s="416" t="str">
        <f>IF(BH45/SUM(BH:BH)*'I-Project Contingency'!$F$85=0,"N/A",BH45/SUM(BH:BH)*'I-Project Contingency'!$F$85)</f>
        <v>N/A</v>
      </c>
      <c r="BS45" s="418">
        <f t="shared" si="12"/>
        <v>28</v>
      </c>
      <c r="BT45" s="419" t="str">
        <f t="shared" si="13"/>
        <v xml:space="preserve">28 - </v>
      </c>
      <c r="BU45" s="413">
        <f t="shared" si="14"/>
        <v>0</v>
      </c>
      <c r="BV45" s="413">
        <f t="shared" si="15"/>
        <v>0</v>
      </c>
      <c r="BW45" s="415">
        <f t="shared" si="16"/>
        <v>0</v>
      </c>
      <c r="BX45" s="415">
        <f t="shared" si="17"/>
        <v>0</v>
      </c>
    </row>
    <row r="46" spans="1:76" ht="43.2" x14ac:dyDescent="0.3">
      <c r="A46" s="193">
        <f t="shared" si="22"/>
        <v>29</v>
      </c>
      <c r="B46" s="194" t="s">
        <v>747</v>
      </c>
      <c r="C46" s="204"/>
      <c r="D46" s="205"/>
      <c r="E46" s="195"/>
      <c r="F46" s="196" t="s">
        <v>716</v>
      </c>
      <c r="G46" s="196" t="s">
        <v>730</v>
      </c>
      <c r="H46" s="187" t="str">
        <f>IF('H-Risk Register-Model'!F46="Certain","Relook at Basis of Estimate",INDEX('G-Assumptions'!$F$8:$J$11,MATCH(F46,'G-Assumptions'!$D$8:$D$11,0),MATCH(G46,'G-Assumptions'!$F$6:$J$6,0)))</f>
        <v>Relook at Basis of Estimate</v>
      </c>
      <c r="I46" s="197" t="s">
        <v>730</v>
      </c>
      <c r="J46" s="187" t="str">
        <f>IF('H-Risk Register-Model'!F46="Certain","Relook at Basis of Estimate",INDEX('G-Assumptions'!$F$8:$J$11,MATCH(F46,'G-Assumptions'!$D$8:$D$11,0),MATCH(I46,'G-Assumptions'!$F$6:$J$6,0)))</f>
        <v>Relook at Basis of Estimate</v>
      </c>
      <c r="K46" s="197" t="s">
        <v>747</v>
      </c>
      <c r="L46" s="197" t="s">
        <v>747</v>
      </c>
      <c r="M46" s="197"/>
      <c r="N46" s="384" t="s">
        <v>747</v>
      </c>
      <c r="O46" s="384" t="s">
        <v>747</v>
      </c>
      <c r="P46" s="198"/>
      <c r="Q46" s="198"/>
      <c r="R46" s="198"/>
      <c r="S46" s="199"/>
      <c r="T46" s="199"/>
      <c r="U46" s="199"/>
      <c r="V46" s="206"/>
      <c r="W46" s="198"/>
      <c r="X46" s="198"/>
      <c r="Y46" s="200">
        <v>1</v>
      </c>
      <c r="Z46" s="201">
        <v>1</v>
      </c>
      <c r="AA46" s="202">
        <f t="shared" si="3"/>
        <v>0</v>
      </c>
      <c r="AB46" s="202">
        <f t="shared" si="4"/>
        <v>0</v>
      </c>
      <c r="AC46" s="202">
        <f t="shared" si="5"/>
        <v>0</v>
      </c>
      <c r="AD46" s="202"/>
      <c r="AE46" s="198">
        <f t="shared" si="6"/>
        <v>0</v>
      </c>
      <c r="AF46" s="203"/>
      <c r="AG46" s="199">
        <f t="shared" si="7"/>
        <v>0</v>
      </c>
      <c r="AH46" s="195"/>
      <c r="AI46" s="195"/>
      <c r="AJ46" s="8"/>
      <c r="AK46" s="616" t="str">
        <f t="shared" si="8"/>
        <v>No</v>
      </c>
      <c r="AL46" s="617">
        <f>'I-Project Contingency'!$I$4</f>
        <v>28979098.489999998</v>
      </c>
      <c r="AM46" s="399">
        <f>'I-Project Contingency'!$I$11</f>
        <v>64.971830985915489</v>
      </c>
      <c r="AN46" s="398">
        <f t="shared" si="21"/>
        <v>0</v>
      </c>
      <c r="AO46" s="399">
        <f t="shared" si="18"/>
        <v>0</v>
      </c>
      <c r="AP46" s="1110" t="str">
        <f t="shared" si="19"/>
        <v>Negligible</v>
      </c>
      <c r="AQ46" s="1110" t="str">
        <f t="shared" si="20"/>
        <v>Negligible</v>
      </c>
      <c r="AR46" s="618" t="str">
        <f t="shared" si="10"/>
        <v/>
      </c>
      <c r="AS46" s="618" t="str">
        <f t="shared" si="11"/>
        <v/>
      </c>
      <c r="AT46" s="8"/>
      <c r="AU46" s="412">
        <f>'I-Project Contingency'!$O$4-AE46</f>
        <v>0</v>
      </c>
      <c r="AV46" s="413">
        <v>3099768.1860032952</v>
      </c>
      <c r="AW46" s="413">
        <v>8430883.7862095013</v>
      </c>
      <c r="AX46" s="413">
        <v>11173736.674482957</v>
      </c>
      <c r="AY46" s="413">
        <f>'I-Project Contingency'!$E$66-AV46</f>
        <v>0</v>
      </c>
      <c r="AZ46" s="413">
        <f>'I-Project Contingency'!$E$69-AW46</f>
        <v>0</v>
      </c>
      <c r="BA46" s="413">
        <f>'I-Project Contingency'!$E$70-AX46</f>
        <v>0</v>
      </c>
      <c r="BB46" s="414">
        <f>'I-Project Contingency'!$O$5-AG46</f>
        <v>0</v>
      </c>
      <c r="BC46" s="415">
        <v>1.78464631257918</v>
      </c>
      <c r="BD46" s="415">
        <v>4.4807515628171739</v>
      </c>
      <c r="BE46" s="416">
        <v>5.8619163793628264</v>
      </c>
      <c r="BF46" s="415">
        <f>'I-Project Contingency'!$E$81-BC46</f>
        <v>0</v>
      </c>
      <c r="BG46" s="415">
        <f>'I-Project Contingency'!$E$84-BD46</f>
        <v>0</v>
      </c>
      <c r="BH46" s="415">
        <f>'I-Project Contingency'!$E$85-BE46</f>
        <v>0</v>
      </c>
      <c r="BI46" s="417" t="str">
        <f>IF(BK46="N/A","N/A",IF('D-Project Data'!$C$6=50%,ABS(BK46),IF('D-Project Data'!$C$6=80%,ABS(BL46),IF('D-Project Data'!$C$6=90%,ABS(BM46)))))</f>
        <v>N/A</v>
      </c>
      <c r="BJ46" s="418" t="str">
        <f>IF(BI46="N/A","N/A",RANK(BI46,$BI$18:$BI$117,0)+COUNTIF($BI$18:BI46,BI46)-1)</f>
        <v>N/A</v>
      </c>
      <c r="BK46" s="417" t="str">
        <f>IF(AY46/SUM(AY:AY)*'I-Project Contingency'!$F$66=0,"N/A",AY46/SUM(AY:AY)*'I-Project Contingency'!$F$66)</f>
        <v>N/A</v>
      </c>
      <c r="BL46" s="417" t="str">
        <f>IF(AZ46/SUM(AZ:AZ)*'I-Project Contingency'!$F$69=0,"N/A",AZ46/SUM(AZ:AZ)*'I-Project Contingency'!$F$69)</f>
        <v>N/A</v>
      </c>
      <c r="BM46" s="417" t="str">
        <f>IF(BA46/SUM(BA:BA)*'I-Project Contingency'!$F$70=0,"N/A",BA46/SUM(BA:BA)*'I-Project Contingency'!$F$70)</f>
        <v>N/A</v>
      </c>
      <c r="BN46" s="416" t="str">
        <f>IF(BP46="N/A","N/A",IF('D-Project Data'!$C$6=50%,ABS(BP46),IF('D-Project Data'!$C$6=80%,ABS(BQ46),IF('D-Project Data'!$C$6=90%,ABS(BR46)))))</f>
        <v>N/A</v>
      </c>
      <c r="BO46" s="418" t="str">
        <f>IF(BN46="N/A","N/A",RANK(BN46,$BN$18:$BN$117,0)+COUNTIF($BN$18:BN46,BN46)-1)</f>
        <v>N/A</v>
      </c>
      <c r="BP46" s="416" t="str">
        <f>IF(BF46/SUM(BF:BF)*'I-Project Contingency'!$F$81=0,"N/A",BF46/SUM(BF:BF)*'I-Project Contingency'!$F$81)</f>
        <v>N/A</v>
      </c>
      <c r="BQ46" s="416" t="str">
        <f>IF(BG46/SUM(BG:BG)*'I-Project Contingency'!$F$84=0,"N/A",BG46/SUM(BG:BG)*'I-Project Contingency'!$F$84)</f>
        <v>N/A</v>
      </c>
      <c r="BR46" s="416" t="str">
        <f>IF(BH46/SUM(BH:BH)*'I-Project Contingency'!$F$85=0,"N/A",BH46/SUM(BH:BH)*'I-Project Contingency'!$F$85)</f>
        <v>N/A</v>
      </c>
      <c r="BS46" s="418">
        <f t="shared" si="12"/>
        <v>29</v>
      </c>
      <c r="BT46" s="419" t="str">
        <f t="shared" si="13"/>
        <v xml:space="preserve">29 - </v>
      </c>
      <c r="BU46" s="413">
        <f t="shared" si="14"/>
        <v>0</v>
      </c>
      <c r="BV46" s="413">
        <f t="shared" si="15"/>
        <v>0</v>
      </c>
      <c r="BW46" s="415">
        <f t="shared" si="16"/>
        <v>0</v>
      </c>
      <c r="BX46" s="415">
        <f t="shared" si="17"/>
        <v>0</v>
      </c>
    </row>
    <row r="47" spans="1:76" ht="43.2" x14ac:dyDescent="0.3">
      <c r="A47" s="193">
        <f t="shared" si="22"/>
        <v>30</v>
      </c>
      <c r="B47" s="194" t="s">
        <v>747</v>
      </c>
      <c r="C47" s="204"/>
      <c r="D47" s="205"/>
      <c r="E47" s="195"/>
      <c r="F47" s="196" t="s">
        <v>716</v>
      </c>
      <c r="G47" s="196" t="s">
        <v>730</v>
      </c>
      <c r="H47" s="187" t="str">
        <f>IF('H-Risk Register-Model'!F47="Certain","Relook at Basis of Estimate",INDEX('G-Assumptions'!$F$8:$J$11,MATCH(F47,'G-Assumptions'!$D$8:$D$11,0),MATCH(G47,'G-Assumptions'!$F$6:$J$6,0)))</f>
        <v>Relook at Basis of Estimate</v>
      </c>
      <c r="I47" s="197" t="s">
        <v>730</v>
      </c>
      <c r="J47" s="187" t="str">
        <f>IF('H-Risk Register-Model'!F47="Certain","Relook at Basis of Estimate",INDEX('G-Assumptions'!$F$8:$J$11,MATCH(F47,'G-Assumptions'!$D$8:$D$11,0),MATCH(I47,'G-Assumptions'!$F$6:$J$6,0)))</f>
        <v>Relook at Basis of Estimate</v>
      </c>
      <c r="K47" s="197" t="s">
        <v>747</v>
      </c>
      <c r="L47" s="197" t="s">
        <v>747</v>
      </c>
      <c r="M47" s="197"/>
      <c r="N47" s="384" t="s">
        <v>747</v>
      </c>
      <c r="O47" s="384" t="s">
        <v>747</v>
      </c>
      <c r="P47" s="198"/>
      <c r="Q47" s="198"/>
      <c r="R47" s="198"/>
      <c r="S47" s="199"/>
      <c r="T47" s="199"/>
      <c r="U47" s="199"/>
      <c r="V47" s="206"/>
      <c r="W47" s="198"/>
      <c r="X47" s="198"/>
      <c r="Y47" s="200">
        <v>1</v>
      </c>
      <c r="Z47" s="201">
        <v>1</v>
      </c>
      <c r="AA47" s="202">
        <f t="shared" si="3"/>
        <v>0</v>
      </c>
      <c r="AB47" s="202">
        <f t="shared" si="4"/>
        <v>0</v>
      </c>
      <c r="AC47" s="202">
        <f t="shared" si="5"/>
        <v>0</v>
      </c>
      <c r="AD47" s="202"/>
      <c r="AE47" s="198">
        <f t="shared" si="6"/>
        <v>0</v>
      </c>
      <c r="AF47" s="203"/>
      <c r="AG47" s="199">
        <f t="shared" si="7"/>
        <v>0</v>
      </c>
      <c r="AH47" s="195"/>
      <c r="AI47" s="195"/>
      <c r="AJ47" s="8"/>
      <c r="AK47" s="616" t="str">
        <f t="shared" si="8"/>
        <v>No</v>
      </c>
      <c r="AL47" s="617">
        <f>'I-Project Contingency'!$I$4</f>
        <v>28979098.489999998</v>
      </c>
      <c r="AM47" s="399">
        <f>'I-Project Contingency'!$I$11</f>
        <v>64.971830985915489</v>
      </c>
      <c r="AN47" s="398">
        <f t="shared" si="21"/>
        <v>0</v>
      </c>
      <c r="AO47" s="399">
        <f t="shared" si="18"/>
        <v>0</v>
      </c>
      <c r="AP47" s="1110" t="str">
        <f t="shared" si="19"/>
        <v>Negligible</v>
      </c>
      <c r="AQ47" s="1110" t="str">
        <f t="shared" si="20"/>
        <v>Negligible</v>
      </c>
      <c r="AR47" s="618" t="str">
        <f t="shared" si="10"/>
        <v/>
      </c>
      <c r="AS47" s="618" t="str">
        <f t="shared" si="11"/>
        <v/>
      </c>
      <c r="AT47" s="8"/>
      <c r="AU47" s="412">
        <f>'I-Project Contingency'!$O$4-AE47</f>
        <v>0</v>
      </c>
      <c r="AV47" s="413">
        <v>3099768.1860032952</v>
      </c>
      <c r="AW47" s="413">
        <v>8430883.7862095013</v>
      </c>
      <c r="AX47" s="413">
        <v>11173736.674482957</v>
      </c>
      <c r="AY47" s="413">
        <f>'I-Project Contingency'!$E$66-AV47</f>
        <v>0</v>
      </c>
      <c r="AZ47" s="413">
        <f>'I-Project Contingency'!$E$69-AW47</f>
        <v>0</v>
      </c>
      <c r="BA47" s="413">
        <f>'I-Project Contingency'!$E$70-AX47</f>
        <v>0</v>
      </c>
      <c r="BB47" s="414">
        <f>'I-Project Contingency'!$O$5-AG47</f>
        <v>0</v>
      </c>
      <c r="BC47" s="415">
        <v>1.78464631257918</v>
      </c>
      <c r="BD47" s="415">
        <v>4.4807515628171739</v>
      </c>
      <c r="BE47" s="416">
        <v>5.8619163793628264</v>
      </c>
      <c r="BF47" s="415">
        <f>'I-Project Contingency'!$E$81-BC47</f>
        <v>0</v>
      </c>
      <c r="BG47" s="415">
        <f>'I-Project Contingency'!$E$84-BD47</f>
        <v>0</v>
      </c>
      <c r="BH47" s="415">
        <f>'I-Project Contingency'!$E$85-BE47</f>
        <v>0</v>
      </c>
      <c r="BI47" s="417" t="str">
        <f>IF(BK47="N/A","N/A",IF('D-Project Data'!$C$6=50%,ABS(BK47),IF('D-Project Data'!$C$6=80%,ABS(BL47),IF('D-Project Data'!$C$6=90%,ABS(BM47)))))</f>
        <v>N/A</v>
      </c>
      <c r="BJ47" s="418" t="str">
        <f>IF(BI47="N/A","N/A",RANK(BI47,$BI$18:$BI$117,0)+COUNTIF($BI$18:BI47,BI47)-1)</f>
        <v>N/A</v>
      </c>
      <c r="BK47" s="417" t="str">
        <f>IF(AY47/SUM(AY:AY)*'I-Project Contingency'!$F$66=0,"N/A",AY47/SUM(AY:AY)*'I-Project Contingency'!$F$66)</f>
        <v>N/A</v>
      </c>
      <c r="BL47" s="417" t="str">
        <f>IF(AZ47/SUM(AZ:AZ)*'I-Project Contingency'!$F$69=0,"N/A",AZ47/SUM(AZ:AZ)*'I-Project Contingency'!$F$69)</f>
        <v>N/A</v>
      </c>
      <c r="BM47" s="417" t="str">
        <f>IF(BA47/SUM(BA:BA)*'I-Project Contingency'!$F$70=0,"N/A",BA47/SUM(BA:BA)*'I-Project Contingency'!$F$70)</f>
        <v>N/A</v>
      </c>
      <c r="BN47" s="416" t="str">
        <f>IF(BP47="N/A","N/A",IF('D-Project Data'!$C$6=50%,ABS(BP47),IF('D-Project Data'!$C$6=80%,ABS(BQ47),IF('D-Project Data'!$C$6=90%,ABS(BR47)))))</f>
        <v>N/A</v>
      </c>
      <c r="BO47" s="418" t="str">
        <f>IF(BN47="N/A","N/A",RANK(BN47,$BN$18:$BN$117,0)+COUNTIF($BN$18:BN47,BN47)-1)</f>
        <v>N/A</v>
      </c>
      <c r="BP47" s="416" t="str">
        <f>IF(BF47/SUM(BF:BF)*'I-Project Contingency'!$F$81=0,"N/A",BF47/SUM(BF:BF)*'I-Project Contingency'!$F$81)</f>
        <v>N/A</v>
      </c>
      <c r="BQ47" s="416" t="str">
        <f>IF(BG47/SUM(BG:BG)*'I-Project Contingency'!$F$84=0,"N/A",BG47/SUM(BG:BG)*'I-Project Contingency'!$F$84)</f>
        <v>N/A</v>
      </c>
      <c r="BR47" s="416" t="str">
        <f>IF(BH47/SUM(BH:BH)*'I-Project Contingency'!$F$85=0,"N/A",BH47/SUM(BH:BH)*'I-Project Contingency'!$F$85)</f>
        <v>N/A</v>
      </c>
      <c r="BS47" s="418">
        <f t="shared" si="12"/>
        <v>30</v>
      </c>
      <c r="BT47" s="419" t="str">
        <f t="shared" si="13"/>
        <v xml:space="preserve">30 - </v>
      </c>
      <c r="BU47" s="413">
        <f t="shared" si="14"/>
        <v>0</v>
      </c>
      <c r="BV47" s="413">
        <f t="shared" si="15"/>
        <v>0</v>
      </c>
      <c r="BW47" s="415">
        <f t="shared" si="16"/>
        <v>0</v>
      </c>
      <c r="BX47" s="415">
        <f t="shared" si="17"/>
        <v>0</v>
      </c>
    </row>
    <row r="48" spans="1:76" ht="43.2" x14ac:dyDescent="0.3">
      <c r="A48" s="193">
        <f t="shared" si="22"/>
        <v>31</v>
      </c>
      <c r="B48" s="194" t="s">
        <v>747</v>
      </c>
      <c r="C48" s="204"/>
      <c r="D48" s="205"/>
      <c r="E48" s="195"/>
      <c r="F48" s="196" t="s">
        <v>716</v>
      </c>
      <c r="G48" s="196" t="s">
        <v>730</v>
      </c>
      <c r="H48" s="187" t="str">
        <f>IF('H-Risk Register-Model'!F48="Certain","Relook at Basis of Estimate",INDEX('G-Assumptions'!$F$8:$J$11,MATCH(F48,'G-Assumptions'!$D$8:$D$11,0),MATCH(G48,'G-Assumptions'!$F$6:$J$6,0)))</f>
        <v>Relook at Basis of Estimate</v>
      </c>
      <c r="I48" s="197" t="s">
        <v>730</v>
      </c>
      <c r="J48" s="187" t="str">
        <f>IF('H-Risk Register-Model'!F48="Certain","Relook at Basis of Estimate",INDEX('G-Assumptions'!$F$8:$J$11,MATCH(F48,'G-Assumptions'!$D$8:$D$11,0),MATCH(I48,'G-Assumptions'!$F$6:$J$6,0)))</f>
        <v>Relook at Basis of Estimate</v>
      </c>
      <c r="K48" s="197" t="s">
        <v>747</v>
      </c>
      <c r="L48" s="197" t="s">
        <v>747</v>
      </c>
      <c r="M48" s="197"/>
      <c r="N48" s="384" t="s">
        <v>747</v>
      </c>
      <c r="O48" s="384" t="s">
        <v>747</v>
      </c>
      <c r="P48" s="198"/>
      <c r="Q48" s="198"/>
      <c r="R48" s="198"/>
      <c r="S48" s="199"/>
      <c r="T48" s="199"/>
      <c r="U48" s="199"/>
      <c r="V48" s="206"/>
      <c r="W48" s="198"/>
      <c r="X48" s="198"/>
      <c r="Y48" s="200">
        <v>1</v>
      </c>
      <c r="Z48" s="201">
        <v>1</v>
      </c>
      <c r="AA48" s="202">
        <f t="shared" si="3"/>
        <v>0</v>
      </c>
      <c r="AB48" s="202">
        <f t="shared" si="4"/>
        <v>0</v>
      </c>
      <c r="AC48" s="202">
        <f t="shared" si="5"/>
        <v>0</v>
      </c>
      <c r="AD48" s="202">
        <v>0</v>
      </c>
      <c r="AE48" s="198">
        <f t="shared" si="6"/>
        <v>0</v>
      </c>
      <c r="AF48" s="203"/>
      <c r="AG48" s="199">
        <f t="shared" si="7"/>
        <v>0</v>
      </c>
      <c r="AH48" s="195"/>
      <c r="AI48" s="195"/>
      <c r="AJ48" s="8"/>
      <c r="AK48" s="616" t="str">
        <f t="shared" si="8"/>
        <v>No</v>
      </c>
      <c r="AL48" s="617">
        <f>'I-Project Contingency'!$I$4</f>
        <v>28979098.489999998</v>
      </c>
      <c r="AM48" s="399">
        <f>'I-Project Contingency'!$I$11</f>
        <v>64.971830985915489</v>
      </c>
      <c r="AN48" s="398">
        <f t="shared" si="21"/>
        <v>0</v>
      </c>
      <c r="AO48" s="399">
        <f t="shared" si="18"/>
        <v>0</v>
      </c>
      <c r="AP48" s="1110" t="str">
        <f t="shared" si="19"/>
        <v>Negligible</v>
      </c>
      <c r="AQ48" s="1110" t="str">
        <f t="shared" si="20"/>
        <v>Negligible</v>
      </c>
      <c r="AR48" s="618" t="str">
        <f t="shared" si="10"/>
        <v/>
      </c>
      <c r="AS48" s="618" t="str">
        <f t="shared" si="11"/>
        <v/>
      </c>
      <c r="AT48" s="8"/>
      <c r="AU48" s="412">
        <f>'I-Project Contingency'!$O$4-AE48</f>
        <v>0</v>
      </c>
      <c r="AV48" s="413">
        <v>3099768.1860032952</v>
      </c>
      <c r="AW48" s="413">
        <v>8430883.7862095013</v>
      </c>
      <c r="AX48" s="413">
        <v>11173736.674482957</v>
      </c>
      <c r="AY48" s="413">
        <f>'I-Project Contingency'!$E$66-AV48</f>
        <v>0</v>
      </c>
      <c r="AZ48" s="413">
        <f>'I-Project Contingency'!$E$69-AW48</f>
        <v>0</v>
      </c>
      <c r="BA48" s="413">
        <f>'I-Project Contingency'!$E$70-AX48</f>
        <v>0</v>
      </c>
      <c r="BB48" s="414">
        <f>'I-Project Contingency'!$O$5-AG48</f>
        <v>0</v>
      </c>
      <c r="BC48" s="415">
        <v>1.78464631257918</v>
      </c>
      <c r="BD48" s="415">
        <v>4.4807515628171739</v>
      </c>
      <c r="BE48" s="416">
        <v>5.8619163793628264</v>
      </c>
      <c r="BF48" s="415">
        <f>'I-Project Contingency'!$E$81-BC48</f>
        <v>0</v>
      </c>
      <c r="BG48" s="415">
        <f>'I-Project Contingency'!$E$84-BD48</f>
        <v>0</v>
      </c>
      <c r="BH48" s="415">
        <f>'I-Project Contingency'!$E$85-BE48</f>
        <v>0</v>
      </c>
      <c r="BI48" s="417" t="str">
        <f>IF(BK48="N/A","N/A",IF('D-Project Data'!$C$6=50%,ABS(BK48),IF('D-Project Data'!$C$6=80%,ABS(BL48),IF('D-Project Data'!$C$6=90%,ABS(BM48)))))</f>
        <v>N/A</v>
      </c>
      <c r="BJ48" s="418" t="str">
        <f>IF(BI48="N/A","N/A",RANK(BI48,$BI$18:$BI$117,0)+COUNTIF($BI$18:BI48,BI48)-1)</f>
        <v>N/A</v>
      </c>
      <c r="BK48" s="417" t="str">
        <f>IF(AY48/SUM(AY:AY)*'I-Project Contingency'!$F$66=0,"N/A",AY48/SUM(AY:AY)*'I-Project Contingency'!$F$66)</f>
        <v>N/A</v>
      </c>
      <c r="BL48" s="417" t="str">
        <f>IF(AZ48/SUM(AZ:AZ)*'I-Project Contingency'!$F$69=0,"N/A",AZ48/SUM(AZ:AZ)*'I-Project Contingency'!$F$69)</f>
        <v>N/A</v>
      </c>
      <c r="BM48" s="417" t="str">
        <f>IF(BA48/SUM(BA:BA)*'I-Project Contingency'!$F$70=0,"N/A",BA48/SUM(BA:BA)*'I-Project Contingency'!$F$70)</f>
        <v>N/A</v>
      </c>
      <c r="BN48" s="416" t="str">
        <f>IF(BP48="N/A","N/A",IF('D-Project Data'!$C$6=50%,ABS(BP48),IF('D-Project Data'!$C$6=80%,ABS(BQ48),IF('D-Project Data'!$C$6=90%,ABS(BR48)))))</f>
        <v>N/A</v>
      </c>
      <c r="BO48" s="418" t="str">
        <f>IF(BN48="N/A","N/A",RANK(BN48,$BN$18:$BN$117,0)+COUNTIF($BN$18:BN48,BN48)-1)</f>
        <v>N/A</v>
      </c>
      <c r="BP48" s="416" t="str">
        <f>IF(BF48/SUM(BF:BF)*'I-Project Contingency'!$F$81=0,"N/A",BF48/SUM(BF:BF)*'I-Project Contingency'!$F$81)</f>
        <v>N/A</v>
      </c>
      <c r="BQ48" s="416" t="str">
        <f>IF(BG48/SUM(BG:BG)*'I-Project Contingency'!$F$84=0,"N/A",BG48/SUM(BG:BG)*'I-Project Contingency'!$F$84)</f>
        <v>N/A</v>
      </c>
      <c r="BR48" s="416" t="str">
        <f>IF(BH48/SUM(BH:BH)*'I-Project Contingency'!$F$85=0,"N/A",BH48/SUM(BH:BH)*'I-Project Contingency'!$F$85)</f>
        <v>N/A</v>
      </c>
      <c r="BS48" s="418">
        <f t="shared" si="12"/>
        <v>31</v>
      </c>
      <c r="BT48" s="419" t="str">
        <f t="shared" si="13"/>
        <v xml:space="preserve">31 - </v>
      </c>
      <c r="BU48" s="413">
        <f t="shared" si="14"/>
        <v>0</v>
      </c>
      <c r="BV48" s="413">
        <f t="shared" si="15"/>
        <v>0</v>
      </c>
      <c r="BW48" s="415">
        <f t="shared" si="16"/>
        <v>0</v>
      </c>
      <c r="BX48" s="415">
        <f t="shared" si="17"/>
        <v>0</v>
      </c>
    </row>
    <row r="49" spans="1:76" ht="43.2" x14ac:dyDescent="0.3">
      <c r="A49" s="193">
        <f t="shared" si="22"/>
        <v>32</v>
      </c>
      <c r="B49" s="194" t="s">
        <v>747</v>
      </c>
      <c r="C49" s="204"/>
      <c r="D49" s="205"/>
      <c r="E49" s="195"/>
      <c r="F49" s="196" t="s">
        <v>716</v>
      </c>
      <c r="G49" s="196" t="s">
        <v>730</v>
      </c>
      <c r="H49" s="187" t="str">
        <f>IF('H-Risk Register-Model'!F49="Certain","Relook at Basis of Estimate",INDEX('G-Assumptions'!$F$8:$J$11,MATCH(F49,'G-Assumptions'!$D$8:$D$11,0),MATCH(G49,'G-Assumptions'!$F$6:$J$6,0)))</f>
        <v>Relook at Basis of Estimate</v>
      </c>
      <c r="I49" s="197" t="s">
        <v>730</v>
      </c>
      <c r="J49" s="187" t="str">
        <f>IF('H-Risk Register-Model'!F49="Certain","Relook at Basis of Estimate",INDEX('G-Assumptions'!$F$8:$J$11,MATCH(F49,'G-Assumptions'!$D$8:$D$11,0),MATCH(I49,'G-Assumptions'!$F$6:$J$6,0)))</f>
        <v>Relook at Basis of Estimate</v>
      </c>
      <c r="K49" s="197" t="s">
        <v>747</v>
      </c>
      <c r="L49" s="197" t="s">
        <v>747</v>
      </c>
      <c r="M49" s="197"/>
      <c r="N49" s="384" t="s">
        <v>747</v>
      </c>
      <c r="O49" s="384" t="s">
        <v>747</v>
      </c>
      <c r="P49" s="198"/>
      <c r="Q49" s="198"/>
      <c r="R49" s="198"/>
      <c r="S49" s="199"/>
      <c r="T49" s="199"/>
      <c r="U49" s="199"/>
      <c r="V49" s="206"/>
      <c r="W49" s="198"/>
      <c r="X49" s="198"/>
      <c r="Y49" s="200">
        <v>1</v>
      </c>
      <c r="Z49" s="201">
        <v>1</v>
      </c>
      <c r="AA49" s="202">
        <f t="shared" si="3"/>
        <v>0</v>
      </c>
      <c r="AB49" s="202">
        <f t="shared" si="4"/>
        <v>0</v>
      </c>
      <c r="AC49" s="202">
        <f t="shared" si="5"/>
        <v>0</v>
      </c>
      <c r="AD49" s="202">
        <v>0</v>
      </c>
      <c r="AE49" s="198">
        <f t="shared" si="6"/>
        <v>0</v>
      </c>
      <c r="AF49" s="203"/>
      <c r="AG49" s="199">
        <f t="shared" si="7"/>
        <v>0</v>
      </c>
      <c r="AH49" s="195"/>
      <c r="AI49" s="195"/>
      <c r="AJ49" s="8"/>
      <c r="AK49" s="616" t="str">
        <f t="shared" si="8"/>
        <v>No</v>
      </c>
      <c r="AL49" s="617">
        <f>'I-Project Contingency'!$I$4</f>
        <v>28979098.489999998</v>
      </c>
      <c r="AM49" s="399">
        <f>'I-Project Contingency'!$I$11</f>
        <v>64.971830985915489</v>
      </c>
      <c r="AN49" s="398">
        <f t="shared" si="21"/>
        <v>0</v>
      </c>
      <c r="AO49" s="399">
        <f t="shared" si="18"/>
        <v>0</v>
      </c>
      <c r="AP49" s="1110" t="str">
        <f t="shared" si="19"/>
        <v>Negligible</v>
      </c>
      <c r="AQ49" s="1110" t="str">
        <f t="shared" si="20"/>
        <v>Negligible</v>
      </c>
      <c r="AR49" s="618" t="str">
        <f t="shared" si="10"/>
        <v/>
      </c>
      <c r="AS49" s="618" t="str">
        <f t="shared" si="11"/>
        <v/>
      </c>
      <c r="AT49" s="8"/>
      <c r="AU49" s="412">
        <f>'I-Project Contingency'!$O$4-AE49</f>
        <v>0</v>
      </c>
      <c r="AV49" s="413">
        <v>3099768.1860032952</v>
      </c>
      <c r="AW49" s="413">
        <v>8430883.7862095013</v>
      </c>
      <c r="AX49" s="413">
        <v>11173736.674482957</v>
      </c>
      <c r="AY49" s="413">
        <f>'I-Project Contingency'!$E$66-AV49</f>
        <v>0</v>
      </c>
      <c r="AZ49" s="413">
        <f>'I-Project Contingency'!$E$69-AW49</f>
        <v>0</v>
      </c>
      <c r="BA49" s="413">
        <f>'I-Project Contingency'!$E$70-AX49</f>
        <v>0</v>
      </c>
      <c r="BB49" s="414">
        <f>'I-Project Contingency'!$O$5-AG49</f>
        <v>0</v>
      </c>
      <c r="BC49" s="415">
        <v>1.78464631257918</v>
      </c>
      <c r="BD49" s="415">
        <v>4.4807515628171739</v>
      </c>
      <c r="BE49" s="416">
        <v>5.8619163793628264</v>
      </c>
      <c r="BF49" s="415">
        <f>'I-Project Contingency'!$E$81-BC49</f>
        <v>0</v>
      </c>
      <c r="BG49" s="415">
        <f>'I-Project Contingency'!$E$84-BD49</f>
        <v>0</v>
      </c>
      <c r="BH49" s="415">
        <f>'I-Project Contingency'!$E$85-BE49</f>
        <v>0</v>
      </c>
      <c r="BI49" s="417" t="str">
        <f>IF(BK49="N/A","N/A",IF('D-Project Data'!$C$6=50%,ABS(BK49),IF('D-Project Data'!$C$6=80%,ABS(BL49),IF('D-Project Data'!$C$6=90%,ABS(BM49)))))</f>
        <v>N/A</v>
      </c>
      <c r="BJ49" s="418" t="str">
        <f>IF(BI49="N/A","N/A",RANK(BI49,$BI$18:$BI$117,0)+COUNTIF($BI$18:BI49,BI49)-1)</f>
        <v>N/A</v>
      </c>
      <c r="BK49" s="417" t="str">
        <f>IF(AY49/SUM(AY:AY)*'I-Project Contingency'!$F$66=0,"N/A",AY49/SUM(AY:AY)*'I-Project Contingency'!$F$66)</f>
        <v>N/A</v>
      </c>
      <c r="BL49" s="417" t="str">
        <f>IF(AZ49/SUM(AZ:AZ)*'I-Project Contingency'!$F$69=0,"N/A",AZ49/SUM(AZ:AZ)*'I-Project Contingency'!$F$69)</f>
        <v>N/A</v>
      </c>
      <c r="BM49" s="417" t="str">
        <f>IF(BA49/SUM(BA:BA)*'I-Project Contingency'!$F$70=0,"N/A",BA49/SUM(BA:BA)*'I-Project Contingency'!$F$70)</f>
        <v>N/A</v>
      </c>
      <c r="BN49" s="416" t="str">
        <f>IF(BP49="N/A","N/A",IF('D-Project Data'!$C$6=50%,ABS(BP49),IF('D-Project Data'!$C$6=80%,ABS(BQ49),IF('D-Project Data'!$C$6=90%,ABS(BR49)))))</f>
        <v>N/A</v>
      </c>
      <c r="BO49" s="418" t="str">
        <f>IF(BN49="N/A","N/A",RANK(BN49,$BN$18:$BN$117,0)+COUNTIF($BN$18:BN49,BN49)-1)</f>
        <v>N/A</v>
      </c>
      <c r="BP49" s="416" t="str">
        <f>IF(BF49/SUM(BF:BF)*'I-Project Contingency'!$F$81=0,"N/A",BF49/SUM(BF:BF)*'I-Project Contingency'!$F$81)</f>
        <v>N/A</v>
      </c>
      <c r="BQ49" s="416" t="str">
        <f>IF(BG49/SUM(BG:BG)*'I-Project Contingency'!$F$84=0,"N/A",BG49/SUM(BG:BG)*'I-Project Contingency'!$F$84)</f>
        <v>N/A</v>
      </c>
      <c r="BR49" s="416" t="str">
        <f>IF(BH49/SUM(BH:BH)*'I-Project Contingency'!$F$85=0,"N/A",BH49/SUM(BH:BH)*'I-Project Contingency'!$F$85)</f>
        <v>N/A</v>
      </c>
      <c r="BS49" s="418">
        <f t="shared" si="12"/>
        <v>32</v>
      </c>
      <c r="BT49" s="419" t="str">
        <f t="shared" si="13"/>
        <v xml:space="preserve">32 - </v>
      </c>
      <c r="BU49" s="413">
        <f t="shared" si="14"/>
        <v>0</v>
      </c>
      <c r="BV49" s="413">
        <f t="shared" si="15"/>
        <v>0</v>
      </c>
      <c r="BW49" s="415">
        <f t="shared" si="16"/>
        <v>0</v>
      </c>
      <c r="BX49" s="415">
        <f t="shared" si="17"/>
        <v>0</v>
      </c>
    </row>
    <row r="50" spans="1:76" ht="43.2" x14ac:dyDescent="0.3">
      <c r="A50" s="193">
        <f t="shared" si="22"/>
        <v>33</v>
      </c>
      <c r="B50" s="194" t="s">
        <v>747</v>
      </c>
      <c r="C50" s="204"/>
      <c r="D50" s="205"/>
      <c r="E50" s="195"/>
      <c r="F50" s="196" t="s">
        <v>716</v>
      </c>
      <c r="G50" s="196" t="s">
        <v>730</v>
      </c>
      <c r="H50" s="187" t="str">
        <f>IF('H-Risk Register-Model'!F50="Certain","Relook at Basis of Estimate",INDEX('G-Assumptions'!$F$8:$J$11,MATCH(F50,'G-Assumptions'!$D$8:$D$11,0),MATCH(G50,'G-Assumptions'!$F$6:$J$6,0)))</f>
        <v>Relook at Basis of Estimate</v>
      </c>
      <c r="I50" s="197" t="s">
        <v>730</v>
      </c>
      <c r="J50" s="187" t="str">
        <f>IF('H-Risk Register-Model'!F50="Certain","Relook at Basis of Estimate",INDEX('G-Assumptions'!$F$8:$J$11,MATCH(F50,'G-Assumptions'!$D$8:$D$11,0),MATCH(I50,'G-Assumptions'!$F$6:$J$6,0)))</f>
        <v>Relook at Basis of Estimate</v>
      </c>
      <c r="K50" s="197" t="s">
        <v>747</v>
      </c>
      <c r="L50" s="197" t="s">
        <v>747</v>
      </c>
      <c r="M50" s="197"/>
      <c r="N50" s="384" t="s">
        <v>747</v>
      </c>
      <c r="O50" s="384" t="s">
        <v>747</v>
      </c>
      <c r="P50" s="198"/>
      <c r="Q50" s="198"/>
      <c r="R50" s="198"/>
      <c r="S50" s="199"/>
      <c r="T50" s="199"/>
      <c r="U50" s="199"/>
      <c r="V50" s="206"/>
      <c r="W50" s="198"/>
      <c r="X50" s="198"/>
      <c r="Y50" s="200">
        <v>0.3</v>
      </c>
      <c r="Z50" s="201">
        <v>1</v>
      </c>
      <c r="AA50" s="202">
        <f t="shared" ref="AA50:AA65" si="23">P50+V50</f>
        <v>0</v>
      </c>
      <c r="AB50" s="202">
        <f t="shared" ref="AB50:AB65" si="24">Q50+W50</f>
        <v>0</v>
      </c>
      <c r="AC50" s="202">
        <f t="shared" ref="AC50:AC65" si="25">R50+X50</f>
        <v>0</v>
      </c>
      <c r="AD50" s="202">
        <v>0</v>
      </c>
      <c r="AE50" s="198">
        <f t="shared" ref="AE50:AE65" si="26">AD50*Z50</f>
        <v>0</v>
      </c>
      <c r="AF50" s="203">
        <v>0</v>
      </c>
      <c r="AG50" s="199">
        <f t="shared" ref="AG50:AG65" si="27">AF50*Z50</f>
        <v>0</v>
      </c>
      <c r="AH50" s="195"/>
      <c r="AI50" s="195"/>
      <c r="AJ50" s="8"/>
      <c r="AK50" s="616" t="str">
        <f t="shared" ref="AK50:AK65" si="28">IF(OR(H50="Medium",H50="High",J50="Medium",J50="High"),"Yes","No")</f>
        <v>No</v>
      </c>
      <c r="AL50" s="617">
        <f>'I-Project Contingency'!$I$4</f>
        <v>28979098.489999998</v>
      </c>
      <c r="AM50" s="399">
        <f>'I-Project Contingency'!$I$11</f>
        <v>64.971830985915489</v>
      </c>
      <c r="AN50" s="398">
        <f t="shared" si="21"/>
        <v>0</v>
      </c>
      <c r="AO50" s="399">
        <f t="shared" si="18"/>
        <v>0</v>
      </c>
      <c r="AP50" s="1110" t="str">
        <f t="shared" si="19"/>
        <v>Negligible</v>
      </c>
      <c r="AQ50" s="1110" t="str">
        <f t="shared" si="20"/>
        <v>Negligible</v>
      </c>
      <c r="AR50" s="618" t="str">
        <f t="shared" ref="AR50:AR65" si="29">IF(B50="","",IF(G50=AP50,"","Check Impact"))</f>
        <v/>
      </c>
      <c r="AS50" s="618" t="str">
        <f t="shared" ref="AS50:AS65" si="30">IF(B50="","",IF(I50=AQ50,"","Check Impact"))</f>
        <v/>
      </c>
      <c r="AT50" s="8"/>
      <c r="AU50" s="412">
        <f>'I-Project Contingency'!$O$4-AE50</f>
        <v>0</v>
      </c>
      <c r="AV50" s="413">
        <v>3099768.1860032952</v>
      </c>
      <c r="AW50" s="413">
        <v>8430883.7862095013</v>
      </c>
      <c r="AX50" s="413">
        <v>11173736.674482957</v>
      </c>
      <c r="AY50" s="413">
        <f>'I-Project Contingency'!$E$66-AV50</f>
        <v>0</v>
      </c>
      <c r="AZ50" s="413">
        <f>'I-Project Contingency'!$E$69-AW50</f>
        <v>0</v>
      </c>
      <c r="BA50" s="413">
        <f>'I-Project Contingency'!$E$70-AX50</f>
        <v>0</v>
      </c>
      <c r="BB50" s="414">
        <f>'I-Project Contingency'!$O$5-AG50</f>
        <v>0</v>
      </c>
      <c r="BC50" s="415">
        <v>1.78464631257918</v>
      </c>
      <c r="BD50" s="415">
        <v>4.4807515628171739</v>
      </c>
      <c r="BE50" s="416">
        <v>5.8619163793628264</v>
      </c>
      <c r="BF50" s="415">
        <f>'I-Project Contingency'!$E$81-BC50</f>
        <v>0</v>
      </c>
      <c r="BG50" s="415">
        <f>'I-Project Contingency'!$E$84-BD50</f>
        <v>0</v>
      </c>
      <c r="BH50" s="415">
        <f>'I-Project Contingency'!$E$85-BE50</f>
        <v>0</v>
      </c>
      <c r="BI50" s="417" t="str">
        <f>IF(BK50="N/A","N/A",IF('D-Project Data'!$C$6=50%,ABS(BK50),IF('D-Project Data'!$C$6=80%,ABS(BL50),IF('D-Project Data'!$C$6=90%,ABS(BM50)))))</f>
        <v>N/A</v>
      </c>
      <c r="BJ50" s="418" t="str">
        <f>IF(BI50="N/A","N/A",RANK(BI50,$BI$18:$BI$117,0)+COUNTIF($BI$18:BI50,BI50)-1)</f>
        <v>N/A</v>
      </c>
      <c r="BK50" s="417" t="str">
        <f>IF(AY50/SUM(AY:AY)*'I-Project Contingency'!$F$66=0,"N/A",AY50/SUM(AY:AY)*'I-Project Contingency'!$F$66)</f>
        <v>N/A</v>
      </c>
      <c r="BL50" s="417" t="str">
        <f>IF(AZ50/SUM(AZ:AZ)*'I-Project Contingency'!$F$69=0,"N/A",AZ50/SUM(AZ:AZ)*'I-Project Contingency'!$F$69)</f>
        <v>N/A</v>
      </c>
      <c r="BM50" s="417" t="str">
        <f>IF(BA50/SUM(BA:BA)*'I-Project Contingency'!$F$70=0,"N/A",BA50/SUM(BA:BA)*'I-Project Contingency'!$F$70)</f>
        <v>N/A</v>
      </c>
      <c r="BN50" s="416" t="str">
        <f>IF(BP50="N/A","N/A",IF('D-Project Data'!$C$6=50%,ABS(BP50),IF('D-Project Data'!$C$6=80%,ABS(BQ50),IF('D-Project Data'!$C$6=90%,ABS(BR50)))))</f>
        <v>N/A</v>
      </c>
      <c r="BO50" s="418" t="str">
        <f>IF(BN50="N/A","N/A",RANK(BN50,$BN$18:$BN$117,0)+COUNTIF($BN$18:BN50,BN50)-1)</f>
        <v>N/A</v>
      </c>
      <c r="BP50" s="416" t="str">
        <f>IF(BF50/SUM(BF:BF)*'I-Project Contingency'!$F$81=0,"N/A",BF50/SUM(BF:BF)*'I-Project Contingency'!$F$81)</f>
        <v>N/A</v>
      </c>
      <c r="BQ50" s="416" t="str">
        <f>IF(BG50/SUM(BG:BG)*'I-Project Contingency'!$F$84=0,"N/A",BG50/SUM(BG:BG)*'I-Project Contingency'!$F$84)</f>
        <v>N/A</v>
      </c>
      <c r="BR50" s="416" t="str">
        <f>IF(BH50/SUM(BH:BH)*'I-Project Contingency'!$F$85=0,"N/A",BH50/SUM(BH:BH)*'I-Project Contingency'!$F$85)</f>
        <v>N/A</v>
      </c>
      <c r="BS50" s="418">
        <f t="shared" ref="BS50:BS65" si="31">A50</f>
        <v>33</v>
      </c>
      <c r="BT50" s="419" t="str">
        <f t="shared" ref="BT50:BT65" si="32">A50&amp;" - "&amp;C50</f>
        <v xml:space="preserve">33 - </v>
      </c>
      <c r="BU50" s="413">
        <f t="shared" ref="BU50:BU65" si="33">AA50</f>
        <v>0</v>
      </c>
      <c r="BV50" s="413">
        <f t="shared" ref="BV50:BV65" si="34">AC50</f>
        <v>0</v>
      </c>
      <c r="BW50" s="415">
        <f t="shared" ref="BW50:BW65" si="35">IFERROR(S50,0)</f>
        <v>0</v>
      </c>
      <c r="BX50" s="415">
        <f t="shared" ref="BX50:BX65" si="36">IFERROR(U50,0)</f>
        <v>0</v>
      </c>
    </row>
    <row r="51" spans="1:76" ht="43.2" x14ac:dyDescent="0.3">
      <c r="A51" s="193">
        <f t="shared" si="22"/>
        <v>34</v>
      </c>
      <c r="B51" s="194" t="s">
        <v>747</v>
      </c>
      <c r="C51" s="204"/>
      <c r="D51" s="205"/>
      <c r="E51" s="195"/>
      <c r="F51" s="196" t="s">
        <v>716</v>
      </c>
      <c r="G51" s="196" t="s">
        <v>730</v>
      </c>
      <c r="H51" s="187" t="str">
        <f>IF('H-Risk Register-Model'!F51="Certain","Relook at Basis of Estimate",INDEX('G-Assumptions'!$F$8:$J$11,MATCH(F51,'G-Assumptions'!$D$8:$D$11,0),MATCH(G51,'G-Assumptions'!$F$6:$J$6,0)))</f>
        <v>Relook at Basis of Estimate</v>
      </c>
      <c r="I51" s="197" t="s">
        <v>730</v>
      </c>
      <c r="J51" s="187" t="str">
        <f>IF('H-Risk Register-Model'!F51="Certain","Relook at Basis of Estimate",INDEX('G-Assumptions'!$F$8:$J$11,MATCH(F51,'G-Assumptions'!$D$8:$D$11,0),MATCH(I51,'G-Assumptions'!$F$6:$J$6,0)))</f>
        <v>Relook at Basis of Estimate</v>
      </c>
      <c r="K51" s="197" t="s">
        <v>747</v>
      </c>
      <c r="L51" s="197" t="s">
        <v>747</v>
      </c>
      <c r="M51" s="197"/>
      <c r="N51" s="384" t="s">
        <v>747</v>
      </c>
      <c r="O51" s="384" t="s">
        <v>747</v>
      </c>
      <c r="P51" s="198"/>
      <c r="Q51" s="198"/>
      <c r="R51" s="198"/>
      <c r="S51" s="199"/>
      <c r="T51" s="199"/>
      <c r="U51" s="199"/>
      <c r="V51" s="206"/>
      <c r="W51" s="198"/>
      <c r="X51" s="198"/>
      <c r="Y51" s="200">
        <v>1</v>
      </c>
      <c r="Z51" s="201">
        <v>1</v>
      </c>
      <c r="AA51" s="202">
        <f t="shared" si="23"/>
        <v>0</v>
      </c>
      <c r="AB51" s="202">
        <f t="shared" si="24"/>
        <v>0</v>
      </c>
      <c r="AC51" s="202">
        <f t="shared" si="25"/>
        <v>0</v>
      </c>
      <c r="AD51" s="202">
        <v>0</v>
      </c>
      <c r="AE51" s="198">
        <f t="shared" si="26"/>
        <v>0</v>
      </c>
      <c r="AF51" s="203">
        <v>0</v>
      </c>
      <c r="AG51" s="199">
        <f t="shared" si="27"/>
        <v>0</v>
      </c>
      <c r="AH51" s="195"/>
      <c r="AI51" s="195"/>
      <c r="AJ51" s="8"/>
      <c r="AK51" s="616" t="str">
        <f t="shared" si="28"/>
        <v>No</v>
      </c>
      <c r="AL51" s="617">
        <f>'I-Project Contingency'!$I$4</f>
        <v>28979098.489999998</v>
      </c>
      <c r="AM51" s="399">
        <f>'I-Project Contingency'!$I$11</f>
        <v>64.971830985915489</v>
      </c>
      <c r="AN51" s="398">
        <f t="shared" si="21"/>
        <v>0</v>
      </c>
      <c r="AO51" s="399">
        <f t="shared" si="18"/>
        <v>0</v>
      </c>
      <c r="AP51" s="1110" t="str">
        <f t="shared" si="19"/>
        <v>Negligible</v>
      </c>
      <c r="AQ51" s="1110" t="str">
        <f t="shared" si="20"/>
        <v>Negligible</v>
      </c>
      <c r="AR51" s="618" t="str">
        <f t="shared" si="29"/>
        <v/>
      </c>
      <c r="AS51" s="618" t="str">
        <f t="shared" si="30"/>
        <v/>
      </c>
      <c r="AT51" s="8"/>
      <c r="AU51" s="412">
        <f>'I-Project Contingency'!$O$4-AE51</f>
        <v>0</v>
      </c>
      <c r="AV51" s="413">
        <v>3099768.1860032952</v>
      </c>
      <c r="AW51" s="413">
        <v>8430883.7862095013</v>
      </c>
      <c r="AX51" s="413">
        <v>11173736.674482957</v>
      </c>
      <c r="AY51" s="413">
        <f>'I-Project Contingency'!$E$66-AV51</f>
        <v>0</v>
      </c>
      <c r="AZ51" s="413">
        <f>'I-Project Contingency'!$E$69-AW51</f>
        <v>0</v>
      </c>
      <c r="BA51" s="413">
        <f>'I-Project Contingency'!$E$70-AX51</f>
        <v>0</v>
      </c>
      <c r="BB51" s="414">
        <f>'I-Project Contingency'!$O$5-AG51</f>
        <v>0</v>
      </c>
      <c r="BC51" s="415">
        <v>1.78464631257918</v>
      </c>
      <c r="BD51" s="415">
        <v>4.4807515628171739</v>
      </c>
      <c r="BE51" s="416">
        <v>5.8619163793628264</v>
      </c>
      <c r="BF51" s="415">
        <f>'I-Project Contingency'!$E$81-BC51</f>
        <v>0</v>
      </c>
      <c r="BG51" s="415">
        <f>'I-Project Contingency'!$E$84-BD51</f>
        <v>0</v>
      </c>
      <c r="BH51" s="415">
        <f>'I-Project Contingency'!$E$85-BE51</f>
        <v>0</v>
      </c>
      <c r="BI51" s="417" t="str">
        <f>IF(BK51="N/A","N/A",IF('D-Project Data'!$C$6=50%,ABS(BK51),IF('D-Project Data'!$C$6=80%,ABS(BL51),IF('D-Project Data'!$C$6=90%,ABS(BM51)))))</f>
        <v>N/A</v>
      </c>
      <c r="BJ51" s="418" t="str">
        <f>IF(BI51="N/A","N/A",RANK(BI51,$BI$18:$BI$117,0)+COUNTIF($BI$18:BI51,BI51)-1)</f>
        <v>N/A</v>
      </c>
      <c r="BK51" s="417" t="str">
        <f>IF(AY51/SUM(AY:AY)*'I-Project Contingency'!$F$66=0,"N/A",AY51/SUM(AY:AY)*'I-Project Contingency'!$F$66)</f>
        <v>N/A</v>
      </c>
      <c r="BL51" s="417" t="str">
        <f>IF(AZ51/SUM(AZ:AZ)*'I-Project Contingency'!$F$69=0,"N/A",AZ51/SUM(AZ:AZ)*'I-Project Contingency'!$F$69)</f>
        <v>N/A</v>
      </c>
      <c r="BM51" s="417" t="str">
        <f>IF(BA51/SUM(BA:BA)*'I-Project Contingency'!$F$70=0,"N/A",BA51/SUM(BA:BA)*'I-Project Contingency'!$F$70)</f>
        <v>N/A</v>
      </c>
      <c r="BN51" s="416" t="str">
        <f>IF(BP51="N/A","N/A",IF('D-Project Data'!$C$6=50%,ABS(BP51),IF('D-Project Data'!$C$6=80%,ABS(BQ51),IF('D-Project Data'!$C$6=90%,ABS(BR51)))))</f>
        <v>N/A</v>
      </c>
      <c r="BO51" s="418" t="str">
        <f>IF(BN51="N/A","N/A",RANK(BN51,$BN$18:$BN$117,0)+COUNTIF($BN$18:BN51,BN51)-1)</f>
        <v>N/A</v>
      </c>
      <c r="BP51" s="416" t="str">
        <f>IF(BF51/SUM(BF:BF)*'I-Project Contingency'!$F$81=0,"N/A",BF51/SUM(BF:BF)*'I-Project Contingency'!$F$81)</f>
        <v>N/A</v>
      </c>
      <c r="BQ51" s="416" t="str">
        <f>IF(BG51/SUM(BG:BG)*'I-Project Contingency'!$F$84=0,"N/A",BG51/SUM(BG:BG)*'I-Project Contingency'!$F$84)</f>
        <v>N/A</v>
      </c>
      <c r="BR51" s="416" t="str">
        <f>IF(BH51/SUM(BH:BH)*'I-Project Contingency'!$F$85=0,"N/A",BH51/SUM(BH:BH)*'I-Project Contingency'!$F$85)</f>
        <v>N/A</v>
      </c>
      <c r="BS51" s="418">
        <f t="shared" si="31"/>
        <v>34</v>
      </c>
      <c r="BT51" s="419" t="str">
        <f t="shared" si="32"/>
        <v xml:space="preserve">34 - </v>
      </c>
      <c r="BU51" s="413">
        <f t="shared" si="33"/>
        <v>0</v>
      </c>
      <c r="BV51" s="413">
        <f t="shared" si="34"/>
        <v>0</v>
      </c>
      <c r="BW51" s="415">
        <f t="shared" si="35"/>
        <v>0</v>
      </c>
      <c r="BX51" s="415">
        <f t="shared" si="36"/>
        <v>0</v>
      </c>
    </row>
    <row r="52" spans="1:76" ht="43.2" x14ac:dyDescent="0.3">
      <c r="A52" s="193">
        <f t="shared" si="22"/>
        <v>35</v>
      </c>
      <c r="B52" s="194" t="s">
        <v>747</v>
      </c>
      <c r="C52" s="204"/>
      <c r="D52" s="205"/>
      <c r="E52" s="195"/>
      <c r="F52" s="196" t="s">
        <v>716</v>
      </c>
      <c r="G52" s="196" t="s">
        <v>730</v>
      </c>
      <c r="H52" s="187" t="str">
        <f>IF('H-Risk Register-Model'!F52="Certain","Relook at Basis of Estimate",INDEX('G-Assumptions'!$F$8:$J$11,MATCH(F52,'G-Assumptions'!$D$8:$D$11,0),MATCH(G52,'G-Assumptions'!$F$6:$J$6,0)))</f>
        <v>Relook at Basis of Estimate</v>
      </c>
      <c r="I52" s="197" t="s">
        <v>730</v>
      </c>
      <c r="J52" s="187" t="str">
        <f>IF('H-Risk Register-Model'!F52="Certain","Relook at Basis of Estimate",INDEX('G-Assumptions'!$F$8:$J$11,MATCH(F52,'G-Assumptions'!$D$8:$D$11,0),MATCH(I52,'G-Assumptions'!$F$6:$J$6,0)))</f>
        <v>Relook at Basis of Estimate</v>
      </c>
      <c r="K52" s="197" t="s">
        <v>747</v>
      </c>
      <c r="L52" s="197" t="s">
        <v>747</v>
      </c>
      <c r="M52" s="197"/>
      <c r="N52" s="384" t="s">
        <v>747</v>
      </c>
      <c r="O52" s="384" t="s">
        <v>747</v>
      </c>
      <c r="P52" s="198"/>
      <c r="Q52" s="198"/>
      <c r="R52" s="198"/>
      <c r="S52" s="199"/>
      <c r="T52" s="199"/>
      <c r="U52" s="199"/>
      <c r="V52" s="206"/>
      <c r="W52" s="198"/>
      <c r="X52" s="198"/>
      <c r="Y52" s="200">
        <v>1</v>
      </c>
      <c r="Z52" s="201">
        <v>1</v>
      </c>
      <c r="AA52" s="202">
        <f t="shared" ref="AA52" si="37">P52+V52</f>
        <v>0</v>
      </c>
      <c r="AB52" s="202">
        <f t="shared" ref="AB52" si="38">Q52+W52</f>
        <v>0</v>
      </c>
      <c r="AC52" s="202">
        <f t="shared" ref="AC52" si="39">R52+X52</f>
        <v>0</v>
      </c>
      <c r="AD52" s="202"/>
      <c r="AE52" s="198">
        <f t="shared" ref="AE52" si="40">AD52*Z52</f>
        <v>0</v>
      </c>
      <c r="AF52" s="203"/>
      <c r="AG52" s="199">
        <f t="shared" ref="AG52" si="41">AF52*Z52</f>
        <v>0</v>
      </c>
      <c r="AH52" s="195"/>
      <c r="AI52" s="195"/>
      <c r="AJ52" s="8"/>
      <c r="AK52" s="616" t="str">
        <f t="shared" si="28"/>
        <v>No</v>
      </c>
      <c r="AL52" s="617">
        <f>'I-Project Contingency'!$I$4</f>
        <v>28979098.489999998</v>
      </c>
      <c r="AM52" s="399">
        <f>'I-Project Contingency'!$I$11</f>
        <v>64.971830985915489</v>
      </c>
      <c r="AN52" s="398">
        <f t="shared" si="21"/>
        <v>0</v>
      </c>
      <c r="AO52" s="399">
        <f t="shared" si="18"/>
        <v>0</v>
      </c>
      <c r="AP52" s="1110" t="str">
        <f t="shared" si="19"/>
        <v>Negligible</v>
      </c>
      <c r="AQ52" s="1110" t="str">
        <f t="shared" si="20"/>
        <v>Negligible</v>
      </c>
      <c r="AR52" s="618" t="str">
        <f t="shared" si="29"/>
        <v/>
      </c>
      <c r="AS52" s="618" t="str">
        <f t="shared" si="30"/>
        <v/>
      </c>
      <c r="AT52" s="8"/>
      <c r="AU52" s="412">
        <f>'I-Project Contingency'!$O$4-AE52</f>
        <v>0</v>
      </c>
      <c r="AV52" s="413">
        <v>3099768.1860032952</v>
      </c>
      <c r="AW52" s="413">
        <v>8430883.7862095013</v>
      </c>
      <c r="AX52" s="413">
        <v>11173736.674482957</v>
      </c>
      <c r="AY52" s="413">
        <f>'I-Project Contingency'!$E$66-AV52</f>
        <v>0</v>
      </c>
      <c r="AZ52" s="413">
        <f>'I-Project Contingency'!$E$69-AW52</f>
        <v>0</v>
      </c>
      <c r="BA52" s="413">
        <f>'I-Project Contingency'!$E$70-AX52</f>
        <v>0</v>
      </c>
      <c r="BB52" s="414">
        <f>'I-Project Contingency'!$O$5-AG52</f>
        <v>0</v>
      </c>
      <c r="BC52" s="415">
        <v>1.78464631257918</v>
      </c>
      <c r="BD52" s="415">
        <v>4.4807515628171739</v>
      </c>
      <c r="BE52" s="416">
        <v>5.8619163793628264</v>
      </c>
      <c r="BF52" s="415">
        <f>'I-Project Contingency'!$E$81-BC52</f>
        <v>0</v>
      </c>
      <c r="BG52" s="415">
        <f>'I-Project Contingency'!$E$84-BD52</f>
        <v>0</v>
      </c>
      <c r="BH52" s="415">
        <f>'I-Project Contingency'!$E$85-BE52</f>
        <v>0</v>
      </c>
      <c r="BI52" s="417" t="str">
        <f>IF(BK52="N/A","N/A",IF('D-Project Data'!$C$6=50%,ABS(BK52),IF('D-Project Data'!$C$6=80%,ABS(BL52),IF('D-Project Data'!$C$6=90%,ABS(BM52)))))</f>
        <v>N/A</v>
      </c>
      <c r="BJ52" s="418" t="str">
        <f>IF(BI52="N/A","N/A",RANK(BI52,$BI$18:$BI$117,0)+COUNTIF($BI$18:BI52,BI52)-1)</f>
        <v>N/A</v>
      </c>
      <c r="BK52" s="417" t="str">
        <f>IF(AY52/SUM(AY:AY)*'I-Project Contingency'!$F$66=0,"N/A",AY52/SUM(AY:AY)*'I-Project Contingency'!$F$66)</f>
        <v>N/A</v>
      </c>
      <c r="BL52" s="417" t="str">
        <f>IF(AZ52/SUM(AZ:AZ)*'I-Project Contingency'!$F$69=0,"N/A",AZ52/SUM(AZ:AZ)*'I-Project Contingency'!$F$69)</f>
        <v>N/A</v>
      </c>
      <c r="BM52" s="417" t="str">
        <f>IF(BA52/SUM(BA:BA)*'I-Project Contingency'!$F$70=0,"N/A",BA52/SUM(BA:BA)*'I-Project Contingency'!$F$70)</f>
        <v>N/A</v>
      </c>
      <c r="BN52" s="416" t="str">
        <f>IF(BP52="N/A","N/A",IF('D-Project Data'!$C$6=50%,ABS(BP52),IF('D-Project Data'!$C$6=80%,ABS(BQ52),IF('D-Project Data'!$C$6=90%,ABS(BR52)))))</f>
        <v>N/A</v>
      </c>
      <c r="BO52" s="418" t="str">
        <f>IF(BN52="N/A","N/A",RANK(BN52,$BN$18:$BN$117,0)+COUNTIF($BN$18:BN52,BN52)-1)</f>
        <v>N/A</v>
      </c>
      <c r="BP52" s="416" t="str">
        <f>IF(BF52/SUM(BF:BF)*'I-Project Contingency'!$F$81=0,"N/A",BF52/SUM(BF:BF)*'I-Project Contingency'!$F$81)</f>
        <v>N/A</v>
      </c>
      <c r="BQ52" s="416" t="str">
        <f>IF(BG52/SUM(BG:BG)*'I-Project Contingency'!$F$84=0,"N/A",BG52/SUM(BG:BG)*'I-Project Contingency'!$F$84)</f>
        <v>N/A</v>
      </c>
      <c r="BR52" s="416" t="str">
        <f>IF(BH52/SUM(BH:BH)*'I-Project Contingency'!$F$85=0,"N/A",BH52/SUM(BH:BH)*'I-Project Contingency'!$F$85)</f>
        <v>N/A</v>
      </c>
      <c r="BS52" s="418">
        <f t="shared" si="31"/>
        <v>35</v>
      </c>
      <c r="BT52" s="419" t="str">
        <f t="shared" si="32"/>
        <v xml:space="preserve">35 - </v>
      </c>
      <c r="BU52" s="413">
        <f t="shared" si="33"/>
        <v>0</v>
      </c>
      <c r="BV52" s="413">
        <f t="shared" si="34"/>
        <v>0</v>
      </c>
      <c r="BW52" s="415">
        <f t="shared" si="35"/>
        <v>0</v>
      </c>
      <c r="BX52" s="415">
        <f t="shared" si="36"/>
        <v>0</v>
      </c>
    </row>
    <row r="53" spans="1:76" ht="43.2" x14ac:dyDescent="0.3">
      <c r="A53" s="193">
        <f t="shared" si="22"/>
        <v>36</v>
      </c>
      <c r="B53" s="194" t="s">
        <v>747</v>
      </c>
      <c r="C53" s="204"/>
      <c r="D53" s="205"/>
      <c r="E53" s="195"/>
      <c r="F53" s="196" t="s">
        <v>716</v>
      </c>
      <c r="G53" s="196" t="s">
        <v>730</v>
      </c>
      <c r="H53" s="187" t="str">
        <f>IF('H-Risk Register-Model'!F53="Certain","Relook at Basis of Estimate",INDEX('G-Assumptions'!$F$8:$J$11,MATCH(F53,'G-Assumptions'!$D$8:$D$11,0),MATCH(G53,'G-Assumptions'!$F$6:$J$6,0)))</f>
        <v>Relook at Basis of Estimate</v>
      </c>
      <c r="I53" s="197" t="s">
        <v>730</v>
      </c>
      <c r="J53" s="187" t="str">
        <f>IF('H-Risk Register-Model'!F53="Certain","Relook at Basis of Estimate",INDEX('G-Assumptions'!$F$8:$J$11,MATCH(F53,'G-Assumptions'!$D$8:$D$11,0),MATCH(I53,'G-Assumptions'!$F$6:$J$6,0)))</f>
        <v>Relook at Basis of Estimate</v>
      </c>
      <c r="K53" s="197" t="s">
        <v>747</v>
      </c>
      <c r="L53" s="197" t="s">
        <v>747</v>
      </c>
      <c r="M53" s="197"/>
      <c r="N53" s="384" t="s">
        <v>747</v>
      </c>
      <c r="O53" s="384" t="s">
        <v>747</v>
      </c>
      <c r="P53" s="198"/>
      <c r="Q53" s="198"/>
      <c r="R53" s="198"/>
      <c r="S53" s="199"/>
      <c r="T53" s="199"/>
      <c r="U53" s="199"/>
      <c r="V53" s="206"/>
      <c r="W53" s="198"/>
      <c r="X53" s="198"/>
      <c r="Y53" s="200">
        <v>1</v>
      </c>
      <c r="Z53" s="201">
        <v>1</v>
      </c>
      <c r="AA53" s="202">
        <f t="shared" si="23"/>
        <v>0</v>
      </c>
      <c r="AB53" s="202">
        <f t="shared" si="24"/>
        <v>0</v>
      </c>
      <c r="AC53" s="202">
        <f t="shared" si="25"/>
        <v>0</v>
      </c>
      <c r="AD53" s="202"/>
      <c r="AE53" s="198">
        <f t="shared" si="26"/>
        <v>0</v>
      </c>
      <c r="AF53" s="203"/>
      <c r="AG53" s="199">
        <f t="shared" si="27"/>
        <v>0</v>
      </c>
      <c r="AH53" s="195"/>
      <c r="AI53" s="195"/>
      <c r="AJ53" s="8"/>
      <c r="AK53" s="616" t="str">
        <f t="shared" si="28"/>
        <v>No</v>
      </c>
      <c r="AL53" s="617">
        <f>'I-Project Contingency'!$I$4</f>
        <v>28979098.489999998</v>
      </c>
      <c r="AM53" s="399">
        <f>'I-Project Contingency'!$I$11</f>
        <v>64.971830985915489</v>
      </c>
      <c r="AN53" s="398">
        <f t="shared" si="21"/>
        <v>0</v>
      </c>
      <c r="AO53" s="399">
        <f t="shared" si="18"/>
        <v>0</v>
      </c>
      <c r="AP53" s="1110" t="str">
        <f t="shared" si="19"/>
        <v>Negligible</v>
      </c>
      <c r="AQ53" s="1110" t="str">
        <f t="shared" si="20"/>
        <v>Negligible</v>
      </c>
      <c r="AR53" s="618" t="str">
        <f t="shared" si="29"/>
        <v/>
      </c>
      <c r="AS53" s="618" t="str">
        <f t="shared" si="30"/>
        <v/>
      </c>
      <c r="AT53" s="8"/>
      <c r="AU53" s="412">
        <f>'I-Project Contingency'!$O$4-AE53</f>
        <v>0</v>
      </c>
      <c r="AV53" s="413">
        <v>3099768.1860032952</v>
      </c>
      <c r="AW53" s="413">
        <v>8430883.7862095013</v>
      </c>
      <c r="AX53" s="413">
        <v>11173736.674482957</v>
      </c>
      <c r="AY53" s="413">
        <f>'I-Project Contingency'!$E$66-AV53</f>
        <v>0</v>
      </c>
      <c r="AZ53" s="413">
        <f>'I-Project Contingency'!$E$69-AW53</f>
        <v>0</v>
      </c>
      <c r="BA53" s="413">
        <f>'I-Project Contingency'!$E$70-AX53</f>
        <v>0</v>
      </c>
      <c r="BB53" s="414">
        <f>'I-Project Contingency'!$O$5-AG53</f>
        <v>0</v>
      </c>
      <c r="BC53" s="415">
        <v>1.78464631257918</v>
      </c>
      <c r="BD53" s="415">
        <v>4.4807515628171739</v>
      </c>
      <c r="BE53" s="416">
        <v>5.8619163793628264</v>
      </c>
      <c r="BF53" s="415">
        <f>'I-Project Contingency'!$E$81-BC53</f>
        <v>0</v>
      </c>
      <c r="BG53" s="415">
        <f>'I-Project Contingency'!$E$84-BD53</f>
        <v>0</v>
      </c>
      <c r="BH53" s="415">
        <f>'I-Project Contingency'!$E$85-BE53</f>
        <v>0</v>
      </c>
      <c r="BI53" s="417" t="str">
        <f>IF(BK53="N/A","N/A",IF('D-Project Data'!$C$6=50%,ABS(BK53),IF('D-Project Data'!$C$6=80%,ABS(BL53),IF('D-Project Data'!$C$6=90%,ABS(BM53)))))</f>
        <v>N/A</v>
      </c>
      <c r="BJ53" s="418" t="str">
        <f>IF(BI53="N/A","N/A",RANK(BI53,$BI$18:$BI$117,0)+COUNTIF($BI$18:BI53,BI53)-1)</f>
        <v>N/A</v>
      </c>
      <c r="BK53" s="417" t="str">
        <f>IF(AY53/SUM(AY:AY)*'I-Project Contingency'!$F$66=0,"N/A",AY53/SUM(AY:AY)*'I-Project Contingency'!$F$66)</f>
        <v>N/A</v>
      </c>
      <c r="BL53" s="417" t="str">
        <f>IF(AZ53/SUM(AZ:AZ)*'I-Project Contingency'!$F$69=0,"N/A",AZ53/SUM(AZ:AZ)*'I-Project Contingency'!$F$69)</f>
        <v>N/A</v>
      </c>
      <c r="BM53" s="417" t="str">
        <f>IF(BA53/SUM(BA:BA)*'I-Project Contingency'!$F$70=0,"N/A",BA53/SUM(BA:BA)*'I-Project Contingency'!$F$70)</f>
        <v>N/A</v>
      </c>
      <c r="BN53" s="416" t="str">
        <f>IF(BP53="N/A","N/A",IF('D-Project Data'!$C$6=50%,ABS(BP53),IF('D-Project Data'!$C$6=80%,ABS(BQ53),IF('D-Project Data'!$C$6=90%,ABS(BR53)))))</f>
        <v>N/A</v>
      </c>
      <c r="BO53" s="418" t="str">
        <f>IF(BN53="N/A","N/A",RANK(BN53,$BN$18:$BN$117,0)+COUNTIF($BN$18:BN53,BN53)-1)</f>
        <v>N/A</v>
      </c>
      <c r="BP53" s="416" t="str">
        <f>IF(BF53/SUM(BF:BF)*'I-Project Contingency'!$F$81=0,"N/A",BF53/SUM(BF:BF)*'I-Project Contingency'!$F$81)</f>
        <v>N/A</v>
      </c>
      <c r="BQ53" s="416" t="str">
        <f>IF(BG53/SUM(BG:BG)*'I-Project Contingency'!$F$84=0,"N/A",BG53/SUM(BG:BG)*'I-Project Contingency'!$F$84)</f>
        <v>N/A</v>
      </c>
      <c r="BR53" s="416" t="str">
        <f>IF(BH53/SUM(BH:BH)*'I-Project Contingency'!$F$85=0,"N/A",BH53/SUM(BH:BH)*'I-Project Contingency'!$F$85)</f>
        <v>N/A</v>
      </c>
      <c r="BS53" s="418">
        <f t="shared" si="31"/>
        <v>36</v>
      </c>
      <c r="BT53" s="419" t="str">
        <f t="shared" si="32"/>
        <v xml:space="preserve">36 - </v>
      </c>
      <c r="BU53" s="413">
        <f t="shared" si="33"/>
        <v>0</v>
      </c>
      <c r="BV53" s="413">
        <f t="shared" si="34"/>
        <v>0</v>
      </c>
      <c r="BW53" s="415">
        <f t="shared" si="35"/>
        <v>0</v>
      </c>
      <c r="BX53" s="415">
        <f t="shared" si="36"/>
        <v>0</v>
      </c>
    </row>
    <row r="54" spans="1:76" ht="43.2" x14ac:dyDescent="0.3">
      <c r="A54" s="193">
        <f t="shared" si="22"/>
        <v>37</v>
      </c>
      <c r="B54" s="194" t="s">
        <v>747</v>
      </c>
      <c r="C54" s="204"/>
      <c r="D54" s="205"/>
      <c r="E54" s="195"/>
      <c r="F54" s="196" t="s">
        <v>716</v>
      </c>
      <c r="G54" s="196" t="s">
        <v>730</v>
      </c>
      <c r="H54" s="187" t="str">
        <f>IF('H-Risk Register-Model'!F54="Certain","Relook at Basis of Estimate",INDEX('G-Assumptions'!$F$8:$J$11,MATCH(F54,'G-Assumptions'!$D$8:$D$11,0),MATCH(G54,'G-Assumptions'!$F$6:$J$6,0)))</f>
        <v>Relook at Basis of Estimate</v>
      </c>
      <c r="I54" s="197" t="s">
        <v>730</v>
      </c>
      <c r="J54" s="187" t="str">
        <f>IF('H-Risk Register-Model'!F54="Certain","Relook at Basis of Estimate",INDEX('G-Assumptions'!$F$8:$J$11,MATCH(F54,'G-Assumptions'!$D$8:$D$11,0),MATCH(I54,'G-Assumptions'!$F$6:$J$6,0)))</f>
        <v>Relook at Basis of Estimate</v>
      </c>
      <c r="K54" s="197" t="s">
        <v>747</v>
      </c>
      <c r="L54" s="197" t="s">
        <v>747</v>
      </c>
      <c r="M54" s="197"/>
      <c r="N54" s="384" t="s">
        <v>747</v>
      </c>
      <c r="O54" s="384" t="s">
        <v>747</v>
      </c>
      <c r="P54" s="198"/>
      <c r="Q54" s="198"/>
      <c r="R54" s="198"/>
      <c r="S54" s="199"/>
      <c r="T54" s="199"/>
      <c r="U54" s="199"/>
      <c r="V54" s="206"/>
      <c r="W54" s="198"/>
      <c r="X54" s="198"/>
      <c r="Y54" s="200">
        <v>1</v>
      </c>
      <c r="Z54" s="201">
        <v>1</v>
      </c>
      <c r="AA54" s="202">
        <f t="shared" si="23"/>
        <v>0</v>
      </c>
      <c r="AB54" s="202">
        <f t="shared" si="24"/>
        <v>0</v>
      </c>
      <c r="AC54" s="202">
        <f t="shared" si="25"/>
        <v>0</v>
      </c>
      <c r="AD54" s="202"/>
      <c r="AE54" s="198">
        <f t="shared" si="26"/>
        <v>0</v>
      </c>
      <c r="AF54" s="203"/>
      <c r="AG54" s="199">
        <f t="shared" si="27"/>
        <v>0</v>
      </c>
      <c r="AH54" s="195"/>
      <c r="AI54" s="195"/>
      <c r="AJ54" s="8"/>
      <c r="AK54" s="616" t="str">
        <f t="shared" si="28"/>
        <v>No</v>
      </c>
      <c r="AL54" s="617">
        <f>'I-Project Contingency'!$I$4</f>
        <v>28979098.489999998</v>
      </c>
      <c r="AM54" s="399">
        <f>'I-Project Contingency'!$I$11</f>
        <v>64.971830985915489</v>
      </c>
      <c r="AN54" s="398">
        <f t="shared" si="21"/>
        <v>0</v>
      </c>
      <c r="AO54" s="399">
        <f t="shared" si="18"/>
        <v>0</v>
      </c>
      <c r="AP54" s="1110" t="str">
        <f t="shared" si="19"/>
        <v>Negligible</v>
      </c>
      <c r="AQ54" s="1110" t="str">
        <f t="shared" si="20"/>
        <v>Negligible</v>
      </c>
      <c r="AR54" s="618" t="str">
        <f t="shared" si="29"/>
        <v/>
      </c>
      <c r="AS54" s="618" t="str">
        <f t="shared" si="30"/>
        <v/>
      </c>
      <c r="AT54" s="8"/>
      <c r="AU54" s="412">
        <f>'I-Project Contingency'!$O$4-AE54</f>
        <v>0</v>
      </c>
      <c r="AV54" s="413">
        <v>3099768.1860032952</v>
      </c>
      <c r="AW54" s="413">
        <v>8430883.7862095013</v>
      </c>
      <c r="AX54" s="413">
        <v>11173736.674482957</v>
      </c>
      <c r="AY54" s="413">
        <f>'I-Project Contingency'!$E$66-AV54</f>
        <v>0</v>
      </c>
      <c r="AZ54" s="413">
        <f>'I-Project Contingency'!$E$69-AW54</f>
        <v>0</v>
      </c>
      <c r="BA54" s="413">
        <f>'I-Project Contingency'!$E$70-AX54</f>
        <v>0</v>
      </c>
      <c r="BB54" s="414">
        <f>'I-Project Contingency'!$O$5-AG54</f>
        <v>0</v>
      </c>
      <c r="BC54" s="415">
        <v>1.78464631257918</v>
      </c>
      <c r="BD54" s="415">
        <v>4.4807515628171739</v>
      </c>
      <c r="BE54" s="416">
        <v>5.8619163793628264</v>
      </c>
      <c r="BF54" s="415">
        <f>'I-Project Contingency'!$E$81-BC54</f>
        <v>0</v>
      </c>
      <c r="BG54" s="415">
        <f>'I-Project Contingency'!$E$84-BD54</f>
        <v>0</v>
      </c>
      <c r="BH54" s="415">
        <f>'I-Project Contingency'!$E$85-BE54</f>
        <v>0</v>
      </c>
      <c r="BI54" s="417" t="str">
        <f>IF(BK54="N/A","N/A",IF('D-Project Data'!$C$6=50%,ABS(BK54),IF('D-Project Data'!$C$6=80%,ABS(BL54),IF('D-Project Data'!$C$6=90%,ABS(BM54)))))</f>
        <v>N/A</v>
      </c>
      <c r="BJ54" s="418" t="str">
        <f>IF(BI54="N/A","N/A",RANK(BI54,$BI$18:$BI$117,0)+COUNTIF($BI$18:BI54,BI54)-1)</f>
        <v>N/A</v>
      </c>
      <c r="BK54" s="417" t="str">
        <f>IF(AY54/SUM(AY:AY)*'I-Project Contingency'!$F$66=0,"N/A",AY54/SUM(AY:AY)*'I-Project Contingency'!$F$66)</f>
        <v>N/A</v>
      </c>
      <c r="BL54" s="417" t="str">
        <f>IF(AZ54/SUM(AZ:AZ)*'I-Project Contingency'!$F$69=0,"N/A",AZ54/SUM(AZ:AZ)*'I-Project Contingency'!$F$69)</f>
        <v>N/A</v>
      </c>
      <c r="BM54" s="417" t="str">
        <f>IF(BA54/SUM(BA:BA)*'I-Project Contingency'!$F$70=0,"N/A",BA54/SUM(BA:BA)*'I-Project Contingency'!$F$70)</f>
        <v>N/A</v>
      </c>
      <c r="BN54" s="416" t="str">
        <f>IF(BP54="N/A","N/A",IF('D-Project Data'!$C$6=50%,ABS(BP54),IF('D-Project Data'!$C$6=80%,ABS(BQ54),IF('D-Project Data'!$C$6=90%,ABS(BR54)))))</f>
        <v>N/A</v>
      </c>
      <c r="BO54" s="418" t="str">
        <f>IF(BN54="N/A","N/A",RANK(BN54,$BN$18:$BN$117,0)+COUNTIF($BN$18:BN54,BN54)-1)</f>
        <v>N/A</v>
      </c>
      <c r="BP54" s="416" t="str">
        <f>IF(BF54/SUM(BF:BF)*'I-Project Contingency'!$F$81=0,"N/A",BF54/SUM(BF:BF)*'I-Project Contingency'!$F$81)</f>
        <v>N/A</v>
      </c>
      <c r="BQ54" s="416" t="str">
        <f>IF(BG54/SUM(BG:BG)*'I-Project Contingency'!$F$84=0,"N/A",BG54/SUM(BG:BG)*'I-Project Contingency'!$F$84)</f>
        <v>N/A</v>
      </c>
      <c r="BR54" s="416" t="str">
        <f>IF(BH54/SUM(BH:BH)*'I-Project Contingency'!$F$85=0,"N/A",BH54/SUM(BH:BH)*'I-Project Contingency'!$F$85)</f>
        <v>N/A</v>
      </c>
      <c r="BS54" s="418">
        <f t="shared" si="31"/>
        <v>37</v>
      </c>
      <c r="BT54" s="419" t="str">
        <f t="shared" si="32"/>
        <v xml:space="preserve">37 - </v>
      </c>
      <c r="BU54" s="413">
        <f t="shared" si="33"/>
        <v>0</v>
      </c>
      <c r="BV54" s="413">
        <f t="shared" si="34"/>
        <v>0</v>
      </c>
      <c r="BW54" s="415">
        <f t="shared" si="35"/>
        <v>0</v>
      </c>
      <c r="BX54" s="415">
        <f t="shared" si="36"/>
        <v>0</v>
      </c>
    </row>
    <row r="55" spans="1:76" ht="43.2" x14ac:dyDescent="0.3">
      <c r="A55" s="193">
        <f t="shared" si="22"/>
        <v>38</v>
      </c>
      <c r="B55" s="194" t="s">
        <v>747</v>
      </c>
      <c r="C55" s="204"/>
      <c r="D55" s="205"/>
      <c r="E55" s="195"/>
      <c r="F55" s="196" t="s">
        <v>716</v>
      </c>
      <c r="G55" s="196" t="s">
        <v>730</v>
      </c>
      <c r="H55" s="187" t="str">
        <f>IF('H-Risk Register-Model'!F55="Certain","Relook at Basis of Estimate",INDEX('G-Assumptions'!$F$8:$J$11,MATCH(F55,'G-Assumptions'!$D$8:$D$11,0),MATCH(G55,'G-Assumptions'!$F$6:$J$6,0)))</f>
        <v>Relook at Basis of Estimate</v>
      </c>
      <c r="I55" s="197" t="s">
        <v>730</v>
      </c>
      <c r="J55" s="187" t="str">
        <f>IF('H-Risk Register-Model'!F55="Certain","Relook at Basis of Estimate",INDEX('G-Assumptions'!$F$8:$J$11,MATCH(F55,'G-Assumptions'!$D$8:$D$11,0),MATCH(I55,'G-Assumptions'!$F$6:$J$6,0)))</f>
        <v>Relook at Basis of Estimate</v>
      </c>
      <c r="K55" s="197" t="s">
        <v>747</v>
      </c>
      <c r="L55" s="197" t="s">
        <v>747</v>
      </c>
      <c r="M55" s="197"/>
      <c r="N55" s="384" t="s">
        <v>747</v>
      </c>
      <c r="O55" s="384" t="s">
        <v>747</v>
      </c>
      <c r="P55" s="198"/>
      <c r="Q55" s="198"/>
      <c r="R55" s="198"/>
      <c r="S55" s="199"/>
      <c r="T55" s="199"/>
      <c r="U55" s="199"/>
      <c r="V55" s="206"/>
      <c r="W55" s="198"/>
      <c r="X55" s="198"/>
      <c r="Y55" s="200">
        <v>1</v>
      </c>
      <c r="Z55" s="201">
        <v>1</v>
      </c>
      <c r="AA55" s="202">
        <f t="shared" si="23"/>
        <v>0</v>
      </c>
      <c r="AB55" s="202">
        <f t="shared" si="24"/>
        <v>0</v>
      </c>
      <c r="AC55" s="202">
        <f t="shared" si="25"/>
        <v>0</v>
      </c>
      <c r="AD55" s="202"/>
      <c r="AE55" s="198">
        <f t="shared" si="26"/>
        <v>0</v>
      </c>
      <c r="AF55" s="203"/>
      <c r="AG55" s="199">
        <f t="shared" si="27"/>
        <v>0</v>
      </c>
      <c r="AH55" s="195"/>
      <c r="AI55" s="195"/>
      <c r="AJ55" s="8"/>
      <c r="AK55" s="616" t="str">
        <f t="shared" si="28"/>
        <v>No</v>
      </c>
      <c r="AL55" s="617">
        <f>'I-Project Contingency'!$I$4</f>
        <v>28979098.489999998</v>
      </c>
      <c r="AM55" s="399">
        <f>'I-Project Contingency'!$I$11</f>
        <v>64.971830985915489</v>
      </c>
      <c r="AN55" s="398">
        <f t="shared" si="21"/>
        <v>0</v>
      </c>
      <c r="AO55" s="399">
        <f t="shared" si="18"/>
        <v>0</v>
      </c>
      <c r="AP55" s="1110" t="str">
        <f t="shared" si="19"/>
        <v>Negligible</v>
      </c>
      <c r="AQ55" s="1110" t="str">
        <f t="shared" si="20"/>
        <v>Negligible</v>
      </c>
      <c r="AR55" s="618" t="str">
        <f t="shared" si="29"/>
        <v/>
      </c>
      <c r="AS55" s="618" t="str">
        <f t="shared" si="30"/>
        <v/>
      </c>
      <c r="AT55" s="8"/>
      <c r="AU55" s="412">
        <f>'I-Project Contingency'!$O$4-AE55</f>
        <v>0</v>
      </c>
      <c r="AV55" s="413">
        <v>3099768.1860032952</v>
      </c>
      <c r="AW55" s="413">
        <v>8430883.7862095013</v>
      </c>
      <c r="AX55" s="413">
        <v>11173736.674482957</v>
      </c>
      <c r="AY55" s="413">
        <f>'I-Project Contingency'!$E$66-AV55</f>
        <v>0</v>
      </c>
      <c r="AZ55" s="413">
        <f>'I-Project Contingency'!$E$69-AW55</f>
        <v>0</v>
      </c>
      <c r="BA55" s="413">
        <f>'I-Project Contingency'!$E$70-AX55</f>
        <v>0</v>
      </c>
      <c r="BB55" s="414">
        <f>'I-Project Contingency'!$O$5-AG55</f>
        <v>0</v>
      </c>
      <c r="BC55" s="415">
        <v>1.78464631257918</v>
      </c>
      <c r="BD55" s="415">
        <v>4.4807515628171739</v>
      </c>
      <c r="BE55" s="416">
        <v>5.8619163793628264</v>
      </c>
      <c r="BF55" s="415">
        <f>'I-Project Contingency'!$E$81-BC55</f>
        <v>0</v>
      </c>
      <c r="BG55" s="415">
        <f>'I-Project Contingency'!$E$84-BD55</f>
        <v>0</v>
      </c>
      <c r="BH55" s="415">
        <f>'I-Project Contingency'!$E$85-BE55</f>
        <v>0</v>
      </c>
      <c r="BI55" s="417" t="str">
        <f>IF(BK55="N/A","N/A",IF('D-Project Data'!$C$6=50%,ABS(BK55),IF('D-Project Data'!$C$6=80%,ABS(BL55),IF('D-Project Data'!$C$6=90%,ABS(BM55)))))</f>
        <v>N/A</v>
      </c>
      <c r="BJ55" s="418" t="str">
        <f>IF(BI55="N/A","N/A",RANK(BI55,$BI$18:$BI$117,0)+COUNTIF($BI$18:BI55,BI55)-1)</f>
        <v>N/A</v>
      </c>
      <c r="BK55" s="417" t="str">
        <f>IF(AY55/SUM(AY:AY)*'I-Project Contingency'!$F$66=0,"N/A",AY55/SUM(AY:AY)*'I-Project Contingency'!$F$66)</f>
        <v>N/A</v>
      </c>
      <c r="BL55" s="417" t="str">
        <f>IF(AZ55/SUM(AZ:AZ)*'I-Project Contingency'!$F$69=0,"N/A",AZ55/SUM(AZ:AZ)*'I-Project Contingency'!$F$69)</f>
        <v>N/A</v>
      </c>
      <c r="BM55" s="417" t="str">
        <f>IF(BA55/SUM(BA:BA)*'I-Project Contingency'!$F$70=0,"N/A",BA55/SUM(BA:BA)*'I-Project Contingency'!$F$70)</f>
        <v>N/A</v>
      </c>
      <c r="BN55" s="416" t="str">
        <f>IF(BP55="N/A","N/A",IF('D-Project Data'!$C$6=50%,ABS(BP55),IF('D-Project Data'!$C$6=80%,ABS(BQ55),IF('D-Project Data'!$C$6=90%,ABS(BR55)))))</f>
        <v>N/A</v>
      </c>
      <c r="BO55" s="418" t="str">
        <f>IF(BN55="N/A","N/A",RANK(BN55,$BN$18:$BN$117,0)+COUNTIF($BN$18:BN55,BN55)-1)</f>
        <v>N/A</v>
      </c>
      <c r="BP55" s="416" t="str">
        <f>IF(BF55/SUM(BF:BF)*'I-Project Contingency'!$F$81=0,"N/A",BF55/SUM(BF:BF)*'I-Project Contingency'!$F$81)</f>
        <v>N/A</v>
      </c>
      <c r="BQ55" s="416" t="str">
        <f>IF(BG55/SUM(BG:BG)*'I-Project Contingency'!$F$84=0,"N/A",BG55/SUM(BG:BG)*'I-Project Contingency'!$F$84)</f>
        <v>N/A</v>
      </c>
      <c r="BR55" s="416" t="str">
        <f>IF(BH55/SUM(BH:BH)*'I-Project Contingency'!$F$85=0,"N/A",BH55/SUM(BH:BH)*'I-Project Contingency'!$F$85)</f>
        <v>N/A</v>
      </c>
      <c r="BS55" s="418">
        <f t="shared" si="31"/>
        <v>38</v>
      </c>
      <c r="BT55" s="419" t="str">
        <f t="shared" si="32"/>
        <v xml:space="preserve">38 - </v>
      </c>
      <c r="BU55" s="413">
        <f t="shared" si="33"/>
        <v>0</v>
      </c>
      <c r="BV55" s="413">
        <f t="shared" si="34"/>
        <v>0</v>
      </c>
      <c r="BW55" s="415">
        <f t="shared" si="35"/>
        <v>0</v>
      </c>
      <c r="BX55" s="415">
        <f t="shared" si="36"/>
        <v>0</v>
      </c>
    </row>
    <row r="56" spans="1:76" ht="43.2" x14ac:dyDescent="0.3">
      <c r="A56" s="193">
        <f t="shared" si="22"/>
        <v>39</v>
      </c>
      <c r="B56" s="194" t="s">
        <v>747</v>
      </c>
      <c r="C56" s="204"/>
      <c r="D56" s="205"/>
      <c r="E56" s="195"/>
      <c r="F56" s="196" t="s">
        <v>716</v>
      </c>
      <c r="G56" s="196" t="s">
        <v>730</v>
      </c>
      <c r="H56" s="187" t="str">
        <f>IF('H-Risk Register-Model'!F56="Certain","Relook at Basis of Estimate",INDEX('G-Assumptions'!$F$8:$J$11,MATCH(F56,'G-Assumptions'!$D$8:$D$11,0),MATCH(G56,'G-Assumptions'!$F$6:$J$6,0)))</f>
        <v>Relook at Basis of Estimate</v>
      </c>
      <c r="I56" s="197" t="s">
        <v>730</v>
      </c>
      <c r="J56" s="187" t="str">
        <f>IF('H-Risk Register-Model'!F56="Certain","Relook at Basis of Estimate",INDEX('G-Assumptions'!$F$8:$J$11,MATCH(F56,'G-Assumptions'!$D$8:$D$11,0),MATCH(I56,'G-Assumptions'!$F$6:$J$6,0)))</f>
        <v>Relook at Basis of Estimate</v>
      </c>
      <c r="K56" s="197" t="s">
        <v>747</v>
      </c>
      <c r="L56" s="197" t="s">
        <v>747</v>
      </c>
      <c r="M56" s="197"/>
      <c r="N56" s="384" t="s">
        <v>747</v>
      </c>
      <c r="O56" s="384" t="s">
        <v>747</v>
      </c>
      <c r="P56" s="198"/>
      <c r="Q56" s="198"/>
      <c r="R56" s="198"/>
      <c r="S56" s="199"/>
      <c r="T56" s="199"/>
      <c r="U56" s="199"/>
      <c r="V56" s="206"/>
      <c r="W56" s="198"/>
      <c r="X56" s="198"/>
      <c r="Y56" s="200">
        <v>1</v>
      </c>
      <c r="Z56" s="201">
        <v>1</v>
      </c>
      <c r="AA56" s="202">
        <f t="shared" si="23"/>
        <v>0</v>
      </c>
      <c r="AB56" s="202">
        <f t="shared" si="24"/>
        <v>0</v>
      </c>
      <c r="AC56" s="202">
        <f t="shared" si="25"/>
        <v>0</v>
      </c>
      <c r="AD56" s="202"/>
      <c r="AE56" s="198">
        <f t="shared" si="26"/>
        <v>0</v>
      </c>
      <c r="AF56" s="203"/>
      <c r="AG56" s="199">
        <f t="shared" si="27"/>
        <v>0</v>
      </c>
      <c r="AH56" s="195"/>
      <c r="AI56" s="195"/>
      <c r="AJ56" s="8"/>
      <c r="AK56" s="616" t="str">
        <f t="shared" si="28"/>
        <v>No</v>
      </c>
      <c r="AL56" s="617">
        <f>'I-Project Contingency'!$I$4</f>
        <v>28979098.489999998</v>
      </c>
      <c r="AM56" s="399">
        <f>'I-Project Contingency'!$I$11</f>
        <v>64.971830985915489</v>
      </c>
      <c r="AN56" s="398">
        <f t="shared" si="21"/>
        <v>0</v>
      </c>
      <c r="AO56" s="399">
        <f t="shared" si="18"/>
        <v>0</v>
      </c>
      <c r="AP56" s="1110" t="str">
        <f t="shared" si="19"/>
        <v>Negligible</v>
      </c>
      <c r="AQ56" s="1110" t="str">
        <f t="shared" si="20"/>
        <v>Negligible</v>
      </c>
      <c r="AR56" s="618" t="str">
        <f t="shared" si="29"/>
        <v/>
      </c>
      <c r="AS56" s="618" t="str">
        <f t="shared" si="30"/>
        <v/>
      </c>
      <c r="AT56" s="8"/>
      <c r="AU56" s="412">
        <f>'I-Project Contingency'!$O$4-AE56</f>
        <v>0</v>
      </c>
      <c r="AV56" s="413">
        <v>3099768.1860032952</v>
      </c>
      <c r="AW56" s="413">
        <v>8430883.7862095013</v>
      </c>
      <c r="AX56" s="413">
        <v>11173736.674482957</v>
      </c>
      <c r="AY56" s="413">
        <f>'I-Project Contingency'!$E$66-AV56</f>
        <v>0</v>
      </c>
      <c r="AZ56" s="413">
        <f>'I-Project Contingency'!$E$69-AW56</f>
        <v>0</v>
      </c>
      <c r="BA56" s="413">
        <f>'I-Project Contingency'!$E$70-AX56</f>
        <v>0</v>
      </c>
      <c r="BB56" s="414">
        <f>'I-Project Contingency'!$O$5-AG56</f>
        <v>0</v>
      </c>
      <c r="BC56" s="415">
        <v>1.78464631257918</v>
      </c>
      <c r="BD56" s="415">
        <v>4.4807515628171739</v>
      </c>
      <c r="BE56" s="416">
        <v>5.8619163793628264</v>
      </c>
      <c r="BF56" s="415">
        <f>'I-Project Contingency'!$E$81-BC56</f>
        <v>0</v>
      </c>
      <c r="BG56" s="415">
        <f>'I-Project Contingency'!$E$84-BD56</f>
        <v>0</v>
      </c>
      <c r="BH56" s="415">
        <f>'I-Project Contingency'!$E$85-BE56</f>
        <v>0</v>
      </c>
      <c r="BI56" s="417" t="str">
        <f>IF(BK56="N/A","N/A",IF('D-Project Data'!$C$6=50%,ABS(BK56),IF('D-Project Data'!$C$6=80%,ABS(BL56),IF('D-Project Data'!$C$6=90%,ABS(BM56)))))</f>
        <v>N/A</v>
      </c>
      <c r="BJ56" s="418" t="str">
        <f>IF(BI56="N/A","N/A",RANK(BI56,$BI$18:$BI$117,0)+COUNTIF($BI$18:BI56,BI56)-1)</f>
        <v>N/A</v>
      </c>
      <c r="BK56" s="417" t="str">
        <f>IF(AY56/SUM(AY:AY)*'I-Project Contingency'!$F$66=0,"N/A",AY56/SUM(AY:AY)*'I-Project Contingency'!$F$66)</f>
        <v>N/A</v>
      </c>
      <c r="BL56" s="417" t="str">
        <f>IF(AZ56/SUM(AZ:AZ)*'I-Project Contingency'!$F$69=0,"N/A",AZ56/SUM(AZ:AZ)*'I-Project Contingency'!$F$69)</f>
        <v>N/A</v>
      </c>
      <c r="BM56" s="417" t="str">
        <f>IF(BA56/SUM(BA:BA)*'I-Project Contingency'!$F$70=0,"N/A",BA56/SUM(BA:BA)*'I-Project Contingency'!$F$70)</f>
        <v>N/A</v>
      </c>
      <c r="BN56" s="416" t="str">
        <f>IF(BP56="N/A","N/A",IF('D-Project Data'!$C$6=50%,ABS(BP56),IF('D-Project Data'!$C$6=80%,ABS(BQ56),IF('D-Project Data'!$C$6=90%,ABS(BR56)))))</f>
        <v>N/A</v>
      </c>
      <c r="BO56" s="418" t="str">
        <f>IF(BN56="N/A","N/A",RANK(BN56,$BN$18:$BN$117,0)+COUNTIF($BN$18:BN56,BN56)-1)</f>
        <v>N/A</v>
      </c>
      <c r="BP56" s="416" t="str">
        <f>IF(BF56/SUM(BF:BF)*'I-Project Contingency'!$F$81=0,"N/A",BF56/SUM(BF:BF)*'I-Project Contingency'!$F$81)</f>
        <v>N/A</v>
      </c>
      <c r="BQ56" s="416" t="str">
        <f>IF(BG56/SUM(BG:BG)*'I-Project Contingency'!$F$84=0,"N/A",BG56/SUM(BG:BG)*'I-Project Contingency'!$F$84)</f>
        <v>N/A</v>
      </c>
      <c r="BR56" s="416" t="str">
        <f>IF(BH56/SUM(BH:BH)*'I-Project Contingency'!$F$85=0,"N/A",BH56/SUM(BH:BH)*'I-Project Contingency'!$F$85)</f>
        <v>N/A</v>
      </c>
      <c r="BS56" s="418">
        <f t="shared" si="31"/>
        <v>39</v>
      </c>
      <c r="BT56" s="419" t="str">
        <f t="shared" si="32"/>
        <v xml:space="preserve">39 - </v>
      </c>
      <c r="BU56" s="413">
        <f t="shared" si="33"/>
        <v>0</v>
      </c>
      <c r="BV56" s="413">
        <f t="shared" si="34"/>
        <v>0</v>
      </c>
      <c r="BW56" s="415">
        <f t="shared" si="35"/>
        <v>0</v>
      </c>
      <c r="BX56" s="415">
        <f t="shared" si="36"/>
        <v>0</v>
      </c>
    </row>
    <row r="57" spans="1:76" ht="43.2" x14ac:dyDescent="0.3">
      <c r="A57" s="193">
        <f t="shared" si="22"/>
        <v>40</v>
      </c>
      <c r="B57" s="194" t="s">
        <v>747</v>
      </c>
      <c r="C57" s="204"/>
      <c r="D57" s="205"/>
      <c r="E57" s="195"/>
      <c r="F57" s="196" t="s">
        <v>716</v>
      </c>
      <c r="G57" s="196" t="s">
        <v>730</v>
      </c>
      <c r="H57" s="187" t="str">
        <f>IF('H-Risk Register-Model'!F57="Certain","Relook at Basis of Estimate",INDEX('G-Assumptions'!$F$8:$J$11,MATCH(F57,'G-Assumptions'!$D$8:$D$11,0),MATCH(G57,'G-Assumptions'!$F$6:$J$6,0)))</f>
        <v>Relook at Basis of Estimate</v>
      </c>
      <c r="I57" s="197" t="s">
        <v>730</v>
      </c>
      <c r="J57" s="187" t="str">
        <f>IF('H-Risk Register-Model'!F57="Certain","Relook at Basis of Estimate",INDEX('G-Assumptions'!$F$8:$J$11,MATCH(F57,'G-Assumptions'!$D$8:$D$11,0),MATCH(I57,'G-Assumptions'!$F$6:$J$6,0)))</f>
        <v>Relook at Basis of Estimate</v>
      </c>
      <c r="K57" s="197" t="s">
        <v>747</v>
      </c>
      <c r="L57" s="197" t="s">
        <v>747</v>
      </c>
      <c r="M57" s="197"/>
      <c r="N57" s="384" t="s">
        <v>747</v>
      </c>
      <c r="O57" s="384" t="s">
        <v>747</v>
      </c>
      <c r="P57" s="198"/>
      <c r="Q57" s="198"/>
      <c r="R57" s="198"/>
      <c r="S57" s="199"/>
      <c r="T57" s="199"/>
      <c r="U57" s="199"/>
      <c r="V57" s="206"/>
      <c r="W57" s="198"/>
      <c r="X57" s="198"/>
      <c r="Y57" s="200">
        <v>1</v>
      </c>
      <c r="Z57" s="201">
        <v>1</v>
      </c>
      <c r="AA57" s="202">
        <f t="shared" si="23"/>
        <v>0</v>
      </c>
      <c r="AB57" s="202">
        <f t="shared" si="24"/>
        <v>0</v>
      </c>
      <c r="AC57" s="202">
        <f t="shared" si="25"/>
        <v>0</v>
      </c>
      <c r="AD57" s="202"/>
      <c r="AE57" s="198">
        <f t="shared" si="26"/>
        <v>0</v>
      </c>
      <c r="AF57" s="203"/>
      <c r="AG57" s="199">
        <f t="shared" si="27"/>
        <v>0</v>
      </c>
      <c r="AH57" s="195"/>
      <c r="AI57" s="195"/>
      <c r="AJ57" s="8"/>
      <c r="AK57" s="616" t="str">
        <f t="shared" si="28"/>
        <v>No</v>
      </c>
      <c r="AL57" s="617">
        <f>'I-Project Contingency'!$I$4</f>
        <v>28979098.489999998</v>
      </c>
      <c r="AM57" s="399">
        <f>'I-Project Contingency'!$I$11</f>
        <v>64.971830985915489</v>
      </c>
      <c r="AN57" s="398">
        <f t="shared" si="21"/>
        <v>0</v>
      </c>
      <c r="AO57" s="399">
        <f t="shared" si="18"/>
        <v>0</v>
      </c>
      <c r="AP57" s="1110" t="str">
        <f t="shared" si="19"/>
        <v>Negligible</v>
      </c>
      <c r="AQ57" s="1110" t="str">
        <f t="shared" si="20"/>
        <v>Negligible</v>
      </c>
      <c r="AR57" s="618" t="str">
        <f t="shared" si="29"/>
        <v/>
      </c>
      <c r="AS57" s="618" t="str">
        <f t="shared" si="30"/>
        <v/>
      </c>
      <c r="AT57" s="8"/>
      <c r="AU57" s="412">
        <f>'I-Project Contingency'!$O$4-AE57</f>
        <v>0</v>
      </c>
      <c r="AV57" s="413">
        <v>3099768.1860032952</v>
      </c>
      <c r="AW57" s="413">
        <v>8430883.7862095013</v>
      </c>
      <c r="AX57" s="413">
        <v>11173736.674482957</v>
      </c>
      <c r="AY57" s="413">
        <f>'I-Project Contingency'!$E$66-AV57</f>
        <v>0</v>
      </c>
      <c r="AZ57" s="413">
        <f>'I-Project Contingency'!$E$69-AW57</f>
        <v>0</v>
      </c>
      <c r="BA57" s="413">
        <f>'I-Project Contingency'!$E$70-AX57</f>
        <v>0</v>
      </c>
      <c r="BB57" s="414">
        <f>'I-Project Contingency'!$O$5-AG57</f>
        <v>0</v>
      </c>
      <c r="BC57" s="415">
        <v>1.78464631257918</v>
      </c>
      <c r="BD57" s="415">
        <v>4.4807515628171739</v>
      </c>
      <c r="BE57" s="416">
        <v>5.8619163793628264</v>
      </c>
      <c r="BF57" s="415">
        <f>'I-Project Contingency'!$E$81-BC57</f>
        <v>0</v>
      </c>
      <c r="BG57" s="415">
        <f>'I-Project Contingency'!$E$84-BD57</f>
        <v>0</v>
      </c>
      <c r="BH57" s="415">
        <f>'I-Project Contingency'!$E$85-BE57</f>
        <v>0</v>
      </c>
      <c r="BI57" s="417" t="str">
        <f>IF(BK57="N/A","N/A",IF('D-Project Data'!$C$6=50%,ABS(BK57),IF('D-Project Data'!$C$6=80%,ABS(BL57),IF('D-Project Data'!$C$6=90%,ABS(BM57)))))</f>
        <v>N/A</v>
      </c>
      <c r="BJ57" s="418" t="str">
        <f>IF(BI57="N/A","N/A",RANK(BI57,$BI$18:$BI$117,0)+COUNTIF($BI$18:BI57,BI57)-1)</f>
        <v>N/A</v>
      </c>
      <c r="BK57" s="417" t="str">
        <f>IF(AY57/SUM(AY:AY)*'I-Project Contingency'!$F$66=0,"N/A",AY57/SUM(AY:AY)*'I-Project Contingency'!$F$66)</f>
        <v>N/A</v>
      </c>
      <c r="BL57" s="417" t="str">
        <f>IF(AZ57/SUM(AZ:AZ)*'I-Project Contingency'!$F$69=0,"N/A",AZ57/SUM(AZ:AZ)*'I-Project Contingency'!$F$69)</f>
        <v>N/A</v>
      </c>
      <c r="BM57" s="417" t="str">
        <f>IF(BA57/SUM(BA:BA)*'I-Project Contingency'!$F$70=0,"N/A",BA57/SUM(BA:BA)*'I-Project Contingency'!$F$70)</f>
        <v>N/A</v>
      </c>
      <c r="BN57" s="416" t="str">
        <f>IF(BP57="N/A","N/A",IF('D-Project Data'!$C$6=50%,ABS(BP57),IF('D-Project Data'!$C$6=80%,ABS(BQ57),IF('D-Project Data'!$C$6=90%,ABS(BR57)))))</f>
        <v>N/A</v>
      </c>
      <c r="BO57" s="418" t="str">
        <f>IF(BN57="N/A","N/A",RANK(BN57,$BN$18:$BN$117,0)+COUNTIF($BN$18:BN57,BN57)-1)</f>
        <v>N/A</v>
      </c>
      <c r="BP57" s="416" t="str">
        <f>IF(BF57/SUM(BF:BF)*'I-Project Contingency'!$F$81=0,"N/A",BF57/SUM(BF:BF)*'I-Project Contingency'!$F$81)</f>
        <v>N/A</v>
      </c>
      <c r="BQ57" s="416" t="str">
        <f>IF(BG57/SUM(BG:BG)*'I-Project Contingency'!$F$84=0,"N/A",BG57/SUM(BG:BG)*'I-Project Contingency'!$F$84)</f>
        <v>N/A</v>
      </c>
      <c r="BR57" s="416" t="str">
        <f>IF(BH57/SUM(BH:BH)*'I-Project Contingency'!$F$85=0,"N/A",BH57/SUM(BH:BH)*'I-Project Contingency'!$F$85)</f>
        <v>N/A</v>
      </c>
      <c r="BS57" s="418">
        <f t="shared" si="31"/>
        <v>40</v>
      </c>
      <c r="BT57" s="419" t="str">
        <f t="shared" si="32"/>
        <v xml:space="preserve">40 - </v>
      </c>
      <c r="BU57" s="413">
        <f t="shared" si="33"/>
        <v>0</v>
      </c>
      <c r="BV57" s="413">
        <f t="shared" si="34"/>
        <v>0</v>
      </c>
      <c r="BW57" s="415">
        <f t="shared" si="35"/>
        <v>0</v>
      </c>
      <c r="BX57" s="415">
        <f t="shared" si="36"/>
        <v>0</v>
      </c>
    </row>
    <row r="58" spans="1:76" ht="43.2" x14ac:dyDescent="0.3">
      <c r="A58" s="193">
        <f t="shared" si="22"/>
        <v>41</v>
      </c>
      <c r="B58" s="194" t="s">
        <v>747</v>
      </c>
      <c r="C58" s="204"/>
      <c r="D58" s="205"/>
      <c r="E58" s="195"/>
      <c r="F58" s="196" t="s">
        <v>716</v>
      </c>
      <c r="G58" s="196" t="s">
        <v>730</v>
      </c>
      <c r="H58" s="187" t="str">
        <f>IF('H-Risk Register-Model'!F58="Certain","Relook at Basis of Estimate",INDEX('G-Assumptions'!$F$8:$J$11,MATCH(F58,'G-Assumptions'!$D$8:$D$11,0),MATCH(G58,'G-Assumptions'!$F$6:$J$6,0)))</f>
        <v>Relook at Basis of Estimate</v>
      </c>
      <c r="I58" s="197" t="s">
        <v>730</v>
      </c>
      <c r="J58" s="187" t="str">
        <f>IF('H-Risk Register-Model'!F58="Certain","Relook at Basis of Estimate",INDEX('G-Assumptions'!$F$8:$J$11,MATCH(F58,'G-Assumptions'!$D$8:$D$11,0),MATCH(I58,'G-Assumptions'!$F$6:$J$6,0)))</f>
        <v>Relook at Basis of Estimate</v>
      </c>
      <c r="K58" s="197" t="s">
        <v>747</v>
      </c>
      <c r="L58" s="197" t="s">
        <v>747</v>
      </c>
      <c r="M58" s="197"/>
      <c r="N58" s="384" t="s">
        <v>747</v>
      </c>
      <c r="O58" s="384" t="s">
        <v>747</v>
      </c>
      <c r="P58" s="198"/>
      <c r="Q58" s="198"/>
      <c r="R58" s="198"/>
      <c r="S58" s="199"/>
      <c r="T58" s="199"/>
      <c r="U58" s="199"/>
      <c r="V58" s="206"/>
      <c r="W58" s="198"/>
      <c r="X58" s="198"/>
      <c r="Y58" s="200">
        <v>1</v>
      </c>
      <c r="Z58" s="201">
        <v>1</v>
      </c>
      <c r="AA58" s="202">
        <f t="shared" si="23"/>
        <v>0</v>
      </c>
      <c r="AB58" s="202">
        <f t="shared" si="24"/>
        <v>0</v>
      </c>
      <c r="AC58" s="202">
        <f t="shared" si="25"/>
        <v>0</v>
      </c>
      <c r="AD58" s="202"/>
      <c r="AE58" s="198">
        <f t="shared" si="26"/>
        <v>0</v>
      </c>
      <c r="AF58" s="203"/>
      <c r="AG58" s="199">
        <f t="shared" si="27"/>
        <v>0</v>
      </c>
      <c r="AH58" s="195"/>
      <c r="AI58" s="195"/>
      <c r="AJ58" s="8"/>
      <c r="AK58" s="616" t="str">
        <f t="shared" si="28"/>
        <v>No</v>
      </c>
      <c r="AL58" s="617">
        <f>'I-Project Contingency'!$I$4</f>
        <v>28979098.489999998</v>
      </c>
      <c r="AM58" s="399">
        <f>'I-Project Contingency'!$I$11</f>
        <v>64.971830985915489</v>
      </c>
      <c r="AN58" s="398">
        <f t="shared" si="21"/>
        <v>0</v>
      </c>
      <c r="AO58" s="399">
        <f t="shared" si="18"/>
        <v>0</v>
      </c>
      <c r="AP58" s="1110" t="str">
        <f t="shared" si="19"/>
        <v>Negligible</v>
      </c>
      <c r="AQ58" s="1110" t="str">
        <f t="shared" si="20"/>
        <v>Negligible</v>
      </c>
      <c r="AR58" s="618" t="str">
        <f t="shared" si="29"/>
        <v/>
      </c>
      <c r="AS58" s="618" t="str">
        <f t="shared" si="30"/>
        <v/>
      </c>
      <c r="AT58" s="8"/>
      <c r="AU58" s="412">
        <f>'I-Project Contingency'!$O$4-AE58</f>
        <v>0</v>
      </c>
      <c r="AV58" s="413">
        <v>3099768.1860032952</v>
      </c>
      <c r="AW58" s="413">
        <v>8430883.7862095013</v>
      </c>
      <c r="AX58" s="413">
        <v>11173736.674482957</v>
      </c>
      <c r="AY58" s="413">
        <f>'I-Project Contingency'!$E$66-AV58</f>
        <v>0</v>
      </c>
      <c r="AZ58" s="413">
        <f>'I-Project Contingency'!$E$69-AW58</f>
        <v>0</v>
      </c>
      <c r="BA58" s="413">
        <f>'I-Project Contingency'!$E$70-AX58</f>
        <v>0</v>
      </c>
      <c r="BB58" s="414">
        <f>'I-Project Contingency'!$O$5-AG58</f>
        <v>0</v>
      </c>
      <c r="BC58" s="415">
        <v>1.78464631257918</v>
      </c>
      <c r="BD58" s="415">
        <v>4.4807515628171739</v>
      </c>
      <c r="BE58" s="416">
        <v>5.8619163793628264</v>
      </c>
      <c r="BF58" s="415">
        <f>'I-Project Contingency'!$E$81-BC58</f>
        <v>0</v>
      </c>
      <c r="BG58" s="415">
        <f>'I-Project Contingency'!$E$84-BD58</f>
        <v>0</v>
      </c>
      <c r="BH58" s="415">
        <f>'I-Project Contingency'!$E$85-BE58</f>
        <v>0</v>
      </c>
      <c r="BI58" s="417" t="str">
        <f>IF(BK58="N/A","N/A",IF('D-Project Data'!$C$6=50%,ABS(BK58),IF('D-Project Data'!$C$6=80%,ABS(BL58),IF('D-Project Data'!$C$6=90%,ABS(BM58)))))</f>
        <v>N/A</v>
      </c>
      <c r="BJ58" s="418" t="str">
        <f>IF(BI58="N/A","N/A",RANK(BI58,$BI$18:$BI$117,0)+COUNTIF($BI$18:BI58,BI58)-1)</f>
        <v>N/A</v>
      </c>
      <c r="BK58" s="417" t="str">
        <f>IF(AY58/SUM(AY:AY)*'I-Project Contingency'!$F$66=0,"N/A",AY58/SUM(AY:AY)*'I-Project Contingency'!$F$66)</f>
        <v>N/A</v>
      </c>
      <c r="BL58" s="417" t="str">
        <f>IF(AZ58/SUM(AZ:AZ)*'I-Project Contingency'!$F$69=0,"N/A",AZ58/SUM(AZ:AZ)*'I-Project Contingency'!$F$69)</f>
        <v>N/A</v>
      </c>
      <c r="BM58" s="417" t="str">
        <f>IF(BA58/SUM(BA:BA)*'I-Project Contingency'!$F$70=0,"N/A",BA58/SUM(BA:BA)*'I-Project Contingency'!$F$70)</f>
        <v>N/A</v>
      </c>
      <c r="BN58" s="416" t="str">
        <f>IF(BP58="N/A","N/A",IF('D-Project Data'!$C$6=50%,ABS(BP58),IF('D-Project Data'!$C$6=80%,ABS(BQ58),IF('D-Project Data'!$C$6=90%,ABS(BR58)))))</f>
        <v>N/A</v>
      </c>
      <c r="BO58" s="418" t="str">
        <f>IF(BN58="N/A","N/A",RANK(BN58,$BN$18:$BN$117,0)+COUNTIF($BN$18:BN58,BN58)-1)</f>
        <v>N/A</v>
      </c>
      <c r="BP58" s="416" t="str">
        <f>IF(BF58/SUM(BF:BF)*'I-Project Contingency'!$F$81=0,"N/A",BF58/SUM(BF:BF)*'I-Project Contingency'!$F$81)</f>
        <v>N/A</v>
      </c>
      <c r="BQ58" s="416" t="str">
        <f>IF(BG58/SUM(BG:BG)*'I-Project Contingency'!$F$84=0,"N/A",BG58/SUM(BG:BG)*'I-Project Contingency'!$F$84)</f>
        <v>N/A</v>
      </c>
      <c r="BR58" s="416" t="str">
        <f>IF(BH58/SUM(BH:BH)*'I-Project Contingency'!$F$85=0,"N/A",BH58/SUM(BH:BH)*'I-Project Contingency'!$F$85)</f>
        <v>N/A</v>
      </c>
      <c r="BS58" s="418">
        <f t="shared" si="31"/>
        <v>41</v>
      </c>
      <c r="BT58" s="419" t="str">
        <f t="shared" si="32"/>
        <v xml:space="preserve">41 - </v>
      </c>
      <c r="BU58" s="413">
        <f t="shared" si="33"/>
        <v>0</v>
      </c>
      <c r="BV58" s="413">
        <f t="shared" si="34"/>
        <v>0</v>
      </c>
      <c r="BW58" s="415">
        <f t="shared" si="35"/>
        <v>0</v>
      </c>
      <c r="BX58" s="415">
        <f t="shared" si="36"/>
        <v>0</v>
      </c>
    </row>
    <row r="59" spans="1:76" ht="43.2" x14ac:dyDescent="0.3">
      <c r="A59" s="193">
        <f t="shared" si="22"/>
        <v>42</v>
      </c>
      <c r="B59" s="194" t="s">
        <v>747</v>
      </c>
      <c r="C59" s="204"/>
      <c r="D59" s="205"/>
      <c r="E59" s="195"/>
      <c r="F59" s="196" t="s">
        <v>716</v>
      </c>
      <c r="G59" s="196" t="s">
        <v>730</v>
      </c>
      <c r="H59" s="187" t="str">
        <f>IF('H-Risk Register-Model'!F59="Certain","Relook at Basis of Estimate",INDEX('G-Assumptions'!$F$8:$J$11,MATCH(F59,'G-Assumptions'!$D$8:$D$11,0),MATCH(G59,'G-Assumptions'!$F$6:$J$6,0)))</f>
        <v>Relook at Basis of Estimate</v>
      </c>
      <c r="I59" s="197" t="s">
        <v>730</v>
      </c>
      <c r="J59" s="187" t="str">
        <f>IF('H-Risk Register-Model'!F59="Certain","Relook at Basis of Estimate",INDEX('G-Assumptions'!$F$8:$J$11,MATCH(F59,'G-Assumptions'!$D$8:$D$11,0),MATCH(I59,'G-Assumptions'!$F$6:$J$6,0)))</f>
        <v>Relook at Basis of Estimate</v>
      </c>
      <c r="K59" s="197" t="s">
        <v>747</v>
      </c>
      <c r="L59" s="197" t="s">
        <v>747</v>
      </c>
      <c r="M59" s="197"/>
      <c r="N59" s="384" t="s">
        <v>747</v>
      </c>
      <c r="O59" s="384" t="s">
        <v>747</v>
      </c>
      <c r="P59" s="198"/>
      <c r="Q59" s="198"/>
      <c r="R59" s="198"/>
      <c r="S59" s="199"/>
      <c r="T59" s="199"/>
      <c r="U59" s="199"/>
      <c r="V59" s="206"/>
      <c r="W59" s="198"/>
      <c r="X59" s="198"/>
      <c r="Y59" s="200">
        <v>1</v>
      </c>
      <c r="Z59" s="201">
        <v>1</v>
      </c>
      <c r="AA59" s="202">
        <f t="shared" si="23"/>
        <v>0</v>
      </c>
      <c r="AB59" s="202">
        <f t="shared" si="24"/>
        <v>0</v>
      </c>
      <c r="AC59" s="202">
        <f t="shared" si="25"/>
        <v>0</v>
      </c>
      <c r="AD59" s="202"/>
      <c r="AE59" s="198">
        <f t="shared" si="26"/>
        <v>0</v>
      </c>
      <c r="AF59" s="203"/>
      <c r="AG59" s="199">
        <f t="shared" si="27"/>
        <v>0</v>
      </c>
      <c r="AH59" s="195"/>
      <c r="AI59" s="195"/>
      <c r="AJ59" s="8"/>
      <c r="AK59" s="616" t="str">
        <f t="shared" si="28"/>
        <v>No</v>
      </c>
      <c r="AL59" s="617">
        <f>'I-Project Contingency'!$I$4</f>
        <v>28979098.489999998</v>
      </c>
      <c r="AM59" s="399">
        <f>'I-Project Contingency'!$I$11</f>
        <v>64.971830985915489</v>
      </c>
      <c r="AN59" s="398">
        <f t="shared" si="21"/>
        <v>0</v>
      </c>
      <c r="AO59" s="399">
        <f t="shared" si="18"/>
        <v>0</v>
      </c>
      <c r="AP59" s="1110" t="str">
        <f t="shared" si="19"/>
        <v>Negligible</v>
      </c>
      <c r="AQ59" s="1110" t="str">
        <f t="shared" si="20"/>
        <v>Negligible</v>
      </c>
      <c r="AR59" s="618" t="str">
        <f t="shared" si="29"/>
        <v/>
      </c>
      <c r="AS59" s="618" t="str">
        <f t="shared" si="30"/>
        <v/>
      </c>
      <c r="AT59" s="8"/>
      <c r="AU59" s="412">
        <f>'I-Project Contingency'!$O$4-AE59</f>
        <v>0</v>
      </c>
      <c r="AV59" s="413">
        <v>3099768.1860032952</v>
      </c>
      <c r="AW59" s="413">
        <v>8430883.7862095013</v>
      </c>
      <c r="AX59" s="413">
        <v>11173736.674482957</v>
      </c>
      <c r="AY59" s="413">
        <f>'I-Project Contingency'!$E$66-AV59</f>
        <v>0</v>
      </c>
      <c r="AZ59" s="413">
        <f>'I-Project Contingency'!$E$69-AW59</f>
        <v>0</v>
      </c>
      <c r="BA59" s="413">
        <f>'I-Project Contingency'!$E$70-AX59</f>
        <v>0</v>
      </c>
      <c r="BB59" s="414">
        <f>'I-Project Contingency'!$O$5-AG59</f>
        <v>0</v>
      </c>
      <c r="BC59" s="415">
        <v>1.78464631257918</v>
      </c>
      <c r="BD59" s="415">
        <v>4.4807515628171739</v>
      </c>
      <c r="BE59" s="416">
        <v>5.8619163793628264</v>
      </c>
      <c r="BF59" s="415">
        <f>'I-Project Contingency'!$E$81-BC59</f>
        <v>0</v>
      </c>
      <c r="BG59" s="415">
        <f>'I-Project Contingency'!$E$84-BD59</f>
        <v>0</v>
      </c>
      <c r="BH59" s="415">
        <f>'I-Project Contingency'!$E$85-BE59</f>
        <v>0</v>
      </c>
      <c r="BI59" s="417" t="str">
        <f>IF(BK59="N/A","N/A",IF('D-Project Data'!$C$6=50%,ABS(BK59),IF('D-Project Data'!$C$6=80%,ABS(BL59),IF('D-Project Data'!$C$6=90%,ABS(BM59)))))</f>
        <v>N/A</v>
      </c>
      <c r="BJ59" s="418" t="str">
        <f>IF(BI59="N/A","N/A",RANK(BI59,$BI$18:$BI$117,0)+COUNTIF($BI$18:BI59,BI59)-1)</f>
        <v>N/A</v>
      </c>
      <c r="BK59" s="417" t="str">
        <f>IF(AY59/SUM(AY:AY)*'I-Project Contingency'!$F$66=0,"N/A",AY59/SUM(AY:AY)*'I-Project Contingency'!$F$66)</f>
        <v>N/A</v>
      </c>
      <c r="BL59" s="417" t="str">
        <f>IF(AZ59/SUM(AZ:AZ)*'I-Project Contingency'!$F$69=0,"N/A",AZ59/SUM(AZ:AZ)*'I-Project Contingency'!$F$69)</f>
        <v>N/A</v>
      </c>
      <c r="BM59" s="417" t="str">
        <f>IF(BA59/SUM(BA:BA)*'I-Project Contingency'!$F$70=0,"N/A",BA59/SUM(BA:BA)*'I-Project Contingency'!$F$70)</f>
        <v>N/A</v>
      </c>
      <c r="BN59" s="416" t="str">
        <f>IF(BP59="N/A","N/A",IF('D-Project Data'!$C$6=50%,ABS(BP59),IF('D-Project Data'!$C$6=80%,ABS(BQ59),IF('D-Project Data'!$C$6=90%,ABS(BR59)))))</f>
        <v>N/A</v>
      </c>
      <c r="BO59" s="418" t="str">
        <f>IF(BN59="N/A","N/A",RANK(BN59,$BN$18:$BN$117,0)+COUNTIF($BN$18:BN59,BN59)-1)</f>
        <v>N/A</v>
      </c>
      <c r="BP59" s="416" t="str">
        <f>IF(BF59/SUM(BF:BF)*'I-Project Contingency'!$F$81=0,"N/A",BF59/SUM(BF:BF)*'I-Project Contingency'!$F$81)</f>
        <v>N/A</v>
      </c>
      <c r="BQ59" s="416" t="str">
        <f>IF(BG59/SUM(BG:BG)*'I-Project Contingency'!$F$84=0,"N/A",BG59/SUM(BG:BG)*'I-Project Contingency'!$F$84)</f>
        <v>N/A</v>
      </c>
      <c r="BR59" s="416" t="str">
        <f>IF(BH59/SUM(BH:BH)*'I-Project Contingency'!$F$85=0,"N/A",BH59/SUM(BH:BH)*'I-Project Contingency'!$F$85)</f>
        <v>N/A</v>
      </c>
      <c r="BS59" s="418">
        <f t="shared" si="31"/>
        <v>42</v>
      </c>
      <c r="BT59" s="419" t="str">
        <f t="shared" si="32"/>
        <v xml:space="preserve">42 - </v>
      </c>
      <c r="BU59" s="413">
        <f t="shared" si="33"/>
        <v>0</v>
      </c>
      <c r="BV59" s="413">
        <f t="shared" si="34"/>
        <v>0</v>
      </c>
      <c r="BW59" s="415">
        <f t="shared" si="35"/>
        <v>0</v>
      </c>
      <c r="BX59" s="415">
        <f t="shared" si="36"/>
        <v>0</v>
      </c>
    </row>
    <row r="60" spans="1:76" ht="43.2" x14ac:dyDescent="0.3">
      <c r="A60" s="193">
        <f t="shared" si="22"/>
        <v>43</v>
      </c>
      <c r="B60" s="194" t="s">
        <v>747</v>
      </c>
      <c r="C60" s="204"/>
      <c r="D60" s="205"/>
      <c r="E60" s="195"/>
      <c r="F60" s="196" t="s">
        <v>716</v>
      </c>
      <c r="G60" s="196" t="s">
        <v>730</v>
      </c>
      <c r="H60" s="187" t="str">
        <f>IF('H-Risk Register-Model'!F60="Certain","Relook at Basis of Estimate",INDEX('G-Assumptions'!$F$8:$J$11,MATCH(F60,'G-Assumptions'!$D$8:$D$11,0),MATCH(G60,'G-Assumptions'!$F$6:$J$6,0)))</f>
        <v>Relook at Basis of Estimate</v>
      </c>
      <c r="I60" s="197" t="s">
        <v>730</v>
      </c>
      <c r="J60" s="187" t="str">
        <f>IF('H-Risk Register-Model'!F60="Certain","Relook at Basis of Estimate",INDEX('G-Assumptions'!$F$8:$J$11,MATCH(F60,'G-Assumptions'!$D$8:$D$11,0),MATCH(I60,'G-Assumptions'!$F$6:$J$6,0)))</f>
        <v>Relook at Basis of Estimate</v>
      </c>
      <c r="K60" s="197" t="s">
        <v>747</v>
      </c>
      <c r="L60" s="197" t="s">
        <v>747</v>
      </c>
      <c r="M60" s="197"/>
      <c r="N60" s="384" t="s">
        <v>747</v>
      </c>
      <c r="O60" s="384" t="s">
        <v>747</v>
      </c>
      <c r="P60" s="198"/>
      <c r="Q60" s="198"/>
      <c r="R60" s="198"/>
      <c r="S60" s="199"/>
      <c r="T60" s="199"/>
      <c r="U60" s="199"/>
      <c r="V60" s="206"/>
      <c r="W60" s="198"/>
      <c r="X60" s="198"/>
      <c r="Y60" s="200">
        <v>1</v>
      </c>
      <c r="Z60" s="201">
        <v>1</v>
      </c>
      <c r="AA60" s="202">
        <f t="shared" si="23"/>
        <v>0</v>
      </c>
      <c r="AB60" s="202">
        <f t="shared" si="24"/>
        <v>0</v>
      </c>
      <c r="AC60" s="202">
        <f t="shared" si="25"/>
        <v>0</v>
      </c>
      <c r="AD60" s="202"/>
      <c r="AE60" s="198">
        <f t="shared" si="26"/>
        <v>0</v>
      </c>
      <c r="AF60" s="203"/>
      <c r="AG60" s="199">
        <f t="shared" si="27"/>
        <v>0</v>
      </c>
      <c r="AH60" s="195"/>
      <c r="AI60" s="195"/>
      <c r="AJ60" s="8"/>
      <c r="AK60" s="616" t="str">
        <f t="shared" si="28"/>
        <v>No</v>
      </c>
      <c r="AL60" s="617">
        <f>'I-Project Contingency'!$I$4</f>
        <v>28979098.489999998</v>
      </c>
      <c r="AM60" s="399">
        <f>'I-Project Contingency'!$I$11</f>
        <v>64.971830985915489</v>
      </c>
      <c r="AN60" s="398">
        <f t="shared" si="21"/>
        <v>0</v>
      </c>
      <c r="AO60" s="399">
        <f t="shared" si="18"/>
        <v>0</v>
      </c>
      <c r="AP60" s="1110" t="str">
        <f t="shared" si="19"/>
        <v>Negligible</v>
      </c>
      <c r="AQ60" s="1110" t="str">
        <f t="shared" si="20"/>
        <v>Negligible</v>
      </c>
      <c r="AR60" s="618" t="str">
        <f t="shared" si="29"/>
        <v/>
      </c>
      <c r="AS60" s="618" t="str">
        <f t="shared" si="30"/>
        <v/>
      </c>
      <c r="AT60" s="8"/>
      <c r="AU60" s="412">
        <f>'I-Project Contingency'!$O$4-AE60</f>
        <v>0</v>
      </c>
      <c r="AV60" s="413">
        <v>3099768.1860032952</v>
      </c>
      <c r="AW60" s="413">
        <v>8430883.7862095013</v>
      </c>
      <c r="AX60" s="413">
        <v>11173736.674482957</v>
      </c>
      <c r="AY60" s="413">
        <f>'I-Project Contingency'!$E$66-AV60</f>
        <v>0</v>
      </c>
      <c r="AZ60" s="413">
        <f>'I-Project Contingency'!$E$69-AW60</f>
        <v>0</v>
      </c>
      <c r="BA60" s="413">
        <f>'I-Project Contingency'!$E$70-AX60</f>
        <v>0</v>
      </c>
      <c r="BB60" s="414">
        <f>'I-Project Contingency'!$O$5-AG60</f>
        <v>0</v>
      </c>
      <c r="BC60" s="415">
        <v>1.78464631257918</v>
      </c>
      <c r="BD60" s="415">
        <v>4.4807515628171739</v>
      </c>
      <c r="BE60" s="416">
        <v>5.8619163793628264</v>
      </c>
      <c r="BF60" s="415">
        <f>'I-Project Contingency'!$E$81-BC60</f>
        <v>0</v>
      </c>
      <c r="BG60" s="415">
        <f>'I-Project Contingency'!$E$84-BD60</f>
        <v>0</v>
      </c>
      <c r="BH60" s="415">
        <f>'I-Project Contingency'!$E$85-BE60</f>
        <v>0</v>
      </c>
      <c r="BI60" s="417" t="str">
        <f>IF(BK60="N/A","N/A",IF('D-Project Data'!$C$6=50%,ABS(BK60),IF('D-Project Data'!$C$6=80%,ABS(BL60),IF('D-Project Data'!$C$6=90%,ABS(BM60)))))</f>
        <v>N/A</v>
      </c>
      <c r="BJ60" s="418" t="str">
        <f>IF(BI60="N/A","N/A",RANK(BI60,$BI$18:$BI$117,0)+COUNTIF($BI$18:BI60,BI60)-1)</f>
        <v>N/A</v>
      </c>
      <c r="BK60" s="417" t="str">
        <f>IF(AY60/SUM(AY:AY)*'I-Project Contingency'!$F$66=0,"N/A",AY60/SUM(AY:AY)*'I-Project Contingency'!$F$66)</f>
        <v>N/A</v>
      </c>
      <c r="BL60" s="417" t="str">
        <f>IF(AZ60/SUM(AZ:AZ)*'I-Project Contingency'!$F$69=0,"N/A",AZ60/SUM(AZ:AZ)*'I-Project Contingency'!$F$69)</f>
        <v>N/A</v>
      </c>
      <c r="BM60" s="417" t="str">
        <f>IF(BA60/SUM(BA:BA)*'I-Project Contingency'!$F$70=0,"N/A",BA60/SUM(BA:BA)*'I-Project Contingency'!$F$70)</f>
        <v>N/A</v>
      </c>
      <c r="BN60" s="416" t="str">
        <f>IF(BP60="N/A","N/A",IF('D-Project Data'!$C$6=50%,ABS(BP60),IF('D-Project Data'!$C$6=80%,ABS(BQ60),IF('D-Project Data'!$C$6=90%,ABS(BR60)))))</f>
        <v>N/A</v>
      </c>
      <c r="BO60" s="418" t="str">
        <f>IF(BN60="N/A","N/A",RANK(BN60,$BN$18:$BN$117,0)+COUNTIF($BN$18:BN60,BN60)-1)</f>
        <v>N/A</v>
      </c>
      <c r="BP60" s="416" t="str">
        <f>IF(BF60/SUM(BF:BF)*'I-Project Contingency'!$F$81=0,"N/A",BF60/SUM(BF:BF)*'I-Project Contingency'!$F$81)</f>
        <v>N/A</v>
      </c>
      <c r="BQ60" s="416" t="str">
        <f>IF(BG60/SUM(BG:BG)*'I-Project Contingency'!$F$84=0,"N/A",BG60/SUM(BG:BG)*'I-Project Contingency'!$F$84)</f>
        <v>N/A</v>
      </c>
      <c r="BR60" s="416" t="str">
        <f>IF(BH60/SUM(BH:BH)*'I-Project Contingency'!$F$85=0,"N/A",BH60/SUM(BH:BH)*'I-Project Contingency'!$F$85)</f>
        <v>N/A</v>
      </c>
      <c r="BS60" s="418">
        <f t="shared" si="31"/>
        <v>43</v>
      </c>
      <c r="BT60" s="419" t="str">
        <f t="shared" si="32"/>
        <v xml:space="preserve">43 - </v>
      </c>
      <c r="BU60" s="413">
        <f t="shared" si="33"/>
        <v>0</v>
      </c>
      <c r="BV60" s="413">
        <f t="shared" si="34"/>
        <v>0</v>
      </c>
      <c r="BW60" s="415">
        <f t="shared" si="35"/>
        <v>0</v>
      </c>
      <c r="BX60" s="415">
        <f t="shared" si="36"/>
        <v>0</v>
      </c>
    </row>
    <row r="61" spans="1:76" ht="43.2" x14ac:dyDescent="0.3">
      <c r="A61" s="193">
        <f t="shared" si="22"/>
        <v>44</v>
      </c>
      <c r="B61" s="194" t="s">
        <v>747</v>
      </c>
      <c r="C61" s="204"/>
      <c r="D61" s="205"/>
      <c r="E61" s="195"/>
      <c r="F61" s="196" t="s">
        <v>716</v>
      </c>
      <c r="G61" s="196" t="s">
        <v>730</v>
      </c>
      <c r="H61" s="187" t="str">
        <f>IF('H-Risk Register-Model'!F61="Certain","Relook at Basis of Estimate",INDEX('G-Assumptions'!$F$8:$J$11,MATCH(F61,'G-Assumptions'!$D$8:$D$11,0),MATCH(G61,'G-Assumptions'!$F$6:$J$6,0)))</f>
        <v>Relook at Basis of Estimate</v>
      </c>
      <c r="I61" s="197" t="s">
        <v>730</v>
      </c>
      <c r="J61" s="187" t="str">
        <f>IF('H-Risk Register-Model'!F61="Certain","Relook at Basis of Estimate",INDEX('G-Assumptions'!$F$8:$J$11,MATCH(F61,'G-Assumptions'!$D$8:$D$11,0),MATCH(I61,'G-Assumptions'!$F$6:$J$6,0)))</f>
        <v>Relook at Basis of Estimate</v>
      </c>
      <c r="K61" s="197" t="s">
        <v>747</v>
      </c>
      <c r="L61" s="197" t="s">
        <v>747</v>
      </c>
      <c r="M61" s="197"/>
      <c r="N61" s="384" t="s">
        <v>747</v>
      </c>
      <c r="O61" s="384" t="s">
        <v>747</v>
      </c>
      <c r="P61" s="198"/>
      <c r="Q61" s="198"/>
      <c r="R61" s="198"/>
      <c r="S61" s="199"/>
      <c r="T61" s="199"/>
      <c r="U61" s="199"/>
      <c r="V61" s="206"/>
      <c r="W61" s="198"/>
      <c r="X61" s="198"/>
      <c r="Y61" s="200">
        <v>1</v>
      </c>
      <c r="Z61" s="201">
        <v>1</v>
      </c>
      <c r="AA61" s="202">
        <f t="shared" si="23"/>
        <v>0</v>
      </c>
      <c r="AB61" s="202">
        <f t="shared" si="24"/>
        <v>0</v>
      </c>
      <c r="AC61" s="202">
        <f t="shared" si="25"/>
        <v>0</v>
      </c>
      <c r="AD61" s="202"/>
      <c r="AE61" s="198">
        <f t="shared" si="26"/>
        <v>0</v>
      </c>
      <c r="AF61" s="203"/>
      <c r="AG61" s="199">
        <f t="shared" si="27"/>
        <v>0</v>
      </c>
      <c r="AH61" s="195"/>
      <c r="AI61" s="195"/>
      <c r="AJ61" s="8"/>
      <c r="AK61" s="616" t="str">
        <f t="shared" si="28"/>
        <v>No</v>
      </c>
      <c r="AL61" s="617">
        <f>'I-Project Contingency'!$I$4</f>
        <v>28979098.489999998</v>
      </c>
      <c r="AM61" s="399">
        <f>'I-Project Contingency'!$I$11</f>
        <v>64.971830985915489</v>
      </c>
      <c r="AN61" s="398">
        <f t="shared" si="21"/>
        <v>0</v>
      </c>
      <c r="AO61" s="399">
        <f t="shared" si="18"/>
        <v>0</v>
      </c>
      <c r="AP61" s="1110" t="str">
        <f t="shared" si="19"/>
        <v>Negligible</v>
      </c>
      <c r="AQ61" s="1110" t="str">
        <f t="shared" si="20"/>
        <v>Negligible</v>
      </c>
      <c r="AR61" s="618" t="str">
        <f t="shared" si="29"/>
        <v/>
      </c>
      <c r="AS61" s="618" t="str">
        <f t="shared" si="30"/>
        <v/>
      </c>
      <c r="AT61" s="8"/>
      <c r="AU61" s="412">
        <f>'I-Project Contingency'!$O$4-AE61</f>
        <v>0</v>
      </c>
      <c r="AV61" s="413">
        <v>3099768.1860032952</v>
      </c>
      <c r="AW61" s="413">
        <v>8430883.7862095013</v>
      </c>
      <c r="AX61" s="413">
        <v>11173736.674482957</v>
      </c>
      <c r="AY61" s="413">
        <f>'I-Project Contingency'!$E$66-AV61</f>
        <v>0</v>
      </c>
      <c r="AZ61" s="413">
        <f>'I-Project Contingency'!$E$69-AW61</f>
        <v>0</v>
      </c>
      <c r="BA61" s="413">
        <f>'I-Project Contingency'!$E$70-AX61</f>
        <v>0</v>
      </c>
      <c r="BB61" s="414">
        <f>'I-Project Contingency'!$O$5-AG61</f>
        <v>0</v>
      </c>
      <c r="BC61" s="415">
        <v>1.78464631257918</v>
      </c>
      <c r="BD61" s="415">
        <v>4.4807515628171739</v>
      </c>
      <c r="BE61" s="416">
        <v>5.8619163793628264</v>
      </c>
      <c r="BF61" s="415">
        <f>'I-Project Contingency'!$E$81-BC61</f>
        <v>0</v>
      </c>
      <c r="BG61" s="415">
        <f>'I-Project Contingency'!$E$84-BD61</f>
        <v>0</v>
      </c>
      <c r="BH61" s="415">
        <f>'I-Project Contingency'!$E$85-BE61</f>
        <v>0</v>
      </c>
      <c r="BI61" s="417" t="str">
        <f>IF(BK61="N/A","N/A",IF('D-Project Data'!$C$6=50%,ABS(BK61),IF('D-Project Data'!$C$6=80%,ABS(BL61),IF('D-Project Data'!$C$6=90%,ABS(BM61)))))</f>
        <v>N/A</v>
      </c>
      <c r="BJ61" s="418" t="str">
        <f>IF(BI61="N/A","N/A",RANK(BI61,$BI$18:$BI$117,0)+COUNTIF($BI$18:BI61,BI61)-1)</f>
        <v>N/A</v>
      </c>
      <c r="BK61" s="417" t="str">
        <f>IF(AY61/SUM(AY:AY)*'I-Project Contingency'!$F$66=0,"N/A",AY61/SUM(AY:AY)*'I-Project Contingency'!$F$66)</f>
        <v>N/A</v>
      </c>
      <c r="BL61" s="417" t="str">
        <f>IF(AZ61/SUM(AZ:AZ)*'I-Project Contingency'!$F$69=0,"N/A",AZ61/SUM(AZ:AZ)*'I-Project Contingency'!$F$69)</f>
        <v>N/A</v>
      </c>
      <c r="BM61" s="417" t="str">
        <f>IF(BA61/SUM(BA:BA)*'I-Project Contingency'!$F$70=0,"N/A",BA61/SUM(BA:BA)*'I-Project Contingency'!$F$70)</f>
        <v>N/A</v>
      </c>
      <c r="BN61" s="416" t="str">
        <f>IF(BP61="N/A","N/A",IF('D-Project Data'!$C$6=50%,ABS(BP61),IF('D-Project Data'!$C$6=80%,ABS(BQ61),IF('D-Project Data'!$C$6=90%,ABS(BR61)))))</f>
        <v>N/A</v>
      </c>
      <c r="BO61" s="418" t="str">
        <f>IF(BN61="N/A","N/A",RANK(BN61,$BN$18:$BN$117,0)+COUNTIF($BN$18:BN61,BN61)-1)</f>
        <v>N/A</v>
      </c>
      <c r="BP61" s="416" t="str">
        <f>IF(BF61/SUM(BF:BF)*'I-Project Contingency'!$F$81=0,"N/A",BF61/SUM(BF:BF)*'I-Project Contingency'!$F$81)</f>
        <v>N/A</v>
      </c>
      <c r="BQ61" s="416" t="str">
        <f>IF(BG61/SUM(BG:BG)*'I-Project Contingency'!$F$84=0,"N/A",BG61/SUM(BG:BG)*'I-Project Contingency'!$F$84)</f>
        <v>N/A</v>
      </c>
      <c r="BR61" s="416" t="str">
        <f>IF(BH61/SUM(BH:BH)*'I-Project Contingency'!$F$85=0,"N/A",BH61/SUM(BH:BH)*'I-Project Contingency'!$F$85)</f>
        <v>N/A</v>
      </c>
      <c r="BS61" s="418">
        <f t="shared" si="31"/>
        <v>44</v>
      </c>
      <c r="BT61" s="419" t="str">
        <f t="shared" si="32"/>
        <v xml:space="preserve">44 - </v>
      </c>
      <c r="BU61" s="413">
        <f t="shared" si="33"/>
        <v>0</v>
      </c>
      <c r="BV61" s="413">
        <f t="shared" si="34"/>
        <v>0</v>
      </c>
      <c r="BW61" s="415">
        <f t="shared" si="35"/>
        <v>0</v>
      </c>
      <c r="BX61" s="415">
        <f t="shared" si="36"/>
        <v>0</v>
      </c>
    </row>
    <row r="62" spans="1:76" ht="43.2" x14ac:dyDescent="0.3">
      <c r="A62" s="193">
        <f t="shared" si="22"/>
        <v>45</v>
      </c>
      <c r="B62" s="194" t="s">
        <v>747</v>
      </c>
      <c r="C62" s="204"/>
      <c r="D62" s="205"/>
      <c r="E62" s="195"/>
      <c r="F62" s="196" t="s">
        <v>716</v>
      </c>
      <c r="G62" s="196" t="s">
        <v>730</v>
      </c>
      <c r="H62" s="187" t="str">
        <f>IF('H-Risk Register-Model'!F62="Certain","Relook at Basis of Estimate",INDEX('G-Assumptions'!$F$8:$J$11,MATCH(F62,'G-Assumptions'!$D$8:$D$11,0),MATCH(G62,'G-Assumptions'!$F$6:$J$6,0)))</f>
        <v>Relook at Basis of Estimate</v>
      </c>
      <c r="I62" s="197" t="s">
        <v>730</v>
      </c>
      <c r="J62" s="187" t="str">
        <f>IF('H-Risk Register-Model'!F62="Certain","Relook at Basis of Estimate",INDEX('G-Assumptions'!$F$8:$J$11,MATCH(F62,'G-Assumptions'!$D$8:$D$11,0),MATCH(I62,'G-Assumptions'!$F$6:$J$6,0)))</f>
        <v>Relook at Basis of Estimate</v>
      </c>
      <c r="K62" s="197" t="s">
        <v>747</v>
      </c>
      <c r="L62" s="197" t="s">
        <v>747</v>
      </c>
      <c r="M62" s="197"/>
      <c r="N62" s="384" t="s">
        <v>747</v>
      </c>
      <c r="O62" s="384" t="s">
        <v>747</v>
      </c>
      <c r="P62" s="198"/>
      <c r="Q62" s="198"/>
      <c r="R62" s="198"/>
      <c r="S62" s="199"/>
      <c r="T62" s="199"/>
      <c r="U62" s="199"/>
      <c r="V62" s="206"/>
      <c r="W62" s="198"/>
      <c r="X62" s="198"/>
      <c r="Y62" s="200">
        <v>1</v>
      </c>
      <c r="Z62" s="201">
        <v>1</v>
      </c>
      <c r="AA62" s="202">
        <f t="shared" si="23"/>
        <v>0</v>
      </c>
      <c r="AB62" s="202">
        <f t="shared" si="24"/>
        <v>0</v>
      </c>
      <c r="AC62" s="202">
        <f t="shared" si="25"/>
        <v>0</v>
      </c>
      <c r="AD62" s="202"/>
      <c r="AE62" s="198">
        <f t="shared" si="26"/>
        <v>0</v>
      </c>
      <c r="AF62" s="203"/>
      <c r="AG62" s="199">
        <f t="shared" si="27"/>
        <v>0</v>
      </c>
      <c r="AH62" s="195"/>
      <c r="AI62" s="195"/>
      <c r="AJ62" s="8"/>
      <c r="AK62" s="616" t="str">
        <f t="shared" si="28"/>
        <v>No</v>
      </c>
      <c r="AL62" s="617">
        <f>'I-Project Contingency'!$I$4</f>
        <v>28979098.489999998</v>
      </c>
      <c r="AM62" s="399">
        <f>'I-Project Contingency'!$I$11</f>
        <v>64.971830985915489</v>
      </c>
      <c r="AN62" s="398">
        <f t="shared" si="21"/>
        <v>0</v>
      </c>
      <c r="AO62" s="399">
        <f t="shared" si="18"/>
        <v>0</v>
      </c>
      <c r="AP62" s="1110" t="str">
        <f t="shared" si="19"/>
        <v>Negligible</v>
      </c>
      <c r="AQ62" s="1110" t="str">
        <f t="shared" si="20"/>
        <v>Negligible</v>
      </c>
      <c r="AR62" s="618" t="str">
        <f t="shared" si="29"/>
        <v/>
      </c>
      <c r="AS62" s="618" t="str">
        <f t="shared" si="30"/>
        <v/>
      </c>
      <c r="AT62" s="8"/>
      <c r="AU62" s="412">
        <f>'I-Project Contingency'!$O$4-AE62</f>
        <v>0</v>
      </c>
      <c r="AV62" s="413">
        <v>3099768.1860032952</v>
      </c>
      <c r="AW62" s="413">
        <v>8430883.7862095013</v>
      </c>
      <c r="AX62" s="413">
        <v>11173736.674482957</v>
      </c>
      <c r="AY62" s="413">
        <f>'I-Project Contingency'!$E$66-AV62</f>
        <v>0</v>
      </c>
      <c r="AZ62" s="413">
        <f>'I-Project Contingency'!$E$69-AW62</f>
        <v>0</v>
      </c>
      <c r="BA62" s="413">
        <f>'I-Project Contingency'!$E$70-AX62</f>
        <v>0</v>
      </c>
      <c r="BB62" s="414">
        <f>'I-Project Contingency'!$O$5-AG62</f>
        <v>0</v>
      </c>
      <c r="BC62" s="415">
        <v>1.78464631257918</v>
      </c>
      <c r="BD62" s="415">
        <v>4.4807515628171739</v>
      </c>
      <c r="BE62" s="416">
        <v>5.8619163793628264</v>
      </c>
      <c r="BF62" s="415">
        <f>'I-Project Contingency'!$E$81-BC62</f>
        <v>0</v>
      </c>
      <c r="BG62" s="415">
        <f>'I-Project Contingency'!$E$84-BD62</f>
        <v>0</v>
      </c>
      <c r="BH62" s="415">
        <f>'I-Project Contingency'!$E$85-BE62</f>
        <v>0</v>
      </c>
      <c r="BI62" s="417" t="str">
        <f>IF(BK62="N/A","N/A",IF('D-Project Data'!$C$6=50%,ABS(BK62),IF('D-Project Data'!$C$6=80%,ABS(BL62),IF('D-Project Data'!$C$6=90%,ABS(BM62)))))</f>
        <v>N/A</v>
      </c>
      <c r="BJ62" s="418" t="str">
        <f>IF(BI62="N/A","N/A",RANK(BI62,$BI$18:$BI$117,0)+COUNTIF($BI$18:BI62,BI62)-1)</f>
        <v>N/A</v>
      </c>
      <c r="BK62" s="417" t="str">
        <f>IF(AY62/SUM(AY:AY)*'I-Project Contingency'!$F$66=0,"N/A",AY62/SUM(AY:AY)*'I-Project Contingency'!$F$66)</f>
        <v>N/A</v>
      </c>
      <c r="BL62" s="417" t="str">
        <f>IF(AZ62/SUM(AZ:AZ)*'I-Project Contingency'!$F$69=0,"N/A",AZ62/SUM(AZ:AZ)*'I-Project Contingency'!$F$69)</f>
        <v>N/A</v>
      </c>
      <c r="BM62" s="417" t="str">
        <f>IF(BA62/SUM(BA:BA)*'I-Project Contingency'!$F$70=0,"N/A",BA62/SUM(BA:BA)*'I-Project Contingency'!$F$70)</f>
        <v>N/A</v>
      </c>
      <c r="BN62" s="416" t="str">
        <f>IF(BP62="N/A","N/A",IF('D-Project Data'!$C$6=50%,ABS(BP62),IF('D-Project Data'!$C$6=80%,ABS(BQ62),IF('D-Project Data'!$C$6=90%,ABS(BR62)))))</f>
        <v>N/A</v>
      </c>
      <c r="BO62" s="418" t="str">
        <f>IF(BN62="N/A","N/A",RANK(BN62,$BN$18:$BN$117,0)+COUNTIF($BN$18:BN62,BN62)-1)</f>
        <v>N/A</v>
      </c>
      <c r="BP62" s="416" t="str">
        <f>IF(BF62/SUM(BF:BF)*'I-Project Contingency'!$F$81=0,"N/A",BF62/SUM(BF:BF)*'I-Project Contingency'!$F$81)</f>
        <v>N/A</v>
      </c>
      <c r="BQ62" s="416" t="str">
        <f>IF(BG62/SUM(BG:BG)*'I-Project Contingency'!$F$84=0,"N/A",BG62/SUM(BG:BG)*'I-Project Contingency'!$F$84)</f>
        <v>N/A</v>
      </c>
      <c r="BR62" s="416" t="str">
        <f>IF(BH62/SUM(BH:BH)*'I-Project Contingency'!$F$85=0,"N/A",BH62/SUM(BH:BH)*'I-Project Contingency'!$F$85)</f>
        <v>N/A</v>
      </c>
      <c r="BS62" s="418">
        <f t="shared" si="31"/>
        <v>45</v>
      </c>
      <c r="BT62" s="419" t="str">
        <f t="shared" si="32"/>
        <v xml:space="preserve">45 - </v>
      </c>
      <c r="BU62" s="413">
        <f t="shared" si="33"/>
        <v>0</v>
      </c>
      <c r="BV62" s="413">
        <f t="shared" si="34"/>
        <v>0</v>
      </c>
      <c r="BW62" s="415">
        <f t="shared" si="35"/>
        <v>0</v>
      </c>
      <c r="BX62" s="415">
        <f t="shared" si="36"/>
        <v>0</v>
      </c>
    </row>
    <row r="63" spans="1:76" ht="43.2" x14ac:dyDescent="0.3">
      <c r="A63" s="193">
        <f t="shared" si="22"/>
        <v>46</v>
      </c>
      <c r="B63" s="194" t="s">
        <v>747</v>
      </c>
      <c r="C63" s="204"/>
      <c r="D63" s="205"/>
      <c r="E63" s="195"/>
      <c r="F63" s="196" t="s">
        <v>716</v>
      </c>
      <c r="G63" s="196" t="s">
        <v>730</v>
      </c>
      <c r="H63" s="187" t="str">
        <f>IF('H-Risk Register-Model'!F63="Certain","Relook at Basis of Estimate",INDEX('G-Assumptions'!$F$8:$J$11,MATCH(F63,'G-Assumptions'!$D$8:$D$11,0),MATCH(G63,'G-Assumptions'!$F$6:$J$6,0)))</f>
        <v>Relook at Basis of Estimate</v>
      </c>
      <c r="I63" s="197" t="s">
        <v>730</v>
      </c>
      <c r="J63" s="187" t="str">
        <f>IF('H-Risk Register-Model'!F63="Certain","Relook at Basis of Estimate",INDEX('G-Assumptions'!$F$8:$J$11,MATCH(F63,'G-Assumptions'!$D$8:$D$11,0),MATCH(I63,'G-Assumptions'!$F$6:$J$6,0)))</f>
        <v>Relook at Basis of Estimate</v>
      </c>
      <c r="K63" s="197" t="s">
        <v>747</v>
      </c>
      <c r="L63" s="197" t="s">
        <v>747</v>
      </c>
      <c r="M63" s="197"/>
      <c r="N63" s="384" t="s">
        <v>747</v>
      </c>
      <c r="O63" s="384" t="s">
        <v>747</v>
      </c>
      <c r="P63" s="198"/>
      <c r="Q63" s="198"/>
      <c r="R63" s="198"/>
      <c r="S63" s="199"/>
      <c r="T63" s="199"/>
      <c r="U63" s="199"/>
      <c r="V63" s="206"/>
      <c r="W63" s="198"/>
      <c r="X63" s="198"/>
      <c r="Y63" s="200">
        <v>1</v>
      </c>
      <c r="Z63" s="201">
        <v>1</v>
      </c>
      <c r="AA63" s="202">
        <f t="shared" si="23"/>
        <v>0</v>
      </c>
      <c r="AB63" s="202">
        <f t="shared" si="24"/>
        <v>0</v>
      </c>
      <c r="AC63" s="202">
        <f t="shared" si="25"/>
        <v>0</v>
      </c>
      <c r="AD63" s="202"/>
      <c r="AE63" s="198">
        <f t="shared" si="26"/>
        <v>0</v>
      </c>
      <c r="AF63" s="203"/>
      <c r="AG63" s="199">
        <f t="shared" si="27"/>
        <v>0</v>
      </c>
      <c r="AH63" s="195"/>
      <c r="AI63" s="195"/>
      <c r="AJ63" s="8"/>
      <c r="AK63" s="616" t="str">
        <f t="shared" si="28"/>
        <v>No</v>
      </c>
      <c r="AL63" s="617">
        <f>'I-Project Contingency'!$I$4</f>
        <v>28979098.489999998</v>
      </c>
      <c r="AM63" s="399">
        <f>'I-Project Contingency'!$I$11</f>
        <v>64.971830985915489</v>
      </c>
      <c r="AN63" s="398">
        <f t="shared" si="21"/>
        <v>0</v>
      </c>
      <c r="AO63" s="399">
        <f t="shared" si="18"/>
        <v>0</v>
      </c>
      <c r="AP63" s="1110" t="str">
        <f t="shared" si="19"/>
        <v>Negligible</v>
      </c>
      <c r="AQ63" s="1110" t="str">
        <f t="shared" si="20"/>
        <v>Negligible</v>
      </c>
      <c r="AR63" s="618" t="str">
        <f t="shared" si="29"/>
        <v/>
      </c>
      <c r="AS63" s="618" t="str">
        <f t="shared" si="30"/>
        <v/>
      </c>
      <c r="AT63" s="8"/>
      <c r="AU63" s="412">
        <f>'I-Project Contingency'!$O$4-AE63</f>
        <v>0</v>
      </c>
      <c r="AV63" s="413">
        <v>3099768.1860032952</v>
      </c>
      <c r="AW63" s="413">
        <v>8430883.7862095013</v>
      </c>
      <c r="AX63" s="413">
        <v>11173736.674482957</v>
      </c>
      <c r="AY63" s="413">
        <f>'I-Project Contingency'!$E$66-AV63</f>
        <v>0</v>
      </c>
      <c r="AZ63" s="413">
        <f>'I-Project Contingency'!$E$69-AW63</f>
        <v>0</v>
      </c>
      <c r="BA63" s="413">
        <f>'I-Project Contingency'!$E$70-AX63</f>
        <v>0</v>
      </c>
      <c r="BB63" s="414">
        <f>'I-Project Contingency'!$O$5-AG63</f>
        <v>0</v>
      </c>
      <c r="BC63" s="415">
        <v>1.78464631257918</v>
      </c>
      <c r="BD63" s="415">
        <v>4.4807515628171739</v>
      </c>
      <c r="BE63" s="416">
        <v>5.8619163793628264</v>
      </c>
      <c r="BF63" s="415">
        <f>'I-Project Contingency'!$E$81-BC63</f>
        <v>0</v>
      </c>
      <c r="BG63" s="415">
        <f>'I-Project Contingency'!$E$84-BD63</f>
        <v>0</v>
      </c>
      <c r="BH63" s="415">
        <f>'I-Project Contingency'!$E$85-BE63</f>
        <v>0</v>
      </c>
      <c r="BI63" s="417" t="str">
        <f>IF(BK63="N/A","N/A",IF('D-Project Data'!$C$6=50%,ABS(BK63),IF('D-Project Data'!$C$6=80%,ABS(BL63),IF('D-Project Data'!$C$6=90%,ABS(BM63)))))</f>
        <v>N/A</v>
      </c>
      <c r="BJ63" s="418" t="str">
        <f>IF(BI63="N/A","N/A",RANK(BI63,$BI$18:$BI$117,0)+COUNTIF($BI$18:BI63,BI63)-1)</f>
        <v>N/A</v>
      </c>
      <c r="BK63" s="417" t="str">
        <f>IF(AY63/SUM(AY:AY)*'I-Project Contingency'!$F$66=0,"N/A",AY63/SUM(AY:AY)*'I-Project Contingency'!$F$66)</f>
        <v>N/A</v>
      </c>
      <c r="BL63" s="417" t="str">
        <f>IF(AZ63/SUM(AZ:AZ)*'I-Project Contingency'!$F$69=0,"N/A",AZ63/SUM(AZ:AZ)*'I-Project Contingency'!$F$69)</f>
        <v>N/A</v>
      </c>
      <c r="BM63" s="417" t="str">
        <f>IF(BA63/SUM(BA:BA)*'I-Project Contingency'!$F$70=0,"N/A",BA63/SUM(BA:BA)*'I-Project Contingency'!$F$70)</f>
        <v>N/A</v>
      </c>
      <c r="BN63" s="416" t="str">
        <f>IF(BP63="N/A","N/A",IF('D-Project Data'!$C$6=50%,ABS(BP63),IF('D-Project Data'!$C$6=80%,ABS(BQ63),IF('D-Project Data'!$C$6=90%,ABS(BR63)))))</f>
        <v>N/A</v>
      </c>
      <c r="BO63" s="418" t="str">
        <f>IF(BN63="N/A","N/A",RANK(BN63,$BN$18:$BN$117,0)+COUNTIF($BN$18:BN63,BN63)-1)</f>
        <v>N/A</v>
      </c>
      <c r="BP63" s="416" t="str">
        <f>IF(BF63/SUM(BF:BF)*'I-Project Contingency'!$F$81=0,"N/A",BF63/SUM(BF:BF)*'I-Project Contingency'!$F$81)</f>
        <v>N/A</v>
      </c>
      <c r="BQ63" s="416" t="str">
        <f>IF(BG63/SUM(BG:BG)*'I-Project Contingency'!$F$84=0,"N/A",BG63/SUM(BG:BG)*'I-Project Contingency'!$F$84)</f>
        <v>N/A</v>
      </c>
      <c r="BR63" s="416" t="str">
        <f>IF(BH63/SUM(BH:BH)*'I-Project Contingency'!$F$85=0,"N/A",BH63/SUM(BH:BH)*'I-Project Contingency'!$F$85)</f>
        <v>N/A</v>
      </c>
      <c r="BS63" s="418">
        <f t="shared" si="31"/>
        <v>46</v>
      </c>
      <c r="BT63" s="419" t="str">
        <f t="shared" si="32"/>
        <v xml:space="preserve">46 - </v>
      </c>
      <c r="BU63" s="413">
        <f t="shared" si="33"/>
        <v>0</v>
      </c>
      <c r="BV63" s="413">
        <f t="shared" si="34"/>
        <v>0</v>
      </c>
      <c r="BW63" s="415">
        <f t="shared" si="35"/>
        <v>0</v>
      </c>
      <c r="BX63" s="415">
        <f t="shared" si="36"/>
        <v>0</v>
      </c>
    </row>
    <row r="64" spans="1:76" ht="43.2" x14ac:dyDescent="0.3">
      <c r="A64" s="193">
        <f t="shared" si="22"/>
        <v>47</v>
      </c>
      <c r="B64" s="194" t="s">
        <v>747</v>
      </c>
      <c r="C64" s="204"/>
      <c r="D64" s="205"/>
      <c r="E64" s="195"/>
      <c r="F64" s="196" t="s">
        <v>716</v>
      </c>
      <c r="G64" s="196" t="s">
        <v>730</v>
      </c>
      <c r="H64" s="187" t="str">
        <f>IF('H-Risk Register-Model'!F64="Certain","Relook at Basis of Estimate",INDEX('G-Assumptions'!$F$8:$J$11,MATCH(F64,'G-Assumptions'!$D$8:$D$11,0),MATCH(G64,'G-Assumptions'!$F$6:$J$6,0)))</f>
        <v>Relook at Basis of Estimate</v>
      </c>
      <c r="I64" s="197" t="s">
        <v>730</v>
      </c>
      <c r="J64" s="187" t="str">
        <f>IF('H-Risk Register-Model'!F64="Certain","Relook at Basis of Estimate",INDEX('G-Assumptions'!$F$8:$J$11,MATCH(F64,'G-Assumptions'!$D$8:$D$11,0),MATCH(I64,'G-Assumptions'!$F$6:$J$6,0)))</f>
        <v>Relook at Basis of Estimate</v>
      </c>
      <c r="K64" s="197" t="s">
        <v>747</v>
      </c>
      <c r="L64" s="197" t="s">
        <v>747</v>
      </c>
      <c r="M64" s="197"/>
      <c r="N64" s="384" t="s">
        <v>747</v>
      </c>
      <c r="O64" s="384" t="s">
        <v>747</v>
      </c>
      <c r="P64" s="198"/>
      <c r="Q64" s="198"/>
      <c r="R64" s="198"/>
      <c r="S64" s="199"/>
      <c r="T64" s="199"/>
      <c r="U64" s="199"/>
      <c r="V64" s="206"/>
      <c r="W64" s="198"/>
      <c r="X64" s="198"/>
      <c r="Y64" s="200">
        <v>1</v>
      </c>
      <c r="Z64" s="201">
        <v>1</v>
      </c>
      <c r="AA64" s="202">
        <f t="shared" si="23"/>
        <v>0</v>
      </c>
      <c r="AB64" s="202">
        <f t="shared" si="24"/>
        <v>0</v>
      </c>
      <c r="AC64" s="202">
        <f t="shared" si="25"/>
        <v>0</v>
      </c>
      <c r="AD64" s="202"/>
      <c r="AE64" s="198">
        <f t="shared" si="26"/>
        <v>0</v>
      </c>
      <c r="AF64" s="203"/>
      <c r="AG64" s="199">
        <f t="shared" si="27"/>
        <v>0</v>
      </c>
      <c r="AH64" s="195"/>
      <c r="AI64" s="195"/>
      <c r="AJ64" s="8"/>
      <c r="AK64" s="616" t="str">
        <f t="shared" si="28"/>
        <v>No</v>
      </c>
      <c r="AL64" s="617">
        <f>'I-Project Contingency'!$I$4</f>
        <v>28979098.489999998</v>
      </c>
      <c r="AM64" s="399">
        <f>'I-Project Contingency'!$I$11</f>
        <v>64.971830985915489</v>
      </c>
      <c r="AN64" s="398">
        <f t="shared" si="21"/>
        <v>0</v>
      </c>
      <c r="AO64" s="399">
        <f t="shared" si="18"/>
        <v>0</v>
      </c>
      <c r="AP64" s="1110" t="str">
        <f t="shared" si="19"/>
        <v>Negligible</v>
      </c>
      <c r="AQ64" s="1110" t="str">
        <f t="shared" si="20"/>
        <v>Negligible</v>
      </c>
      <c r="AR64" s="618" t="str">
        <f t="shared" si="29"/>
        <v/>
      </c>
      <c r="AS64" s="618" t="str">
        <f t="shared" si="30"/>
        <v/>
      </c>
      <c r="AT64" s="8"/>
      <c r="AU64" s="412">
        <f>'I-Project Contingency'!$O$4-AE64</f>
        <v>0</v>
      </c>
      <c r="AV64" s="413">
        <v>3099768.1860032952</v>
      </c>
      <c r="AW64" s="413">
        <v>8430883.7862095013</v>
      </c>
      <c r="AX64" s="413">
        <v>11173736.674482957</v>
      </c>
      <c r="AY64" s="413">
        <f>'I-Project Contingency'!$E$66-AV64</f>
        <v>0</v>
      </c>
      <c r="AZ64" s="413">
        <f>'I-Project Contingency'!$E$69-AW64</f>
        <v>0</v>
      </c>
      <c r="BA64" s="413">
        <f>'I-Project Contingency'!$E$70-AX64</f>
        <v>0</v>
      </c>
      <c r="BB64" s="414">
        <f>'I-Project Contingency'!$O$5-AG64</f>
        <v>0</v>
      </c>
      <c r="BC64" s="415">
        <v>1.78464631257918</v>
      </c>
      <c r="BD64" s="415">
        <v>4.4807515628171739</v>
      </c>
      <c r="BE64" s="416">
        <v>5.8619163793628264</v>
      </c>
      <c r="BF64" s="415">
        <f>'I-Project Contingency'!$E$81-BC64</f>
        <v>0</v>
      </c>
      <c r="BG64" s="415">
        <f>'I-Project Contingency'!$E$84-BD64</f>
        <v>0</v>
      </c>
      <c r="BH64" s="415">
        <f>'I-Project Contingency'!$E$85-BE64</f>
        <v>0</v>
      </c>
      <c r="BI64" s="417" t="str">
        <f>IF(BK64="N/A","N/A",IF('D-Project Data'!$C$6=50%,ABS(BK64),IF('D-Project Data'!$C$6=80%,ABS(BL64),IF('D-Project Data'!$C$6=90%,ABS(BM64)))))</f>
        <v>N/A</v>
      </c>
      <c r="BJ64" s="418" t="str">
        <f>IF(BI64="N/A","N/A",RANK(BI64,$BI$18:$BI$117,0)+COUNTIF($BI$18:BI64,BI64)-1)</f>
        <v>N/A</v>
      </c>
      <c r="BK64" s="417" t="str">
        <f>IF(AY64/SUM(AY:AY)*'I-Project Contingency'!$F$66=0,"N/A",AY64/SUM(AY:AY)*'I-Project Contingency'!$F$66)</f>
        <v>N/A</v>
      </c>
      <c r="BL64" s="417" t="str">
        <f>IF(AZ64/SUM(AZ:AZ)*'I-Project Contingency'!$F$69=0,"N/A",AZ64/SUM(AZ:AZ)*'I-Project Contingency'!$F$69)</f>
        <v>N/A</v>
      </c>
      <c r="BM64" s="417" t="str">
        <f>IF(BA64/SUM(BA:BA)*'I-Project Contingency'!$F$70=0,"N/A",BA64/SUM(BA:BA)*'I-Project Contingency'!$F$70)</f>
        <v>N/A</v>
      </c>
      <c r="BN64" s="416" t="str">
        <f>IF(BP64="N/A","N/A",IF('D-Project Data'!$C$6=50%,ABS(BP64),IF('D-Project Data'!$C$6=80%,ABS(BQ64),IF('D-Project Data'!$C$6=90%,ABS(BR64)))))</f>
        <v>N/A</v>
      </c>
      <c r="BO64" s="418" t="str">
        <f>IF(BN64="N/A","N/A",RANK(BN64,$BN$18:$BN$117,0)+COUNTIF($BN$18:BN64,BN64)-1)</f>
        <v>N/A</v>
      </c>
      <c r="BP64" s="416" t="str">
        <f>IF(BF64/SUM(BF:BF)*'I-Project Contingency'!$F$81=0,"N/A",BF64/SUM(BF:BF)*'I-Project Contingency'!$F$81)</f>
        <v>N/A</v>
      </c>
      <c r="BQ64" s="416" t="str">
        <f>IF(BG64/SUM(BG:BG)*'I-Project Contingency'!$F$84=0,"N/A",BG64/SUM(BG:BG)*'I-Project Contingency'!$F$84)</f>
        <v>N/A</v>
      </c>
      <c r="BR64" s="416" t="str">
        <f>IF(BH64/SUM(BH:BH)*'I-Project Contingency'!$F$85=0,"N/A",BH64/SUM(BH:BH)*'I-Project Contingency'!$F$85)</f>
        <v>N/A</v>
      </c>
      <c r="BS64" s="418">
        <f t="shared" si="31"/>
        <v>47</v>
      </c>
      <c r="BT64" s="419" t="str">
        <f t="shared" si="32"/>
        <v xml:space="preserve">47 - </v>
      </c>
      <c r="BU64" s="413">
        <f t="shared" si="33"/>
        <v>0</v>
      </c>
      <c r="BV64" s="413">
        <f t="shared" si="34"/>
        <v>0</v>
      </c>
      <c r="BW64" s="415">
        <f t="shared" si="35"/>
        <v>0</v>
      </c>
      <c r="BX64" s="415">
        <f t="shared" si="36"/>
        <v>0</v>
      </c>
    </row>
    <row r="65" spans="1:76" ht="43.2" x14ac:dyDescent="0.3">
      <c r="A65" s="193">
        <f t="shared" si="22"/>
        <v>48</v>
      </c>
      <c r="B65" s="194" t="s">
        <v>747</v>
      </c>
      <c r="C65" s="204" t="s">
        <v>665</v>
      </c>
      <c r="D65" s="205" t="s">
        <v>665</v>
      </c>
      <c r="E65" s="195" t="s">
        <v>665</v>
      </c>
      <c r="F65" s="196" t="s">
        <v>716</v>
      </c>
      <c r="G65" s="196" t="s">
        <v>730</v>
      </c>
      <c r="H65" s="187" t="str">
        <f>IF('H-Risk Register-Model'!F65="Certain","Relook at Basis of Estimate",INDEX('G-Assumptions'!$F$8:$J$11,MATCH(F65,'G-Assumptions'!$D$8:$D$11,0),MATCH(G65,'G-Assumptions'!$F$6:$J$6,0)))</f>
        <v>Relook at Basis of Estimate</v>
      </c>
      <c r="I65" s="197" t="s">
        <v>730</v>
      </c>
      <c r="J65" s="187" t="str">
        <f>IF('H-Risk Register-Model'!F65="Certain","Relook at Basis of Estimate",INDEX('G-Assumptions'!$F$8:$J$11,MATCH(F65,'G-Assumptions'!$D$8:$D$11,0),MATCH(I65,'G-Assumptions'!$F$6:$J$6,0)))</f>
        <v>Relook at Basis of Estimate</v>
      </c>
      <c r="K65" s="197" t="s">
        <v>747</v>
      </c>
      <c r="L65" s="197" t="s">
        <v>747</v>
      </c>
      <c r="M65" s="197"/>
      <c r="N65" s="384" t="s">
        <v>747</v>
      </c>
      <c r="O65" s="384" t="s">
        <v>747</v>
      </c>
      <c r="P65" s="198"/>
      <c r="Q65" s="198"/>
      <c r="R65" s="198"/>
      <c r="S65" s="199"/>
      <c r="T65" s="199"/>
      <c r="U65" s="199"/>
      <c r="V65" s="206"/>
      <c r="W65" s="198"/>
      <c r="X65" s="198"/>
      <c r="Y65" s="200">
        <v>1</v>
      </c>
      <c r="Z65" s="201">
        <v>1</v>
      </c>
      <c r="AA65" s="202">
        <f t="shared" si="23"/>
        <v>0</v>
      </c>
      <c r="AB65" s="202">
        <f t="shared" si="24"/>
        <v>0</v>
      </c>
      <c r="AC65" s="202">
        <f t="shared" si="25"/>
        <v>0</v>
      </c>
      <c r="AD65" s="202"/>
      <c r="AE65" s="198">
        <f t="shared" si="26"/>
        <v>0</v>
      </c>
      <c r="AF65" s="203"/>
      <c r="AG65" s="199">
        <f t="shared" si="27"/>
        <v>0</v>
      </c>
      <c r="AH65" s="195"/>
      <c r="AI65" s="195"/>
      <c r="AJ65" s="8"/>
      <c r="AK65" s="616" t="str">
        <f t="shared" si="28"/>
        <v>No</v>
      </c>
      <c r="AL65" s="617">
        <f>'I-Project Contingency'!$I$4</f>
        <v>28979098.489999998</v>
      </c>
      <c r="AM65" s="399">
        <f>'I-Project Contingency'!$I$11</f>
        <v>64.971830985915489</v>
      </c>
      <c r="AN65" s="398">
        <f t="shared" si="21"/>
        <v>0</v>
      </c>
      <c r="AO65" s="399">
        <f t="shared" si="18"/>
        <v>0</v>
      </c>
      <c r="AP65" s="1110" t="str">
        <f t="shared" si="19"/>
        <v>Negligible</v>
      </c>
      <c r="AQ65" s="1110" t="str">
        <f t="shared" si="20"/>
        <v>Negligible</v>
      </c>
      <c r="AR65" s="618" t="str">
        <f t="shared" si="29"/>
        <v/>
      </c>
      <c r="AS65" s="618" t="str">
        <f t="shared" si="30"/>
        <v/>
      </c>
      <c r="AT65" s="8"/>
      <c r="AU65" s="412">
        <f>'I-Project Contingency'!$O$4-AE65</f>
        <v>0</v>
      </c>
      <c r="AV65" s="413">
        <v>3099768.1860032952</v>
      </c>
      <c r="AW65" s="413">
        <v>8430883.7862095013</v>
      </c>
      <c r="AX65" s="413">
        <v>11173736.674482957</v>
      </c>
      <c r="AY65" s="413">
        <f>'I-Project Contingency'!$E$66-AV65</f>
        <v>0</v>
      </c>
      <c r="AZ65" s="413">
        <f>'I-Project Contingency'!$E$69-AW65</f>
        <v>0</v>
      </c>
      <c r="BA65" s="413">
        <f>'I-Project Contingency'!$E$70-AX65</f>
        <v>0</v>
      </c>
      <c r="BB65" s="414">
        <f>'I-Project Contingency'!$O$5-AG65</f>
        <v>0</v>
      </c>
      <c r="BC65" s="415">
        <v>1.78464631257918</v>
      </c>
      <c r="BD65" s="415">
        <v>4.4807515628171739</v>
      </c>
      <c r="BE65" s="416">
        <v>5.8619163793628264</v>
      </c>
      <c r="BF65" s="415">
        <f>'I-Project Contingency'!$E$81-BC65</f>
        <v>0</v>
      </c>
      <c r="BG65" s="415">
        <f>'I-Project Contingency'!$E$84-BD65</f>
        <v>0</v>
      </c>
      <c r="BH65" s="415">
        <f>'I-Project Contingency'!$E$85-BE65</f>
        <v>0</v>
      </c>
      <c r="BI65" s="417" t="str">
        <f>IF(BK65="N/A","N/A",IF('D-Project Data'!$C$6=50%,ABS(BK65),IF('D-Project Data'!$C$6=80%,ABS(BL65),IF('D-Project Data'!$C$6=90%,ABS(BM65)))))</f>
        <v>N/A</v>
      </c>
      <c r="BJ65" s="418" t="str">
        <f>IF(BI65="N/A","N/A",RANK(BI65,$BI$18:$BI$117,0)+COUNTIF($BI$18:BI65,BI65)-1)</f>
        <v>N/A</v>
      </c>
      <c r="BK65" s="417" t="str">
        <f>IF(AY65/SUM(AY:AY)*'I-Project Contingency'!$F$66=0,"N/A",AY65/SUM(AY:AY)*'I-Project Contingency'!$F$66)</f>
        <v>N/A</v>
      </c>
      <c r="BL65" s="417" t="str">
        <f>IF(AZ65/SUM(AZ:AZ)*'I-Project Contingency'!$F$69=0,"N/A",AZ65/SUM(AZ:AZ)*'I-Project Contingency'!$F$69)</f>
        <v>N/A</v>
      </c>
      <c r="BM65" s="417" t="str">
        <f>IF(BA65/SUM(BA:BA)*'I-Project Contingency'!$F$70=0,"N/A",BA65/SUM(BA:BA)*'I-Project Contingency'!$F$70)</f>
        <v>N/A</v>
      </c>
      <c r="BN65" s="416" t="str">
        <f>IF(BP65="N/A","N/A",IF('D-Project Data'!$C$6=50%,ABS(BP65),IF('D-Project Data'!$C$6=80%,ABS(BQ65),IF('D-Project Data'!$C$6=90%,ABS(BR65)))))</f>
        <v>N/A</v>
      </c>
      <c r="BO65" s="418" t="str">
        <f>IF(BN65="N/A","N/A",RANK(BN65,$BN$18:$BN$117,0)+COUNTIF($BN$18:BN65,BN65)-1)</f>
        <v>N/A</v>
      </c>
      <c r="BP65" s="416" t="str">
        <f>IF(BF65/SUM(BF:BF)*'I-Project Contingency'!$F$81=0,"N/A",BF65/SUM(BF:BF)*'I-Project Contingency'!$F$81)</f>
        <v>N/A</v>
      </c>
      <c r="BQ65" s="416" t="str">
        <f>IF(BG65/SUM(BG:BG)*'I-Project Contingency'!$F$84=0,"N/A",BG65/SUM(BG:BG)*'I-Project Contingency'!$F$84)</f>
        <v>N/A</v>
      </c>
      <c r="BR65" s="416" t="str">
        <f>IF(BH65/SUM(BH:BH)*'I-Project Contingency'!$F$85=0,"N/A",BH65/SUM(BH:BH)*'I-Project Contingency'!$F$85)</f>
        <v>N/A</v>
      </c>
      <c r="BS65" s="418">
        <f t="shared" si="31"/>
        <v>48</v>
      </c>
      <c r="BT65" s="419" t="str">
        <f t="shared" si="32"/>
        <v xml:space="preserve">48 -  </v>
      </c>
      <c r="BU65" s="413">
        <f t="shared" si="33"/>
        <v>0</v>
      </c>
      <c r="BV65" s="413">
        <f t="shared" si="34"/>
        <v>0</v>
      </c>
      <c r="BW65" s="415">
        <f t="shared" si="35"/>
        <v>0</v>
      </c>
      <c r="BX65" s="415">
        <f t="shared" si="36"/>
        <v>0</v>
      </c>
    </row>
    <row r="66" spans="1:76" ht="43.2" x14ac:dyDescent="0.3">
      <c r="A66" s="193">
        <f t="shared" si="22"/>
        <v>49</v>
      </c>
      <c r="B66" s="194" t="s">
        <v>747</v>
      </c>
      <c r="C66" s="204" t="s">
        <v>665</v>
      </c>
      <c r="D66" s="205" t="s">
        <v>665</v>
      </c>
      <c r="E66" s="195" t="s">
        <v>665</v>
      </c>
      <c r="F66" s="196" t="s">
        <v>716</v>
      </c>
      <c r="G66" s="196" t="s">
        <v>730</v>
      </c>
      <c r="H66" s="187" t="str">
        <f>IF('H-Risk Register-Model'!F66="Certain","Relook at Basis of Estimate",INDEX('G-Assumptions'!$F$8:$J$11,MATCH(F66,'G-Assumptions'!$D$8:$D$11,0),MATCH(G66,'G-Assumptions'!$F$6:$J$6,0)))</f>
        <v>Relook at Basis of Estimate</v>
      </c>
      <c r="I66" s="197" t="s">
        <v>730</v>
      </c>
      <c r="J66" s="187" t="str">
        <f>IF('H-Risk Register-Model'!F66="Certain","Relook at Basis of Estimate",INDEX('G-Assumptions'!$F$8:$J$11,MATCH(F66,'G-Assumptions'!$D$8:$D$11,0),MATCH(I66,'G-Assumptions'!$F$6:$J$6,0)))</f>
        <v>Relook at Basis of Estimate</v>
      </c>
      <c r="K66" s="197" t="s">
        <v>747</v>
      </c>
      <c r="L66" s="197" t="s">
        <v>747</v>
      </c>
      <c r="M66" s="197"/>
      <c r="N66" s="384" t="s">
        <v>747</v>
      </c>
      <c r="O66" s="384" t="s">
        <v>747</v>
      </c>
      <c r="P66" s="198"/>
      <c r="Q66" s="198"/>
      <c r="R66" s="198"/>
      <c r="S66" s="199"/>
      <c r="T66" s="199"/>
      <c r="U66" s="199"/>
      <c r="V66" s="206"/>
      <c r="W66" s="198"/>
      <c r="X66" s="198"/>
      <c r="Y66" s="200">
        <v>1</v>
      </c>
      <c r="Z66" s="201">
        <v>1</v>
      </c>
      <c r="AA66" s="202">
        <f t="shared" ref="AA66:AA117" si="42">P66+V66</f>
        <v>0</v>
      </c>
      <c r="AB66" s="202">
        <f t="shared" ref="AB66:AB117" si="43">Q66+W66</f>
        <v>0</v>
      </c>
      <c r="AC66" s="202">
        <f t="shared" ref="AC66:AC117" si="44">R66+X66</f>
        <v>0</v>
      </c>
      <c r="AD66" s="202"/>
      <c r="AE66" s="198">
        <f t="shared" ref="AE66:AE117" si="45">AD66*Z66</f>
        <v>0</v>
      </c>
      <c r="AF66" s="203"/>
      <c r="AG66" s="199">
        <f t="shared" ref="AG66:AG117" si="46">AF66*Z66</f>
        <v>0</v>
      </c>
      <c r="AH66" s="195"/>
      <c r="AI66" s="195"/>
      <c r="AJ66" s="8"/>
      <c r="AK66" s="616" t="str">
        <f t="shared" ref="AK66:AK117" si="47">IF(OR(H66="Medium",H66="High",J66="Medium",J66="High"),"Yes","No")</f>
        <v>No</v>
      </c>
      <c r="AL66" s="617">
        <f>'I-Project Contingency'!$I$4</f>
        <v>28979098.489999998</v>
      </c>
      <c r="AM66" s="399">
        <f>'I-Project Contingency'!$I$11</f>
        <v>64.971830985915489</v>
      </c>
      <c r="AN66" s="398">
        <f t="shared" si="21"/>
        <v>0</v>
      </c>
      <c r="AO66" s="399">
        <f t="shared" si="18"/>
        <v>0</v>
      </c>
      <c r="AP66" s="1110" t="str">
        <f t="shared" si="19"/>
        <v>Negligible</v>
      </c>
      <c r="AQ66" s="1110" t="str">
        <f t="shared" si="20"/>
        <v>Negligible</v>
      </c>
      <c r="AR66" s="618" t="str">
        <f t="shared" ref="AR66:AR117" si="48">IF(B66="","",IF(G66=AP66,"","Check Impact"))</f>
        <v/>
      </c>
      <c r="AS66" s="618" t="str">
        <f t="shared" ref="AS66:AS117" si="49">IF(B66="","",IF(I66=AQ66,"","Check Impact"))</f>
        <v/>
      </c>
      <c r="AT66" s="8"/>
      <c r="AU66" s="412">
        <f>'I-Project Contingency'!$O$4-AE66</f>
        <v>0</v>
      </c>
      <c r="AV66" s="413">
        <v>3099768.1860032952</v>
      </c>
      <c r="AW66" s="413">
        <v>8430883.7862095013</v>
      </c>
      <c r="AX66" s="413">
        <v>11173736.674482957</v>
      </c>
      <c r="AY66" s="413">
        <f>'I-Project Contingency'!$E$66-AV66</f>
        <v>0</v>
      </c>
      <c r="AZ66" s="413">
        <f>'I-Project Contingency'!$E$69-AW66</f>
        <v>0</v>
      </c>
      <c r="BA66" s="413">
        <f>'I-Project Contingency'!$E$70-AX66</f>
        <v>0</v>
      </c>
      <c r="BB66" s="414">
        <f>'I-Project Contingency'!$O$5-AG66</f>
        <v>0</v>
      </c>
      <c r="BC66" s="415">
        <v>1.78464631257918</v>
      </c>
      <c r="BD66" s="415">
        <v>4.4807515628171739</v>
      </c>
      <c r="BE66" s="416">
        <v>5.8619163793628264</v>
      </c>
      <c r="BF66" s="415">
        <f>'I-Project Contingency'!$E$81-BC66</f>
        <v>0</v>
      </c>
      <c r="BG66" s="415">
        <f>'I-Project Contingency'!$E$84-BD66</f>
        <v>0</v>
      </c>
      <c r="BH66" s="415">
        <f>'I-Project Contingency'!$E$85-BE66</f>
        <v>0</v>
      </c>
      <c r="BI66" s="417" t="str">
        <f>IF(BK66="N/A","N/A",IF('D-Project Data'!$C$6=50%,ABS(BK66),IF('D-Project Data'!$C$6=80%,ABS(BL66),IF('D-Project Data'!$C$6=90%,ABS(BM66)))))</f>
        <v>N/A</v>
      </c>
      <c r="BJ66" s="418" t="str">
        <f>IF(BI66="N/A","N/A",RANK(BI66,$BI$18:$BI$117,0)+COUNTIF($BI$18:BI66,BI66)-1)</f>
        <v>N/A</v>
      </c>
      <c r="BK66" s="417" t="str">
        <f>IF(AY66/SUM(AY:AY)*'I-Project Contingency'!$F$66=0,"N/A",AY66/SUM(AY:AY)*'I-Project Contingency'!$F$66)</f>
        <v>N/A</v>
      </c>
      <c r="BL66" s="417" t="str">
        <f>IF(AZ66/SUM(AZ:AZ)*'I-Project Contingency'!$F$69=0,"N/A",AZ66/SUM(AZ:AZ)*'I-Project Contingency'!$F$69)</f>
        <v>N/A</v>
      </c>
      <c r="BM66" s="417" t="str">
        <f>IF(BA66/SUM(BA:BA)*'I-Project Contingency'!$F$70=0,"N/A",BA66/SUM(BA:BA)*'I-Project Contingency'!$F$70)</f>
        <v>N/A</v>
      </c>
      <c r="BN66" s="416" t="str">
        <f>IF(BP66="N/A","N/A",IF('D-Project Data'!$C$6=50%,ABS(BP66),IF('D-Project Data'!$C$6=80%,ABS(BQ66),IF('D-Project Data'!$C$6=90%,ABS(BR66)))))</f>
        <v>N/A</v>
      </c>
      <c r="BO66" s="418" t="str">
        <f>IF(BN66="N/A","N/A",RANK(BN66,$BN$18:$BN$117,0)+COUNTIF($BN$18:BN66,BN66)-1)</f>
        <v>N/A</v>
      </c>
      <c r="BP66" s="416" t="str">
        <f>IF(BF66/SUM(BF:BF)*'I-Project Contingency'!$F$81=0,"N/A",BF66/SUM(BF:BF)*'I-Project Contingency'!$F$81)</f>
        <v>N/A</v>
      </c>
      <c r="BQ66" s="416" t="str">
        <f>IF(BG66/SUM(BG:BG)*'I-Project Contingency'!$F$84=0,"N/A",BG66/SUM(BG:BG)*'I-Project Contingency'!$F$84)</f>
        <v>N/A</v>
      </c>
      <c r="BR66" s="416" t="str">
        <f>IF(BH66/SUM(BH:BH)*'I-Project Contingency'!$F$85=0,"N/A",BH66/SUM(BH:BH)*'I-Project Contingency'!$F$85)</f>
        <v>N/A</v>
      </c>
      <c r="BS66" s="418">
        <f t="shared" ref="BS66:BS117" si="50">A66</f>
        <v>49</v>
      </c>
      <c r="BT66" s="419" t="str">
        <f t="shared" ref="BT66:BT117" si="51">A66&amp;" - "&amp;C66</f>
        <v xml:space="preserve">49 -  </v>
      </c>
      <c r="BU66" s="413">
        <f t="shared" ref="BU66:BU117" si="52">AA66</f>
        <v>0</v>
      </c>
      <c r="BV66" s="413">
        <f t="shared" ref="BV66:BV117" si="53">AC66</f>
        <v>0</v>
      </c>
      <c r="BW66" s="415">
        <f t="shared" ref="BW66:BW117" si="54">IFERROR(S66,0)</f>
        <v>0</v>
      </c>
      <c r="BX66" s="415">
        <f t="shared" ref="BX66:BX117" si="55">IFERROR(U66,0)</f>
        <v>0</v>
      </c>
    </row>
    <row r="67" spans="1:76" ht="43.2" x14ac:dyDescent="0.3">
      <c r="A67" s="193">
        <f t="shared" si="22"/>
        <v>50</v>
      </c>
      <c r="B67" s="194" t="s">
        <v>747</v>
      </c>
      <c r="C67" s="204" t="s">
        <v>665</v>
      </c>
      <c r="D67" s="205" t="s">
        <v>665</v>
      </c>
      <c r="E67" s="195" t="s">
        <v>665</v>
      </c>
      <c r="F67" s="196" t="s">
        <v>716</v>
      </c>
      <c r="G67" s="196" t="s">
        <v>730</v>
      </c>
      <c r="H67" s="187" t="str">
        <f>IF('H-Risk Register-Model'!F67="Certain","Relook at Basis of Estimate",INDEX('G-Assumptions'!$F$8:$J$11,MATCH(F67,'G-Assumptions'!$D$8:$D$11,0),MATCH(G67,'G-Assumptions'!$F$6:$J$6,0)))</f>
        <v>Relook at Basis of Estimate</v>
      </c>
      <c r="I67" s="197" t="s">
        <v>730</v>
      </c>
      <c r="J67" s="187" t="str">
        <f>IF('H-Risk Register-Model'!F67="Certain","Relook at Basis of Estimate",INDEX('G-Assumptions'!$F$8:$J$11,MATCH(F67,'G-Assumptions'!$D$8:$D$11,0),MATCH(I67,'G-Assumptions'!$F$6:$J$6,0)))</f>
        <v>Relook at Basis of Estimate</v>
      </c>
      <c r="K67" s="197" t="s">
        <v>747</v>
      </c>
      <c r="L67" s="197" t="s">
        <v>747</v>
      </c>
      <c r="M67" s="197"/>
      <c r="N67" s="384" t="s">
        <v>747</v>
      </c>
      <c r="O67" s="384" t="s">
        <v>747</v>
      </c>
      <c r="P67" s="198"/>
      <c r="Q67" s="198"/>
      <c r="R67" s="198"/>
      <c r="S67" s="199"/>
      <c r="T67" s="199"/>
      <c r="U67" s="199"/>
      <c r="V67" s="206"/>
      <c r="W67" s="198"/>
      <c r="X67" s="198"/>
      <c r="Y67" s="200">
        <v>1</v>
      </c>
      <c r="Z67" s="201">
        <v>1</v>
      </c>
      <c r="AA67" s="202">
        <f t="shared" si="42"/>
        <v>0</v>
      </c>
      <c r="AB67" s="202">
        <f t="shared" si="43"/>
        <v>0</v>
      </c>
      <c r="AC67" s="202">
        <f t="shared" si="44"/>
        <v>0</v>
      </c>
      <c r="AD67" s="202"/>
      <c r="AE67" s="198">
        <f t="shared" si="45"/>
        <v>0</v>
      </c>
      <c r="AF67" s="203"/>
      <c r="AG67" s="199">
        <f t="shared" si="46"/>
        <v>0</v>
      </c>
      <c r="AH67" s="195"/>
      <c r="AI67" s="195"/>
      <c r="AJ67" s="8"/>
      <c r="AK67" s="616" t="str">
        <f t="shared" si="47"/>
        <v>No</v>
      </c>
      <c r="AL67" s="617">
        <f>'I-Project Contingency'!$I$4</f>
        <v>28979098.489999998</v>
      </c>
      <c r="AM67" s="399">
        <f>'I-Project Contingency'!$I$11</f>
        <v>64.971830985915489</v>
      </c>
      <c r="AN67" s="398">
        <f t="shared" si="21"/>
        <v>0</v>
      </c>
      <c r="AO67" s="399">
        <f t="shared" si="18"/>
        <v>0</v>
      </c>
      <c r="AP67" s="1110" t="str">
        <f t="shared" si="19"/>
        <v>Negligible</v>
      </c>
      <c r="AQ67" s="1110" t="str">
        <f t="shared" si="20"/>
        <v>Negligible</v>
      </c>
      <c r="AR67" s="618" t="str">
        <f t="shared" si="48"/>
        <v/>
      </c>
      <c r="AS67" s="618" t="str">
        <f t="shared" si="49"/>
        <v/>
      </c>
      <c r="AT67" s="8"/>
      <c r="AU67" s="412">
        <f>'I-Project Contingency'!$O$4-AE67</f>
        <v>0</v>
      </c>
      <c r="AV67" s="413">
        <v>3099768.1860032952</v>
      </c>
      <c r="AW67" s="413">
        <v>8430883.7862095013</v>
      </c>
      <c r="AX67" s="413">
        <v>11173736.674482957</v>
      </c>
      <c r="AY67" s="413">
        <f>'I-Project Contingency'!$E$66-AV67</f>
        <v>0</v>
      </c>
      <c r="AZ67" s="413">
        <f>'I-Project Contingency'!$E$69-AW67</f>
        <v>0</v>
      </c>
      <c r="BA67" s="413">
        <f>'I-Project Contingency'!$E$70-AX67</f>
        <v>0</v>
      </c>
      <c r="BB67" s="414">
        <f>'I-Project Contingency'!$O$5-AG67</f>
        <v>0</v>
      </c>
      <c r="BC67" s="415">
        <v>1.78464631257918</v>
      </c>
      <c r="BD67" s="415">
        <v>4.4807515628171739</v>
      </c>
      <c r="BE67" s="416">
        <v>5.8619163793628264</v>
      </c>
      <c r="BF67" s="415">
        <f>'I-Project Contingency'!$E$81-BC67</f>
        <v>0</v>
      </c>
      <c r="BG67" s="415">
        <f>'I-Project Contingency'!$E$84-BD67</f>
        <v>0</v>
      </c>
      <c r="BH67" s="415">
        <f>'I-Project Contingency'!$E$85-BE67</f>
        <v>0</v>
      </c>
      <c r="BI67" s="417" t="str">
        <f>IF(BK67="N/A","N/A",IF('D-Project Data'!$C$6=50%,ABS(BK67),IF('D-Project Data'!$C$6=80%,ABS(BL67),IF('D-Project Data'!$C$6=90%,ABS(BM67)))))</f>
        <v>N/A</v>
      </c>
      <c r="BJ67" s="418" t="str">
        <f>IF(BI67="N/A","N/A",RANK(BI67,$BI$18:$BI$117,0)+COUNTIF($BI$18:BI67,BI67)-1)</f>
        <v>N/A</v>
      </c>
      <c r="BK67" s="417" t="str">
        <f>IF(AY67/SUM(AY:AY)*'I-Project Contingency'!$F$66=0,"N/A",AY67/SUM(AY:AY)*'I-Project Contingency'!$F$66)</f>
        <v>N/A</v>
      </c>
      <c r="BL67" s="417" t="str">
        <f>IF(AZ67/SUM(AZ:AZ)*'I-Project Contingency'!$F$69=0,"N/A",AZ67/SUM(AZ:AZ)*'I-Project Contingency'!$F$69)</f>
        <v>N/A</v>
      </c>
      <c r="BM67" s="417" t="str">
        <f>IF(BA67/SUM(BA:BA)*'I-Project Contingency'!$F$70=0,"N/A",BA67/SUM(BA:BA)*'I-Project Contingency'!$F$70)</f>
        <v>N/A</v>
      </c>
      <c r="BN67" s="416" t="str">
        <f>IF(BP67="N/A","N/A",IF('D-Project Data'!$C$6=50%,ABS(BP67),IF('D-Project Data'!$C$6=80%,ABS(BQ67),IF('D-Project Data'!$C$6=90%,ABS(BR67)))))</f>
        <v>N/A</v>
      </c>
      <c r="BO67" s="418" t="str">
        <f>IF(BN67="N/A","N/A",RANK(BN67,$BN$18:$BN$117,0)+COUNTIF($BN$18:BN67,BN67)-1)</f>
        <v>N/A</v>
      </c>
      <c r="BP67" s="416" t="str">
        <f>IF(BF67/SUM(BF:BF)*'I-Project Contingency'!$F$81=0,"N/A",BF67/SUM(BF:BF)*'I-Project Contingency'!$F$81)</f>
        <v>N/A</v>
      </c>
      <c r="BQ67" s="416" t="str">
        <f>IF(BG67/SUM(BG:BG)*'I-Project Contingency'!$F$84=0,"N/A",BG67/SUM(BG:BG)*'I-Project Contingency'!$F$84)</f>
        <v>N/A</v>
      </c>
      <c r="BR67" s="416" t="str">
        <f>IF(BH67/SUM(BH:BH)*'I-Project Contingency'!$F$85=0,"N/A",BH67/SUM(BH:BH)*'I-Project Contingency'!$F$85)</f>
        <v>N/A</v>
      </c>
      <c r="BS67" s="418">
        <f t="shared" si="50"/>
        <v>50</v>
      </c>
      <c r="BT67" s="419" t="str">
        <f t="shared" si="51"/>
        <v xml:space="preserve">50 -  </v>
      </c>
      <c r="BU67" s="413">
        <f t="shared" si="52"/>
        <v>0</v>
      </c>
      <c r="BV67" s="413">
        <f t="shared" si="53"/>
        <v>0</v>
      </c>
      <c r="BW67" s="415">
        <f t="shared" si="54"/>
        <v>0</v>
      </c>
      <c r="BX67" s="415">
        <f t="shared" si="55"/>
        <v>0</v>
      </c>
    </row>
    <row r="68" spans="1:76" ht="43.2" x14ac:dyDescent="0.3">
      <c r="A68" s="193">
        <f t="shared" si="22"/>
        <v>51</v>
      </c>
      <c r="B68" s="194" t="s">
        <v>747</v>
      </c>
      <c r="C68" s="204" t="s">
        <v>665</v>
      </c>
      <c r="D68" s="205" t="s">
        <v>665</v>
      </c>
      <c r="E68" s="195" t="s">
        <v>665</v>
      </c>
      <c r="F68" s="196" t="s">
        <v>716</v>
      </c>
      <c r="G68" s="196" t="s">
        <v>730</v>
      </c>
      <c r="H68" s="187" t="str">
        <f>IF('H-Risk Register-Model'!F68="Certain","Relook at Basis of Estimate",INDEX('G-Assumptions'!$F$8:$J$11,MATCH(F68,'G-Assumptions'!$D$8:$D$11,0),MATCH(G68,'G-Assumptions'!$F$6:$J$6,0)))</f>
        <v>Relook at Basis of Estimate</v>
      </c>
      <c r="I68" s="197" t="s">
        <v>730</v>
      </c>
      <c r="J68" s="187" t="str">
        <f>IF('H-Risk Register-Model'!F68="Certain","Relook at Basis of Estimate",INDEX('G-Assumptions'!$F$8:$J$11,MATCH(F68,'G-Assumptions'!$D$8:$D$11,0),MATCH(I68,'G-Assumptions'!$F$6:$J$6,0)))</f>
        <v>Relook at Basis of Estimate</v>
      </c>
      <c r="K68" s="197" t="s">
        <v>747</v>
      </c>
      <c r="L68" s="197" t="s">
        <v>747</v>
      </c>
      <c r="M68" s="197"/>
      <c r="N68" s="384" t="s">
        <v>747</v>
      </c>
      <c r="O68" s="384" t="s">
        <v>747</v>
      </c>
      <c r="P68" s="198"/>
      <c r="Q68" s="198"/>
      <c r="R68" s="198"/>
      <c r="S68" s="199"/>
      <c r="T68" s="199"/>
      <c r="U68" s="199"/>
      <c r="V68" s="206"/>
      <c r="W68" s="198"/>
      <c r="X68" s="198"/>
      <c r="Y68" s="200">
        <v>1</v>
      </c>
      <c r="Z68" s="201">
        <v>1</v>
      </c>
      <c r="AA68" s="202">
        <f t="shared" si="42"/>
        <v>0</v>
      </c>
      <c r="AB68" s="202">
        <f t="shared" si="43"/>
        <v>0</v>
      </c>
      <c r="AC68" s="202">
        <f t="shared" si="44"/>
        <v>0</v>
      </c>
      <c r="AD68" s="202"/>
      <c r="AE68" s="198">
        <f t="shared" si="45"/>
        <v>0</v>
      </c>
      <c r="AF68" s="203"/>
      <c r="AG68" s="199">
        <f t="shared" si="46"/>
        <v>0</v>
      </c>
      <c r="AH68" s="195"/>
      <c r="AI68" s="195"/>
      <c r="AJ68" s="8"/>
      <c r="AK68" s="616" t="str">
        <f t="shared" si="47"/>
        <v>No</v>
      </c>
      <c r="AL68" s="617">
        <f>'I-Project Contingency'!$I$4</f>
        <v>28979098.489999998</v>
      </c>
      <c r="AM68" s="399">
        <f>'I-Project Contingency'!$I$11</f>
        <v>64.971830985915489</v>
      </c>
      <c r="AN68" s="398">
        <f t="shared" si="21"/>
        <v>0</v>
      </c>
      <c r="AO68" s="399">
        <f t="shared" si="18"/>
        <v>0</v>
      </c>
      <c r="AP68" s="1110" t="str">
        <f t="shared" si="19"/>
        <v>Negligible</v>
      </c>
      <c r="AQ68" s="1110" t="str">
        <f t="shared" si="20"/>
        <v>Negligible</v>
      </c>
      <c r="AR68" s="618" t="str">
        <f t="shared" si="48"/>
        <v/>
      </c>
      <c r="AS68" s="618" t="str">
        <f t="shared" si="49"/>
        <v/>
      </c>
      <c r="AT68" s="8"/>
      <c r="AU68" s="412">
        <f>'I-Project Contingency'!$O$4-AE68</f>
        <v>0</v>
      </c>
      <c r="AV68" s="413">
        <v>3099768.1860032952</v>
      </c>
      <c r="AW68" s="413">
        <v>8430883.7862095013</v>
      </c>
      <c r="AX68" s="413">
        <v>11173736.674482957</v>
      </c>
      <c r="AY68" s="413">
        <f>'I-Project Contingency'!$E$66-AV68</f>
        <v>0</v>
      </c>
      <c r="AZ68" s="413">
        <f>'I-Project Contingency'!$E$69-AW68</f>
        <v>0</v>
      </c>
      <c r="BA68" s="413">
        <f>'I-Project Contingency'!$E$70-AX68</f>
        <v>0</v>
      </c>
      <c r="BB68" s="414">
        <f>'I-Project Contingency'!$O$5-AG68</f>
        <v>0</v>
      </c>
      <c r="BC68" s="415">
        <v>1.78464631257918</v>
      </c>
      <c r="BD68" s="415">
        <v>4.4807515628171739</v>
      </c>
      <c r="BE68" s="416">
        <v>5.8619163793628264</v>
      </c>
      <c r="BF68" s="415">
        <f>'I-Project Contingency'!$E$81-BC68</f>
        <v>0</v>
      </c>
      <c r="BG68" s="415">
        <f>'I-Project Contingency'!$E$84-BD68</f>
        <v>0</v>
      </c>
      <c r="BH68" s="415">
        <f>'I-Project Contingency'!$E$85-BE68</f>
        <v>0</v>
      </c>
      <c r="BI68" s="417" t="str">
        <f>IF(BK68="N/A","N/A",IF('D-Project Data'!$C$6=50%,ABS(BK68),IF('D-Project Data'!$C$6=80%,ABS(BL68),IF('D-Project Data'!$C$6=90%,ABS(BM68)))))</f>
        <v>N/A</v>
      </c>
      <c r="BJ68" s="418" t="str">
        <f>IF(BI68="N/A","N/A",RANK(BI68,$BI$18:$BI$117,0)+COUNTIF($BI$18:BI68,BI68)-1)</f>
        <v>N/A</v>
      </c>
      <c r="BK68" s="417" t="str">
        <f>IF(AY68/SUM(AY:AY)*'I-Project Contingency'!$F$66=0,"N/A",AY68/SUM(AY:AY)*'I-Project Contingency'!$F$66)</f>
        <v>N/A</v>
      </c>
      <c r="BL68" s="417" t="str">
        <f>IF(AZ68/SUM(AZ:AZ)*'I-Project Contingency'!$F$69=0,"N/A",AZ68/SUM(AZ:AZ)*'I-Project Contingency'!$F$69)</f>
        <v>N/A</v>
      </c>
      <c r="BM68" s="417" t="str">
        <f>IF(BA68/SUM(BA:BA)*'I-Project Contingency'!$F$70=0,"N/A",BA68/SUM(BA:BA)*'I-Project Contingency'!$F$70)</f>
        <v>N/A</v>
      </c>
      <c r="BN68" s="416" t="str">
        <f>IF(BP68="N/A","N/A",IF('D-Project Data'!$C$6=50%,ABS(BP68),IF('D-Project Data'!$C$6=80%,ABS(BQ68),IF('D-Project Data'!$C$6=90%,ABS(BR68)))))</f>
        <v>N/A</v>
      </c>
      <c r="BO68" s="418" t="str">
        <f>IF(BN68="N/A","N/A",RANK(BN68,$BN$18:$BN$117,0)+COUNTIF($BN$18:BN68,BN68)-1)</f>
        <v>N/A</v>
      </c>
      <c r="BP68" s="416" t="str">
        <f>IF(BF68/SUM(BF:BF)*'I-Project Contingency'!$F$81=0,"N/A",BF68/SUM(BF:BF)*'I-Project Contingency'!$F$81)</f>
        <v>N/A</v>
      </c>
      <c r="BQ68" s="416" t="str">
        <f>IF(BG68/SUM(BG:BG)*'I-Project Contingency'!$F$84=0,"N/A",BG68/SUM(BG:BG)*'I-Project Contingency'!$F$84)</f>
        <v>N/A</v>
      </c>
      <c r="BR68" s="416" t="str">
        <f>IF(BH68/SUM(BH:BH)*'I-Project Contingency'!$F$85=0,"N/A",BH68/SUM(BH:BH)*'I-Project Contingency'!$F$85)</f>
        <v>N/A</v>
      </c>
      <c r="BS68" s="418">
        <f t="shared" si="50"/>
        <v>51</v>
      </c>
      <c r="BT68" s="419" t="str">
        <f t="shared" si="51"/>
        <v xml:space="preserve">51 -  </v>
      </c>
      <c r="BU68" s="413">
        <f t="shared" si="52"/>
        <v>0</v>
      </c>
      <c r="BV68" s="413">
        <f t="shared" si="53"/>
        <v>0</v>
      </c>
      <c r="BW68" s="415">
        <f t="shared" si="54"/>
        <v>0</v>
      </c>
      <c r="BX68" s="415">
        <f t="shared" si="55"/>
        <v>0</v>
      </c>
    </row>
    <row r="69" spans="1:76" ht="43.2" x14ac:dyDescent="0.3">
      <c r="A69" s="193">
        <f t="shared" si="22"/>
        <v>52</v>
      </c>
      <c r="B69" s="194" t="s">
        <v>747</v>
      </c>
      <c r="C69" s="204" t="s">
        <v>665</v>
      </c>
      <c r="D69" s="205" t="s">
        <v>665</v>
      </c>
      <c r="E69" s="195" t="s">
        <v>665</v>
      </c>
      <c r="F69" s="196" t="s">
        <v>716</v>
      </c>
      <c r="G69" s="196" t="s">
        <v>730</v>
      </c>
      <c r="H69" s="187" t="str">
        <f>IF('H-Risk Register-Model'!F69="Certain","Relook at Basis of Estimate",INDEX('G-Assumptions'!$F$8:$J$11,MATCH(F69,'G-Assumptions'!$D$8:$D$11,0),MATCH(G69,'G-Assumptions'!$F$6:$J$6,0)))</f>
        <v>Relook at Basis of Estimate</v>
      </c>
      <c r="I69" s="197" t="s">
        <v>730</v>
      </c>
      <c r="J69" s="187" t="str">
        <f>IF('H-Risk Register-Model'!F69="Certain","Relook at Basis of Estimate",INDEX('G-Assumptions'!$F$8:$J$11,MATCH(F69,'G-Assumptions'!$D$8:$D$11,0),MATCH(I69,'G-Assumptions'!$F$6:$J$6,0)))</f>
        <v>Relook at Basis of Estimate</v>
      </c>
      <c r="K69" s="197" t="s">
        <v>747</v>
      </c>
      <c r="L69" s="197" t="s">
        <v>747</v>
      </c>
      <c r="M69" s="197"/>
      <c r="N69" s="384" t="s">
        <v>747</v>
      </c>
      <c r="O69" s="384" t="s">
        <v>747</v>
      </c>
      <c r="P69" s="198"/>
      <c r="Q69" s="198"/>
      <c r="R69" s="198"/>
      <c r="S69" s="199"/>
      <c r="T69" s="199"/>
      <c r="U69" s="199"/>
      <c r="V69" s="206"/>
      <c r="W69" s="198"/>
      <c r="X69" s="198"/>
      <c r="Y69" s="200">
        <v>1</v>
      </c>
      <c r="Z69" s="201">
        <v>1</v>
      </c>
      <c r="AA69" s="202">
        <f t="shared" si="42"/>
        <v>0</v>
      </c>
      <c r="AB69" s="202">
        <f t="shared" si="43"/>
        <v>0</v>
      </c>
      <c r="AC69" s="202">
        <f t="shared" si="44"/>
        <v>0</v>
      </c>
      <c r="AD69" s="202"/>
      <c r="AE69" s="198">
        <f t="shared" si="45"/>
        <v>0</v>
      </c>
      <c r="AF69" s="203"/>
      <c r="AG69" s="199">
        <f t="shared" si="46"/>
        <v>0</v>
      </c>
      <c r="AH69" s="195"/>
      <c r="AI69" s="195"/>
      <c r="AJ69" s="8"/>
      <c r="AK69" s="616" t="str">
        <f t="shared" si="47"/>
        <v>No</v>
      </c>
      <c r="AL69" s="617">
        <f>'I-Project Contingency'!$I$4</f>
        <v>28979098.489999998</v>
      </c>
      <c r="AM69" s="399">
        <f>'I-Project Contingency'!$I$11</f>
        <v>64.971830985915489</v>
      </c>
      <c r="AN69" s="398">
        <f t="shared" si="21"/>
        <v>0</v>
      </c>
      <c r="AO69" s="399">
        <f t="shared" si="18"/>
        <v>0</v>
      </c>
      <c r="AP69" s="1110" t="str">
        <f t="shared" si="19"/>
        <v>Negligible</v>
      </c>
      <c r="AQ69" s="1110" t="str">
        <f t="shared" si="20"/>
        <v>Negligible</v>
      </c>
      <c r="AR69" s="618" t="str">
        <f t="shared" si="48"/>
        <v/>
      </c>
      <c r="AS69" s="618" t="str">
        <f t="shared" si="49"/>
        <v/>
      </c>
      <c r="AT69" s="8"/>
      <c r="AU69" s="412">
        <f>'I-Project Contingency'!$O$4-AE69</f>
        <v>0</v>
      </c>
      <c r="AV69" s="413">
        <v>3099768.1860032952</v>
      </c>
      <c r="AW69" s="413">
        <v>8430883.7862095013</v>
      </c>
      <c r="AX69" s="413">
        <v>11173736.674482957</v>
      </c>
      <c r="AY69" s="413">
        <f>'I-Project Contingency'!$E$66-AV69</f>
        <v>0</v>
      </c>
      <c r="AZ69" s="413">
        <f>'I-Project Contingency'!$E$69-AW69</f>
        <v>0</v>
      </c>
      <c r="BA69" s="413">
        <f>'I-Project Contingency'!$E$70-AX69</f>
        <v>0</v>
      </c>
      <c r="BB69" s="414">
        <f>'I-Project Contingency'!$O$5-AG69</f>
        <v>0</v>
      </c>
      <c r="BC69" s="415">
        <v>1.78464631257918</v>
      </c>
      <c r="BD69" s="415">
        <v>4.4807515628171739</v>
      </c>
      <c r="BE69" s="416">
        <v>5.8619163793628264</v>
      </c>
      <c r="BF69" s="415">
        <f>'I-Project Contingency'!$E$81-BC69</f>
        <v>0</v>
      </c>
      <c r="BG69" s="415">
        <f>'I-Project Contingency'!$E$84-BD69</f>
        <v>0</v>
      </c>
      <c r="BH69" s="415">
        <f>'I-Project Contingency'!$E$85-BE69</f>
        <v>0</v>
      </c>
      <c r="BI69" s="417" t="str">
        <f>IF(BK69="N/A","N/A",IF('D-Project Data'!$C$6=50%,ABS(BK69),IF('D-Project Data'!$C$6=80%,ABS(BL69),IF('D-Project Data'!$C$6=90%,ABS(BM69)))))</f>
        <v>N/A</v>
      </c>
      <c r="BJ69" s="418" t="str">
        <f>IF(BI69="N/A","N/A",RANK(BI69,$BI$18:$BI$117,0)+COUNTIF($BI$18:BI69,BI69)-1)</f>
        <v>N/A</v>
      </c>
      <c r="BK69" s="417" t="str">
        <f>IF(AY69/SUM(AY:AY)*'I-Project Contingency'!$F$66=0,"N/A",AY69/SUM(AY:AY)*'I-Project Contingency'!$F$66)</f>
        <v>N/A</v>
      </c>
      <c r="BL69" s="417" t="str">
        <f>IF(AZ69/SUM(AZ:AZ)*'I-Project Contingency'!$F$69=0,"N/A",AZ69/SUM(AZ:AZ)*'I-Project Contingency'!$F$69)</f>
        <v>N/A</v>
      </c>
      <c r="BM69" s="417" t="str">
        <f>IF(BA69/SUM(BA:BA)*'I-Project Contingency'!$F$70=0,"N/A",BA69/SUM(BA:BA)*'I-Project Contingency'!$F$70)</f>
        <v>N/A</v>
      </c>
      <c r="BN69" s="416" t="str">
        <f>IF(BP69="N/A","N/A",IF('D-Project Data'!$C$6=50%,ABS(BP69),IF('D-Project Data'!$C$6=80%,ABS(BQ69),IF('D-Project Data'!$C$6=90%,ABS(BR69)))))</f>
        <v>N/A</v>
      </c>
      <c r="BO69" s="418" t="str">
        <f>IF(BN69="N/A","N/A",RANK(BN69,$BN$18:$BN$117,0)+COUNTIF($BN$18:BN69,BN69)-1)</f>
        <v>N/A</v>
      </c>
      <c r="BP69" s="416" t="str">
        <f>IF(BF69/SUM(BF:BF)*'I-Project Contingency'!$F$81=0,"N/A",BF69/SUM(BF:BF)*'I-Project Contingency'!$F$81)</f>
        <v>N/A</v>
      </c>
      <c r="BQ69" s="416" t="str">
        <f>IF(BG69/SUM(BG:BG)*'I-Project Contingency'!$F$84=0,"N/A",BG69/SUM(BG:BG)*'I-Project Contingency'!$F$84)</f>
        <v>N/A</v>
      </c>
      <c r="BR69" s="416" t="str">
        <f>IF(BH69/SUM(BH:BH)*'I-Project Contingency'!$F$85=0,"N/A",BH69/SUM(BH:BH)*'I-Project Contingency'!$F$85)</f>
        <v>N/A</v>
      </c>
      <c r="BS69" s="418">
        <f t="shared" si="50"/>
        <v>52</v>
      </c>
      <c r="BT69" s="419" t="str">
        <f t="shared" si="51"/>
        <v xml:space="preserve">52 -  </v>
      </c>
      <c r="BU69" s="413">
        <f t="shared" si="52"/>
        <v>0</v>
      </c>
      <c r="BV69" s="413">
        <f t="shared" si="53"/>
        <v>0</v>
      </c>
      <c r="BW69" s="415">
        <f t="shared" si="54"/>
        <v>0</v>
      </c>
      <c r="BX69" s="415">
        <f t="shared" si="55"/>
        <v>0</v>
      </c>
    </row>
    <row r="70" spans="1:76" ht="43.2" x14ac:dyDescent="0.3">
      <c r="A70" s="193">
        <f t="shared" si="22"/>
        <v>53</v>
      </c>
      <c r="B70" s="194" t="s">
        <v>747</v>
      </c>
      <c r="C70" s="204" t="s">
        <v>665</v>
      </c>
      <c r="D70" s="205" t="s">
        <v>665</v>
      </c>
      <c r="E70" s="195" t="s">
        <v>665</v>
      </c>
      <c r="F70" s="196" t="s">
        <v>716</v>
      </c>
      <c r="G70" s="196" t="s">
        <v>730</v>
      </c>
      <c r="H70" s="187" t="str">
        <f>IF('H-Risk Register-Model'!F70="Certain","Relook at Basis of Estimate",INDEX('G-Assumptions'!$F$8:$J$11,MATCH(F70,'G-Assumptions'!$D$8:$D$11,0),MATCH(G70,'G-Assumptions'!$F$6:$J$6,0)))</f>
        <v>Relook at Basis of Estimate</v>
      </c>
      <c r="I70" s="197" t="s">
        <v>730</v>
      </c>
      <c r="J70" s="187" t="str">
        <f>IF('H-Risk Register-Model'!F70="Certain","Relook at Basis of Estimate",INDEX('G-Assumptions'!$F$8:$J$11,MATCH(F70,'G-Assumptions'!$D$8:$D$11,0),MATCH(I70,'G-Assumptions'!$F$6:$J$6,0)))</f>
        <v>Relook at Basis of Estimate</v>
      </c>
      <c r="K70" s="197" t="s">
        <v>747</v>
      </c>
      <c r="L70" s="197" t="s">
        <v>747</v>
      </c>
      <c r="M70" s="197"/>
      <c r="N70" s="384" t="s">
        <v>747</v>
      </c>
      <c r="O70" s="384" t="s">
        <v>747</v>
      </c>
      <c r="P70" s="198"/>
      <c r="Q70" s="198"/>
      <c r="R70" s="198"/>
      <c r="S70" s="199"/>
      <c r="T70" s="199"/>
      <c r="U70" s="199"/>
      <c r="V70" s="206"/>
      <c r="W70" s="198"/>
      <c r="X70" s="198"/>
      <c r="Y70" s="200">
        <v>1</v>
      </c>
      <c r="Z70" s="201">
        <v>1</v>
      </c>
      <c r="AA70" s="202">
        <f t="shared" si="42"/>
        <v>0</v>
      </c>
      <c r="AB70" s="202">
        <f t="shared" si="43"/>
        <v>0</v>
      </c>
      <c r="AC70" s="202">
        <f t="shared" si="44"/>
        <v>0</v>
      </c>
      <c r="AD70" s="202"/>
      <c r="AE70" s="198">
        <f t="shared" si="45"/>
        <v>0</v>
      </c>
      <c r="AF70" s="203"/>
      <c r="AG70" s="199">
        <f t="shared" si="46"/>
        <v>0</v>
      </c>
      <c r="AH70" s="195"/>
      <c r="AI70" s="195"/>
      <c r="AJ70" s="8"/>
      <c r="AK70" s="616" t="str">
        <f t="shared" si="47"/>
        <v>No</v>
      </c>
      <c r="AL70" s="617">
        <f>'I-Project Contingency'!$I$4</f>
        <v>28979098.489999998</v>
      </c>
      <c r="AM70" s="399">
        <f>'I-Project Contingency'!$I$11</f>
        <v>64.971830985915489</v>
      </c>
      <c r="AN70" s="398">
        <f t="shared" si="21"/>
        <v>0</v>
      </c>
      <c r="AO70" s="399">
        <f t="shared" si="18"/>
        <v>0</v>
      </c>
      <c r="AP70" s="1110" t="str">
        <f t="shared" si="19"/>
        <v>Negligible</v>
      </c>
      <c r="AQ70" s="1110" t="str">
        <f t="shared" si="20"/>
        <v>Negligible</v>
      </c>
      <c r="AR70" s="618" t="str">
        <f t="shared" si="48"/>
        <v/>
      </c>
      <c r="AS70" s="618" t="str">
        <f t="shared" si="49"/>
        <v/>
      </c>
      <c r="AT70" s="8"/>
      <c r="AU70" s="412">
        <f>'I-Project Contingency'!$O$4-AE70</f>
        <v>0</v>
      </c>
      <c r="AV70" s="413">
        <v>3099768.1860032952</v>
      </c>
      <c r="AW70" s="413">
        <v>8430883.7862095013</v>
      </c>
      <c r="AX70" s="413">
        <v>11173736.674482957</v>
      </c>
      <c r="AY70" s="413">
        <f>'I-Project Contingency'!$E$66-AV70</f>
        <v>0</v>
      </c>
      <c r="AZ70" s="413">
        <f>'I-Project Contingency'!$E$69-AW70</f>
        <v>0</v>
      </c>
      <c r="BA70" s="413">
        <f>'I-Project Contingency'!$E$70-AX70</f>
        <v>0</v>
      </c>
      <c r="BB70" s="414">
        <f>'I-Project Contingency'!$O$5-AG70</f>
        <v>0</v>
      </c>
      <c r="BC70" s="415">
        <v>1.78464631257918</v>
      </c>
      <c r="BD70" s="415">
        <v>4.4807515628171739</v>
      </c>
      <c r="BE70" s="416">
        <v>5.8619163793628264</v>
      </c>
      <c r="BF70" s="415">
        <f>'I-Project Contingency'!$E$81-BC70</f>
        <v>0</v>
      </c>
      <c r="BG70" s="415">
        <f>'I-Project Contingency'!$E$84-BD70</f>
        <v>0</v>
      </c>
      <c r="BH70" s="415">
        <f>'I-Project Contingency'!$E$85-BE70</f>
        <v>0</v>
      </c>
      <c r="BI70" s="417" t="str">
        <f>IF(BK70="N/A","N/A",IF('D-Project Data'!$C$6=50%,ABS(BK70),IF('D-Project Data'!$C$6=80%,ABS(BL70),IF('D-Project Data'!$C$6=90%,ABS(BM70)))))</f>
        <v>N/A</v>
      </c>
      <c r="BJ70" s="418" t="str">
        <f>IF(BI70="N/A","N/A",RANK(BI70,$BI$18:$BI$117,0)+COUNTIF($BI$18:BI70,BI70)-1)</f>
        <v>N/A</v>
      </c>
      <c r="BK70" s="417" t="str">
        <f>IF(AY70/SUM(AY:AY)*'I-Project Contingency'!$F$66=0,"N/A",AY70/SUM(AY:AY)*'I-Project Contingency'!$F$66)</f>
        <v>N/A</v>
      </c>
      <c r="BL70" s="417" t="str">
        <f>IF(AZ70/SUM(AZ:AZ)*'I-Project Contingency'!$F$69=0,"N/A",AZ70/SUM(AZ:AZ)*'I-Project Contingency'!$F$69)</f>
        <v>N/A</v>
      </c>
      <c r="BM70" s="417" t="str">
        <f>IF(BA70/SUM(BA:BA)*'I-Project Contingency'!$F$70=0,"N/A",BA70/SUM(BA:BA)*'I-Project Contingency'!$F$70)</f>
        <v>N/A</v>
      </c>
      <c r="BN70" s="416" t="str">
        <f>IF(BP70="N/A","N/A",IF('D-Project Data'!$C$6=50%,ABS(BP70),IF('D-Project Data'!$C$6=80%,ABS(BQ70),IF('D-Project Data'!$C$6=90%,ABS(BR70)))))</f>
        <v>N/A</v>
      </c>
      <c r="BO70" s="418" t="str">
        <f>IF(BN70="N/A","N/A",RANK(BN70,$BN$18:$BN$117,0)+COUNTIF($BN$18:BN70,BN70)-1)</f>
        <v>N/A</v>
      </c>
      <c r="BP70" s="416" t="str">
        <f>IF(BF70/SUM(BF:BF)*'I-Project Contingency'!$F$81=0,"N/A",BF70/SUM(BF:BF)*'I-Project Contingency'!$F$81)</f>
        <v>N/A</v>
      </c>
      <c r="BQ70" s="416" t="str">
        <f>IF(BG70/SUM(BG:BG)*'I-Project Contingency'!$F$84=0,"N/A",BG70/SUM(BG:BG)*'I-Project Contingency'!$F$84)</f>
        <v>N/A</v>
      </c>
      <c r="BR70" s="416" t="str">
        <f>IF(BH70/SUM(BH:BH)*'I-Project Contingency'!$F$85=0,"N/A",BH70/SUM(BH:BH)*'I-Project Contingency'!$F$85)</f>
        <v>N/A</v>
      </c>
      <c r="BS70" s="418">
        <f t="shared" si="50"/>
        <v>53</v>
      </c>
      <c r="BT70" s="419" t="str">
        <f t="shared" si="51"/>
        <v xml:space="preserve">53 -  </v>
      </c>
      <c r="BU70" s="413">
        <f t="shared" si="52"/>
        <v>0</v>
      </c>
      <c r="BV70" s="413">
        <f t="shared" si="53"/>
        <v>0</v>
      </c>
      <c r="BW70" s="415">
        <f t="shared" si="54"/>
        <v>0</v>
      </c>
      <c r="BX70" s="415">
        <f t="shared" si="55"/>
        <v>0</v>
      </c>
    </row>
    <row r="71" spans="1:76" ht="43.2" x14ac:dyDescent="0.3">
      <c r="A71" s="193">
        <f t="shared" si="22"/>
        <v>54</v>
      </c>
      <c r="B71" s="194" t="s">
        <v>747</v>
      </c>
      <c r="C71" s="204" t="s">
        <v>665</v>
      </c>
      <c r="D71" s="205" t="s">
        <v>665</v>
      </c>
      <c r="E71" s="195" t="s">
        <v>665</v>
      </c>
      <c r="F71" s="196" t="s">
        <v>716</v>
      </c>
      <c r="G71" s="196" t="s">
        <v>730</v>
      </c>
      <c r="H71" s="187" t="str">
        <f>IF('H-Risk Register-Model'!F71="Certain","Relook at Basis of Estimate",INDEX('G-Assumptions'!$F$8:$J$11,MATCH(F71,'G-Assumptions'!$D$8:$D$11,0),MATCH(G71,'G-Assumptions'!$F$6:$J$6,0)))</f>
        <v>Relook at Basis of Estimate</v>
      </c>
      <c r="I71" s="197" t="s">
        <v>730</v>
      </c>
      <c r="J71" s="187" t="str">
        <f>IF('H-Risk Register-Model'!F71="Certain","Relook at Basis of Estimate",INDEX('G-Assumptions'!$F$8:$J$11,MATCH(F71,'G-Assumptions'!$D$8:$D$11,0),MATCH(I71,'G-Assumptions'!$F$6:$J$6,0)))</f>
        <v>Relook at Basis of Estimate</v>
      </c>
      <c r="K71" s="197" t="s">
        <v>747</v>
      </c>
      <c r="L71" s="197" t="s">
        <v>747</v>
      </c>
      <c r="M71" s="197"/>
      <c r="N71" s="384" t="s">
        <v>747</v>
      </c>
      <c r="O71" s="384" t="s">
        <v>747</v>
      </c>
      <c r="P71" s="198"/>
      <c r="Q71" s="198"/>
      <c r="R71" s="198"/>
      <c r="S71" s="199"/>
      <c r="T71" s="199"/>
      <c r="U71" s="199"/>
      <c r="V71" s="206"/>
      <c r="W71" s="198"/>
      <c r="X71" s="198"/>
      <c r="Y71" s="200">
        <v>1</v>
      </c>
      <c r="Z71" s="201">
        <v>1</v>
      </c>
      <c r="AA71" s="202">
        <f t="shared" si="42"/>
        <v>0</v>
      </c>
      <c r="AB71" s="202">
        <f t="shared" si="43"/>
        <v>0</v>
      </c>
      <c r="AC71" s="202">
        <f t="shared" si="44"/>
        <v>0</v>
      </c>
      <c r="AD71" s="202"/>
      <c r="AE71" s="198">
        <f t="shared" si="45"/>
        <v>0</v>
      </c>
      <c r="AF71" s="203"/>
      <c r="AG71" s="199">
        <f t="shared" si="46"/>
        <v>0</v>
      </c>
      <c r="AH71" s="195"/>
      <c r="AI71" s="195"/>
      <c r="AJ71" s="8"/>
      <c r="AK71" s="616" t="str">
        <f t="shared" si="47"/>
        <v>No</v>
      </c>
      <c r="AL71" s="617">
        <f>'I-Project Contingency'!$I$4</f>
        <v>28979098.489999998</v>
      </c>
      <c r="AM71" s="399">
        <f>'I-Project Contingency'!$I$11</f>
        <v>64.971830985915489</v>
      </c>
      <c r="AN71" s="398">
        <f t="shared" si="21"/>
        <v>0</v>
      </c>
      <c r="AO71" s="399">
        <f t="shared" si="18"/>
        <v>0</v>
      </c>
      <c r="AP71" s="1110" t="str">
        <f t="shared" si="19"/>
        <v>Negligible</v>
      </c>
      <c r="AQ71" s="1110" t="str">
        <f t="shared" si="20"/>
        <v>Negligible</v>
      </c>
      <c r="AR71" s="618" t="str">
        <f t="shared" si="48"/>
        <v/>
      </c>
      <c r="AS71" s="618" t="str">
        <f t="shared" si="49"/>
        <v/>
      </c>
      <c r="AT71" s="8"/>
      <c r="AU71" s="412">
        <f>'I-Project Contingency'!$O$4-AE71</f>
        <v>0</v>
      </c>
      <c r="AV71" s="413">
        <v>3099768.1860032952</v>
      </c>
      <c r="AW71" s="413">
        <v>8430883.7862095013</v>
      </c>
      <c r="AX71" s="413">
        <v>11173736.674482957</v>
      </c>
      <c r="AY71" s="413">
        <f>'I-Project Contingency'!$E$66-AV71</f>
        <v>0</v>
      </c>
      <c r="AZ71" s="413">
        <f>'I-Project Contingency'!$E$69-AW71</f>
        <v>0</v>
      </c>
      <c r="BA71" s="413">
        <f>'I-Project Contingency'!$E$70-AX71</f>
        <v>0</v>
      </c>
      <c r="BB71" s="414">
        <f>'I-Project Contingency'!$O$5-AG71</f>
        <v>0</v>
      </c>
      <c r="BC71" s="415">
        <v>1.78464631257918</v>
      </c>
      <c r="BD71" s="415">
        <v>4.4807515628171739</v>
      </c>
      <c r="BE71" s="416">
        <v>5.8619163793628264</v>
      </c>
      <c r="BF71" s="415">
        <f>'I-Project Contingency'!$E$81-BC71</f>
        <v>0</v>
      </c>
      <c r="BG71" s="415">
        <f>'I-Project Contingency'!$E$84-BD71</f>
        <v>0</v>
      </c>
      <c r="BH71" s="415">
        <f>'I-Project Contingency'!$E$85-BE71</f>
        <v>0</v>
      </c>
      <c r="BI71" s="417" t="str">
        <f>IF(BK71="N/A","N/A",IF('D-Project Data'!$C$6=50%,ABS(BK71),IF('D-Project Data'!$C$6=80%,ABS(BL71),IF('D-Project Data'!$C$6=90%,ABS(BM71)))))</f>
        <v>N/A</v>
      </c>
      <c r="BJ71" s="418" t="str">
        <f>IF(BI71="N/A","N/A",RANK(BI71,$BI$18:$BI$117,0)+COUNTIF($BI$18:BI71,BI71)-1)</f>
        <v>N/A</v>
      </c>
      <c r="BK71" s="417" t="str">
        <f>IF(AY71/SUM(AY:AY)*'I-Project Contingency'!$F$66=0,"N/A",AY71/SUM(AY:AY)*'I-Project Contingency'!$F$66)</f>
        <v>N/A</v>
      </c>
      <c r="BL71" s="417" t="str">
        <f>IF(AZ71/SUM(AZ:AZ)*'I-Project Contingency'!$F$69=0,"N/A",AZ71/SUM(AZ:AZ)*'I-Project Contingency'!$F$69)</f>
        <v>N/A</v>
      </c>
      <c r="BM71" s="417" t="str">
        <f>IF(BA71/SUM(BA:BA)*'I-Project Contingency'!$F$70=0,"N/A",BA71/SUM(BA:BA)*'I-Project Contingency'!$F$70)</f>
        <v>N/A</v>
      </c>
      <c r="BN71" s="416" t="str">
        <f>IF(BP71="N/A","N/A",IF('D-Project Data'!$C$6=50%,ABS(BP71),IF('D-Project Data'!$C$6=80%,ABS(BQ71),IF('D-Project Data'!$C$6=90%,ABS(BR71)))))</f>
        <v>N/A</v>
      </c>
      <c r="BO71" s="418" t="str">
        <f>IF(BN71="N/A","N/A",RANK(BN71,$BN$18:$BN$117,0)+COUNTIF($BN$18:BN71,BN71)-1)</f>
        <v>N/A</v>
      </c>
      <c r="BP71" s="416" t="str">
        <f>IF(BF71/SUM(BF:BF)*'I-Project Contingency'!$F$81=0,"N/A",BF71/SUM(BF:BF)*'I-Project Contingency'!$F$81)</f>
        <v>N/A</v>
      </c>
      <c r="BQ71" s="416" t="str">
        <f>IF(BG71/SUM(BG:BG)*'I-Project Contingency'!$F$84=0,"N/A",BG71/SUM(BG:BG)*'I-Project Contingency'!$F$84)</f>
        <v>N/A</v>
      </c>
      <c r="BR71" s="416" t="str">
        <f>IF(BH71/SUM(BH:BH)*'I-Project Contingency'!$F$85=0,"N/A",BH71/SUM(BH:BH)*'I-Project Contingency'!$F$85)</f>
        <v>N/A</v>
      </c>
      <c r="BS71" s="418">
        <f t="shared" si="50"/>
        <v>54</v>
      </c>
      <c r="BT71" s="419" t="str">
        <f t="shared" si="51"/>
        <v xml:space="preserve">54 -  </v>
      </c>
      <c r="BU71" s="413">
        <f t="shared" si="52"/>
        <v>0</v>
      </c>
      <c r="BV71" s="413">
        <f t="shared" si="53"/>
        <v>0</v>
      </c>
      <c r="BW71" s="415">
        <f t="shared" si="54"/>
        <v>0</v>
      </c>
      <c r="BX71" s="415">
        <f t="shared" si="55"/>
        <v>0</v>
      </c>
    </row>
    <row r="72" spans="1:76" ht="43.2" x14ac:dyDescent="0.3">
      <c r="A72" s="193">
        <f t="shared" si="22"/>
        <v>55</v>
      </c>
      <c r="B72" s="194" t="s">
        <v>747</v>
      </c>
      <c r="C72" s="204" t="s">
        <v>665</v>
      </c>
      <c r="D72" s="205" t="s">
        <v>665</v>
      </c>
      <c r="E72" s="195" t="s">
        <v>665</v>
      </c>
      <c r="F72" s="196" t="s">
        <v>716</v>
      </c>
      <c r="G72" s="196" t="s">
        <v>730</v>
      </c>
      <c r="H72" s="187" t="str">
        <f>IF('H-Risk Register-Model'!F72="Certain","Relook at Basis of Estimate",INDEX('G-Assumptions'!$F$8:$J$11,MATCH(F72,'G-Assumptions'!$D$8:$D$11,0),MATCH(G72,'G-Assumptions'!$F$6:$J$6,0)))</f>
        <v>Relook at Basis of Estimate</v>
      </c>
      <c r="I72" s="197" t="s">
        <v>730</v>
      </c>
      <c r="J72" s="187" t="str">
        <f>IF('H-Risk Register-Model'!F72="Certain","Relook at Basis of Estimate",INDEX('G-Assumptions'!$F$8:$J$11,MATCH(F72,'G-Assumptions'!$D$8:$D$11,0),MATCH(I72,'G-Assumptions'!$F$6:$J$6,0)))</f>
        <v>Relook at Basis of Estimate</v>
      </c>
      <c r="K72" s="197" t="s">
        <v>747</v>
      </c>
      <c r="L72" s="197" t="s">
        <v>747</v>
      </c>
      <c r="M72" s="197"/>
      <c r="N72" s="384" t="s">
        <v>747</v>
      </c>
      <c r="O72" s="384" t="s">
        <v>747</v>
      </c>
      <c r="P72" s="198"/>
      <c r="Q72" s="198"/>
      <c r="R72" s="198"/>
      <c r="S72" s="199"/>
      <c r="T72" s="199"/>
      <c r="U72" s="199"/>
      <c r="V72" s="206"/>
      <c r="W72" s="198"/>
      <c r="X72" s="198"/>
      <c r="Y72" s="200">
        <v>1</v>
      </c>
      <c r="Z72" s="201">
        <v>1</v>
      </c>
      <c r="AA72" s="202">
        <f t="shared" si="42"/>
        <v>0</v>
      </c>
      <c r="AB72" s="202">
        <f t="shared" si="43"/>
        <v>0</v>
      </c>
      <c r="AC72" s="202">
        <f t="shared" si="44"/>
        <v>0</v>
      </c>
      <c r="AD72" s="202"/>
      <c r="AE72" s="198">
        <f t="shared" si="45"/>
        <v>0</v>
      </c>
      <c r="AF72" s="203"/>
      <c r="AG72" s="199">
        <f t="shared" si="46"/>
        <v>0</v>
      </c>
      <c r="AH72" s="195"/>
      <c r="AI72" s="195"/>
      <c r="AJ72" s="8"/>
      <c r="AK72" s="616" t="str">
        <f t="shared" si="47"/>
        <v>No</v>
      </c>
      <c r="AL72" s="617">
        <f>'I-Project Contingency'!$I$4</f>
        <v>28979098.489999998</v>
      </c>
      <c r="AM72" s="399">
        <f>'I-Project Contingency'!$I$11</f>
        <v>64.971830985915489</v>
      </c>
      <c r="AN72" s="398">
        <f t="shared" si="21"/>
        <v>0</v>
      </c>
      <c r="AO72" s="399">
        <f t="shared" si="18"/>
        <v>0</v>
      </c>
      <c r="AP72" s="1110" t="str">
        <f t="shared" si="19"/>
        <v>Negligible</v>
      </c>
      <c r="AQ72" s="1110" t="str">
        <f t="shared" si="20"/>
        <v>Negligible</v>
      </c>
      <c r="AR72" s="618" t="str">
        <f t="shared" si="48"/>
        <v/>
      </c>
      <c r="AS72" s="618" t="str">
        <f t="shared" si="49"/>
        <v/>
      </c>
      <c r="AT72" s="8"/>
      <c r="AU72" s="412">
        <f>'I-Project Contingency'!$O$4-AE72</f>
        <v>0</v>
      </c>
      <c r="AV72" s="413">
        <v>3099768.1860032952</v>
      </c>
      <c r="AW72" s="413">
        <v>8430883.7862095013</v>
      </c>
      <c r="AX72" s="413">
        <v>11173736.674482957</v>
      </c>
      <c r="AY72" s="413">
        <f>'I-Project Contingency'!$E$66-AV72</f>
        <v>0</v>
      </c>
      <c r="AZ72" s="413">
        <f>'I-Project Contingency'!$E$69-AW72</f>
        <v>0</v>
      </c>
      <c r="BA72" s="413">
        <f>'I-Project Contingency'!$E$70-AX72</f>
        <v>0</v>
      </c>
      <c r="BB72" s="414">
        <f>'I-Project Contingency'!$O$5-AG72</f>
        <v>0</v>
      </c>
      <c r="BC72" s="415">
        <v>1.78464631257918</v>
      </c>
      <c r="BD72" s="415">
        <v>4.4807515628171739</v>
      </c>
      <c r="BE72" s="416">
        <v>5.8619163793628264</v>
      </c>
      <c r="BF72" s="415">
        <f>'I-Project Contingency'!$E$81-BC72</f>
        <v>0</v>
      </c>
      <c r="BG72" s="415">
        <f>'I-Project Contingency'!$E$84-BD72</f>
        <v>0</v>
      </c>
      <c r="BH72" s="415">
        <f>'I-Project Contingency'!$E$85-BE72</f>
        <v>0</v>
      </c>
      <c r="BI72" s="417" t="str">
        <f>IF(BK72="N/A","N/A",IF('D-Project Data'!$C$6=50%,ABS(BK72),IF('D-Project Data'!$C$6=80%,ABS(BL72),IF('D-Project Data'!$C$6=90%,ABS(BM72)))))</f>
        <v>N/A</v>
      </c>
      <c r="BJ72" s="418" t="str">
        <f>IF(BI72="N/A","N/A",RANK(BI72,$BI$18:$BI$117,0)+COUNTIF($BI$18:BI72,BI72)-1)</f>
        <v>N/A</v>
      </c>
      <c r="BK72" s="417" t="str">
        <f>IF(AY72/SUM(AY:AY)*'I-Project Contingency'!$F$66=0,"N/A",AY72/SUM(AY:AY)*'I-Project Contingency'!$F$66)</f>
        <v>N/A</v>
      </c>
      <c r="BL72" s="417" t="str">
        <f>IF(AZ72/SUM(AZ:AZ)*'I-Project Contingency'!$F$69=0,"N/A",AZ72/SUM(AZ:AZ)*'I-Project Contingency'!$F$69)</f>
        <v>N/A</v>
      </c>
      <c r="BM72" s="417" t="str">
        <f>IF(BA72/SUM(BA:BA)*'I-Project Contingency'!$F$70=0,"N/A",BA72/SUM(BA:BA)*'I-Project Contingency'!$F$70)</f>
        <v>N/A</v>
      </c>
      <c r="BN72" s="416" t="str">
        <f>IF(BP72="N/A","N/A",IF('D-Project Data'!$C$6=50%,ABS(BP72),IF('D-Project Data'!$C$6=80%,ABS(BQ72),IF('D-Project Data'!$C$6=90%,ABS(BR72)))))</f>
        <v>N/A</v>
      </c>
      <c r="BO72" s="418" t="str">
        <f>IF(BN72="N/A","N/A",RANK(BN72,$BN$18:$BN$117,0)+COUNTIF($BN$18:BN72,BN72)-1)</f>
        <v>N/A</v>
      </c>
      <c r="BP72" s="416" t="str">
        <f>IF(BF72/SUM(BF:BF)*'I-Project Contingency'!$F$81=0,"N/A",BF72/SUM(BF:BF)*'I-Project Contingency'!$F$81)</f>
        <v>N/A</v>
      </c>
      <c r="BQ72" s="416" t="str">
        <f>IF(BG72/SUM(BG:BG)*'I-Project Contingency'!$F$84=0,"N/A",BG72/SUM(BG:BG)*'I-Project Contingency'!$F$84)</f>
        <v>N/A</v>
      </c>
      <c r="BR72" s="416" t="str">
        <f>IF(BH72/SUM(BH:BH)*'I-Project Contingency'!$F$85=0,"N/A",BH72/SUM(BH:BH)*'I-Project Contingency'!$F$85)</f>
        <v>N/A</v>
      </c>
      <c r="BS72" s="418">
        <f t="shared" si="50"/>
        <v>55</v>
      </c>
      <c r="BT72" s="419" t="str">
        <f t="shared" si="51"/>
        <v xml:space="preserve">55 -  </v>
      </c>
      <c r="BU72" s="413">
        <f t="shared" si="52"/>
        <v>0</v>
      </c>
      <c r="BV72" s="413">
        <f t="shared" si="53"/>
        <v>0</v>
      </c>
      <c r="BW72" s="415">
        <f t="shared" si="54"/>
        <v>0</v>
      </c>
      <c r="BX72" s="415">
        <f t="shared" si="55"/>
        <v>0</v>
      </c>
    </row>
    <row r="73" spans="1:76" ht="43.2" x14ac:dyDescent="0.3">
      <c r="A73" s="193">
        <f t="shared" si="22"/>
        <v>56</v>
      </c>
      <c r="B73" s="194" t="s">
        <v>747</v>
      </c>
      <c r="C73" s="204" t="s">
        <v>665</v>
      </c>
      <c r="D73" s="205" t="s">
        <v>665</v>
      </c>
      <c r="E73" s="195" t="s">
        <v>665</v>
      </c>
      <c r="F73" s="196" t="s">
        <v>716</v>
      </c>
      <c r="G73" s="196" t="s">
        <v>730</v>
      </c>
      <c r="H73" s="187" t="str">
        <f>IF('H-Risk Register-Model'!F73="Certain","Relook at Basis of Estimate",INDEX('G-Assumptions'!$F$8:$J$11,MATCH(F73,'G-Assumptions'!$D$8:$D$11,0),MATCH(G73,'G-Assumptions'!$F$6:$J$6,0)))</f>
        <v>Relook at Basis of Estimate</v>
      </c>
      <c r="I73" s="197" t="s">
        <v>730</v>
      </c>
      <c r="J73" s="187" t="str">
        <f>IF('H-Risk Register-Model'!F73="Certain","Relook at Basis of Estimate",INDEX('G-Assumptions'!$F$8:$J$11,MATCH(F73,'G-Assumptions'!$D$8:$D$11,0),MATCH(I73,'G-Assumptions'!$F$6:$J$6,0)))</f>
        <v>Relook at Basis of Estimate</v>
      </c>
      <c r="K73" s="197" t="s">
        <v>747</v>
      </c>
      <c r="L73" s="197" t="s">
        <v>747</v>
      </c>
      <c r="M73" s="197"/>
      <c r="N73" s="384" t="s">
        <v>747</v>
      </c>
      <c r="O73" s="384" t="s">
        <v>747</v>
      </c>
      <c r="P73" s="198"/>
      <c r="Q73" s="198"/>
      <c r="R73" s="198"/>
      <c r="S73" s="199"/>
      <c r="T73" s="199"/>
      <c r="U73" s="199"/>
      <c r="V73" s="206"/>
      <c r="W73" s="198"/>
      <c r="X73" s="198"/>
      <c r="Y73" s="200">
        <v>1</v>
      </c>
      <c r="Z73" s="201">
        <v>1</v>
      </c>
      <c r="AA73" s="202">
        <f t="shared" si="42"/>
        <v>0</v>
      </c>
      <c r="AB73" s="202">
        <f t="shared" si="43"/>
        <v>0</v>
      </c>
      <c r="AC73" s="202">
        <f t="shared" si="44"/>
        <v>0</v>
      </c>
      <c r="AD73" s="202"/>
      <c r="AE73" s="198">
        <f t="shared" si="45"/>
        <v>0</v>
      </c>
      <c r="AF73" s="203"/>
      <c r="AG73" s="199">
        <f t="shared" si="46"/>
        <v>0</v>
      </c>
      <c r="AH73" s="195"/>
      <c r="AI73" s="195"/>
      <c r="AJ73" s="8"/>
      <c r="AK73" s="616" t="str">
        <f t="shared" si="47"/>
        <v>No</v>
      </c>
      <c r="AL73" s="617">
        <f>'I-Project Contingency'!$I$4</f>
        <v>28979098.489999998</v>
      </c>
      <c r="AM73" s="399">
        <f>'I-Project Contingency'!$I$11</f>
        <v>64.971830985915489</v>
      </c>
      <c r="AN73" s="398">
        <f t="shared" si="21"/>
        <v>0</v>
      </c>
      <c r="AO73" s="399">
        <f t="shared" si="18"/>
        <v>0</v>
      </c>
      <c r="AP73" s="1110" t="str">
        <f t="shared" si="19"/>
        <v>Negligible</v>
      </c>
      <c r="AQ73" s="1110" t="str">
        <f t="shared" si="20"/>
        <v>Negligible</v>
      </c>
      <c r="AR73" s="618" t="str">
        <f t="shared" si="48"/>
        <v/>
      </c>
      <c r="AS73" s="618" t="str">
        <f t="shared" si="49"/>
        <v/>
      </c>
      <c r="AT73" s="8"/>
      <c r="AU73" s="412">
        <f>'I-Project Contingency'!$O$4-AE73</f>
        <v>0</v>
      </c>
      <c r="AV73" s="413">
        <v>3099768.1860032952</v>
      </c>
      <c r="AW73" s="413">
        <v>8430883.7862095013</v>
      </c>
      <c r="AX73" s="413">
        <v>11173736.674482957</v>
      </c>
      <c r="AY73" s="413">
        <f>'I-Project Contingency'!$E$66-AV73</f>
        <v>0</v>
      </c>
      <c r="AZ73" s="413">
        <f>'I-Project Contingency'!$E$69-AW73</f>
        <v>0</v>
      </c>
      <c r="BA73" s="413">
        <f>'I-Project Contingency'!$E$70-AX73</f>
        <v>0</v>
      </c>
      <c r="BB73" s="414">
        <f>'I-Project Contingency'!$O$5-AG73</f>
        <v>0</v>
      </c>
      <c r="BC73" s="415">
        <v>1.78464631257918</v>
      </c>
      <c r="BD73" s="415">
        <v>4.4807515628171739</v>
      </c>
      <c r="BE73" s="416">
        <v>5.8619163793628264</v>
      </c>
      <c r="BF73" s="415">
        <f>'I-Project Contingency'!$E$81-BC73</f>
        <v>0</v>
      </c>
      <c r="BG73" s="415">
        <f>'I-Project Contingency'!$E$84-BD73</f>
        <v>0</v>
      </c>
      <c r="BH73" s="415">
        <f>'I-Project Contingency'!$E$85-BE73</f>
        <v>0</v>
      </c>
      <c r="BI73" s="417" t="str">
        <f>IF(BK73="N/A","N/A",IF('D-Project Data'!$C$6=50%,ABS(BK73),IF('D-Project Data'!$C$6=80%,ABS(BL73),IF('D-Project Data'!$C$6=90%,ABS(BM73)))))</f>
        <v>N/A</v>
      </c>
      <c r="BJ73" s="418" t="str">
        <f>IF(BI73="N/A","N/A",RANK(BI73,$BI$18:$BI$117,0)+COUNTIF($BI$18:BI73,BI73)-1)</f>
        <v>N/A</v>
      </c>
      <c r="BK73" s="417" t="str">
        <f>IF(AY73/SUM(AY:AY)*'I-Project Contingency'!$F$66=0,"N/A",AY73/SUM(AY:AY)*'I-Project Contingency'!$F$66)</f>
        <v>N/A</v>
      </c>
      <c r="BL73" s="417" t="str">
        <f>IF(AZ73/SUM(AZ:AZ)*'I-Project Contingency'!$F$69=0,"N/A",AZ73/SUM(AZ:AZ)*'I-Project Contingency'!$F$69)</f>
        <v>N/A</v>
      </c>
      <c r="BM73" s="417" t="str">
        <f>IF(BA73/SUM(BA:BA)*'I-Project Contingency'!$F$70=0,"N/A",BA73/SUM(BA:BA)*'I-Project Contingency'!$F$70)</f>
        <v>N/A</v>
      </c>
      <c r="BN73" s="416" t="str">
        <f>IF(BP73="N/A","N/A",IF('D-Project Data'!$C$6=50%,ABS(BP73),IF('D-Project Data'!$C$6=80%,ABS(BQ73),IF('D-Project Data'!$C$6=90%,ABS(BR73)))))</f>
        <v>N/A</v>
      </c>
      <c r="BO73" s="418" t="str">
        <f>IF(BN73="N/A","N/A",RANK(BN73,$BN$18:$BN$117,0)+COUNTIF($BN$18:BN73,BN73)-1)</f>
        <v>N/A</v>
      </c>
      <c r="BP73" s="416" t="str">
        <f>IF(BF73/SUM(BF:BF)*'I-Project Contingency'!$F$81=0,"N/A",BF73/SUM(BF:BF)*'I-Project Contingency'!$F$81)</f>
        <v>N/A</v>
      </c>
      <c r="BQ73" s="416" t="str">
        <f>IF(BG73/SUM(BG:BG)*'I-Project Contingency'!$F$84=0,"N/A",BG73/SUM(BG:BG)*'I-Project Contingency'!$F$84)</f>
        <v>N/A</v>
      </c>
      <c r="BR73" s="416" t="str">
        <f>IF(BH73/SUM(BH:BH)*'I-Project Contingency'!$F$85=0,"N/A",BH73/SUM(BH:BH)*'I-Project Contingency'!$F$85)</f>
        <v>N/A</v>
      </c>
      <c r="BS73" s="418">
        <f t="shared" si="50"/>
        <v>56</v>
      </c>
      <c r="BT73" s="419" t="str">
        <f t="shared" si="51"/>
        <v xml:space="preserve">56 -  </v>
      </c>
      <c r="BU73" s="413">
        <f t="shared" si="52"/>
        <v>0</v>
      </c>
      <c r="BV73" s="413">
        <f t="shared" si="53"/>
        <v>0</v>
      </c>
      <c r="BW73" s="415">
        <f t="shared" si="54"/>
        <v>0</v>
      </c>
      <c r="BX73" s="415">
        <f t="shared" si="55"/>
        <v>0</v>
      </c>
    </row>
    <row r="74" spans="1:76" ht="43.2" x14ac:dyDescent="0.3">
      <c r="A74" s="193">
        <f t="shared" si="22"/>
        <v>57</v>
      </c>
      <c r="B74" s="194" t="s">
        <v>747</v>
      </c>
      <c r="C74" s="204" t="s">
        <v>665</v>
      </c>
      <c r="D74" s="205" t="s">
        <v>665</v>
      </c>
      <c r="E74" s="195" t="s">
        <v>665</v>
      </c>
      <c r="F74" s="196" t="s">
        <v>716</v>
      </c>
      <c r="G74" s="196" t="s">
        <v>730</v>
      </c>
      <c r="H74" s="187" t="str">
        <f>IF('H-Risk Register-Model'!F74="Certain","Relook at Basis of Estimate",INDEX('G-Assumptions'!$F$8:$J$11,MATCH(F74,'G-Assumptions'!$D$8:$D$11,0),MATCH(G74,'G-Assumptions'!$F$6:$J$6,0)))</f>
        <v>Relook at Basis of Estimate</v>
      </c>
      <c r="I74" s="197" t="s">
        <v>730</v>
      </c>
      <c r="J74" s="187" t="str">
        <f>IF('H-Risk Register-Model'!F74="Certain","Relook at Basis of Estimate",INDEX('G-Assumptions'!$F$8:$J$11,MATCH(F74,'G-Assumptions'!$D$8:$D$11,0),MATCH(I74,'G-Assumptions'!$F$6:$J$6,0)))</f>
        <v>Relook at Basis of Estimate</v>
      </c>
      <c r="K74" s="197" t="s">
        <v>747</v>
      </c>
      <c r="L74" s="197" t="s">
        <v>747</v>
      </c>
      <c r="M74" s="197"/>
      <c r="N74" s="384" t="s">
        <v>747</v>
      </c>
      <c r="O74" s="384" t="s">
        <v>747</v>
      </c>
      <c r="P74" s="198"/>
      <c r="Q74" s="198"/>
      <c r="R74" s="198"/>
      <c r="S74" s="199"/>
      <c r="T74" s="199"/>
      <c r="U74" s="199"/>
      <c r="V74" s="206"/>
      <c r="W74" s="198"/>
      <c r="X74" s="198"/>
      <c r="Y74" s="200">
        <v>1</v>
      </c>
      <c r="Z74" s="201">
        <v>1</v>
      </c>
      <c r="AA74" s="202">
        <f t="shared" si="42"/>
        <v>0</v>
      </c>
      <c r="AB74" s="202">
        <f t="shared" si="43"/>
        <v>0</v>
      </c>
      <c r="AC74" s="202">
        <f t="shared" si="44"/>
        <v>0</v>
      </c>
      <c r="AD74" s="202"/>
      <c r="AE74" s="198">
        <f t="shared" si="45"/>
        <v>0</v>
      </c>
      <c r="AF74" s="203"/>
      <c r="AG74" s="199">
        <f t="shared" si="46"/>
        <v>0</v>
      </c>
      <c r="AH74" s="195"/>
      <c r="AI74" s="195"/>
      <c r="AJ74" s="8"/>
      <c r="AK74" s="616" t="str">
        <f t="shared" si="47"/>
        <v>No</v>
      </c>
      <c r="AL74" s="617">
        <f>'I-Project Contingency'!$I$4</f>
        <v>28979098.489999998</v>
      </c>
      <c r="AM74" s="399">
        <f>'I-Project Contingency'!$I$11</f>
        <v>64.971830985915489</v>
      </c>
      <c r="AN74" s="398">
        <f t="shared" si="21"/>
        <v>0</v>
      </c>
      <c r="AO74" s="399">
        <f t="shared" si="18"/>
        <v>0</v>
      </c>
      <c r="AP74" s="1110" t="str">
        <f t="shared" si="19"/>
        <v>Negligible</v>
      </c>
      <c r="AQ74" s="1110" t="str">
        <f t="shared" si="20"/>
        <v>Negligible</v>
      </c>
      <c r="AR74" s="618" t="str">
        <f t="shared" si="48"/>
        <v/>
      </c>
      <c r="AS74" s="618" t="str">
        <f t="shared" si="49"/>
        <v/>
      </c>
      <c r="AT74" s="8"/>
      <c r="AU74" s="412">
        <f>'I-Project Contingency'!$O$4-AE74</f>
        <v>0</v>
      </c>
      <c r="AV74" s="413">
        <v>3099768.1860032952</v>
      </c>
      <c r="AW74" s="413">
        <v>8430883.7862095013</v>
      </c>
      <c r="AX74" s="413">
        <v>11173736.674482957</v>
      </c>
      <c r="AY74" s="413">
        <f>'I-Project Contingency'!$E$66-AV74</f>
        <v>0</v>
      </c>
      <c r="AZ74" s="413">
        <f>'I-Project Contingency'!$E$69-AW74</f>
        <v>0</v>
      </c>
      <c r="BA74" s="413">
        <f>'I-Project Contingency'!$E$70-AX74</f>
        <v>0</v>
      </c>
      <c r="BB74" s="414">
        <f>'I-Project Contingency'!$O$5-AG74</f>
        <v>0</v>
      </c>
      <c r="BC74" s="415">
        <v>1.78464631257918</v>
      </c>
      <c r="BD74" s="415">
        <v>4.4807515628171739</v>
      </c>
      <c r="BE74" s="416">
        <v>5.8619163793628264</v>
      </c>
      <c r="BF74" s="415">
        <f>'I-Project Contingency'!$E$81-BC74</f>
        <v>0</v>
      </c>
      <c r="BG74" s="415">
        <f>'I-Project Contingency'!$E$84-BD74</f>
        <v>0</v>
      </c>
      <c r="BH74" s="415">
        <f>'I-Project Contingency'!$E$85-BE74</f>
        <v>0</v>
      </c>
      <c r="BI74" s="417" t="str">
        <f>IF(BK74="N/A","N/A",IF('D-Project Data'!$C$6=50%,ABS(BK74),IF('D-Project Data'!$C$6=80%,ABS(BL74),IF('D-Project Data'!$C$6=90%,ABS(BM74)))))</f>
        <v>N/A</v>
      </c>
      <c r="BJ74" s="418" t="str">
        <f>IF(BI74="N/A","N/A",RANK(BI74,$BI$18:$BI$117,0)+COUNTIF($BI$18:BI74,BI74)-1)</f>
        <v>N/A</v>
      </c>
      <c r="BK74" s="417" t="str">
        <f>IF(AY74/SUM(AY:AY)*'I-Project Contingency'!$F$66=0,"N/A",AY74/SUM(AY:AY)*'I-Project Contingency'!$F$66)</f>
        <v>N/A</v>
      </c>
      <c r="BL74" s="417" t="str">
        <f>IF(AZ74/SUM(AZ:AZ)*'I-Project Contingency'!$F$69=0,"N/A",AZ74/SUM(AZ:AZ)*'I-Project Contingency'!$F$69)</f>
        <v>N/A</v>
      </c>
      <c r="BM74" s="417" t="str">
        <f>IF(BA74/SUM(BA:BA)*'I-Project Contingency'!$F$70=0,"N/A",BA74/SUM(BA:BA)*'I-Project Contingency'!$F$70)</f>
        <v>N/A</v>
      </c>
      <c r="BN74" s="416" t="str">
        <f>IF(BP74="N/A","N/A",IF('D-Project Data'!$C$6=50%,ABS(BP74),IF('D-Project Data'!$C$6=80%,ABS(BQ74),IF('D-Project Data'!$C$6=90%,ABS(BR74)))))</f>
        <v>N/A</v>
      </c>
      <c r="BO74" s="418" t="str">
        <f>IF(BN74="N/A","N/A",RANK(BN74,$BN$18:$BN$117,0)+COUNTIF($BN$18:BN74,BN74)-1)</f>
        <v>N/A</v>
      </c>
      <c r="BP74" s="416" t="str">
        <f>IF(BF74/SUM(BF:BF)*'I-Project Contingency'!$F$81=0,"N/A",BF74/SUM(BF:BF)*'I-Project Contingency'!$F$81)</f>
        <v>N/A</v>
      </c>
      <c r="BQ74" s="416" t="str">
        <f>IF(BG74/SUM(BG:BG)*'I-Project Contingency'!$F$84=0,"N/A",BG74/SUM(BG:BG)*'I-Project Contingency'!$F$84)</f>
        <v>N/A</v>
      </c>
      <c r="BR74" s="416" t="str">
        <f>IF(BH74/SUM(BH:BH)*'I-Project Contingency'!$F$85=0,"N/A",BH74/SUM(BH:BH)*'I-Project Contingency'!$F$85)</f>
        <v>N/A</v>
      </c>
      <c r="BS74" s="418">
        <f t="shared" si="50"/>
        <v>57</v>
      </c>
      <c r="BT74" s="419" t="str">
        <f t="shared" si="51"/>
        <v xml:space="preserve">57 -  </v>
      </c>
      <c r="BU74" s="413">
        <f t="shared" si="52"/>
        <v>0</v>
      </c>
      <c r="BV74" s="413">
        <f t="shared" si="53"/>
        <v>0</v>
      </c>
      <c r="BW74" s="415">
        <f t="shared" si="54"/>
        <v>0</v>
      </c>
      <c r="BX74" s="415">
        <f t="shared" si="55"/>
        <v>0</v>
      </c>
    </row>
    <row r="75" spans="1:76" ht="43.2" x14ac:dyDescent="0.3">
      <c r="A75" s="193">
        <f t="shared" si="22"/>
        <v>58</v>
      </c>
      <c r="B75" s="194" t="s">
        <v>747</v>
      </c>
      <c r="C75" s="204" t="s">
        <v>665</v>
      </c>
      <c r="D75" s="205" t="s">
        <v>665</v>
      </c>
      <c r="E75" s="195" t="s">
        <v>665</v>
      </c>
      <c r="F75" s="196" t="s">
        <v>716</v>
      </c>
      <c r="G75" s="196" t="s">
        <v>730</v>
      </c>
      <c r="H75" s="187" t="str">
        <f>IF('H-Risk Register-Model'!F75="Certain","Relook at Basis of Estimate",INDEX('G-Assumptions'!$F$8:$J$11,MATCH(F75,'G-Assumptions'!$D$8:$D$11,0),MATCH(G75,'G-Assumptions'!$F$6:$J$6,0)))</f>
        <v>Relook at Basis of Estimate</v>
      </c>
      <c r="I75" s="197" t="s">
        <v>730</v>
      </c>
      <c r="J75" s="187" t="str">
        <f>IF('H-Risk Register-Model'!F75="Certain","Relook at Basis of Estimate",INDEX('G-Assumptions'!$F$8:$J$11,MATCH(F75,'G-Assumptions'!$D$8:$D$11,0),MATCH(I75,'G-Assumptions'!$F$6:$J$6,0)))</f>
        <v>Relook at Basis of Estimate</v>
      </c>
      <c r="K75" s="197" t="s">
        <v>747</v>
      </c>
      <c r="L75" s="197" t="s">
        <v>747</v>
      </c>
      <c r="M75" s="197"/>
      <c r="N75" s="384" t="s">
        <v>747</v>
      </c>
      <c r="O75" s="384" t="s">
        <v>747</v>
      </c>
      <c r="P75" s="198"/>
      <c r="Q75" s="198"/>
      <c r="R75" s="198"/>
      <c r="S75" s="199"/>
      <c r="T75" s="199"/>
      <c r="U75" s="199"/>
      <c r="V75" s="206"/>
      <c r="W75" s="198"/>
      <c r="X75" s="198"/>
      <c r="Y75" s="200">
        <v>1</v>
      </c>
      <c r="Z75" s="201">
        <v>1</v>
      </c>
      <c r="AA75" s="202">
        <f t="shared" si="42"/>
        <v>0</v>
      </c>
      <c r="AB75" s="202">
        <f t="shared" si="43"/>
        <v>0</v>
      </c>
      <c r="AC75" s="202">
        <f t="shared" si="44"/>
        <v>0</v>
      </c>
      <c r="AD75" s="202"/>
      <c r="AE75" s="198">
        <f t="shared" si="45"/>
        <v>0</v>
      </c>
      <c r="AF75" s="203"/>
      <c r="AG75" s="199">
        <f t="shared" si="46"/>
        <v>0</v>
      </c>
      <c r="AH75" s="195"/>
      <c r="AI75" s="195"/>
      <c r="AJ75" s="8"/>
      <c r="AK75" s="616" t="str">
        <f t="shared" si="47"/>
        <v>No</v>
      </c>
      <c r="AL75" s="617">
        <f>'I-Project Contingency'!$I$4</f>
        <v>28979098.489999998</v>
      </c>
      <c r="AM75" s="399">
        <f>'I-Project Contingency'!$I$11</f>
        <v>64.971830985915489</v>
      </c>
      <c r="AN75" s="398">
        <f t="shared" si="21"/>
        <v>0</v>
      </c>
      <c r="AO75" s="399">
        <f t="shared" si="18"/>
        <v>0</v>
      </c>
      <c r="AP75" s="1110" t="str">
        <f t="shared" si="19"/>
        <v>Negligible</v>
      </c>
      <c r="AQ75" s="1110" t="str">
        <f t="shared" si="20"/>
        <v>Negligible</v>
      </c>
      <c r="AR75" s="618" t="str">
        <f t="shared" si="48"/>
        <v/>
      </c>
      <c r="AS75" s="618" t="str">
        <f t="shared" si="49"/>
        <v/>
      </c>
      <c r="AT75" s="8"/>
      <c r="AU75" s="412">
        <f>'I-Project Contingency'!$O$4-AE75</f>
        <v>0</v>
      </c>
      <c r="AV75" s="413">
        <v>3099768.1860032952</v>
      </c>
      <c r="AW75" s="413">
        <v>8430883.7862095013</v>
      </c>
      <c r="AX75" s="413">
        <v>11173736.674482957</v>
      </c>
      <c r="AY75" s="413">
        <f>'I-Project Contingency'!$E$66-AV75</f>
        <v>0</v>
      </c>
      <c r="AZ75" s="413">
        <f>'I-Project Contingency'!$E$69-AW75</f>
        <v>0</v>
      </c>
      <c r="BA75" s="413">
        <f>'I-Project Contingency'!$E$70-AX75</f>
        <v>0</v>
      </c>
      <c r="BB75" s="414">
        <f>'I-Project Contingency'!$O$5-AG75</f>
        <v>0</v>
      </c>
      <c r="BC75" s="415">
        <v>1.78464631257918</v>
      </c>
      <c r="BD75" s="415">
        <v>4.4807515628171739</v>
      </c>
      <c r="BE75" s="416">
        <v>5.8619163793628264</v>
      </c>
      <c r="BF75" s="415">
        <f>'I-Project Contingency'!$E$81-BC75</f>
        <v>0</v>
      </c>
      <c r="BG75" s="415">
        <f>'I-Project Contingency'!$E$84-BD75</f>
        <v>0</v>
      </c>
      <c r="BH75" s="415">
        <f>'I-Project Contingency'!$E$85-BE75</f>
        <v>0</v>
      </c>
      <c r="BI75" s="417" t="str">
        <f>IF(BK75="N/A","N/A",IF('D-Project Data'!$C$6=50%,ABS(BK75),IF('D-Project Data'!$C$6=80%,ABS(BL75),IF('D-Project Data'!$C$6=90%,ABS(BM75)))))</f>
        <v>N/A</v>
      </c>
      <c r="BJ75" s="418" t="str">
        <f>IF(BI75="N/A","N/A",RANK(BI75,$BI$18:$BI$117,0)+COUNTIF($BI$18:BI75,BI75)-1)</f>
        <v>N/A</v>
      </c>
      <c r="BK75" s="417" t="str">
        <f>IF(AY75/SUM(AY:AY)*'I-Project Contingency'!$F$66=0,"N/A",AY75/SUM(AY:AY)*'I-Project Contingency'!$F$66)</f>
        <v>N/A</v>
      </c>
      <c r="BL75" s="417" t="str">
        <f>IF(AZ75/SUM(AZ:AZ)*'I-Project Contingency'!$F$69=0,"N/A",AZ75/SUM(AZ:AZ)*'I-Project Contingency'!$F$69)</f>
        <v>N/A</v>
      </c>
      <c r="BM75" s="417" t="str">
        <f>IF(BA75/SUM(BA:BA)*'I-Project Contingency'!$F$70=0,"N/A",BA75/SUM(BA:BA)*'I-Project Contingency'!$F$70)</f>
        <v>N/A</v>
      </c>
      <c r="BN75" s="416" t="str">
        <f>IF(BP75="N/A","N/A",IF('D-Project Data'!$C$6=50%,ABS(BP75),IF('D-Project Data'!$C$6=80%,ABS(BQ75),IF('D-Project Data'!$C$6=90%,ABS(BR75)))))</f>
        <v>N/A</v>
      </c>
      <c r="BO75" s="418" t="str">
        <f>IF(BN75="N/A","N/A",RANK(BN75,$BN$18:$BN$117,0)+COUNTIF($BN$18:BN75,BN75)-1)</f>
        <v>N/A</v>
      </c>
      <c r="BP75" s="416" t="str">
        <f>IF(BF75/SUM(BF:BF)*'I-Project Contingency'!$F$81=0,"N/A",BF75/SUM(BF:BF)*'I-Project Contingency'!$F$81)</f>
        <v>N/A</v>
      </c>
      <c r="BQ75" s="416" t="str">
        <f>IF(BG75/SUM(BG:BG)*'I-Project Contingency'!$F$84=0,"N/A",BG75/SUM(BG:BG)*'I-Project Contingency'!$F$84)</f>
        <v>N/A</v>
      </c>
      <c r="BR75" s="416" t="str">
        <f>IF(BH75/SUM(BH:BH)*'I-Project Contingency'!$F$85=0,"N/A",BH75/SUM(BH:BH)*'I-Project Contingency'!$F$85)</f>
        <v>N/A</v>
      </c>
      <c r="BS75" s="418">
        <f t="shared" si="50"/>
        <v>58</v>
      </c>
      <c r="BT75" s="419" t="str">
        <f t="shared" si="51"/>
        <v xml:space="preserve">58 -  </v>
      </c>
      <c r="BU75" s="413">
        <f t="shared" si="52"/>
        <v>0</v>
      </c>
      <c r="BV75" s="413">
        <f t="shared" si="53"/>
        <v>0</v>
      </c>
      <c r="BW75" s="415">
        <f t="shared" si="54"/>
        <v>0</v>
      </c>
      <c r="BX75" s="415">
        <f t="shared" si="55"/>
        <v>0</v>
      </c>
    </row>
    <row r="76" spans="1:76" ht="43.2" x14ac:dyDescent="0.3">
      <c r="A76" s="193">
        <f t="shared" si="22"/>
        <v>59</v>
      </c>
      <c r="B76" s="194" t="s">
        <v>747</v>
      </c>
      <c r="C76" s="204" t="s">
        <v>665</v>
      </c>
      <c r="D76" s="205" t="s">
        <v>665</v>
      </c>
      <c r="E76" s="195" t="s">
        <v>665</v>
      </c>
      <c r="F76" s="196" t="s">
        <v>716</v>
      </c>
      <c r="G76" s="196" t="s">
        <v>730</v>
      </c>
      <c r="H76" s="187" t="str">
        <f>IF('H-Risk Register-Model'!F76="Certain","Relook at Basis of Estimate",INDEX('G-Assumptions'!$F$8:$J$11,MATCH(F76,'G-Assumptions'!$D$8:$D$11,0),MATCH(G76,'G-Assumptions'!$F$6:$J$6,0)))</f>
        <v>Relook at Basis of Estimate</v>
      </c>
      <c r="I76" s="197" t="s">
        <v>730</v>
      </c>
      <c r="J76" s="187" t="str">
        <f>IF('H-Risk Register-Model'!F76="Certain","Relook at Basis of Estimate",INDEX('G-Assumptions'!$F$8:$J$11,MATCH(F76,'G-Assumptions'!$D$8:$D$11,0),MATCH(I76,'G-Assumptions'!$F$6:$J$6,0)))</f>
        <v>Relook at Basis of Estimate</v>
      </c>
      <c r="K76" s="197" t="s">
        <v>747</v>
      </c>
      <c r="L76" s="197" t="s">
        <v>747</v>
      </c>
      <c r="M76" s="197"/>
      <c r="N76" s="384" t="s">
        <v>747</v>
      </c>
      <c r="O76" s="384" t="s">
        <v>747</v>
      </c>
      <c r="P76" s="198"/>
      <c r="Q76" s="198"/>
      <c r="R76" s="198"/>
      <c r="S76" s="199"/>
      <c r="T76" s="199"/>
      <c r="U76" s="199"/>
      <c r="V76" s="206"/>
      <c r="W76" s="198"/>
      <c r="X76" s="198"/>
      <c r="Y76" s="200">
        <v>1</v>
      </c>
      <c r="Z76" s="201">
        <v>1</v>
      </c>
      <c r="AA76" s="202">
        <f t="shared" si="42"/>
        <v>0</v>
      </c>
      <c r="AB76" s="202">
        <f t="shared" si="43"/>
        <v>0</v>
      </c>
      <c r="AC76" s="202">
        <f t="shared" si="44"/>
        <v>0</v>
      </c>
      <c r="AD76" s="202"/>
      <c r="AE76" s="198">
        <f t="shared" si="45"/>
        <v>0</v>
      </c>
      <c r="AF76" s="203"/>
      <c r="AG76" s="199">
        <f t="shared" si="46"/>
        <v>0</v>
      </c>
      <c r="AH76" s="195"/>
      <c r="AI76" s="195"/>
      <c r="AJ76" s="8"/>
      <c r="AK76" s="616" t="str">
        <f t="shared" si="47"/>
        <v>No</v>
      </c>
      <c r="AL76" s="617">
        <f>'I-Project Contingency'!$I$4</f>
        <v>28979098.489999998</v>
      </c>
      <c r="AM76" s="399">
        <f>'I-Project Contingency'!$I$11</f>
        <v>64.971830985915489</v>
      </c>
      <c r="AN76" s="398">
        <f t="shared" si="21"/>
        <v>0</v>
      </c>
      <c r="AO76" s="399">
        <f t="shared" si="18"/>
        <v>0</v>
      </c>
      <c r="AP76" s="1110" t="str">
        <f t="shared" si="19"/>
        <v>Negligible</v>
      </c>
      <c r="AQ76" s="1110" t="str">
        <f t="shared" si="20"/>
        <v>Negligible</v>
      </c>
      <c r="AR76" s="618" t="str">
        <f t="shared" si="48"/>
        <v/>
      </c>
      <c r="AS76" s="618" t="str">
        <f t="shared" si="49"/>
        <v/>
      </c>
      <c r="AT76" s="8"/>
      <c r="AU76" s="412">
        <f>'I-Project Contingency'!$O$4-AE76</f>
        <v>0</v>
      </c>
      <c r="AV76" s="413">
        <v>3099768.1860032952</v>
      </c>
      <c r="AW76" s="413">
        <v>8430883.7862095013</v>
      </c>
      <c r="AX76" s="413">
        <v>11173736.674482957</v>
      </c>
      <c r="AY76" s="413">
        <f>'I-Project Contingency'!$E$66-AV76</f>
        <v>0</v>
      </c>
      <c r="AZ76" s="413">
        <f>'I-Project Contingency'!$E$69-AW76</f>
        <v>0</v>
      </c>
      <c r="BA76" s="413">
        <f>'I-Project Contingency'!$E$70-AX76</f>
        <v>0</v>
      </c>
      <c r="BB76" s="414">
        <f>'I-Project Contingency'!$O$5-AG76</f>
        <v>0</v>
      </c>
      <c r="BC76" s="415">
        <v>1.78464631257918</v>
      </c>
      <c r="BD76" s="415">
        <v>4.4807515628171739</v>
      </c>
      <c r="BE76" s="416">
        <v>5.8619163793628264</v>
      </c>
      <c r="BF76" s="415">
        <f>'I-Project Contingency'!$E$81-BC76</f>
        <v>0</v>
      </c>
      <c r="BG76" s="415">
        <f>'I-Project Contingency'!$E$84-BD76</f>
        <v>0</v>
      </c>
      <c r="BH76" s="415">
        <f>'I-Project Contingency'!$E$85-BE76</f>
        <v>0</v>
      </c>
      <c r="BI76" s="417" t="str">
        <f>IF(BK76="N/A","N/A",IF('D-Project Data'!$C$6=50%,ABS(BK76),IF('D-Project Data'!$C$6=80%,ABS(BL76),IF('D-Project Data'!$C$6=90%,ABS(BM76)))))</f>
        <v>N/A</v>
      </c>
      <c r="BJ76" s="418" t="str">
        <f>IF(BI76="N/A","N/A",RANK(BI76,$BI$18:$BI$117,0)+COUNTIF($BI$18:BI76,BI76)-1)</f>
        <v>N/A</v>
      </c>
      <c r="BK76" s="417" t="str">
        <f>IF(AY76/SUM(AY:AY)*'I-Project Contingency'!$F$66=0,"N/A",AY76/SUM(AY:AY)*'I-Project Contingency'!$F$66)</f>
        <v>N/A</v>
      </c>
      <c r="BL76" s="417" t="str">
        <f>IF(AZ76/SUM(AZ:AZ)*'I-Project Contingency'!$F$69=0,"N/A",AZ76/SUM(AZ:AZ)*'I-Project Contingency'!$F$69)</f>
        <v>N/A</v>
      </c>
      <c r="BM76" s="417" t="str">
        <f>IF(BA76/SUM(BA:BA)*'I-Project Contingency'!$F$70=0,"N/A",BA76/SUM(BA:BA)*'I-Project Contingency'!$F$70)</f>
        <v>N/A</v>
      </c>
      <c r="BN76" s="416" t="str">
        <f>IF(BP76="N/A","N/A",IF('D-Project Data'!$C$6=50%,ABS(BP76),IF('D-Project Data'!$C$6=80%,ABS(BQ76),IF('D-Project Data'!$C$6=90%,ABS(BR76)))))</f>
        <v>N/A</v>
      </c>
      <c r="BO76" s="418" t="str">
        <f>IF(BN76="N/A","N/A",RANK(BN76,$BN$18:$BN$117,0)+COUNTIF($BN$18:BN76,BN76)-1)</f>
        <v>N/A</v>
      </c>
      <c r="BP76" s="416" t="str">
        <f>IF(BF76/SUM(BF:BF)*'I-Project Contingency'!$F$81=0,"N/A",BF76/SUM(BF:BF)*'I-Project Contingency'!$F$81)</f>
        <v>N/A</v>
      </c>
      <c r="BQ76" s="416" t="str">
        <f>IF(BG76/SUM(BG:BG)*'I-Project Contingency'!$F$84=0,"N/A",BG76/SUM(BG:BG)*'I-Project Contingency'!$F$84)</f>
        <v>N/A</v>
      </c>
      <c r="BR76" s="416" t="str">
        <f>IF(BH76/SUM(BH:BH)*'I-Project Contingency'!$F$85=0,"N/A",BH76/SUM(BH:BH)*'I-Project Contingency'!$F$85)</f>
        <v>N/A</v>
      </c>
      <c r="BS76" s="418">
        <f t="shared" si="50"/>
        <v>59</v>
      </c>
      <c r="BT76" s="419" t="str">
        <f t="shared" si="51"/>
        <v xml:space="preserve">59 -  </v>
      </c>
      <c r="BU76" s="413">
        <f t="shared" si="52"/>
        <v>0</v>
      </c>
      <c r="BV76" s="413">
        <f t="shared" si="53"/>
        <v>0</v>
      </c>
      <c r="BW76" s="415">
        <f t="shared" si="54"/>
        <v>0</v>
      </c>
      <c r="BX76" s="415">
        <f t="shared" si="55"/>
        <v>0</v>
      </c>
    </row>
    <row r="77" spans="1:76" ht="43.2" x14ac:dyDescent="0.3">
      <c r="A77" s="193">
        <f t="shared" si="22"/>
        <v>60</v>
      </c>
      <c r="B77" s="194" t="s">
        <v>747</v>
      </c>
      <c r="C77" s="204" t="s">
        <v>665</v>
      </c>
      <c r="D77" s="205" t="s">
        <v>665</v>
      </c>
      <c r="E77" s="195" t="s">
        <v>665</v>
      </c>
      <c r="F77" s="196" t="s">
        <v>716</v>
      </c>
      <c r="G77" s="196" t="s">
        <v>730</v>
      </c>
      <c r="H77" s="187" t="str">
        <f>IF('H-Risk Register-Model'!F77="Certain","Relook at Basis of Estimate",INDEX('G-Assumptions'!$F$8:$J$11,MATCH(F77,'G-Assumptions'!$D$8:$D$11,0),MATCH(G77,'G-Assumptions'!$F$6:$J$6,0)))</f>
        <v>Relook at Basis of Estimate</v>
      </c>
      <c r="I77" s="197" t="s">
        <v>730</v>
      </c>
      <c r="J77" s="187" t="str">
        <f>IF('H-Risk Register-Model'!F77="Certain","Relook at Basis of Estimate",INDEX('G-Assumptions'!$F$8:$J$11,MATCH(F77,'G-Assumptions'!$D$8:$D$11,0),MATCH(I77,'G-Assumptions'!$F$6:$J$6,0)))</f>
        <v>Relook at Basis of Estimate</v>
      </c>
      <c r="K77" s="197" t="s">
        <v>747</v>
      </c>
      <c r="L77" s="197" t="s">
        <v>747</v>
      </c>
      <c r="M77" s="197"/>
      <c r="N77" s="384" t="s">
        <v>747</v>
      </c>
      <c r="O77" s="384" t="s">
        <v>747</v>
      </c>
      <c r="P77" s="198"/>
      <c r="Q77" s="198"/>
      <c r="R77" s="198"/>
      <c r="S77" s="199"/>
      <c r="T77" s="199"/>
      <c r="U77" s="199"/>
      <c r="V77" s="206"/>
      <c r="W77" s="198"/>
      <c r="X77" s="198"/>
      <c r="Y77" s="200">
        <v>1</v>
      </c>
      <c r="Z77" s="201">
        <v>1</v>
      </c>
      <c r="AA77" s="202">
        <f t="shared" si="42"/>
        <v>0</v>
      </c>
      <c r="AB77" s="202">
        <f t="shared" si="43"/>
        <v>0</v>
      </c>
      <c r="AC77" s="202">
        <f t="shared" si="44"/>
        <v>0</v>
      </c>
      <c r="AD77" s="202"/>
      <c r="AE77" s="198">
        <f t="shared" si="45"/>
        <v>0</v>
      </c>
      <c r="AF77" s="203"/>
      <c r="AG77" s="199">
        <f t="shared" si="46"/>
        <v>0</v>
      </c>
      <c r="AH77" s="195"/>
      <c r="AI77" s="195"/>
      <c r="AJ77" s="8"/>
      <c r="AK77" s="616" t="str">
        <f t="shared" si="47"/>
        <v>No</v>
      </c>
      <c r="AL77" s="617">
        <f>'I-Project Contingency'!$I$4</f>
        <v>28979098.489999998</v>
      </c>
      <c r="AM77" s="399">
        <f>'I-Project Contingency'!$I$11</f>
        <v>64.971830985915489</v>
      </c>
      <c r="AN77" s="398">
        <f t="shared" si="21"/>
        <v>0</v>
      </c>
      <c r="AO77" s="399">
        <f t="shared" si="18"/>
        <v>0</v>
      </c>
      <c r="AP77" s="1110" t="str">
        <f t="shared" si="19"/>
        <v>Negligible</v>
      </c>
      <c r="AQ77" s="1110" t="str">
        <f t="shared" si="20"/>
        <v>Negligible</v>
      </c>
      <c r="AR77" s="618" t="str">
        <f t="shared" si="48"/>
        <v/>
      </c>
      <c r="AS77" s="618" t="str">
        <f t="shared" si="49"/>
        <v/>
      </c>
      <c r="AT77" s="8"/>
      <c r="AU77" s="412">
        <f>'I-Project Contingency'!$O$4-AE77</f>
        <v>0</v>
      </c>
      <c r="AV77" s="413">
        <v>3099768.1860032952</v>
      </c>
      <c r="AW77" s="413">
        <v>8430883.7862095013</v>
      </c>
      <c r="AX77" s="413">
        <v>11173736.674482957</v>
      </c>
      <c r="AY77" s="413">
        <f>'I-Project Contingency'!$E$66-AV77</f>
        <v>0</v>
      </c>
      <c r="AZ77" s="413">
        <f>'I-Project Contingency'!$E$69-AW77</f>
        <v>0</v>
      </c>
      <c r="BA77" s="413">
        <f>'I-Project Contingency'!$E$70-AX77</f>
        <v>0</v>
      </c>
      <c r="BB77" s="414">
        <f>'I-Project Contingency'!$O$5-AG77</f>
        <v>0</v>
      </c>
      <c r="BC77" s="415">
        <v>1.78464631257918</v>
      </c>
      <c r="BD77" s="415">
        <v>4.4807515628171739</v>
      </c>
      <c r="BE77" s="416">
        <v>5.8619163793628264</v>
      </c>
      <c r="BF77" s="415">
        <f>'I-Project Contingency'!$E$81-BC77</f>
        <v>0</v>
      </c>
      <c r="BG77" s="415">
        <f>'I-Project Contingency'!$E$84-BD77</f>
        <v>0</v>
      </c>
      <c r="BH77" s="415">
        <f>'I-Project Contingency'!$E$85-BE77</f>
        <v>0</v>
      </c>
      <c r="BI77" s="417" t="str">
        <f>IF(BK77="N/A","N/A",IF('D-Project Data'!$C$6=50%,ABS(BK77),IF('D-Project Data'!$C$6=80%,ABS(BL77),IF('D-Project Data'!$C$6=90%,ABS(BM77)))))</f>
        <v>N/A</v>
      </c>
      <c r="BJ77" s="418" t="str">
        <f>IF(BI77="N/A","N/A",RANK(BI77,$BI$18:$BI$117,0)+COUNTIF($BI$18:BI77,BI77)-1)</f>
        <v>N/A</v>
      </c>
      <c r="BK77" s="417" t="str">
        <f>IF(AY77/SUM(AY:AY)*'I-Project Contingency'!$F$66=0,"N/A",AY77/SUM(AY:AY)*'I-Project Contingency'!$F$66)</f>
        <v>N/A</v>
      </c>
      <c r="BL77" s="417" t="str">
        <f>IF(AZ77/SUM(AZ:AZ)*'I-Project Contingency'!$F$69=0,"N/A",AZ77/SUM(AZ:AZ)*'I-Project Contingency'!$F$69)</f>
        <v>N/A</v>
      </c>
      <c r="BM77" s="417" t="str">
        <f>IF(BA77/SUM(BA:BA)*'I-Project Contingency'!$F$70=0,"N/A",BA77/SUM(BA:BA)*'I-Project Contingency'!$F$70)</f>
        <v>N/A</v>
      </c>
      <c r="BN77" s="416" t="str">
        <f>IF(BP77="N/A","N/A",IF('D-Project Data'!$C$6=50%,ABS(BP77),IF('D-Project Data'!$C$6=80%,ABS(BQ77),IF('D-Project Data'!$C$6=90%,ABS(BR77)))))</f>
        <v>N/A</v>
      </c>
      <c r="BO77" s="418" t="str">
        <f>IF(BN77="N/A","N/A",RANK(BN77,$BN$18:$BN$117,0)+COUNTIF($BN$18:BN77,BN77)-1)</f>
        <v>N/A</v>
      </c>
      <c r="BP77" s="416" t="str">
        <f>IF(BF77/SUM(BF:BF)*'I-Project Contingency'!$F$81=0,"N/A",BF77/SUM(BF:BF)*'I-Project Contingency'!$F$81)</f>
        <v>N/A</v>
      </c>
      <c r="BQ77" s="416" t="str">
        <f>IF(BG77/SUM(BG:BG)*'I-Project Contingency'!$F$84=0,"N/A",BG77/SUM(BG:BG)*'I-Project Contingency'!$F$84)</f>
        <v>N/A</v>
      </c>
      <c r="BR77" s="416" t="str">
        <f>IF(BH77/SUM(BH:BH)*'I-Project Contingency'!$F$85=0,"N/A",BH77/SUM(BH:BH)*'I-Project Contingency'!$F$85)</f>
        <v>N/A</v>
      </c>
      <c r="BS77" s="418">
        <f t="shared" si="50"/>
        <v>60</v>
      </c>
      <c r="BT77" s="419" t="str">
        <f t="shared" si="51"/>
        <v xml:space="preserve">60 -  </v>
      </c>
      <c r="BU77" s="413">
        <f t="shared" si="52"/>
        <v>0</v>
      </c>
      <c r="BV77" s="413">
        <f t="shared" si="53"/>
        <v>0</v>
      </c>
      <c r="BW77" s="415">
        <f t="shared" si="54"/>
        <v>0</v>
      </c>
      <c r="BX77" s="415">
        <f t="shared" si="55"/>
        <v>0</v>
      </c>
    </row>
    <row r="78" spans="1:76" ht="43.2" x14ac:dyDescent="0.3">
      <c r="A78" s="193">
        <f t="shared" si="22"/>
        <v>61</v>
      </c>
      <c r="B78" s="194" t="s">
        <v>747</v>
      </c>
      <c r="C78" s="204" t="s">
        <v>665</v>
      </c>
      <c r="D78" s="205" t="s">
        <v>665</v>
      </c>
      <c r="E78" s="195" t="s">
        <v>665</v>
      </c>
      <c r="F78" s="196" t="s">
        <v>716</v>
      </c>
      <c r="G78" s="196" t="s">
        <v>730</v>
      </c>
      <c r="H78" s="187" t="str">
        <f>IF('H-Risk Register-Model'!F78="Certain","Relook at Basis of Estimate",INDEX('G-Assumptions'!$F$8:$J$11,MATCH(F78,'G-Assumptions'!$D$8:$D$11,0),MATCH(G78,'G-Assumptions'!$F$6:$J$6,0)))</f>
        <v>Relook at Basis of Estimate</v>
      </c>
      <c r="I78" s="197" t="s">
        <v>730</v>
      </c>
      <c r="J78" s="187" t="str">
        <f>IF('H-Risk Register-Model'!F78="Certain","Relook at Basis of Estimate",INDEX('G-Assumptions'!$F$8:$J$11,MATCH(F78,'G-Assumptions'!$D$8:$D$11,0),MATCH(I78,'G-Assumptions'!$F$6:$J$6,0)))</f>
        <v>Relook at Basis of Estimate</v>
      </c>
      <c r="K78" s="197" t="s">
        <v>747</v>
      </c>
      <c r="L78" s="197" t="s">
        <v>747</v>
      </c>
      <c r="M78" s="197"/>
      <c r="N78" s="384" t="s">
        <v>747</v>
      </c>
      <c r="O78" s="384" t="s">
        <v>747</v>
      </c>
      <c r="P78" s="198"/>
      <c r="Q78" s="198"/>
      <c r="R78" s="198"/>
      <c r="S78" s="199"/>
      <c r="T78" s="199"/>
      <c r="U78" s="199"/>
      <c r="V78" s="206"/>
      <c r="W78" s="198"/>
      <c r="X78" s="198"/>
      <c r="Y78" s="200">
        <v>1</v>
      </c>
      <c r="Z78" s="201">
        <v>1</v>
      </c>
      <c r="AA78" s="202">
        <f t="shared" si="42"/>
        <v>0</v>
      </c>
      <c r="AB78" s="202">
        <f t="shared" si="43"/>
        <v>0</v>
      </c>
      <c r="AC78" s="202">
        <f t="shared" si="44"/>
        <v>0</v>
      </c>
      <c r="AD78" s="202"/>
      <c r="AE78" s="198">
        <f t="shared" si="45"/>
        <v>0</v>
      </c>
      <c r="AF78" s="203"/>
      <c r="AG78" s="199">
        <f t="shared" si="46"/>
        <v>0</v>
      </c>
      <c r="AH78" s="195"/>
      <c r="AI78" s="195"/>
      <c r="AJ78" s="8"/>
      <c r="AK78" s="616" t="str">
        <f t="shared" si="47"/>
        <v>No</v>
      </c>
      <c r="AL78" s="617">
        <f>'I-Project Contingency'!$I$4</f>
        <v>28979098.489999998</v>
      </c>
      <c r="AM78" s="399">
        <f>'I-Project Contingency'!$I$11</f>
        <v>64.971830985915489</v>
      </c>
      <c r="AN78" s="398">
        <f t="shared" si="21"/>
        <v>0</v>
      </c>
      <c r="AO78" s="399">
        <f t="shared" si="18"/>
        <v>0</v>
      </c>
      <c r="AP78" s="1110" t="str">
        <f t="shared" si="19"/>
        <v>Negligible</v>
      </c>
      <c r="AQ78" s="1110" t="str">
        <f t="shared" si="20"/>
        <v>Negligible</v>
      </c>
      <c r="AR78" s="618" t="str">
        <f t="shared" si="48"/>
        <v/>
      </c>
      <c r="AS78" s="618" t="str">
        <f t="shared" si="49"/>
        <v/>
      </c>
      <c r="AT78" s="8"/>
      <c r="AU78" s="412">
        <f>'I-Project Contingency'!$O$4-AE78</f>
        <v>0</v>
      </c>
      <c r="AV78" s="413">
        <v>3099768.1860032952</v>
      </c>
      <c r="AW78" s="413">
        <v>8430883.7862095013</v>
      </c>
      <c r="AX78" s="413">
        <v>11173736.674482957</v>
      </c>
      <c r="AY78" s="413">
        <f>'I-Project Contingency'!$E$66-AV78</f>
        <v>0</v>
      </c>
      <c r="AZ78" s="413">
        <f>'I-Project Contingency'!$E$69-AW78</f>
        <v>0</v>
      </c>
      <c r="BA78" s="413">
        <f>'I-Project Contingency'!$E$70-AX78</f>
        <v>0</v>
      </c>
      <c r="BB78" s="414">
        <f>'I-Project Contingency'!$O$5-AG78</f>
        <v>0</v>
      </c>
      <c r="BC78" s="415">
        <v>1.78464631257918</v>
      </c>
      <c r="BD78" s="415">
        <v>4.4807515628171739</v>
      </c>
      <c r="BE78" s="416">
        <v>5.8619163793628264</v>
      </c>
      <c r="BF78" s="415">
        <f>'I-Project Contingency'!$E$81-BC78</f>
        <v>0</v>
      </c>
      <c r="BG78" s="415">
        <f>'I-Project Contingency'!$E$84-BD78</f>
        <v>0</v>
      </c>
      <c r="BH78" s="415">
        <f>'I-Project Contingency'!$E$85-BE78</f>
        <v>0</v>
      </c>
      <c r="BI78" s="417" t="str">
        <f>IF(BK78="N/A","N/A",IF('D-Project Data'!$C$6=50%,ABS(BK78),IF('D-Project Data'!$C$6=80%,ABS(BL78),IF('D-Project Data'!$C$6=90%,ABS(BM78)))))</f>
        <v>N/A</v>
      </c>
      <c r="BJ78" s="418" t="str">
        <f>IF(BI78="N/A","N/A",RANK(BI78,$BI$18:$BI$117,0)+COUNTIF($BI$18:BI78,BI78)-1)</f>
        <v>N/A</v>
      </c>
      <c r="BK78" s="417" t="str">
        <f>IF(AY78/SUM(AY:AY)*'I-Project Contingency'!$F$66=0,"N/A",AY78/SUM(AY:AY)*'I-Project Contingency'!$F$66)</f>
        <v>N/A</v>
      </c>
      <c r="BL78" s="417" t="str">
        <f>IF(AZ78/SUM(AZ:AZ)*'I-Project Contingency'!$F$69=0,"N/A",AZ78/SUM(AZ:AZ)*'I-Project Contingency'!$F$69)</f>
        <v>N/A</v>
      </c>
      <c r="BM78" s="417" t="str">
        <f>IF(BA78/SUM(BA:BA)*'I-Project Contingency'!$F$70=0,"N/A",BA78/SUM(BA:BA)*'I-Project Contingency'!$F$70)</f>
        <v>N/A</v>
      </c>
      <c r="BN78" s="416" t="str">
        <f>IF(BP78="N/A","N/A",IF('D-Project Data'!$C$6=50%,ABS(BP78),IF('D-Project Data'!$C$6=80%,ABS(BQ78),IF('D-Project Data'!$C$6=90%,ABS(BR78)))))</f>
        <v>N/A</v>
      </c>
      <c r="BO78" s="418" t="str">
        <f>IF(BN78="N/A","N/A",RANK(BN78,$BN$18:$BN$117,0)+COUNTIF($BN$18:BN78,BN78)-1)</f>
        <v>N/A</v>
      </c>
      <c r="BP78" s="416" t="str">
        <f>IF(BF78/SUM(BF:BF)*'I-Project Contingency'!$F$81=0,"N/A",BF78/SUM(BF:BF)*'I-Project Contingency'!$F$81)</f>
        <v>N/A</v>
      </c>
      <c r="BQ78" s="416" t="str">
        <f>IF(BG78/SUM(BG:BG)*'I-Project Contingency'!$F$84=0,"N/A",BG78/SUM(BG:BG)*'I-Project Contingency'!$F$84)</f>
        <v>N/A</v>
      </c>
      <c r="BR78" s="416" t="str">
        <f>IF(BH78/SUM(BH:BH)*'I-Project Contingency'!$F$85=0,"N/A",BH78/SUM(BH:BH)*'I-Project Contingency'!$F$85)</f>
        <v>N/A</v>
      </c>
      <c r="BS78" s="418">
        <f t="shared" si="50"/>
        <v>61</v>
      </c>
      <c r="BT78" s="419" t="str">
        <f t="shared" si="51"/>
        <v xml:space="preserve">61 -  </v>
      </c>
      <c r="BU78" s="413">
        <f t="shared" si="52"/>
        <v>0</v>
      </c>
      <c r="BV78" s="413">
        <f t="shared" si="53"/>
        <v>0</v>
      </c>
      <c r="BW78" s="415">
        <f t="shared" si="54"/>
        <v>0</v>
      </c>
      <c r="BX78" s="415">
        <f t="shared" si="55"/>
        <v>0</v>
      </c>
    </row>
    <row r="79" spans="1:76" ht="43.2" x14ac:dyDescent="0.3">
      <c r="A79" s="193">
        <f t="shared" si="22"/>
        <v>62</v>
      </c>
      <c r="B79" s="194" t="s">
        <v>747</v>
      </c>
      <c r="C79" s="204" t="s">
        <v>665</v>
      </c>
      <c r="D79" s="205" t="s">
        <v>665</v>
      </c>
      <c r="E79" s="195" t="s">
        <v>665</v>
      </c>
      <c r="F79" s="196" t="s">
        <v>716</v>
      </c>
      <c r="G79" s="196" t="s">
        <v>730</v>
      </c>
      <c r="H79" s="187" t="str">
        <f>IF('H-Risk Register-Model'!F79="Certain","Relook at Basis of Estimate",INDEX('G-Assumptions'!$F$8:$J$11,MATCH(F79,'G-Assumptions'!$D$8:$D$11,0),MATCH(G79,'G-Assumptions'!$F$6:$J$6,0)))</f>
        <v>Relook at Basis of Estimate</v>
      </c>
      <c r="I79" s="197" t="s">
        <v>730</v>
      </c>
      <c r="J79" s="187" t="str">
        <f>IF('H-Risk Register-Model'!F79="Certain","Relook at Basis of Estimate",INDEX('G-Assumptions'!$F$8:$J$11,MATCH(F79,'G-Assumptions'!$D$8:$D$11,0),MATCH(I79,'G-Assumptions'!$F$6:$J$6,0)))</f>
        <v>Relook at Basis of Estimate</v>
      </c>
      <c r="K79" s="197" t="s">
        <v>747</v>
      </c>
      <c r="L79" s="197" t="s">
        <v>747</v>
      </c>
      <c r="M79" s="197"/>
      <c r="N79" s="384" t="s">
        <v>747</v>
      </c>
      <c r="O79" s="384" t="s">
        <v>747</v>
      </c>
      <c r="P79" s="198"/>
      <c r="Q79" s="198"/>
      <c r="R79" s="198"/>
      <c r="S79" s="199"/>
      <c r="T79" s="199"/>
      <c r="U79" s="199"/>
      <c r="V79" s="206"/>
      <c r="W79" s="198"/>
      <c r="X79" s="198"/>
      <c r="Y79" s="200">
        <v>1</v>
      </c>
      <c r="Z79" s="201">
        <v>1</v>
      </c>
      <c r="AA79" s="202">
        <f t="shared" si="42"/>
        <v>0</v>
      </c>
      <c r="AB79" s="202">
        <f t="shared" si="43"/>
        <v>0</v>
      </c>
      <c r="AC79" s="202">
        <f t="shared" si="44"/>
        <v>0</v>
      </c>
      <c r="AD79" s="202"/>
      <c r="AE79" s="198">
        <f t="shared" si="45"/>
        <v>0</v>
      </c>
      <c r="AF79" s="203"/>
      <c r="AG79" s="199">
        <f t="shared" si="46"/>
        <v>0</v>
      </c>
      <c r="AH79" s="195"/>
      <c r="AI79" s="195"/>
      <c r="AJ79" s="8"/>
      <c r="AK79" s="616" t="str">
        <f t="shared" si="47"/>
        <v>No</v>
      </c>
      <c r="AL79" s="617">
        <f>'I-Project Contingency'!$I$4</f>
        <v>28979098.489999998</v>
      </c>
      <c r="AM79" s="399">
        <f>'I-Project Contingency'!$I$11</f>
        <v>64.971830985915489</v>
      </c>
      <c r="AN79" s="398">
        <f t="shared" si="21"/>
        <v>0</v>
      </c>
      <c r="AO79" s="399">
        <f t="shared" si="18"/>
        <v>0</v>
      </c>
      <c r="AP79" s="1110" t="str">
        <f t="shared" si="19"/>
        <v>Negligible</v>
      </c>
      <c r="AQ79" s="1110" t="str">
        <f t="shared" si="20"/>
        <v>Negligible</v>
      </c>
      <c r="AR79" s="618" t="str">
        <f t="shared" si="48"/>
        <v/>
      </c>
      <c r="AS79" s="618" t="str">
        <f t="shared" si="49"/>
        <v/>
      </c>
      <c r="AT79" s="8"/>
      <c r="AU79" s="412">
        <f>'I-Project Contingency'!$O$4-AE79</f>
        <v>0</v>
      </c>
      <c r="AV79" s="413">
        <v>3099768.1860032952</v>
      </c>
      <c r="AW79" s="413">
        <v>8430883.7862095013</v>
      </c>
      <c r="AX79" s="413">
        <v>11173736.674482957</v>
      </c>
      <c r="AY79" s="413">
        <f>'I-Project Contingency'!$E$66-AV79</f>
        <v>0</v>
      </c>
      <c r="AZ79" s="413">
        <f>'I-Project Contingency'!$E$69-AW79</f>
        <v>0</v>
      </c>
      <c r="BA79" s="413">
        <f>'I-Project Contingency'!$E$70-AX79</f>
        <v>0</v>
      </c>
      <c r="BB79" s="414">
        <f>'I-Project Contingency'!$O$5-AG79</f>
        <v>0</v>
      </c>
      <c r="BC79" s="415">
        <v>1.78464631257918</v>
      </c>
      <c r="BD79" s="415">
        <v>4.4807515628171739</v>
      </c>
      <c r="BE79" s="416">
        <v>5.8619163793628264</v>
      </c>
      <c r="BF79" s="415">
        <f>'I-Project Contingency'!$E$81-BC79</f>
        <v>0</v>
      </c>
      <c r="BG79" s="415">
        <f>'I-Project Contingency'!$E$84-BD79</f>
        <v>0</v>
      </c>
      <c r="BH79" s="415">
        <f>'I-Project Contingency'!$E$85-BE79</f>
        <v>0</v>
      </c>
      <c r="BI79" s="417" t="str">
        <f>IF(BK79="N/A","N/A",IF('D-Project Data'!$C$6=50%,ABS(BK79),IF('D-Project Data'!$C$6=80%,ABS(BL79),IF('D-Project Data'!$C$6=90%,ABS(BM79)))))</f>
        <v>N/A</v>
      </c>
      <c r="BJ79" s="418" t="str">
        <f>IF(BI79="N/A","N/A",RANK(BI79,$BI$18:$BI$117,0)+COUNTIF($BI$18:BI79,BI79)-1)</f>
        <v>N/A</v>
      </c>
      <c r="BK79" s="417" t="str">
        <f>IF(AY79/SUM(AY:AY)*'I-Project Contingency'!$F$66=0,"N/A",AY79/SUM(AY:AY)*'I-Project Contingency'!$F$66)</f>
        <v>N/A</v>
      </c>
      <c r="BL79" s="417" t="str">
        <f>IF(AZ79/SUM(AZ:AZ)*'I-Project Contingency'!$F$69=0,"N/A",AZ79/SUM(AZ:AZ)*'I-Project Contingency'!$F$69)</f>
        <v>N/A</v>
      </c>
      <c r="BM79" s="417" t="str">
        <f>IF(BA79/SUM(BA:BA)*'I-Project Contingency'!$F$70=0,"N/A",BA79/SUM(BA:BA)*'I-Project Contingency'!$F$70)</f>
        <v>N/A</v>
      </c>
      <c r="BN79" s="416" t="str">
        <f>IF(BP79="N/A","N/A",IF('D-Project Data'!$C$6=50%,ABS(BP79),IF('D-Project Data'!$C$6=80%,ABS(BQ79),IF('D-Project Data'!$C$6=90%,ABS(BR79)))))</f>
        <v>N/A</v>
      </c>
      <c r="BO79" s="418" t="str">
        <f>IF(BN79="N/A","N/A",RANK(BN79,$BN$18:$BN$117,0)+COUNTIF($BN$18:BN79,BN79)-1)</f>
        <v>N/A</v>
      </c>
      <c r="BP79" s="416" t="str">
        <f>IF(BF79/SUM(BF:BF)*'I-Project Contingency'!$F$81=0,"N/A",BF79/SUM(BF:BF)*'I-Project Contingency'!$F$81)</f>
        <v>N/A</v>
      </c>
      <c r="BQ79" s="416" t="str">
        <f>IF(BG79/SUM(BG:BG)*'I-Project Contingency'!$F$84=0,"N/A",BG79/SUM(BG:BG)*'I-Project Contingency'!$F$84)</f>
        <v>N/A</v>
      </c>
      <c r="BR79" s="416" t="str">
        <f>IF(BH79/SUM(BH:BH)*'I-Project Contingency'!$F$85=0,"N/A",BH79/SUM(BH:BH)*'I-Project Contingency'!$F$85)</f>
        <v>N/A</v>
      </c>
      <c r="BS79" s="418">
        <f t="shared" si="50"/>
        <v>62</v>
      </c>
      <c r="BT79" s="419" t="str">
        <f t="shared" si="51"/>
        <v xml:space="preserve">62 -  </v>
      </c>
      <c r="BU79" s="413">
        <f t="shared" si="52"/>
        <v>0</v>
      </c>
      <c r="BV79" s="413">
        <f t="shared" si="53"/>
        <v>0</v>
      </c>
      <c r="BW79" s="415">
        <f t="shared" si="54"/>
        <v>0</v>
      </c>
      <c r="BX79" s="415">
        <f t="shared" si="55"/>
        <v>0</v>
      </c>
    </row>
    <row r="80" spans="1:76" ht="43.2" x14ac:dyDescent="0.3">
      <c r="A80" s="193">
        <f t="shared" si="22"/>
        <v>63</v>
      </c>
      <c r="B80" s="194" t="s">
        <v>747</v>
      </c>
      <c r="C80" s="204" t="s">
        <v>665</v>
      </c>
      <c r="D80" s="205" t="s">
        <v>665</v>
      </c>
      <c r="E80" s="195" t="s">
        <v>665</v>
      </c>
      <c r="F80" s="196" t="s">
        <v>716</v>
      </c>
      <c r="G80" s="196" t="s">
        <v>730</v>
      </c>
      <c r="H80" s="187" t="str">
        <f>IF('H-Risk Register-Model'!F80="Certain","Relook at Basis of Estimate",INDEX('G-Assumptions'!$F$8:$J$11,MATCH(F80,'G-Assumptions'!$D$8:$D$11,0),MATCH(G80,'G-Assumptions'!$F$6:$J$6,0)))</f>
        <v>Relook at Basis of Estimate</v>
      </c>
      <c r="I80" s="197" t="s">
        <v>730</v>
      </c>
      <c r="J80" s="187" t="str">
        <f>IF('H-Risk Register-Model'!F80="Certain","Relook at Basis of Estimate",INDEX('G-Assumptions'!$F$8:$J$11,MATCH(F80,'G-Assumptions'!$D$8:$D$11,0),MATCH(I80,'G-Assumptions'!$F$6:$J$6,0)))</f>
        <v>Relook at Basis of Estimate</v>
      </c>
      <c r="K80" s="197" t="s">
        <v>747</v>
      </c>
      <c r="L80" s="197" t="s">
        <v>747</v>
      </c>
      <c r="M80" s="197"/>
      <c r="N80" s="384" t="s">
        <v>747</v>
      </c>
      <c r="O80" s="384" t="s">
        <v>747</v>
      </c>
      <c r="P80" s="198"/>
      <c r="Q80" s="198"/>
      <c r="R80" s="198"/>
      <c r="S80" s="199"/>
      <c r="T80" s="199"/>
      <c r="U80" s="199"/>
      <c r="V80" s="206"/>
      <c r="W80" s="198"/>
      <c r="X80" s="198"/>
      <c r="Y80" s="200">
        <v>1</v>
      </c>
      <c r="Z80" s="201">
        <v>1</v>
      </c>
      <c r="AA80" s="202">
        <f t="shared" si="42"/>
        <v>0</v>
      </c>
      <c r="AB80" s="202">
        <f t="shared" si="43"/>
        <v>0</v>
      </c>
      <c r="AC80" s="202">
        <f t="shared" si="44"/>
        <v>0</v>
      </c>
      <c r="AD80" s="202"/>
      <c r="AE80" s="198">
        <f t="shared" si="45"/>
        <v>0</v>
      </c>
      <c r="AF80" s="203"/>
      <c r="AG80" s="199">
        <f t="shared" si="46"/>
        <v>0</v>
      </c>
      <c r="AH80" s="195"/>
      <c r="AI80" s="195"/>
      <c r="AJ80" s="8"/>
      <c r="AK80" s="616" t="str">
        <f t="shared" si="47"/>
        <v>No</v>
      </c>
      <c r="AL80" s="617">
        <f>'I-Project Contingency'!$I$4</f>
        <v>28979098.489999998</v>
      </c>
      <c r="AM80" s="399">
        <f>'I-Project Contingency'!$I$11</f>
        <v>64.971830985915489</v>
      </c>
      <c r="AN80" s="398">
        <f t="shared" si="21"/>
        <v>0</v>
      </c>
      <c r="AO80" s="399">
        <f t="shared" si="18"/>
        <v>0</v>
      </c>
      <c r="AP80" s="1110" t="str">
        <f t="shared" si="19"/>
        <v>Negligible</v>
      </c>
      <c r="AQ80" s="1110" t="str">
        <f t="shared" si="20"/>
        <v>Negligible</v>
      </c>
      <c r="AR80" s="618" t="str">
        <f t="shared" si="48"/>
        <v/>
      </c>
      <c r="AS80" s="618" t="str">
        <f t="shared" si="49"/>
        <v/>
      </c>
      <c r="AT80" s="8"/>
      <c r="AU80" s="412">
        <f>'I-Project Contingency'!$O$4-AE80</f>
        <v>0</v>
      </c>
      <c r="AV80" s="413">
        <v>3099768.1860032952</v>
      </c>
      <c r="AW80" s="413">
        <v>8430883.7862095013</v>
      </c>
      <c r="AX80" s="413">
        <v>11173736.674482957</v>
      </c>
      <c r="AY80" s="413">
        <f>'I-Project Contingency'!$E$66-AV80</f>
        <v>0</v>
      </c>
      <c r="AZ80" s="413">
        <f>'I-Project Contingency'!$E$69-AW80</f>
        <v>0</v>
      </c>
      <c r="BA80" s="413">
        <f>'I-Project Contingency'!$E$70-AX80</f>
        <v>0</v>
      </c>
      <c r="BB80" s="414">
        <f>'I-Project Contingency'!$O$5-AG80</f>
        <v>0</v>
      </c>
      <c r="BC80" s="415">
        <v>1.78464631257918</v>
      </c>
      <c r="BD80" s="415">
        <v>4.4807515628171739</v>
      </c>
      <c r="BE80" s="416">
        <v>5.8619163793628264</v>
      </c>
      <c r="BF80" s="415">
        <f>'I-Project Contingency'!$E$81-BC80</f>
        <v>0</v>
      </c>
      <c r="BG80" s="415">
        <f>'I-Project Contingency'!$E$84-BD80</f>
        <v>0</v>
      </c>
      <c r="BH80" s="415">
        <f>'I-Project Contingency'!$E$85-BE80</f>
        <v>0</v>
      </c>
      <c r="BI80" s="417" t="str">
        <f>IF(BK80="N/A","N/A",IF('D-Project Data'!$C$6=50%,ABS(BK80),IF('D-Project Data'!$C$6=80%,ABS(BL80),IF('D-Project Data'!$C$6=90%,ABS(BM80)))))</f>
        <v>N/A</v>
      </c>
      <c r="BJ80" s="418" t="str">
        <f>IF(BI80="N/A","N/A",RANK(BI80,$BI$18:$BI$117,0)+COUNTIF($BI$18:BI80,BI80)-1)</f>
        <v>N/A</v>
      </c>
      <c r="BK80" s="417" t="str">
        <f>IF(AY80/SUM(AY:AY)*'I-Project Contingency'!$F$66=0,"N/A",AY80/SUM(AY:AY)*'I-Project Contingency'!$F$66)</f>
        <v>N/A</v>
      </c>
      <c r="BL80" s="417" t="str">
        <f>IF(AZ80/SUM(AZ:AZ)*'I-Project Contingency'!$F$69=0,"N/A",AZ80/SUM(AZ:AZ)*'I-Project Contingency'!$F$69)</f>
        <v>N/A</v>
      </c>
      <c r="BM80" s="417" t="str">
        <f>IF(BA80/SUM(BA:BA)*'I-Project Contingency'!$F$70=0,"N/A",BA80/SUM(BA:BA)*'I-Project Contingency'!$F$70)</f>
        <v>N/A</v>
      </c>
      <c r="BN80" s="416" t="str">
        <f>IF(BP80="N/A","N/A",IF('D-Project Data'!$C$6=50%,ABS(BP80),IF('D-Project Data'!$C$6=80%,ABS(BQ80),IF('D-Project Data'!$C$6=90%,ABS(BR80)))))</f>
        <v>N/A</v>
      </c>
      <c r="BO80" s="418" t="str">
        <f>IF(BN80="N/A","N/A",RANK(BN80,$BN$18:$BN$117,0)+COUNTIF($BN$18:BN80,BN80)-1)</f>
        <v>N/A</v>
      </c>
      <c r="BP80" s="416" t="str">
        <f>IF(BF80/SUM(BF:BF)*'I-Project Contingency'!$F$81=0,"N/A",BF80/SUM(BF:BF)*'I-Project Contingency'!$F$81)</f>
        <v>N/A</v>
      </c>
      <c r="BQ80" s="416" t="str">
        <f>IF(BG80/SUM(BG:BG)*'I-Project Contingency'!$F$84=0,"N/A",BG80/SUM(BG:BG)*'I-Project Contingency'!$F$84)</f>
        <v>N/A</v>
      </c>
      <c r="BR80" s="416" t="str">
        <f>IF(BH80/SUM(BH:BH)*'I-Project Contingency'!$F$85=0,"N/A",BH80/SUM(BH:BH)*'I-Project Contingency'!$F$85)</f>
        <v>N/A</v>
      </c>
      <c r="BS80" s="418">
        <f t="shared" si="50"/>
        <v>63</v>
      </c>
      <c r="BT80" s="419" t="str">
        <f t="shared" si="51"/>
        <v xml:space="preserve">63 -  </v>
      </c>
      <c r="BU80" s="413">
        <f t="shared" si="52"/>
        <v>0</v>
      </c>
      <c r="BV80" s="413">
        <f t="shared" si="53"/>
        <v>0</v>
      </c>
      <c r="BW80" s="415">
        <f t="shared" si="54"/>
        <v>0</v>
      </c>
      <c r="BX80" s="415">
        <f t="shared" si="55"/>
        <v>0</v>
      </c>
    </row>
    <row r="81" spans="1:76" ht="43.2" x14ac:dyDescent="0.3">
      <c r="A81" s="193">
        <f t="shared" si="22"/>
        <v>64</v>
      </c>
      <c r="B81" s="194" t="s">
        <v>747</v>
      </c>
      <c r="C81" s="204" t="s">
        <v>665</v>
      </c>
      <c r="D81" s="205" t="s">
        <v>665</v>
      </c>
      <c r="E81" s="195" t="s">
        <v>665</v>
      </c>
      <c r="F81" s="196" t="s">
        <v>716</v>
      </c>
      <c r="G81" s="196" t="s">
        <v>730</v>
      </c>
      <c r="H81" s="187" t="str">
        <f>IF('H-Risk Register-Model'!F81="Certain","Relook at Basis of Estimate",INDEX('G-Assumptions'!$F$8:$J$11,MATCH(F81,'G-Assumptions'!$D$8:$D$11,0),MATCH(G81,'G-Assumptions'!$F$6:$J$6,0)))</f>
        <v>Relook at Basis of Estimate</v>
      </c>
      <c r="I81" s="197" t="s">
        <v>730</v>
      </c>
      <c r="J81" s="187" t="str">
        <f>IF('H-Risk Register-Model'!F81="Certain","Relook at Basis of Estimate",INDEX('G-Assumptions'!$F$8:$J$11,MATCH(F81,'G-Assumptions'!$D$8:$D$11,0),MATCH(I81,'G-Assumptions'!$F$6:$J$6,0)))</f>
        <v>Relook at Basis of Estimate</v>
      </c>
      <c r="K81" s="197" t="s">
        <v>747</v>
      </c>
      <c r="L81" s="197" t="s">
        <v>747</v>
      </c>
      <c r="M81" s="197"/>
      <c r="N81" s="384" t="s">
        <v>747</v>
      </c>
      <c r="O81" s="384" t="s">
        <v>747</v>
      </c>
      <c r="P81" s="198"/>
      <c r="Q81" s="198"/>
      <c r="R81" s="198"/>
      <c r="S81" s="199"/>
      <c r="T81" s="199"/>
      <c r="U81" s="199"/>
      <c r="V81" s="206"/>
      <c r="W81" s="198"/>
      <c r="X81" s="198"/>
      <c r="Y81" s="200">
        <v>1</v>
      </c>
      <c r="Z81" s="201">
        <v>1</v>
      </c>
      <c r="AA81" s="202">
        <f t="shared" si="42"/>
        <v>0</v>
      </c>
      <c r="AB81" s="202">
        <f t="shared" si="43"/>
        <v>0</v>
      </c>
      <c r="AC81" s="202">
        <f t="shared" si="44"/>
        <v>0</v>
      </c>
      <c r="AD81" s="202"/>
      <c r="AE81" s="198">
        <f t="shared" si="45"/>
        <v>0</v>
      </c>
      <c r="AF81" s="203"/>
      <c r="AG81" s="199">
        <f t="shared" si="46"/>
        <v>0</v>
      </c>
      <c r="AH81" s="195"/>
      <c r="AI81" s="195"/>
      <c r="AJ81" s="8"/>
      <c r="AK81" s="616" t="str">
        <f t="shared" si="47"/>
        <v>No</v>
      </c>
      <c r="AL81" s="617">
        <f>'I-Project Contingency'!$I$4</f>
        <v>28979098.489999998</v>
      </c>
      <c r="AM81" s="399">
        <f>'I-Project Contingency'!$I$11</f>
        <v>64.971830985915489</v>
      </c>
      <c r="AN81" s="398">
        <f t="shared" si="21"/>
        <v>0</v>
      </c>
      <c r="AO81" s="399">
        <f t="shared" si="18"/>
        <v>0</v>
      </c>
      <c r="AP81" s="1110" t="str">
        <f t="shared" si="19"/>
        <v>Negligible</v>
      </c>
      <c r="AQ81" s="1110" t="str">
        <f t="shared" si="20"/>
        <v>Negligible</v>
      </c>
      <c r="AR81" s="618" t="str">
        <f t="shared" si="48"/>
        <v/>
      </c>
      <c r="AS81" s="618" t="str">
        <f t="shared" si="49"/>
        <v/>
      </c>
      <c r="AT81" s="8"/>
      <c r="AU81" s="412">
        <f>'I-Project Contingency'!$O$4-AE81</f>
        <v>0</v>
      </c>
      <c r="AV81" s="413">
        <v>3099768.1860032952</v>
      </c>
      <c r="AW81" s="413">
        <v>8430883.7862095013</v>
      </c>
      <c r="AX81" s="413">
        <v>11173736.674482957</v>
      </c>
      <c r="AY81" s="413">
        <f>'I-Project Contingency'!$E$66-AV81</f>
        <v>0</v>
      </c>
      <c r="AZ81" s="413">
        <f>'I-Project Contingency'!$E$69-AW81</f>
        <v>0</v>
      </c>
      <c r="BA81" s="413">
        <f>'I-Project Contingency'!$E$70-AX81</f>
        <v>0</v>
      </c>
      <c r="BB81" s="414">
        <f>'I-Project Contingency'!$O$5-AG81</f>
        <v>0</v>
      </c>
      <c r="BC81" s="415">
        <v>1.78464631257918</v>
      </c>
      <c r="BD81" s="415">
        <v>4.4807515628171739</v>
      </c>
      <c r="BE81" s="416">
        <v>5.8619163793628264</v>
      </c>
      <c r="BF81" s="415">
        <f>'I-Project Contingency'!$E$81-BC81</f>
        <v>0</v>
      </c>
      <c r="BG81" s="415">
        <f>'I-Project Contingency'!$E$84-BD81</f>
        <v>0</v>
      </c>
      <c r="BH81" s="415">
        <f>'I-Project Contingency'!$E$85-BE81</f>
        <v>0</v>
      </c>
      <c r="BI81" s="417" t="str">
        <f>IF(BK81="N/A","N/A",IF('D-Project Data'!$C$6=50%,ABS(BK81),IF('D-Project Data'!$C$6=80%,ABS(BL81),IF('D-Project Data'!$C$6=90%,ABS(BM81)))))</f>
        <v>N/A</v>
      </c>
      <c r="BJ81" s="418" t="str">
        <f>IF(BI81="N/A","N/A",RANK(BI81,$BI$18:$BI$117,0)+COUNTIF($BI$18:BI81,BI81)-1)</f>
        <v>N/A</v>
      </c>
      <c r="BK81" s="417" t="str">
        <f>IF(AY81/SUM(AY:AY)*'I-Project Contingency'!$F$66=0,"N/A",AY81/SUM(AY:AY)*'I-Project Contingency'!$F$66)</f>
        <v>N/A</v>
      </c>
      <c r="BL81" s="417" t="str">
        <f>IF(AZ81/SUM(AZ:AZ)*'I-Project Contingency'!$F$69=0,"N/A",AZ81/SUM(AZ:AZ)*'I-Project Contingency'!$F$69)</f>
        <v>N/A</v>
      </c>
      <c r="BM81" s="417" t="str">
        <f>IF(BA81/SUM(BA:BA)*'I-Project Contingency'!$F$70=0,"N/A",BA81/SUM(BA:BA)*'I-Project Contingency'!$F$70)</f>
        <v>N/A</v>
      </c>
      <c r="BN81" s="416" t="str">
        <f>IF(BP81="N/A","N/A",IF('D-Project Data'!$C$6=50%,ABS(BP81),IF('D-Project Data'!$C$6=80%,ABS(BQ81),IF('D-Project Data'!$C$6=90%,ABS(BR81)))))</f>
        <v>N/A</v>
      </c>
      <c r="BO81" s="418" t="str">
        <f>IF(BN81="N/A","N/A",RANK(BN81,$BN$18:$BN$117,0)+COUNTIF($BN$18:BN81,BN81)-1)</f>
        <v>N/A</v>
      </c>
      <c r="BP81" s="416" t="str">
        <f>IF(BF81/SUM(BF:BF)*'I-Project Contingency'!$F$81=0,"N/A",BF81/SUM(BF:BF)*'I-Project Contingency'!$F$81)</f>
        <v>N/A</v>
      </c>
      <c r="BQ81" s="416" t="str">
        <f>IF(BG81/SUM(BG:BG)*'I-Project Contingency'!$F$84=0,"N/A",BG81/SUM(BG:BG)*'I-Project Contingency'!$F$84)</f>
        <v>N/A</v>
      </c>
      <c r="BR81" s="416" t="str">
        <f>IF(BH81/SUM(BH:BH)*'I-Project Contingency'!$F$85=0,"N/A",BH81/SUM(BH:BH)*'I-Project Contingency'!$F$85)</f>
        <v>N/A</v>
      </c>
      <c r="BS81" s="418">
        <f t="shared" si="50"/>
        <v>64</v>
      </c>
      <c r="BT81" s="419" t="str">
        <f t="shared" si="51"/>
        <v xml:space="preserve">64 -  </v>
      </c>
      <c r="BU81" s="413">
        <f t="shared" si="52"/>
        <v>0</v>
      </c>
      <c r="BV81" s="413">
        <f t="shared" si="53"/>
        <v>0</v>
      </c>
      <c r="BW81" s="415">
        <f t="shared" si="54"/>
        <v>0</v>
      </c>
      <c r="BX81" s="415">
        <f t="shared" si="55"/>
        <v>0</v>
      </c>
    </row>
    <row r="82" spans="1:76" ht="43.2" x14ac:dyDescent="0.3">
      <c r="A82" s="193">
        <f t="shared" si="22"/>
        <v>65</v>
      </c>
      <c r="B82" s="194" t="s">
        <v>747</v>
      </c>
      <c r="C82" s="204" t="s">
        <v>665</v>
      </c>
      <c r="D82" s="205" t="s">
        <v>665</v>
      </c>
      <c r="E82" s="195" t="s">
        <v>665</v>
      </c>
      <c r="F82" s="196" t="s">
        <v>716</v>
      </c>
      <c r="G82" s="196" t="s">
        <v>730</v>
      </c>
      <c r="H82" s="187" t="str">
        <f>IF('H-Risk Register-Model'!F82="Certain","Relook at Basis of Estimate",INDEX('G-Assumptions'!$F$8:$J$11,MATCH(F82,'G-Assumptions'!$D$8:$D$11,0),MATCH(G82,'G-Assumptions'!$F$6:$J$6,0)))</f>
        <v>Relook at Basis of Estimate</v>
      </c>
      <c r="I82" s="197" t="s">
        <v>730</v>
      </c>
      <c r="J82" s="187" t="str">
        <f>IF('H-Risk Register-Model'!F82="Certain","Relook at Basis of Estimate",INDEX('G-Assumptions'!$F$8:$J$11,MATCH(F82,'G-Assumptions'!$D$8:$D$11,0),MATCH(I82,'G-Assumptions'!$F$6:$J$6,0)))</f>
        <v>Relook at Basis of Estimate</v>
      </c>
      <c r="K82" s="197" t="s">
        <v>747</v>
      </c>
      <c r="L82" s="197" t="s">
        <v>747</v>
      </c>
      <c r="M82" s="197"/>
      <c r="N82" s="384" t="s">
        <v>747</v>
      </c>
      <c r="O82" s="384" t="s">
        <v>747</v>
      </c>
      <c r="P82" s="198"/>
      <c r="Q82" s="198"/>
      <c r="R82" s="198"/>
      <c r="S82" s="199"/>
      <c r="T82" s="199"/>
      <c r="U82" s="199"/>
      <c r="V82" s="206"/>
      <c r="W82" s="198"/>
      <c r="X82" s="198"/>
      <c r="Y82" s="200">
        <v>1</v>
      </c>
      <c r="Z82" s="201">
        <v>1</v>
      </c>
      <c r="AA82" s="202">
        <f t="shared" si="42"/>
        <v>0</v>
      </c>
      <c r="AB82" s="202">
        <f t="shared" si="43"/>
        <v>0</v>
      </c>
      <c r="AC82" s="202">
        <f t="shared" si="44"/>
        <v>0</v>
      </c>
      <c r="AD82" s="202"/>
      <c r="AE82" s="198">
        <f t="shared" si="45"/>
        <v>0</v>
      </c>
      <c r="AF82" s="203"/>
      <c r="AG82" s="199">
        <f t="shared" si="46"/>
        <v>0</v>
      </c>
      <c r="AH82" s="195"/>
      <c r="AI82" s="195"/>
      <c r="AJ82" s="8"/>
      <c r="AK82" s="616" t="str">
        <f t="shared" si="47"/>
        <v>No</v>
      </c>
      <c r="AL82" s="617">
        <f>'I-Project Contingency'!$I$4</f>
        <v>28979098.489999998</v>
      </c>
      <c r="AM82" s="399">
        <f>'I-Project Contingency'!$I$11</f>
        <v>64.971830985915489</v>
      </c>
      <c r="AN82" s="398">
        <f t="shared" si="21"/>
        <v>0</v>
      </c>
      <c r="AO82" s="399">
        <f t="shared" si="18"/>
        <v>0</v>
      </c>
      <c r="AP82" s="1110" t="str">
        <f t="shared" si="19"/>
        <v>Negligible</v>
      </c>
      <c r="AQ82" s="1110" t="str">
        <f t="shared" si="20"/>
        <v>Negligible</v>
      </c>
      <c r="AR82" s="618" t="str">
        <f t="shared" si="48"/>
        <v/>
      </c>
      <c r="AS82" s="618" t="str">
        <f t="shared" si="49"/>
        <v/>
      </c>
      <c r="AT82" s="8"/>
      <c r="AU82" s="412">
        <f>'I-Project Contingency'!$O$4-AE82</f>
        <v>0</v>
      </c>
      <c r="AV82" s="413">
        <v>3099768.1860032952</v>
      </c>
      <c r="AW82" s="413">
        <v>8430883.7862095013</v>
      </c>
      <c r="AX82" s="413">
        <v>11173736.674482957</v>
      </c>
      <c r="AY82" s="413">
        <f>'I-Project Contingency'!$E$66-AV82</f>
        <v>0</v>
      </c>
      <c r="AZ82" s="413">
        <f>'I-Project Contingency'!$E$69-AW82</f>
        <v>0</v>
      </c>
      <c r="BA82" s="413">
        <f>'I-Project Contingency'!$E$70-AX82</f>
        <v>0</v>
      </c>
      <c r="BB82" s="414">
        <f>'I-Project Contingency'!$O$5-AG82</f>
        <v>0</v>
      </c>
      <c r="BC82" s="415">
        <v>1.78464631257918</v>
      </c>
      <c r="BD82" s="415">
        <v>4.4807515628171739</v>
      </c>
      <c r="BE82" s="416">
        <v>5.8619163793628264</v>
      </c>
      <c r="BF82" s="415">
        <f>'I-Project Contingency'!$E$81-BC82</f>
        <v>0</v>
      </c>
      <c r="BG82" s="415">
        <f>'I-Project Contingency'!$E$84-BD82</f>
        <v>0</v>
      </c>
      <c r="BH82" s="415">
        <f>'I-Project Contingency'!$E$85-BE82</f>
        <v>0</v>
      </c>
      <c r="BI82" s="417" t="str">
        <f>IF(BK82="N/A","N/A",IF('D-Project Data'!$C$6=50%,ABS(BK82),IF('D-Project Data'!$C$6=80%,ABS(BL82),IF('D-Project Data'!$C$6=90%,ABS(BM82)))))</f>
        <v>N/A</v>
      </c>
      <c r="BJ82" s="418" t="str">
        <f>IF(BI82="N/A","N/A",RANK(BI82,$BI$18:$BI$117,0)+COUNTIF($BI$18:BI82,BI82)-1)</f>
        <v>N/A</v>
      </c>
      <c r="BK82" s="417" t="str">
        <f>IF(AY82/SUM(AY:AY)*'I-Project Contingency'!$F$66=0,"N/A",AY82/SUM(AY:AY)*'I-Project Contingency'!$F$66)</f>
        <v>N/A</v>
      </c>
      <c r="BL82" s="417" t="str">
        <f>IF(AZ82/SUM(AZ:AZ)*'I-Project Contingency'!$F$69=0,"N/A",AZ82/SUM(AZ:AZ)*'I-Project Contingency'!$F$69)</f>
        <v>N/A</v>
      </c>
      <c r="BM82" s="417" t="str">
        <f>IF(BA82/SUM(BA:BA)*'I-Project Contingency'!$F$70=0,"N/A",BA82/SUM(BA:BA)*'I-Project Contingency'!$F$70)</f>
        <v>N/A</v>
      </c>
      <c r="BN82" s="416" t="str">
        <f>IF(BP82="N/A","N/A",IF('D-Project Data'!$C$6=50%,ABS(BP82),IF('D-Project Data'!$C$6=80%,ABS(BQ82),IF('D-Project Data'!$C$6=90%,ABS(BR82)))))</f>
        <v>N/A</v>
      </c>
      <c r="BO82" s="418" t="str">
        <f>IF(BN82="N/A","N/A",RANK(BN82,$BN$18:$BN$117,0)+COUNTIF($BN$18:BN82,BN82)-1)</f>
        <v>N/A</v>
      </c>
      <c r="BP82" s="416" t="str">
        <f>IF(BF82/SUM(BF:BF)*'I-Project Contingency'!$F$81=0,"N/A",BF82/SUM(BF:BF)*'I-Project Contingency'!$F$81)</f>
        <v>N/A</v>
      </c>
      <c r="BQ82" s="416" t="str">
        <f>IF(BG82/SUM(BG:BG)*'I-Project Contingency'!$F$84=0,"N/A",BG82/SUM(BG:BG)*'I-Project Contingency'!$F$84)</f>
        <v>N/A</v>
      </c>
      <c r="BR82" s="416" t="str">
        <f>IF(BH82/SUM(BH:BH)*'I-Project Contingency'!$F$85=0,"N/A",BH82/SUM(BH:BH)*'I-Project Contingency'!$F$85)</f>
        <v>N/A</v>
      </c>
      <c r="BS82" s="418">
        <f t="shared" si="50"/>
        <v>65</v>
      </c>
      <c r="BT82" s="419" t="str">
        <f t="shared" si="51"/>
        <v xml:space="preserve">65 -  </v>
      </c>
      <c r="BU82" s="413">
        <f t="shared" si="52"/>
        <v>0</v>
      </c>
      <c r="BV82" s="413">
        <f t="shared" si="53"/>
        <v>0</v>
      </c>
      <c r="BW82" s="415">
        <f t="shared" si="54"/>
        <v>0</v>
      </c>
      <c r="BX82" s="415">
        <f t="shared" si="55"/>
        <v>0</v>
      </c>
    </row>
    <row r="83" spans="1:76" ht="43.2" x14ac:dyDescent="0.3">
      <c r="A83" s="193">
        <f t="shared" si="22"/>
        <v>66</v>
      </c>
      <c r="B83" s="194" t="s">
        <v>747</v>
      </c>
      <c r="C83" s="204" t="s">
        <v>665</v>
      </c>
      <c r="D83" s="205" t="s">
        <v>665</v>
      </c>
      <c r="E83" s="195" t="s">
        <v>665</v>
      </c>
      <c r="F83" s="196" t="s">
        <v>716</v>
      </c>
      <c r="G83" s="196" t="s">
        <v>730</v>
      </c>
      <c r="H83" s="187" t="str">
        <f>IF('H-Risk Register-Model'!F83="Certain","Relook at Basis of Estimate",INDEX('G-Assumptions'!$F$8:$J$11,MATCH(F83,'G-Assumptions'!$D$8:$D$11,0),MATCH(G83,'G-Assumptions'!$F$6:$J$6,0)))</f>
        <v>Relook at Basis of Estimate</v>
      </c>
      <c r="I83" s="197" t="s">
        <v>730</v>
      </c>
      <c r="J83" s="187" t="str">
        <f>IF('H-Risk Register-Model'!F83="Certain","Relook at Basis of Estimate",INDEX('G-Assumptions'!$F$8:$J$11,MATCH(F83,'G-Assumptions'!$D$8:$D$11,0),MATCH(I83,'G-Assumptions'!$F$6:$J$6,0)))</f>
        <v>Relook at Basis of Estimate</v>
      </c>
      <c r="K83" s="197" t="s">
        <v>747</v>
      </c>
      <c r="L83" s="197" t="s">
        <v>747</v>
      </c>
      <c r="M83" s="197"/>
      <c r="N83" s="384" t="s">
        <v>747</v>
      </c>
      <c r="O83" s="384" t="s">
        <v>747</v>
      </c>
      <c r="P83" s="198"/>
      <c r="Q83" s="198"/>
      <c r="R83" s="198"/>
      <c r="S83" s="199"/>
      <c r="T83" s="199"/>
      <c r="U83" s="199"/>
      <c r="V83" s="206"/>
      <c r="W83" s="198"/>
      <c r="X83" s="198"/>
      <c r="Y83" s="200">
        <v>1</v>
      </c>
      <c r="Z83" s="201">
        <v>1</v>
      </c>
      <c r="AA83" s="202">
        <f t="shared" si="42"/>
        <v>0</v>
      </c>
      <c r="AB83" s="202">
        <f t="shared" si="43"/>
        <v>0</v>
      </c>
      <c r="AC83" s="202">
        <f t="shared" si="44"/>
        <v>0</v>
      </c>
      <c r="AD83" s="202"/>
      <c r="AE83" s="198">
        <f t="shared" si="45"/>
        <v>0</v>
      </c>
      <c r="AF83" s="203"/>
      <c r="AG83" s="199">
        <f t="shared" si="46"/>
        <v>0</v>
      </c>
      <c r="AH83" s="195"/>
      <c r="AI83" s="195"/>
      <c r="AJ83" s="8"/>
      <c r="AK83" s="616" t="str">
        <f t="shared" si="47"/>
        <v>No</v>
      </c>
      <c r="AL83" s="617">
        <f>'I-Project Contingency'!$I$4</f>
        <v>28979098.489999998</v>
      </c>
      <c r="AM83" s="399">
        <f>'I-Project Contingency'!$I$11</f>
        <v>64.971830985915489</v>
      </c>
      <c r="AN83" s="398">
        <f t="shared" ref="AN83:AN117" si="56">IF(B83="","",MAX(ABS(AA83),ABS(AB83),ABS(AC83)))</f>
        <v>0</v>
      </c>
      <c r="AO83" s="399">
        <f t="shared" ref="AO83:AO117" si="57">IF(B83="","",MAX(ABS(S83),ABS(T83),ABS(U83)))</f>
        <v>0</v>
      </c>
      <c r="AP83" s="1110" t="str">
        <f t="shared" ref="AP83:AP117" si="58">IF(AND(H83="Low",AN83=0),G83,IF(ISNUMBER(AN83),IF(AND(AN83&gt;=VLOOKUP(G83,$AL$9:$AN$13,2,FALSE),AN83&lt;=VLOOKUP(G83,$AL$9:$AN$13,3,FALSE)), G83, VLOOKUP(AN83,$AM$9:$AO$13,3,TRUE)),G83))</f>
        <v>Negligible</v>
      </c>
      <c r="AQ83" s="1110" t="str">
        <f t="shared" ref="AQ83:AQ117" si="59">IF(AND(J83="Low",AO83=0),I83,IF(ISNUMBER(AO83),IF(AND(AO83&gt;=VLOOKUP(I83,$AP$9:$AR$13,2,FALSE),AO83&lt;=VLOOKUP(I83,$AP$9:$AR$13,3,FALSE)), I83, VLOOKUP(AO83,$AQ$9:$AS$13,3,TRUE)),I83))</f>
        <v>Negligible</v>
      </c>
      <c r="AR83" s="618" t="str">
        <f t="shared" si="48"/>
        <v/>
      </c>
      <c r="AS83" s="618" t="str">
        <f t="shared" si="49"/>
        <v/>
      </c>
      <c r="AT83" s="8"/>
      <c r="AU83" s="412">
        <f>'I-Project Contingency'!$O$4-AE83</f>
        <v>0</v>
      </c>
      <c r="AV83" s="413">
        <v>3099768.1860032952</v>
      </c>
      <c r="AW83" s="413">
        <v>8430883.7862095013</v>
      </c>
      <c r="AX83" s="413">
        <v>11173736.674482957</v>
      </c>
      <c r="AY83" s="413">
        <f>'I-Project Contingency'!$E$66-AV83</f>
        <v>0</v>
      </c>
      <c r="AZ83" s="413">
        <f>'I-Project Contingency'!$E$69-AW83</f>
        <v>0</v>
      </c>
      <c r="BA83" s="413">
        <f>'I-Project Contingency'!$E$70-AX83</f>
        <v>0</v>
      </c>
      <c r="BB83" s="414">
        <f>'I-Project Contingency'!$O$5-AG83</f>
        <v>0</v>
      </c>
      <c r="BC83" s="415">
        <v>1.78464631257918</v>
      </c>
      <c r="BD83" s="415">
        <v>4.4807515628171739</v>
      </c>
      <c r="BE83" s="416">
        <v>5.8619163793628264</v>
      </c>
      <c r="BF83" s="415">
        <f>'I-Project Contingency'!$E$81-BC83</f>
        <v>0</v>
      </c>
      <c r="BG83" s="415">
        <f>'I-Project Contingency'!$E$84-BD83</f>
        <v>0</v>
      </c>
      <c r="BH83" s="415">
        <f>'I-Project Contingency'!$E$85-BE83</f>
        <v>0</v>
      </c>
      <c r="BI83" s="417" t="str">
        <f>IF(BK83="N/A","N/A",IF('D-Project Data'!$C$6=50%,ABS(BK83),IF('D-Project Data'!$C$6=80%,ABS(BL83),IF('D-Project Data'!$C$6=90%,ABS(BM83)))))</f>
        <v>N/A</v>
      </c>
      <c r="BJ83" s="418" t="str">
        <f>IF(BI83="N/A","N/A",RANK(BI83,$BI$18:$BI$117,0)+COUNTIF($BI$18:BI83,BI83)-1)</f>
        <v>N/A</v>
      </c>
      <c r="BK83" s="417" t="str">
        <f>IF(AY83/SUM(AY:AY)*'I-Project Contingency'!$F$66=0,"N/A",AY83/SUM(AY:AY)*'I-Project Contingency'!$F$66)</f>
        <v>N/A</v>
      </c>
      <c r="BL83" s="417" t="str">
        <f>IF(AZ83/SUM(AZ:AZ)*'I-Project Contingency'!$F$69=0,"N/A",AZ83/SUM(AZ:AZ)*'I-Project Contingency'!$F$69)</f>
        <v>N/A</v>
      </c>
      <c r="BM83" s="417" t="str">
        <f>IF(BA83/SUM(BA:BA)*'I-Project Contingency'!$F$70=0,"N/A",BA83/SUM(BA:BA)*'I-Project Contingency'!$F$70)</f>
        <v>N/A</v>
      </c>
      <c r="BN83" s="416" t="str">
        <f>IF(BP83="N/A","N/A",IF('D-Project Data'!$C$6=50%,ABS(BP83),IF('D-Project Data'!$C$6=80%,ABS(BQ83),IF('D-Project Data'!$C$6=90%,ABS(BR83)))))</f>
        <v>N/A</v>
      </c>
      <c r="BO83" s="418" t="str">
        <f>IF(BN83="N/A","N/A",RANK(BN83,$BN$18:$BN$117,0)+COUNTIF($BN$18:BN83,BN83)-1)</f>
        <v>N/A</v>
      </c>
      <c r="BP83" s="416" t="str">
        <f>IF(BF83/SUM(BF:BF)*'I-Project Contingency'!$F$81=0,"N/A",BF83/SUM(BF:BF)*'I-Project Contingency'!$F$81)</f>
        <v>N/A</v>
      </c>
      <c r="BQ83" s="416" t="str">
        <f>IF(BG83/SUM(BG:BG)*'I-Project Contingency'!$F$84=0,"N/A",BG83/SUM(BG:BG)*'I-Project Contingency'!$F$84)</f>
        <v>N/A</v>
      </c>
      <c r="BR83" s="416" t="str">
        <f>IF(BH83/SUM(BH:BH)*'I-Project Contingency'!$F$85=0,"N/A",BH83/SUM(BH:BH)*'I-Project Contingency'!$F$85)</f>
        <v>N/A</v>
      </c>
      <c r="BS83" s="418">
        <f t="shared" si="50"/>
        <v>66</v>
      </c>
      <c r="BT83" s="419" t="str">
        <f t="shared" si="51"/>
        <v xml:space="preserve">66 -  </v>
      </c>
      <c r="BU83" s="413">
        <f t="shared" si="52"/>
        <v>0</v>
      </c>
      <c r="BV83" s="413">
        <f t="shared" si="53"/>
        <v>0</v>
      </c>
      <c r="BW83" s="415">
        <f t="shared" si="54"/>
        <v>0</v>
      </c>
      <c r="BX83" s="415">
        <f t="shared" si="55"/>
        <v>0</v>
      </c>
    </row>
    <row r="84" spans="1:76" ht="43.2" x14ac:dyDescent="0.3">
      <c r="A84" s="193">
        <f t="shared" si="22"/>
        <v>67</v>
      </c>
      <c r="B84" s="194" t="s">
        <v>747</v>
      </c>
      <c r="C84" s="204" t="s">
        <v>665</v>
      </c>
      <c r="D84" s="205" t="s">
        <v>665</v>
      </c>
      <c r="E84" s="195" t="s">
        <v>665</v>
      </c>
      <c r="F84" s="196" t="s">
        <v>716</v>
      </c>
      <c r="G84" s="196" t="s">
        <v>730</v>
      </c>
      <c r="H84" s="187" t="str">
        <f>IF('H-Risk Register-Model'!F84="Certain","Relook at Basis of Estimate",INDEX('G-Assumptions'!$F$8:$J$11,MATCH(F84,'G-Assumptions'!$D$8:$D$11,0),MATCH(G84,'G-Assumptions'!$F$6:$J$6,0)))</f>
        <v>Relook at Basis of Estimate</v>
      </c>
      <c r="I84" s="197" t="s">
        <v>730</v>
      </c>
      <c r="J84" s="187" t="str">
        <f>IF('H-Risk Register-Model'!F84="Certain","Relook at Basis of Estimate",INDEX('G-Assumptions'!$F$8:$J$11,MATCH(F84,'G-Assumptions'!$D$8:$D$11,0),MATCH(I84,'G-Assumptions'!$F$6:$J$6,0)))</f>
        <v>Relook at Basis of Estimate</v>
      </c>
      <c r="K84" s="197" t="s">
        <v>747</v>
      </c>
      <c r="L84" s="197" t="s">
        <v>747</v>
      </c>
      <c r="M84" s="197"/>
      <c r="N84" s="384" t="s">
        <v>747</v>
      </c>
      <c r="O84" s="384" t="s">
        <v>747</v>
      </c>
      <c r="P84" s="198"/>
      <c r="Q84" s="198"/>
      <c r="R84" s="198"/>
      <c r="S84" s="199"/>
      <c r="T84" s="199"/>
      <c r="U84" s="199"/>
      <c r="V84" s="206"/>
      <c r="W84" s="198"/>
      <c r="X84" s="198"/>
      <c r="Y84" s="200">
        <v>1</v>
      </c>
      <c r="Z84" s="201">
        <v>1</v>
      </c>
      <c r="AA84" s="202">
        <f t="shared" si="42"/>
        <v>0</v>
      </c>
      <c r="AB84" s="202">
        <f t="shared" si="43"/>
        <v>0</v>
      </c>
      <c r="AC84" s="202">
        <f t="shared" si="44"/>
        <v>0</v>
      </c>
      <c r="AD84" s="202"/>
      <c r="AE84" s="198">
        <f t="shared" si="45"/>
        <v>0</v>
      </c>
      <c r="AF84" s="203"/>
      <c r="AG84" s="199">
        <f t="shared" si="46"/>
        <v>0</v>
      </c>
      <c r="AH84" s="195"/>
      <c r="AI84" s="195"/>
      <c r="AJ84" s="8"/>
      <c r="AK84" s="616" t="str">
        <f t="shared" si="47"/>
        <v>No</v>
      </c>
      <c r="AL84" s="617">
        <f>'I-Project Contingency'!$I$4</f>
        <v>28979098.489999998</v>
      </c>
      <c r="AM84" s="399">
        <f>'I-Project Contingency'!$I$11</f>
        <v>64.971830985915489</v>
      </c>
      <c r="AN84" s="398">
        <f t="shared" si="56"/>
        <v>0</v>
      </c>
      <c r="AO84" s="399">
        <f t="shared" si="57"/>
        <v>0</v>
      </c>
      <c r="AP84" s="1110" t="str">
        <f t="shared" si="58"/>
        <v>Negligible</v>
      </c>
      <c r="AQ84" s="1110" t="str">
        <f t="shared" si="59"/>
        <v>Negligible</v>
      </c>
      <c r="AR84" s="618" t="str">
        <f t="shared" si="48"/>
        <v/>
      </c>
      <c r="AS84" s="618" t="str">
        <f t="shared" si="49"/>
        <v/>
      </c>
      <c r="AT84" s="8"/>
      <c r="AU84" s="412">
        <f>'I-Project Contingency'!$O$4-AE84</f>
        <v>0</v>
      </c>
      <c r="AV84" s="413">
        <v>3099768.1860032952</v>
      </c>
      <c r="AW84" s="413">
        <v>8430883.7862095013</v>
      </c>
      <c r="AX84" s="413">
        <v>11173736.674482957</v>
      </c>
      <c r="AY84" s="413">
        <f>'I-Project Contingency'!$E$66-AV84</f>
        <v>0</v>
      </c>
      <c r="AZ84" s="413">
        <f>'I-Project Contingency'!$E$69-AW84</f>
        <v>0</v>
      </c>
      <c r="BA84" s="413">
        <f>'I-Project Contingency'!$E$70-AX84</f>
        <v>0</v>
      </c>
      <c r="BB84" s="414">
        <f>'I-Project Contingency'!$O$5-AG84</f>
        <v>0</v>
      </c>
      <c r="BC84" s="415">
        <v>1.78464631257918</v>
      </c>
      <c r="BD84" s="415">
        <v>4.4807515628171739</v>
      </c>
      <c r="BE84" s="416">
        <v>5.8619163793628264</v>
      </c>
      <c r="BF84" s="415">
        <f>'I-Project Contingency'!$E$81-BC84</f>
        <v>0</v>
      </c>
      <c r="BG84" s="415">
        <f>'I-Project Contingency'!$E$84-BD84</f>
        <v>0</v>
      </c>
      <c r="BH84" s="415">
        <f>'I-Project Contingency'!$E$85-BE84</f>
        <v>0</v>
      </c>
      <c r="BI84" s="417" t="str">
        <f>IF(BK84="N/A","N/A",IF('D-Project Data'!$C$6=50%,ABS(BK84),IF('D-Project Data'!$C$6=80%,ABS(BL84),IF('D-Project Data'!$C$6=90%,ABS(BM84)))))</f>
        <v>N/A</v>
      </c>
      <c r="BJ84" s="418" t="str">
        <f>IF(BI84="N/A","N/A",RANK(BI84,$BI$18:$BI$117,0)+COUNTIF($BI$18:BI84,BI84)-1)</f>
        <v>N/A</v>
      </c>
      <c r="BK84" s="417" t="str">
        <f>IF(AY84/SUM(AY:AY)*'I-Project Contingency'!$F$66=0,"N/A",AY84/SUM(AY:AY)*'I-Project Contingency'!$F$66)</f>
        <v>N/A</v>
      </c>
      <c r="BL84" s="417" t="str">
        <f>IF(AZ84/SUM(AZ:AZ)*'I-Project Contingency'!$F$69=0,"N/A",AZ84/SUM(AZ:AZ)*'I-Project Contingency'!$F$69)</f>
        <v>N/A</v>
      </c>
      <c r="BM84" s="417" t="str">
        <f>IF(BA84/SUM(BA:BA)*'I-Project Contingency'!$F$70=0,"N/A",BA84/SUM(BA:BA)*'I-Project Contingency'!$F$70)</f>
        <v>N/A</v>
      </c>
      <c r="BN84" s="416" t="str">
        <f>IF(BP84="N/A","N/A",IF('D-Project Data'!$C$6=50%,ABS(BP84),IF('D-Project Data'!$C$6=80%,ABS(BQ84),IF('D-Project Data'!$C$6=90%,ABS(BR84)))))</f>
        <v>N/A</v>
      </c>
      <c r="BO84" s="418" t="str">
        <f>IF(BN84="N/A","N/A",RANK(BN84,$BN$18:$BN$117,0)+COUNTIF($BN$18:BN84,BN84)-1)</f>
        <v>N/A</v>
      </c>
      <c r="BP84" s="416" t="str">
        <f>IF(BF84/SUM(BF:BF)*'I-Project Contingency'!$F$81=0,"N/A",BF84/SUM(BF:BF)*'I-Project Contingency'!$F$81)</f>
        <v>N/A</v>
      </c>
      <c r="BQ84" s="416" t="str">
        <f>IF(BG84/SUM(BG:BG)*'I-Project Contingency'!$F$84=0,"N/A",BG84/SUM(BG:BG)*'I-Project Contingency'!$F$84)</f>
        <v>N/A</v>
      </c>
      <c r="BR84" s="416" t="str">
        <f>IF(BH84/SUM(BH:BH)*'I-Project Contingency'!$F$85=0,"N/A",BH84/SUM(BH:BH)*'I-Project Contingency'!$F$85)</f>
        <v>N/A</v>
      </c>
      <c r="BS84" s="418">
        <f t="shared" si="50"/>
        <v>67</v>
      </c>
      <c r="BT84" s="419" t="str">
        <f t="shared" si="51"/>
        <v xml:space="preserve">67 -  </v>
      </c>
      <c r="BU84" s="413">
        <f t="shared" si="52"/>
        <v>0</v>
      </c>
      <c r="BV84" s="413">
        <f t="shared" si="53"/>
        <v>0</v>
      </c>
      <c r="BW84" s="415">
        <f t="shared" si="54"/>
        <v>0</v>
      </c>
      <c r="BX84" s="415">
        <f t="shared" si="55"/>
        <v>0</v>
      </c>
    </row>
    <row r="85" spans="1:76" ht="43.2" x14ac:dyDescent="0.3">
      <c r="A85" s="193">
        <f t="shared" si="22"/>
        <v>68</v>
      </c>
      <c r="B85" s="194" t="s">
        <v>747</v>
      </c>
      <c r="C85" s="204" t="s">
        <v>665</v>
      </c>
      <c r="D85" s="205" t="s">
        <v>665</v>
      </c>
      <c r="E85" s="195" t="s">
        <v>665</v>
      </c>
      <c r="F85" s="196" t="s">
        <v>716</v>
      </c>
      <c r="G85" s="196" t="s">
        <v>730</v>
      </c>
      <c r="H85" s="187" t="str">
        <f>IF('H-Risk Register-Model'!F85="Certain","Relook at Basis of Estimate",INDEX('G-Assumptions'!$F$8:$J$11,MATCH(F85,'G-Assumptions'!$D$8:$D$11,0),MATCH(G85,'G-Assumptions'!$F$6:$J$6,0)))</f>
        <v>Relook at Basis of Estimate</v>
      </c>
      <c r="I85" s="197" t="s">
        <v>730</v>
      </c>
      <c r="J85" s="187" t="str">
        <f>IF('H-Risk Register-Model'!F85="Certain","Relook at Basis of Estimate",INDEX('G-Assumptions'!$F$8:$J$11,MATCH(F85,'G-Assumptions'!$D$8:$D$11,0),MATCH(I85,'G-Assumptions'!$F$6:$J$6,0)))</f>
        <v>Relook at Basis of Estimate</v>
      </c>
      <c r="K85" s="197" t="s">
        <v>747</v>
      </c>
      <c r="L85" s="197" t="s">
        <v>747</v>
      </c>
      <c r="M85" s="197"/>
      <c r="N85" s="384" t="s">
        <v>747</v>
      </c>
      <c r="O85" s="384" t="s">
        <v>747</v>
      </c>
      <c r="P85" s="198"/>
      <c r="Q85" s="198"/>
      <c r="R85" s="198"/>
      <c r="S85" s="199"/>
      <c r="T85" s="199"/>
      <c r="U85" s="199"/>
      <c r="V85" s="206"/>
      <c r="W85" s="198"/>
      <c r="X85" s="198"/>
      <c r="Y85" s="200">
        <v>1</v>
      </c>
      <c r="Z85" s="201">
        <v>1</v>
      </c>
      <c r="AA85" s="202">
        <f t="shared" si="42"/>
        <v>0</v>
      </c>
      <c r="AB85" s="202">
        <f t="shared" si="43"/>
        <v>0</v>
      </c>
      <c r="AC85" s="202">
        <f t="shared" si="44"/>
        <v>0</v>
      </c>
      <c r="AD85" s="202"/>
      <c r="AE85" s="198">
        <f t="shared" si="45"/>
        <v>0</v>
      </c>
      <c r="AF85" s="203"/>
      <c r="AG85" s="199">
        <f t="shared" si="46"/>
        <v>0</v>
      </c>
      <c r="AH85" s="195"/>
      <c r="AI85" s="195"/>
      <c r="AJ85" s="8"/>
      <c r="AK85" s="616" t="str">
        <f t="shared" si="47"/>
        <v>No</v>
      </c>
      <c r="AL85" s="617">
        <f>'I-Project Contingency'!$I$4</f>
        <v>28979098.489999998</v>
      </c>
      <c r="AM85" s="399">
        <f>'I-Project Contingency'!$I$11</f>
        <v>64.971830985915489</v>
      </c>
      <c r="AN85" s="398">
        <f t="shared" si="56"/>
        <v>0</v>
      </c>
      <c r="AO85" s="399">
        <f t="shared" si="57"/>
        <v>0</v>
      </c>
      <c r="AP85" s="1110" t="str">
        <f t="shared" si="58"/>
        <v>Negligible</v>
      </c>
      <c r="AQ85" s="1110" t="str">
        <f t="shared" si="59"/>
        <v>Negligible</v>
      </c>
      <c r="AR85" s="618" t="str">
        <f t="shared" si="48"/>
        <v/>
      </c>
      <c r="AS85" s="618" t="str">
        <f t="shared" si="49"/>
        <v/>
      </c>
      <c r="AT85" s="8"/>
      <c r="AU85" s="412">
        <f>'I-Project Contingency'!$O$4-AE85</f>
        <v>0</v>
      </c>
      <c r="AV85" s="413">
        <v>3099768.1860032952</v>
      </c>
      <c r="AW85" s="413">
        <v>8430883.7862095013</v>
      </c>
      <c r="AX85" s="413">
        <v>11173736.674482957</v>
      </c>
      <c r="AY85" s="413">
        <f>'I-Project Contingency'!$E$66-AV85</f>
        <v>0</v>
      </c>
      <c r="AZ85" s="413">
        <f>'I-Project Contingency'!$E$69-AW85</f>
        <v>0</v>
      </c>
      <c r="BA85" s="413">
        <f>'I-Project Contingency'!$E$70-AX85</f>
        <v>0</v>
      </c>
      <c r="BB85" s="414">
        <f>'I-Project Contingency'!$O$5-AG85</f>
        <v>0</v>
      </c>
      <c r="BC85" s="415">
        <v>1.78464631257918</v>
      </c>
      <c r="BD85" s="415">
        <v>4.4807515628171739</v>
      </c>
      <c r="BE85" s="416">
        <v>5.8619163793628264</v>
      </c>
      <c r="BF85" s="415">
        <f>'I-Project Contingency'!$E$81-BC85</f>
        <v>0</v>
      </c>
      <c r="BG85" s="415">
        <f>'I-Project Contingency'!$E$84-BD85</f>
        <v>0</v>
      </c>
      <c r="BH85" s="415">
        <f>'I-Project Contingency'!$E$85-BE85</f>
        <v>0</v>
      </c>
      <c r="BI85" s="417" t="str">
        <f>IF(BK85="N/A","N/A",IF('D-Project Data'!$C$6=50%,ABS(BK85),IF('D-Project Data'!$C$6=80%,ABS(BL85),IF('D-Project Data'!$C$6=90%,ABS(BM85)))))</f>
        <v>N/A</v>
      </c>
      <c r="BJ85" s="418" t="str">
        <f>IF(BI85="N/A","N/A",RANK(BI85,$BI$18:$BI$117,0)+COUNTIF($BI$18:BI85,BI85)-1)</f>
        <v>N/A</v>
      </c>
      <c r="BK85" s="417" t="str">
        <f>IF(AY85/SUM(AY:AY)*'I-Project Contingency'!$F$66=0,"N/A",AY85/SUM(AY:AY)*'I-Project Contingency'!$F$66)</f>
        <v>N/A</v>
      </c>
      <c r="BL85" s="417" t="str">
        <f>IF(AZ85/SUM(AZ:AZ)*'I-Project Contingency'!$F$69=0,"N/A",AZ85/SUM(AZ:AZ)*'I-Project Contingency'!$F$69)</f>
        <v>N/A</v>
      </c>
      <c r="BM85" s="417" t="str">
        <f>IF(BA85/SUM(BA:BA)*'I-Project Contingency'!$F$70=0,"N/A",BA85/SUM(BA:BA)*'I-Project Contingency'!$F$70)</f>
        <v>N/A</v>
      </c>
      <c r="BN85" s="416" t="str">
        <f>IF(BP85="N/A","N/A",IF('D-Project Data'!$C$6=50%,ABS(BP85),IF('D-Project Data'!$C$6=80%,ABS(BQ85),IF('D-Project Data'!$C$6=90%,ABS(BR85)))))</f>
        <v>N/A</v>
      </c>
      <c r="BO85" s="418" t="str">
        <f>IF(BN85="N/A","N/A",RANK(BN85,$BN$18:$BN$117,0)+COUNTIF($BN$18:BN85,BN85)-1)</f>
        <v>N/A</v>
      </c>
      <c r="BP85" s="416" t="str">
        <f>IF(BF85/SUM(BF:BF)*'I-Project Contingency'!$F$81=0,"N/A",BF85/SUM(BF:BF)*'I-Project Contingency'!$F$81)</f>
        <v>N/A</v>
      </c>
      <c r="BQ85" s="416" t="str">
        <f>IF(BG85/SUM(BG:BG)*'I-Project Contingency'!$F$84=0,"N/A",BG85/SUM(BG:BG)*'I-Project Contingency'!$F$84)</f>
        <v>N/A</v>
      </c>
      <c r="BR85" s="416" t="str">
        <f>IF(BH85/SUM(BH:BH)*'I-Project Contingency'!$F$85=0,"N/A",BH85/SUM(BH:BH)*'I-Project Contingency'!$F$85)</f>
        <v>N/A</v>
      </c>
      <c r="BS85" s="418">
        <f t="shared" si="50"/>
        <v>68</v>
      </c>
      <c r="BT85" s="419" t="str">
        <f t="shared" si="51"/>
        <v xml:space="preserve">68 -  </v>
      </c>
      <c r="BU85" s="413">
        <f t="shared" si="52"/>
        <v>0</v>
      </c>
      <c r="BV85" s="413">
        <f t="shared" si="53"/>
        <v>0</v>
      </c>
      <c r="BW85" s="415">
        <f t="shared" si="54"/>
        <v>0</v>
      </c>
      <c r="BX85" s="415">
        <f t="shared" si="55"/>
        <v>0</v>
      </c>
    </row>
    <row r="86" spans="1:76" ht="43.2" x14ac:dyDescent="0.3">
      <c r="A86" s="193">
        <f t="shared" si="22"/>
        <v>69</v>
      </c>
      <c r="B86" s="194" t="s">
        <v>747</v>
      </c>
      <c r="C86" s="204" t="s">
        <v>665</v>
      </c>
      <c r="D86" s="205" t="s">
        <v>665</v>
      </c>
      <c r="E86" s="195" t="s">
        <v>665</v>
      </c>
      <c r="F86" s="196" t="s">
        <v>716</v>
      </c>
      <c r="G86" s="196" t="s">
        <v>730</v>
      </c>
      <c r="H86" s="187" t="str">
        <f>IF('H-Risk Register-Model'!F86="Certain","Relook at Basis of Estimate",INDEX('G-Assumptions'!$F$8:$J$11,MATCH(F86,'G-Assumptions'!$D$8:$D$11,0),MATCH(G86,'G-Assumptions'!$F$6:$J$6,0)))</f>
        <v>Relook at Basis of Estimate</v>
      </c>
      <c r="I86" s="197" t="s">
        <v>730</v>
      </c>
      <c r="J86" s="187" t="str">
        <f>IF('H-Risk Register-Model'!F86="Certain","Relook at Basis of Estimate",INDEX('G-Assumptions'!$F$8:$J$11,MATCH(F86,'G-Assumptions'!$D$8:$D$11,0),MATCH(I86,'G-Assumptions'!$F$6:$J$6,0)))</f>
        <v>Relook at Basis of Estimate</v>
      </c>
      <c r="K86" s="197" t="s">
        <v>747</v>
      </c>
      <c r="L86" s="197" t="s">
        <v>747</v>
      </c>
      <c r="M86" s="197"/>
      <c r="N86" s="384" t="s">
        <v>747</v>
      </c>
      <c r="O86" s="384" t="s">
        <v>747</v>
      </c>
      <c r="P86" s="198"/>
      <c r="Q86" s="198"/>
      <c r="R86" s="198"/>
      <c r="S86" s="199"/>
      <c r="T86" s="199"/>
      <c r="U86" s="199"/>
      <c r="V86" s="206"/>
      <c r="W86" s="198"/>
      <c r="X86" s="198"/>
      <c r="Y86" s="200">
        <v>1</v>
      </c>
      <c r="Z86" s="201">
        <v>1</v>
      </c>
      <c r="AA86" s="202">
        <f t="shared" si="42"/>
        <v>0</v>
      </c>
      <c r="AB86" s="202">
        <f t="shared" si="43"/>
        <v>0</v>
      </c>
      <c r="AC86" s="202">
        <f t="shared" si="44"/>
        <v>0</v>
      </c>
      <c r="AD86" s="202"/>
      <c r="AE86" s="198">
        <f t="shared" si="45"/>
        <v>0</v>
      </c>
      <c r="AF86" s="203"/>
      <c r="AG86" s="199">
        <f t="shared" si="46"/>
        <v>0</v>
      </c>
      <c r="AH86" s="195"/>
      <c r="AI86" s="195"/>
      <c r="AJ86" s="8"/>
      <c r="AK86" s="616" t="str">
        <f t="shared" si="47"/>
        <v>No</v>
      </c>
      <c r="AL86" s="617">
        <f>'I-Project Contingency'!$I$4</f>
        <v>28979098.489999998</v>
      </c>
      <c r="AM86" s="399">
        <f>'I-Project Contingency'!$I$11</f>
        <v>64.971830985915489</v>
      </c>
      <c r="AN86" s="398">
        <f t="shared" si="56"/>
        <v>0</v>
      </c>
      <c r="AO86" s="399">
        <f t="shared" si="57"/>
        <v>0</v>
      </c>
      <c r="AP86" s="1110" t="str">
        <f t="shared" si="58"/>
        <v>Negligible</v>
      </c>
      <c r="AQ86" s="1110" t="str">
        <f t="shared" si="59"/>
        <v>Negligible</v>
      </c>
      <c r="AR86" s="618" t="str">
        <f t="shared" si="48"/>
        <v/>
      </c>
      <c r="AS86" s="618" t="str">
        <f t="shared" si="49"/>
        <v/>
      </c>
      <c r="AT86" s="8"/>
      <c r="AU86" s="412">
        <f>'I-Project Contingency'!$O$4-AE86</f>
        <v>0</v>
      </c>
      <c r="AV86" s="413">
        <v>3099768.1860032952</v>
      </c>
      <c r="AW86" s="413">
        <v>8430883.7862095013</v>
      </c>
      <c r="AX86" s="413">
        <v>11173736.674482957</v>
      </c>
      <c r="AY86" s="413">
        <f>'I-Project Contingency'!$E$66-AV86</f>
        <v>0</v>
      </c>
      <c r="AZ86" s="413">
        <f>'I-Project Contingency'!$E$69-AW86</f>
        <v>0</v>
      </c>
      <c r="BA86" s="413">
        <f>'I-Project Contingency'!$E$70-AX86</f>
        <v>0</v>
      </c>
      <c r="BB86" s="414">
        <f>'I-Project Contingency'!$O$5-AG86</f>
        <v>0</v>
      </c>
      <c r="BC86" s="415">
        <v>1.78464631257918</v>
      </c>
      <c r="BD86" s="415">
        <v>4.4807515628171739</v>
      </c>
      <c r="BE86" s="416">
        <v>5.8619163793628264</v>
      </c>
      <c r="BF86" s="415">
        <f>'I-Project Contingency'!$E$81-BC86</f>
        <v>0</v>
      </c>
      <c r="BG86" s="415">
        <f>'I-Project Contingency'!$E$84-BD86</f>
        <v>0</v>
      </c>
      <c r="BH86" s="415">
        <f>'I-Project Contingency'!$E$85-BE86</f>
        <v>0</v>
      </c>
      <c r="BI86" s="417" t="str">
        <f>IF(BK86="N/A","N/A",IF('D-Project Data'!$C$6=50%,ABS(BK86),IF('D-Project Data'!$C$6=80%,ABS(BL86),IF('D-Project Data'!$C$6=90%,ABS(BM86)))))</f>
        <v>N/A</v>
      </c>
      <c r="BJ86" s="418" t="str">
        <f>IF(BI86="N/A","N/A",RANK(BI86,$BI$18:$BI$117,0)+COUNTIF($BI$18:BI86,BI86)-1)</f>
        <v>N/A</v>
      </c>
      <c r="BK86" s="417" t="str">
        <f>IF(AY86/SUM(AY:AY)*'I-Project Contingency'!$F$66=0,"N/A",AY86/SUM(AY:AY)*'I-Project Contingency'!$F$66)</f>
        <v>N/A</v>
      </c>
      <c r="BL86" s="417" t="str">
        <f>IF(AZ86/SUM(AZ:AZ)*'I-Project Contingency'!$F$69=0,"N/A",AZ86/SUM(AZ:AZ)*'I-Project Contingency'!$F$69)</f>
        <v>N/A</v>
      </c>
      <c r="BM86" s="417" t="str">
        <f>IF(BA86/SUM(BA:BA)*'I-Project Contingency'!$F$70=0,"N/A",BA86/SUM(BA:BA)*'I-Project Contingency'!$F$70)</f>
        <v>N/A</v>
      </c>
      <c r="BN86" s="416" t="str">
        <f>IF(BP86="N/A","N/A",IF('D-Project Data'!$C$6=50%,ABS(BP86),IF('D-Project Data'!$C$6=80%,ABS(BQ86),IF('D-Project Data'!$C$6=90%,ABS(BR86)))))</f>
        <v>N/A</v>
      </c>
      <c r="BO86" s="418" t="str">
        <f>IF(BN86="N/A","N/A",RANK(BN86,$BN$18:$BN$117,0)+COUNTIF($BN$18:BN86,BN86)-1)</f>
        <v>N/A</v>
      </c>
      <c r="BP86" s="416" t="str">
        <f>IF(BF86/SUM(BF:BF)*'I-Project Contingency'!$F$81=0,"N/A",BF86/SUM(BF:BF)*'I-Project Contingency'!$F$81)</f>
        <v>N/A</v>
      </c>
      <c r="BQ86" s="416" t="str">
        <f>IF(BG86/SUM(BG:BG)*'I-Project Contingency'!$F$84=0,"N/A",BG86/SUM(BG:BG)*'I-Project Contingency'!$F$84)</f>
        <v>N/A</v>
      </c>
      <c r="BR86" s="416" t="str">
        <f>IF(BH86/SUM(BH:BH)*'I-Project Contingency'!$F$85=0,"N/A",BH86/SUM(BH:BH)*'I-Project Contingency'!$F$85)</f>
        <v>N/A</v>
      </c>
      <c r="BS86" s="418">
        <f t="shared" si="50"/>
        <v>69</v>
      </c>
      <c r="BT86" s="419" t="str">
        <f t="shared" si="51"/>
        <v xml:space="preserve">69 -  </v>
      </c>
      <c r="BU86" s="413">
        <f t="shared" si="52"/>
        <v>0</v>
      </c>
      <c r="BV86" s="413">
        <f t="shared" si="53"/>
        <v>0</v>
      </c>
      <c r="BW86" s="415">
        <f t="shared" si="54"/>
        <v>0</v>
      </c>
      <c r="BX86" s="415">
        <f t="shared" si="55"/>
        <v>0</v>
      </c>
    </row>
    <row r="87" spans="1:76" ht="43.2" x14ac:dyDescent="0.3">
      <c r="A87" s="193">
        <f t="shared" si="22"/>
        <v>70</v>
      </c>
      <c r="B87" s="194" t="s">
        <v>747</v>
      </c>
      <c r="C87" s="204" t="s">
        <v>665</v>
      </c>
      <c r="D87" s="205" t="s">
        <v>665</v>
      </c>
      <c r="E87" s="195" t="s">
        <v>665</v>
      </c>
      <c r="F87" s="196" t="s">
        <v>716</v>
      </c>
      <c r="G87" s="196" t="s">
        <v>730</v>
      </c>
      <c r="H87" s="187" t="str">
        <f>IF('H-Risk Register-Model'!F87="Certain","Relook at Basis of Estimate",INDEX('G-Assumptions'!$F$8:$J$11,MATCH(F87,'G-Assumptions'!$D$8:$D$11,0),MATCH(G87,'G-Assumptions'!$F$6:$J$6,0)))</f>
        <v>Relook at Basis of Estimate</v>
      </c>
      <c r="I87" s="197" t="s">
        <v>730</v>
      </c>
      <c r="J87" s="187" t="str">
        <f>IF('H-Risk Register-Model'!F87="Certain","Relook at Basis of Estimate",INDEX('G-Assumptions'!$F$8:$J$11,MATCH(F87,'G-Assumptions'!$D$8:$D$11,0),MATCH(I87,'G-Assumptions'!$F$6:$J$6,0)))</f>
        <v>Relook at Basis of Estimate</v>
      </c>
      <c r="K87" s="197" t="s">
        <v>747</v>
      </c>
      <c r="L87" s="197" t="s">
        <v>747</v>
      </c>
      <c r="M87" s="197"/>
      <c r="N87" s="384" t="s">
        <v>747</v>
      </c>
      <c r="O87" s="384" t="s">
        <v>747</v>
      </c>
      <c r="P87" s="198"/>
      <c r="Q87" s="198"/>
      <c r="R87" s="198"/>
      <c r="S87" s="199"/>
      <c r="T87" s="199"/>
      <c r="U87" s="199"/>
      <c r="V87" s="206"/>
      <c r="W87" s="198"/>
      <c r="X87" s="198"/>
      <c r="Y87" s="200">
        <v>1</v>
      </c>
      <c r="Z87" s="201">
        <v>1</v>
      </c>
      <c r="AA87" s="202">
        <f t="shared" si="42"/>
        <v>0</v>
      </c>
      <c r="AB87" s="202">
        <f t="shared" si="43"/>
        <v>0</v>
      </c>
      <c r="AC87" s="202">
        <f t="shared" si="44"/>
        <v>0</v>
      </c>
      <c r="AD87" s="202"/>
      <c r="AE87" s="198">
        <f t="shared" si="45"/>
        <v>0</v>
      </c>
      <c r="AF87" s="203"/>
      <c r="AG87" s="199">
        <f t="shared" si="46"/>
        <v>0</v>
      </c>
      <c r="AH87" s="195"/>
      <c r="AI87" s="195"/>
      <c r="AJ87" s="8"/>
      <c r="AK87" s="616" t="str">
        <f t="shared" si="47"/>
        <v>No</v>
      </c>
      <c r="AL87" s="617">
        <f>'I-Project Contingency'!$I$4</f>
        <v>28979098.489999998</v>
      </c>
      <c r="AM87" s="399">
        <f>'I-Project Contingency'!$I$11</f>
        <v>64.971830985915489</v>
      </c>
      <c r="AN87" s="398">
        <f t="shared" si="56"/>
        <v>0</v>
      </c>
      <c r="AO87" s="399">
        <f t="shared" si="57"/>
        <v>0</v>
      </c>
      <c r="AP87" s="1110" t="str">
        <f t="shared" si="58"/>
        <v>Negligible</v>
      </c>
      <c r="AQ87" s="1110" t="str">
        <f t="shared" si="59"/>
        <v>Negligible</v>
      </c>
      <c r="AR87" s="618" t="str">
        <f t="shared" si="48"/>
        <v/>
      </c>
      <c r="AS87" s="618" t="str">
        <f t="shared" si="49"/>
        <v/>
      </c>
      <c r="AT87" s="8"/>
      <c r="AU87" s="412">
        <f>'I-Project Contingency'!$O$4-AE87</f>
        <v>0</v>
      </c>
      <c r="AV87" s="413">
        <v>3099768.1860032952</v>
      </c>
      <c r="AW87" s="413">
        <v>8430883.7862095013</v>
      </c>
      <c r="AX87" s="413">
        <v>11173736.674482957</v>
      </c>
      <c r="AY87" s="413">
        <f>'I-Project Contingency'!$E$66-AV87</f>
        <v>0</v>
      </c>
      <c r="AZ87" s="413">
        <f>'I-Project Contingency'!$E$69-AW87</f>
        <v>0</v>
      </c>
      <c r="BA87" s="413">
        <f>'I-Project Contingency'!$E$70-AX87</f>
        <v>0</v>
      </c>
      <c r="BB87" s="414">
        <f>'I-Project Contingency'!$O$5-AG87</f>
        <v>0</v>
      </c>
      <c r="BC87" s="415">
        <v>1.78464631257918</v>
      </c>
      <c r="BD87" s="415">
        <v>4.4807515628171739</v>
      </c>
      <c r="BE87" s="416">
        <v>5.8619163793628264</v>
      </c>
      <c r="BF87" s="415">
        <f>'I-Project Contingency'!$E$81-BC87</f>
        <v>0</v>
      </c>
      <c r="BG87" s="415">
        <f>'I-Project Contingency'!$E$84-BD87</f>
        <v>0</v>
      </c>
      <c r="BH87" s="415">
        <f>'I-Project Contingency'!$E$85-BE87</f>
        <v>0</v>
      </c>
      <c r="BI87" s="417" t="str">
        <f>IF(BK87="N/A","N/A",IF('D-Project Data'!$C$6=50%,ABS(BK87),IF('D-Project Data'!$C$6=80%,ABS(BL87),IF('D-Project Data'!$C$6=90%,ABS(BM87)))))</f>
        <v>N/A</v>
      </c>
      <c r="BJ87" s="418" t="str">
        <f>IF(BI87="N/A","N/A",RANK(BI87,$BI$18:$BI$117,0)+COUNTIF($BI$18:BI87,BI87)-1)</f>
        <v>N/A</v>
      </c>
      <c r="BK87" s="417" t="str">
        <f>IF(AY87/SUM(AY:AY)*'I-Project Contingency'!$F$66=0,"N/A",AY87/SUM(AY:AY)*'I-Project Contingency'!$F$66)</f>
        <v>N/A</v>
      </c>
      <c r="BL87" s="417" t="str">
        <f>IF(AZ87/SUM(AZ:AZ)*'I-Project Contingency'!$F$69=0,"N/A",AZ87/SUM(AZ:AZ)*'I-Project Contingency'!$F$69)</f>
        <v>N/A</v>
      </c>
      <c r="BM87" s="417" t="str">
        <f>IF(BA87/SUM(BA:BA)*'I-Project Contingency'!$F$70=0,"N/A",BA87/SUM(BA:BA)*'I-Project Contingency'!$F$70)</f>
        <v>N/A</v>
      </c>
      <c r="BN87" s="416" t="str">
        <f>IF(BP87="N/A","N/A",IF('D-Project Data'!$C$6=50%,ABS(BP87),IF('D-Project Data'!$C$6=80%,ABS(BQ87),IF('D-Project Data'!$C$6=90%,ABS(BR87)))))</f>
        <v>N/A</v>
      </c>
      <c r="BO87" s="418" t="str">
        <f>IF(BN87="N/A","N/A",RANK(BN87,$BN$18:$BN$117,0)+COUNTIF($BN$18:BN87,BN87)-1)</f>
        <v>N/A</v>
      </c>
      <c r="BP87" s="416" t="str">
        <f>IF(BF87/SUM(BF:BF)*'I-Project Contingency'!$F$81=0,"N/A",BF87/SUM(BF:BF)*'I-Project Contingency'!$F$81)</f>
        <v>N/A</v>
      </c>
      <c r="BQ87" s="416" t="str">
        <f>IF(BG87/SUM(BG:BG)*'I-Project Contingency'!$F$84=0,"N/A",BG87/SUM(BG:BG)*'I-Project Contingency'!$F$84)</f>
        <v>N/A</v>
      </c>
      <c r="BR87" s="416" t="str">
        <f>IF(BH87/SUM(BH:BH)*'I-Project Contingency'!$F$85=0,"N/A",BH87/SUM(BH:BH)*'I-Project Contingency'!$F$85)</f>
        <v>N/A</v>
      </c>
      <c r="BS87" s="418">
        <f t="shared" si="50"/>
        <v>70</v>
      </c>
      <c r="BT87" s="419" t="str">
        <f t="shared" si="51"/>
        <v xml:space="preserve">70 -  </v>
      </c>
      <c r="BU87" s="413">
        <f t="shared" si="52"/>
        <v>0</v>
      </c>
      <c r="BV87" s="413">
        <f t="shared" si="53"/>
        <v>0</v>
      </c>
      <c r="BW87" s="415">
        <f t="shared" si="54"/>
        <v>0</v>
      </c>
      <c r="BX87" s="415">
        <f t="shared" si="55"/>
        <v>0</v>
      </c>
    </row>
    <row r="88" spans="1:76" ht="43.2" x14ac:dyDescent="0.3">
      <c r="A88" s="193">
        <f t="shared" si="22"/>
        <v>71</v>
      </c>
      <c r="B88" s="194" t="s">
        <v>747</v>
      </c>
      <c r="C88" s="204" t="s">
        <v>665</v>
      </c>
      <c r="D88" s="205" t="s">
        <v>665</v>
      </c>
      <c r="E88" s="195" t="s">
        <v>665</v>
      </c>
      <c r="F88" s="196" t="s">
        <v>716</v>
      </c>
      <c r="G88" s="196" t="s">
        <v>730</v>
      </c>
      <c r="H88" s="187" t="str">
        <f>IF('H-Risk Register-Model'!F88="Certain","Relook at Basis of Estimate",INDEX('G-Assumptions'!$F$8:$J$11,MATCH(F88,'G-Assumptions'!$D$8:$D$11,0),MATCH(G88,'G-Assumptions'!$F$6:$J$6,0)))</f>
        <v>Relook at Basis of Estimate</v>
      </c>
      <c r="I88" s="197" t="s">
        <v>730</v>
      </c>
      <c r="J88" s="187" t="str">
        <f>IF('H-Risk Register-Model'!F88="Certain","Relook at Basis of Estimate",INDEX('G-Assumptions'!$F$8:$J$11,MATCH(F88,'G-Assumptions'!$D$8:$D$11,0),MATCH(I88,'G-Assumptions'!$F$6:$J$6,0)))</f>
        <v>Relook at Basis of Estimate</v>
      </c>
      <c r="K88" s="197" t="s">
        <v>747</v>
      </c>
      <c r="L88" s="197" t="s">
        <v>747</v>
      </c>
      <c r="M88" s="197"/>
      <c r="N88" s="384" t="s">
        <v>747</v>
      </c>
      <c r="O88" s="384" t="s">
        <v>747</v>
      </c>
      <c r="P88" s="198"/>
      <c r="Q88" s="198"/>
      <c r="R88" s="198"/>
      <c r="S88" s="199"/>
      <c r="T88" s="199"/>
      <c r="U88" s="199"/>
      <c r="V88" s="206"/>
      <c r="W88" s="198"/>
      <c r="X88" s="198"/>
      <c r="Y88" s="200">
        <v>1</v>
      </c>
      <c r="Z88" s="201">
        <v>1</v>
      </c>
      <c r="AA88" s="202">
        <f t="shared" si="42"/>
        <v>0</v>
      </c>
      <c r="AB88" s="202">
        <f t="shared" si="43"/>
        <v>0</v>
      </c>
      <c r="AC88" s="202">
        <f t="shared" si="44"/>
        <v>0</v>
      </c>
      <c r="AD88" s="202"/>
      <c r="AE88" s="198">
        <f t="shared" si="45"/>
        <v>0</v>
      </c>
      <c r="AF88" s="203"/>
      <c r="AG88" s="199">
        <f t="shared" si="46"/>
        <v>0</v>
      </c>
      <c r="AH88" s="195"/>
      <c r="AI88" s="195"/>
      <c r="AJ88" s="8"/>
      <c r="AK88" s="616" t="str">
        <f t="shared" si="47"/>
        <v>No</v>
      </c>
      <c r="AL88" s="617">
        <f>'I-Project Contingency'!$I$4</f>
        <v>28979098.489999998</v>
      </c>
      <c r="AM88" s="399">
        <f>'I-Project Contingency'!$I$11</f>
        <v>64.971830985915489</v>
      </c>
      <c r="AN88" s="398">
        <f t="shared" si="56"/>
        <v>0</v>
      </c>
      <c r="AO88" s="399">
        <f t="shared" si="57"/>
        <v>0</v>
      </c>
      <c r="AP88" s="1110" t="str">
        <f t="shared" si="58"/>
        <v>Negligible</v>
      </c>
      <c r="AQ88" s="1110" t="str">
        <f t="shared" si="59"/>
        <v>Negligible</v>
      </c>
      <c r="AR88" s="618" t="str">
        <f t="shared" si="48"/>
        <v/>
      </c>
      <c r="AS88" s="618" t="str">
        <f t="shared" si="49"/>
        <v/>
      </c>
      <c r="AT88" s="8"/>
      <c r="AU88" s="412">
        <f>'I-Project Contingency'!$O$4-AE88</f>
        <v>0</v>
      </c>
      <c r="AV88" s="413">
        <v>3099768.1860032952</v>
      </c>
      <c r="AW88" s="413">
        <v>8430883.7862095013</v>
      </c>
      <c r="AX88" s="413">
        <v>11173736.674482957</v>
      </c>
      <c r="AY88" s="413">
        <f>'I-Project Contingency'!$E$66-AV88</f>
        <v>0</v>
      </c>
      <c r="AZ88" s="413">
        <f>'I-Project Contingency'!$E$69-AW88</f>
        <v>0</v>
      </c>
      <c r="BA88" s="413">
        <f>'I-Project Contingency'!$E$70-AX88</f>
        <v>0</v>
      </c>
      <c r="BB88" s="414">
        <f>'I-Project Contingency'!$O$5-AG88</f>
        <v>0</v>
      </c>
      <c r="BC88" s="415">
        <v>1.78464631257918</v>
      </c>
      <c r="BD88" s="415">
        <v>4.4807515628171739</v>
      </c>
      <c r="BE88" s="416">
        <v>5.8619163793628264</v>
      </c>
      <c r="BF88" s="415">
        <f>'I-Project Contingency'!$E$81-BC88</f>
        <v>0</v>
      </c>
      <c r="BG88" s="415">
        <f>'I-Project Contingency'!$E$84-BD88</f>
        <v>0</v>
      </c>
      <c r="BH88" s="415">
        <f>'I-Project Contingency'!$E$85-BE88</f>
        <v>0</v>
      </c>
      <c r="BI88" s="417" t="str">
        <f>IF(BK88="N/A","N/A",IF('D-Project Data'!$C$6=50%,ABS(BK88),IF('D-Project Data'!$C$6=80%,ABS(BL88),IF('D-Project Data'!$C$6=90%,ABS(BM88)))))</f>
        <v>N/A</v>
      </c>
      <c r="BJ88" s="418" t="str">
        <f>IF(BI88="N/A","N/A",RANK(BI88,$BI$18:$BI$117,0)+COUNTIF($BI$18:BI88,BI88)-1)</f>
        <v>N/A</v>
      </c>
      <c r="BK88" s="417" t="str">
        <f>IF(AY88/SUM(AY:AY)*'I-Project Contingency'!$F$66=0,"N/A",AY88/SUM(AY:AY)*'I-Project Contingency'!$F$66)</f>
        <v>N/A</v>
      </c>
      <c r="BL88" s="417" t="str">
        <f>IF(AZ88/SUM(AZ:AZ)*'I-Project Contingency'!$F$69=0,"N/A",AZ88/SUM(AZ:AZ)*'I-Project Contingency'!$F$69)</f>
        <v>N/A</v>
      </c>
      <c r="BM88" s="417" t="str">
        <f>IF(BA88/SUM(BA:BA)*'I-Project Contingency'!$F$70=0,"N/A",BA88/SUM(BA:BA)*'I-Project Contingency'!$F$70)</f>
        <v>N/A</v>
      </c>
      <c r="BN88" s="416" t="str">
        <f>IF(BP88="N/A","N/A",IF('D-Project Data'!$C$6=50%,ABS(BP88),IF('D-Project Data'!$C$6=80%,ABS(BQ88),IF('D-Project Data'!$C$6=90%,ABS(BR88)))))</f>
        <v>N/A</v>
      </c>
      <c r="BO88" s="418" t="str">
        <f>IF(BN88="N/A","N/A",RANK(BN88,$BN$18:$BN$117,0)+COUNTIF($BN$18:BN88,BN88)-1)</f>
        <v>N/A</v>
      </c>
      <c r="BP88" s="416" t="str">
        <f>IF(BF88/SUM(BF:BF)*'I-Project Contingency'!$F$81=0,"N/A",BF88/SUM(BF:BF)*'I-Project Contingency'!$F$81)</f>
        <v>N/A</v>
      </c>
      <c r="BQ88" s="416" t="str">
        <f>IF(BG88/SUM(BG:BG)*'I-Project Contingency'!$F$84=0,"N/A",BG88/SUM(BG:BG)*'I-Project Contingency'!$F$84)</f>
        <v>N/A</v>
      </c>
      <c r="BR88" s="416" t="str">
        <f>IF(BH88/SUM(BH:BH)*'I-Project Contingency'!$F$85=0,"N/A",BH88/SUM(BH:BH)*'I-Project Contingency'!$F$85)</f>
        <v>N/A</v>
      </c>
      <c r="BS88" s="418">
        <f t="shared" si="50"/>
        <v>71</v>
      </c>
      <c r="BT88" s="419" t="str">
        <f t="shared" si="51"/>
        <v xml:space="preserve">71 -  </v>
      </c>
      <c r="BU88" s="413">
        <f t="shared" si="52"/>
        <v>0</v>
      </c>
      <c r="BV88" s="413">
        <f t="shared" si="53"/>
        <v>0</v>
      </c>
      <c r="BW88" s="415">
        <f t="shared" si="54"/>
        <v>0</v>
      </c>
      <c r="BX88" s="415">
        <f t="shared" si="55"/>
        <v>0</v>
      </c>
    </row>
    <row r="89" spans="1:76" ht="43.2" x14ac:dyDescent="0.3">
      <c r="A89" s="193">
        <f t="shared" si="22"/>
        <v>72</v>
      </c>
      <c r="B89" s="194" t="s">
        <v>747</v>
      </c>
      <c r="C89" s="204" t="s">
        <v>665</v>
      </c>
      <c r="D89" s="205" t="s">
        <v>665</v>
      </c>
      <c r="E89" s="195" t="s">
        <v>665</v>
      </c>
      <c r="F89" s="196" t="s">
        <v>716</v>
      </c>
      <c r="G89" s="196" t="s">
        <v>730</v>
      </c>
      <c r="H89" s="187" t="str">
        <f>IF('H-Risk Register-Model'!F89="Certain","Relook at Basis of Estimate",INDEX('G-Assumptions'!$F$8:$J$11,MATCH(F89,'G-Assumptions'!$D$8:$D$11,0),MATCH(G89,'G-Assumptions'!$F$6:$J$6,0)))</f>
        <v>Relook at Basis of Estimate</v>
      </c>
      <c r="I89" s="197" t="s">
        <v>730</v>
      </c>
      <c r="J89" s="187" t="str">
        <f>IF('H-Risk Register-Model'!F89="Certain","Relook at Basis of Estimate",INDEX('G-Assumptions'!$F$8:$J$11,MATCH(F89,'G-Assumptions'!$D$8:$D$11,0),MATCH(I89,'G-Assumptions'!$F$6:$J$6,0)))</f>
        <v>Relook at Basis of Estimate</v>
      </c>
      <c r="K89" s="197" t="s">
        <v>747</v>
      </c>
      <c r="L89" s="197" t="s">
        <v>747</v>
      </c>
      <c r="M89" s="197"/>
      <c r="N89" s="384" t="s">
        <v>747</v>
      </c>
      <c r="O89" s="384" t="s">
        <v>747</v>
      </c>
      <c r="P89" s="198"/>
      <c r="Q89" s="198"/>
      <c r="R89" s="198"/>
      <c r="S89" s="199"/>
      <c r="T89" s="199"/>
      <c r="U89" s="199"/>
      <c r="V89" s="206"/>
      <c r="W89" s="198"/>
      <c r="X89" s="198"/>
      <c r="Y89" s="200">
        <v>1</v>
      </c>
      <c r="Z89" s="201">
        <v>1</v>
      </c>
      <c r="AA89" s="202">
        <f t="shared" si="42"/>
        <v>0</v>
      </c>
      <c r="AB89" s="202">
        <f t="shared" si="43"/>
        <v>0</v>
      </c>
      <c r="AC89" s="202">
        <f t="shared" si="44"/>
        <v>0</v>
      </c>
      <c r="AD89" s="202"/>
      <c r="AE89" s="198">
        <f t="shared" si="45"/>
        <v>0</v>
      </c>
      <c r="AF89" s="203"/>
      <c r="AG89" s="199">
        <f t="shared" si="46"/>
        <v>0</v>
      </c>
      <c r="AH89" s="195"/>
      <c r="AI89" s="195"/>
      <c r="AJ89" s="8"/>
      <c r="AK89" s="616" t="str">
        <f t="shared" si="47"/>
        <v>No</v>
      </c>
      <c r="AL89" s="617">
        <f>'I-Project Contingency'!$I$4</f>
        <v>28979098.489999998</v>
      </c>
      <c r="AM89" s="399">
        <f>'I-Project Contingency'!$I$11</f>
        <v>64.971830985915489</v>
      </c>
      <c r="AN89" s="398">
        <f t="shared" si="56"/>
        <v>0</v>
      </c>
      <c r="AO89" s="399">
        <f t="shared" si="57"/>
        <v>0</v>
      </c>
      <c r="AP89" s="1110" t="str">
        <f t="shared" si="58"/>
        <v>Negligible</v>
      </c>
      <c r="AQ89" s="1110" t="str">
        <f t="shared" si="59"/>
        <v>Negligible</v>
      </c>
      <c r="AR89" s="618" t="str">
        <f t="shared" si="48"/>
        <v/>
      </c>
      <c r="AS89" s="618" t="str">
        <f t="shared" si="49"/>
        <v/>
      </c>
      <c r="AT89" s="8"/>
      <c r="AU89" s="412">
        <f>'I-Project Contingency'!$O$4-AE89</f>
        <v>0</v>
      </c>
      <c r="AV89" s="413">
        <v>3099768.1860032952</v>
      </c>
      <c r="AW89" s="413">
        <v>8430883.7862095013</v>
      </c>
      <c r="AX89" s="413">
        <v>11173736.674482957</v>
      </c>
      <c r="AY89" s="413">
        <f>'I-Project Contingency'!$E$66-AV89</f>
        <v>0</v>
      </c>
      <c r="AZ89" s="413">
        <f>'I-Project Contingency'!$E$69-AW89</f>
        <v>0</v>
      </c>
      <c r="BA89" s="413">
        <f>'I-Project Contingency'!$E$70-AX89</f>
        <v>0</v>
      </c>
      <c r="BB89" s="414">
        <f>'I-Project Contingency'!$O$5-AG89</f>
        <v>0</v>
      </c>
      <c r="BC89" s="415">
        <v>1.78464631257918</v>
      </c>
      <c r="BD89" s="415">
        <v>4.4807515628171739</v>
      </c>
      <c r="BE89" s="416">
        <v>5.8619163793628264</v>
      </c>
      <c r="BF89" s="415">
        <f>'I-Project Contingency'!$E$81-BC89</f>
        <v>0</v>
      </c>
      <c r="BG89" s="415">
        <f>'I-Project Contingency'!$E$84-BD89</f>
        <v>0</v>
      </c>
      <c r="BH89" s="415">
        <f>'I-Project Contingency'!$E$85-BE89</f>
        <v>0</v>
      </c>
      <c r="BI89" s="417" t="str">
        <f>IF(BK89="N/A","N/A",IF('D-Project Data'!$C$6=50%,ABS(BK89),IF('D-Project Data'!$C$6=80%,ABS(BL89),IF('D-Project Data'!$C$6=90%,ABS(BM89)))))</f>
        <v>N/A</v>
      </c>
      <c r="BJ89" s="418" t="str">
        <f>IF(BI89="N/A","N/A",RANK(BI89,$BI$18:$BI$117,0)+COUNTIF($BI$18:BI89,BI89)-1)</f>
        <v>N/A</v>
      </c>
      <c r="BK89" s="417" t="str">
        <f>IF(AY89/SUM(AY:AY)*'I-Project Contingency'!$F$66=0,"N/A",AY89/SUM(AY:AY)*'I-Project Contingency'!$F$66)</f>
        <v>N/A</v>
      </c>
      <c r="BL89" s="417" t="str">
        <f>IF(AZ89/SUM(AZ:AZ)*'I-Project Contingency'!$F$69=0,"N/A",AZ89/SUM(AZ:AZ)*'I-Project Contingency'!$F$69)</f>
        <v>N/A</v>
      </c>
      <c r="BM89" s="417" t="str">
        <f>IF(BA89/SUM(BA:BA)*'I-Project Contingency'!$F$70=0,"N/A",BA89/SUM(BA:BA)*'I-Project Contingency'!$F$70)</f>
        <v>N/A</v>
      </c>
      <c r="BN89" s="416" t="str">
        <f>IF(BP89="N/A","N/A",IF('D-Project Data'!$C$6=50%,ABS(BP89),IF('D-Project Data'!$C$6=80%,ABS(BQ89),IF('D-Project Data'!$C$6=90%,ABS(BR89)))))</f>
        <v>N/A</v>
      </c>
      <c r="BO89" s="418" t="str">
        <f>IF(BN89="N/A","N/A",RANK(BN89,$BN$18:$BN$117,0)+COUNTIF($BN$18:BN89,BN89)-1)</f>
        <v>N/A</v>
      </c>
      <c r="BP89" s="416" t="str">
        <f>IF(BF89/SUM(BF:BF)*'I-Project Contingency'!$F$81=0,"N/A",BF89/SUM(BF:BF)*'I-Project Contingency'!$F$81)</f>
        <v>N/A</v>
      </c>
      <c r="BQ89" s="416" t="str">
        <f>IF(BG89/SUM(BG:BG)*'I-Project Contingency'!$F$84=0,"N/A",BG89/SUM(BG:BG)*'I-Project Contingency'!$F$84)</f>
        <v>N/A</v>
      </c>
      <c r="BR89" s="416" t="str">
        <f>IF(BH89/SUM(BH:BH)*'I-Project Contingency'!$F$85=0,"N/A",BH89/SUM(BH:BH)*'I-Project Contingency'!$F$85)</f>
        <v>N/A</v>
      </c>
      <c r="BS89" s="418">
        <f t="shared" si="50"/>
        <v>72</v>
      </c>
      <c r="BT89" s="419" t="str">
        <f t="shared" si="51"/>
        <v xml:space="preserve">72 -  </v>
      </c>
      <c r="BU89" s="413">
        <f t="shared" si="52"/>
        <v>0</v>
      </c>
      <c r="BV89" s="413">
        <f t="shared" si="53"/>
        <v>0</v>
      </c>
      <c r="BW89" s="415">
        <f t="shared" si="54"/>
        <v>0</v>
      </c>
      <c r="BX89" s="415">
        <f t="shared" si="55"/>
        <v>0</v>
      </c>
    </row>
    <row r="90" spans="1:76" ht="43.2" x14ac:dyDescent="0.3">
      <c r="A90" s="193">
        <f t="shared" si="22"/>
        <v>73</v>
      </c>
      <c r="B90" s="194" t="s">
        <v>747</v>
      </c>
      <c r="C90" s="204" t="s">
        <v>665</v>
      </c>
      <c r="D90" s="205" t="s">
        <v>665</v>
      </c>
      <c r="E90" s="195" t="s">
        <v>665</v>
      </c>
      <c r="F90" s="196" t="s">
        <v>716</v>
      </c>
      <c r="G90" s="196" t="s">
        <v>730</v>
      </c>
      <c r="H90" s="187" t="str">
        <f>IF('H-Risk Register-Model'!F90="Certain","Relook at Basis of Estimate",INDEX('G-Assumptions'!$F$8:$J$11,MATCH(F90,'G-Assumptions'!$D$8:$D$11,0),MATCH(G90,'G-Assumptions'!$F$6:$J$6,0)))</f>
        <v>Relook at Basis of Estimate</v>
      </c>
      <c r="I90" s="197" t="s">
        <v>730</v>
      </c>
      <c r="J90" s="187" t="str">
        <f>IF('H-Risk Register-Model'!F90="Certain","Relook at Basis of Estimate",INDEX('G-Assumptions'!$F$8:$J$11,MATCH(F90,'G-Assumptions'!$D$8:$D$11,0),MATCH(I90,'G-Assumptions'!$F$6:$J$6,0)))</f>
        <v>Relook at Basis of Estimate</v>
      </c>
      <c r="K90" s="197" t="s">
        <v>747</v>
      </c>
      <c r="L90" s="197" t="s">
        <v>747</v>
      </c>
      <c r="M90" s="197"/>
      <c r="N90" s="384" t="s">
        <v>747</v>
      </c>
      <c r="O90" s="384" t="s">
        <v>747</v>
      </c>
      <c r="P90" s="198"/>
      <c r="Q90" s="198"/>
      <c r="R90" s="198"/>
      <c r="S90" s="199"/>
      <c r="T90" s="199"/>
      <c r="U90" s="199"/>
      <c r="V90" s="206"/>
      <c r="W90" s="198"/>
      <c r="X90" s="198"/>
      <c r="Y90" s="200">
        <v>1</v>
      </c>
      <c r="Z90" s="201">
        <v>1</v>
      </c>
      <c r="AA90" s="202">
        <f t="shared" si="42"/>
        <v>0</v>
      </c>
      <c r="AB90" s="202">
        <f t="shared" si="43"/>
        <v>0</v>
      </c>
      <c r="AC90" s="202">
        <f t="shared" si="44"/>
        <v>0</v>
      </c>
      <c r="AD90" s="202"/>
      <c r="AE90" s="198">
        <f t="shared" si="45"/>
        <v>0</v>
      </c>
      <c r="AF90" s="203"/>
      <c r="AG90" s="199">
        <f t="shared" si="46"/>
        <v>0</v>
      </c>
      <c r="AH90" s="195"/>
      <c r="AI90" s="195"/>
      <c r="AJ90" s="8"/>
      <c r="AK90" s="616" t="str">
        <f t="shared" si="47"/>
        <v>No</v>
      </c>
      <c r="AL90" s="617">
        <f>'I-Project Contingency'!$I$4</f>
        <v>28979098.489999998</v>
      </c>
      <c r="AM90" s="399">
        <f>'I-Project Contingency'!$I$11</f>
        <v>64.971830985915489</v>
      </c>
      <c r="AN90" s="398">
        <f t="shared" si="56"/>
        <v>0</v>
      </c>
      <c r="AO90" s="399">
        <f t="shared" si="57"/>
        <v>0</v>
      </c>
      <c r="AP90" s="1110" t="str">
        <f t="shared" si="58"/>
        <v>Negligible</v>
      </c>
      <c r="AQ90" s="1110" t="str">
        <f t="shared" si="59"/>
        <v>Negligible</v>
      </c>
      <c r="AR90" s="618" t="str">
        <f t="shared" si="48"/>
        <v/>
      </c>
      <c r="AS90" s="618" t="str">
        <f t="shared" si="49"/>
        <v/>
      </c>
      <c r="AT90" s="8"/>
      <c r="AU90" s="412">
        <f>'I-Project Contingency'!$O$4-AE90</f>
        <v>0</v>
      </c>
      <c r="AV90" s="413">
        <v>3099768.1860032952</v>
      </c>
      <c r="AW90" s="413">
        <v>8430883.7862095013</v>
      </c>
      <c r="AX90" s="413">
        <v>11173736.674482957</v>
      </c>
      <c r="AY90" s="413">
        <f>'I-Project Contingency'!$E$66-AV90</f>
        <v>0</v>
      </c>
      <c r="AZ90" s="413">
        <f>'I-Project Contingency'!$E$69-AW90</f>
        <v>0</v>
      </c>
      <c r="BA90" s="413">
        <f>'I-Project Contingency'!$E$70-AX90</f>
        <v>0</v>
      </c>
      <c r="BB90" s="414">
        <f>'I-Project Contingency'!$O$5-AG90</f>
        <v>0</v>
      </c>
      <c r="BC90" s="415">
        <v>1.78464631257918</v>
      </c>
      <c r="BD90" s="415">
        <v>4.4807515628171739</v>
      </c>
      <c r="BE90" s="416">
        <v>5.8619163793628264</v>
      </c>
      <c r="BF90" s="415">
        <f>'I-Project Contingency'!$E$81-BC90</f>
        <v>0</v>
      </c>
      <c r="BG90" s="415">
        <f>'I-Project Contingency'!$E$84-BD90</f>
        <v>0</v>
      </c>
      <c r="BH90" s="415">
        <f>'I-Project Contingency'!$E$85-BE90</f>
        <v>0</v>
      </c>
      <c r="BI90" s="417" t="str">
        <f>IF(BK90="N/A","N/A",IF('D-Project Data'!$C$6=50%,ABS(BK90),IF('D-Project Data'!$C$6=80%,ABS(BL90),IF('D-Project Data'!$C$6=90%,ABS(BM90)))))</f>
        <v>N/A</v>
      </c>
      <c r="BJ90" s="418" t="str">
        <f>IF(BI90="N/A","N/A",RANK(BI90,$BI$18:$BI$117,0)+COUNTIF($BI$18:BI90,BI90)-1)</f>
        <v>N/A</v>
      </c>
      <c r="BK90" s="417" t="str">
        <f>IF(AY90/SUM(AY:AY)*'I-Project Contingency'!$F$66=0,"N/A",AY90/SUM(AY:AY)*'I-Project Contingency'!$F$66)</f>
        <v>N/A</v>
      </c>
      <c r="BL90" s="417" t="str">
        <f>IF(AZ90/SUM(AZ:AZ)*'I-Project Contingency'!$F$69=0,"N/A",AZ90/SUM(AZ:AZ)*'I-Project Contingency'!$F$69)</f>
        <v>N/A</v>
      </c>
      <c r="BM90" s="417" t="str">
        <f>IF(BA90/SUM(BA:BA)*'I-Project Contingency'!$F$70=0,"N/A",BA90/SUM(BA:BA)*'I-Project Contingency'!$F$70)</f>
        <v>N/A</v>
      </c>
      <c r="BN90" s="416" t="str">
        <f>IF(BP90="N/A","N/A",IF('D-Project Data'!$C$6=50%,ABS(BP90),IF('D-Project Data'!$C$6=80%,ABS(BQ90),IF('D-Project Data'!$C$6=90%,ABS(BR90)))))</f>
        <v>N/A</v>
      </c>
      <c r="BO90" s="418" t="str">
        <f>IF(BN90="N/A","N/A",RANK(BN90,$BN$18:$BN$117,0)+COUNTIF($BN$18:BN90,BN90)-1)</f>
        <v>N/A</v>
      </c>
      <c r="BP90" s="416" t="str">
        <f>IF(BF90/SUM(BF:BF)*'I-Project Contingency'!$F$81=0,"N/A",BF90/SUM(BF:BF)*'I-Project Contingency'!$F$81)</f>
        <v>N/A</v>
      </c>
      <c r="BQ90" s="416" t="str">
        <f>IF(BG90/SUM(BG:BG)*'I-Project Contingency'!$F$84=0,"N/A",BG90/SUM(BG:BG)*'I-Project Contingency'!$F$84)</f>
        <v>N/A</v>
      </c>
      <c r="BR90" s="416" t="str">
        <f>IF(BH90/SUM(BH:BH)*'I-Project Contingency'!$F$85=0,"N/A",BH90/SUM(BH:BH)*'I-Project Contingency'!$F$85)</f>
        <v>N/A</v>
      </c>
      <c r="BS90" s="418">
        <f t="shared" si="50"/>
        <v>73</v>
      </c>
      <c r="BT90" s="419" t="str">
        <f t="shared" si="51"/>
        <v xml:space="preserve">73 -  </v>
      </c>
      <c r="BU90" s="413">
        <f t="shared" si="52"/>
        <v>0</v>
      </c>
      <c r="BV90" s="413">
        <f t="shared" si="53"/>
        <v>0</v>
      </c>
      <c r="BW90" s="415">
        <f t="shared" si="54"/>
        <v>0</v>
      </c>
      <c r="BX90" s="415">
        <f t="shared" si="55"/>
        <v>0</v>
      </c>
    </row>
    <row r="91" spans="1:76" ht="43.2" x14ac:dyDescent="0.3">
      <c r="A91" s="193">
        <f t="shared" si="22"/>
        <v>74</v>
      </c>
      <c r="B91" s="194" t="s">
        <v>747</v>
      </c>
      <c r="C91" s="204" t="s">
        <v>665</v>
      </c>
      <c r="D91" s="205" t="s">
        <v>665</v>
      </c>
      <c r="E91" s="195" t="s">
        <v>665</v>
      </c>
      <c r="F91" s="196" t="s">
        <v>716</v>
      </c>
      <c r="G91" s="196" t="s">
        <v>730</v>
      </c>
      <c r="H91" s="187" t="str">
        <f>IF('H-Risk Register-Model'!F91="Certain","Relook at Basis of Estimate",INDEX('G-Assumptions'!$F$8:$J$11,MATCH(F91,'G-Assumptions'!$D$8:$D$11,0),MATCH(G91,'G-Assumptions'!$F$6:$J$6,0)))</f>
        <v>Relook at Basis of Estimate</v>
      </c>
      <c r="I91" s="197" t="s">
        <v>730</v>
      </c>
      <c r="J91" s="187" t="str">
        <f>IF('H-Risk Register-Model'!F91="Certain","Relook at Basis of Estimate",INDEX('G-Assumptions'!$F$8:$J$11,MATCH(F91,'G-Assumptions'!$D$8:$D$11,0),MATCH(I91,'G-Assumptions'!$F$6:$J$6,0)))</f>
        <v>Relook at Basis of Estimate</v>
      </c>
      <c r="K91" s="197" t="s">
        <v>747</v>
      </c>
      <c r="L91" s="197" t="s">
        <v>747</v>
      </c>
      <c r="M91" s="197"/>
      <c r="N91" s="384" t="s">
        <v>747</v>
      </c>
      <c r="O91" s="384" t="s">
        <v>747</v>
      </c>
      <c r="P91" s="198"/>
      <c r="Q91" s="198"/>
      <c r="R91" s="198"/>
      <c r="S91" s="199"/>
      <c r="T91" s="199"/>
      <c r="U91" s="199"/>
      <c r="V91" s="206"/>
      <c r="W91" s="198"/>
      <c r="X91" s="198"/>
      <c r="Y91" s="200">
        <v>1</v>
      </c>
      <c r="Z91" s="201">
        <v>1</v>
      </c>
      <c r="AA91" s="202">
        <f t="shared" si="42"/>
        <v>0</v>
      </c>
      <c r="AB91" s="202">
        <f t="shared" si="43"/>
        <v>0</v>
      </c>
      <c r="AC91" s="202">
        <f t="shared" si="44"/>
        <v>0</v>
      </c>
      <c r="AD91" s="202"/>
      <c r="AE91" s="198">
        <f t="shared" si="45"/>
        <v>0</v>
      </c>
      <c r="AF91" s="203"/>
      <c r="AG91" s="199">
        <f t="shared" si="46"/>
        <v>0</v>
      </c>
      <c r="AH91" s="195"/>
      <c r="AI91" s="195"/>
      <c r="AJ91" s="8"/>
      <c r="AK91" s="616" t="str">
        <f t="shared" si="47"/>
        <v>No</v>
      </c>
      <c r="AL91" s="617">
        <f>'I-Project Contingency'!$I$4</f>
        <v>28979098.489999998</v>
      </c>
      <c r="AM91" s="399">
        <f>'I-Project Contingency'!$I$11</f>
        <v>64.971830985915489</v>
      </c>
      <c r="AN91" s="398">
        <f t="shared" si="56"/>
        <v>0</v>
      </c>
      <c r="AO91" s="399">
        <f t="shared" si="57"/>
        <v>0</v>
      </c>
      <c r="AP91" s="1110" t="str">
        <f t="shared" si="58"/>
        <v>Negligible</v>
      </c>
      <c r="AQ91" s="1110" t="str">
        <f t="shared" si="59"/>
        <v>Negligible</v>
      </c>
      <c r="AR91" s="618" t="str">
        <f t="shared" si="48"/>
        <v/>
      </c>
      <c r="AS91" s="618" t="str">
        <f t="shared" si="49"/>
        <v/>
      </c>
      <c r="AT91" s="8"/>
      <c r="AU91" s="412">
        <f>'I-Project Contingency'!$O$4-AE91</f>
        <v>0</v>
      </c>
      <c r="AV91" s="413">
        <v>3099768.1860032952</v>
      </c>
      <c r="AW91" s="413">
        <v>8430883.7862095013</v>
      </c>
      <c r="AX91" s="413">
        <v>11173736.674482957</v>
      </c>
      <c r="AY91" s="413">
        <f>'I-Project Contingency'!$E$66-AV91</f>
        <v>0</v>
      </c>
      <c r="AZ91" s="413">
        <f>'I-Project Contingency'!$E$69-AW91</f>
        <v>0</v>
      </c>
      <c r="BA91" s="413">
        <f>'I-Project Contingency'!$E$70-AX91</f>
        <v>0</v>
      </c>
      <c r="BB91" s="414">
        <f>'I-Project Contingency'!$O$5-AG91</f>
        <v>0</v>
      </c>
      <c r="BC91" s="415">
        <v>1.78464631257918</v>
      </c>
      <c r="BD91" s="415">
        <v>4.4807515628171739</v>
      </c>
      <c r="BE91" s="416">
        <v>5.8619163793628264</v>
      </c>
      <c r="BF91" s="415">
        <f>'I-Project Contingency'!$E$81-BC91</f>
        <v>0</v>
      </c>
      <c r="BG91" s="415">
        <f>'I-Project Contingency'!$E$84-BD91</f>
        <v>0</v>
      </c>
      <c r="BH91" s="415">
        <f>'I-Project Contingency'!$E$85-BE91</f>
        <v>0</v>
      </c>
      <c r="BI91" s="417" t="str">
        <f>IF(BK91="N/A","N/A",IF('D-Project Data'!$C$6=50%,ABS(BK91),IF('D-Project Data'!$C$6=80%,ABS(BL91),IF('D-Project Data'!$C$6=90%,ABS(BM91)))))</f>
        <v>N/A</v>
      </c>
      <c r="BJ91" s="418" t="str">
        <f>IF(BI91="N/A","N/A",RANK(BI91,$BI$18:$BI$117,0)+COUNTIF($BI$18:BI91,BI91)-1)</f>
        <v>N/A</v>
      </c>
      <c r="BK91" s="417" t="str">
        <f>IF(AY91/SUM(AY:AY)*'I-Project Contingency'!$F$66=0,"N/A",AY91/SUM(AY:AY)*'I-Project Contingency'!$F$66)</f>
        <v>N/A</v>
      </c>
      <c r="BL91" s="417" t="str">
        <f>IF(AZ91/SUM(AZ:AZ)*'I-Project Contingency'!$F$69=0,"N/A",AZ91/SUM(AZ:AZ)*'I-Project Contingency'!$F$69)</f>
        <v>N/A</v>
      </c>
      <c r="BM91" s="417" t="str">
        <f>IF(BA91/SUM(BA:BA)*'I-Project Contingency'!$F$70=0,"N/A",BA91/SUM(BA:BA)*'I-Project Contingency'!$F$70)</f>
        <v>N/A</v>
      </c>
      <c r="BN91" s="416" t="str">
        <f>IF(BP91="N/A","N/A",IF('D-Project Data'!$C$6=50%,ABS(BP91),IF('D-Project Data'!$C$6=80%,ABS(BQ91),IF('D-Project Data'!$C$6=90%,ABS(BR91)))))</f>
        <v>N/A</v>
      </c>
      <c r="BO91" s="418" t="str">
        <f>IF(BN91="N/A","N/A",RANK(BN91,$BN$18:$BN$117,0)+COUNTIF($BN$18:BN91,BN91)-1)</f>
        <v>N/A</v>
      </c>
      <c r="BP91" s="416" t="str">
        <f>IF(BF91/SUM(BF:BF)*'I-Project Contingency'!$F$81=0,"N/A",BF91/SUM(BF:BF)*'I-Project Contingency'!$F$81)</f>
        <v>N/A</v>
      </c>
      <c r="BQ91" s="416" t="str">
        <f>IF(BG91/SUM(BG:BG)*'I-Project Contingency'!$F$84=0,"N/A",BG91/SUM(BG:BG)*'I-Project Contingency'!$F$84)</f>
        <v>N/A</v>
      </c>
      <c r="BR91" s="416" t="str">
        <f>IF(BH91/SUM(BH:BH)*'I-Project Contingency'!$F$85=0,"N/A",BH91/SUM(BH:BH)*'I-Project Contingency'!$F$85)</f>
        <v>N/A</v>
      </c>
      <c r="BS91" s="418">
        <f t="shared" si="50"/>
        <v>74</v>
      </c>
      <c r="BT91" s="419" t="str">
        <f t="shared" si="51"/>
        <v xml:space="preserve">74 -  </v>
      </c>
      <c r="BU91" s="413">
        <f t="shared" si="52"/>
        <v>0</v>
      </c>
      <c r="BV91" s="413">
        <f t="shared" si="53"/>
        <v>0</v>
      </c>
      <c r="BW91" s="415">
        <f t="shared" si="54"/>
        <v>0</v>
      </c>
      <c r="BX91" s="415">
        <f t="shared" si="55"/>
        <v>0</v>
      </c>
    </row>
    <row r="92" spans="1:76" ht="43.2" x14ac:dyDescent="0.3">
      <c r="A92" s="193">
        <f t="shared" si="22"/>
        <v>75</v>
      </c>
      <c r="B92" s="194" t="s">
        <v>747</v>
      </c>
      <c r="C92" s="204" t="s">
        <v>665</v>
      </c>
      <c r="D92" s="205" t="s">
        <v>665</v>
      </c>
      <c r="E92" s="195" t="s">
        <v>665</v>
      </c>
      <c r="F92" s="196" t="s">
        <v>716</v>
      </c>
      <c r="G92" s="196" t="s">
        <v>730</v>
      </c>
      <c r="H92" s="187" t="str">
        <f>IF('H-Risk Register-Model'!F92="Certain","Relook at Basis of Estimate",INDEX('G-Assumptions'!$F$8:$J$11,MATCH(F92,'G-Assumptions'!$D$8:$D$11,0),MATCH(G92,'G-Assumptions'!$F$6:$J$6,0)))</f>
        <v>Relook at Basis of Estimate</v>
      </c>
      <c r="I92" s="197" t="s">
        <v>730</v>
      </c>
      <c r="J92" s="187" t="str">
        <f>IF('H-Risk Register-Model'!F92="Certain","Relook at Basis of Estimate",INDEX('G-Assumptions'!$F$8:$J$11,MATCH(F92,'G-Assumptions'!$D$8:$D$11,0),MATCH(I92,'G-Assumptions'!$F$6:$J$6,0)))</f>
        <v>Relook at Basis of Estimate</v>
      </c>
      <c r="K92" s="197" t="s">
        <v>747</v>
      </c>
      <c r="L92" s="197" t="s">
        <v>747</v>
      </c>
      <c r="M92" s="197"/>
      <c r="N92" s="384" t="s">
        <v>747</v>
      </c>
      <c r="O92" s="384" t="s">
        <v>747</v>
      </c>
      <c r="P92" s="198"/>
      <c r="Q92" s="198"/>
      <c r="R92" s="198"/>
      <c r="S92" s="199"/>
      <c r="T92" s="199"/>
      <c r="U92" s="199"/>
      <c r="V92" s="206"/>
      <c r="W92" s="198"/>
      <c r="X92" s="198"/>
      <c r="Y92" s="200">
        <v>1</v>
      </c>
      <c r="Z92" s="201">
        <v>1</v>
      </c>
      <c r="AA92" s="202">
        <f t="shared" si="42"/>
        <v>0</v>
      </c>
      <c r="AB92" s="202">
        <f t="shared" si="43"/>
        <v>0</v>
      </c>
      <c r="AC92" s="202">
        <f t="shared" si="44"/>
        <v>0</v>
      </c>
      <c r="AD92" s="202"/>
      <c r="AE92" s="198">
        <f t="shared" si="45"/>
        <v>0</v>
      </c>
      <c r="AF92" s="203"/>
      <c r="AG92" s="199">
        <f t="shared" si="46"/>
        <v>0</v>
      </c>
      <c r="AH92" s="195"/>
      <c r="AI92" s="195"/>
      <c r="AJ92" s="8"/>
      <c r="AK92" s="616" t="str">
        <f t="shared" si="47"/>
        <v>No</v>
      </c>
      <c r="AL92" s="617">
        <f>'I-Project Contingency'!$I$4</f>
        <v>28979098.489999998</v>
      </c>
      <c r="AM92" s="399">
        <f>'I-Project Contingency'!$I$11</f>
        <v>64.971830985915489</v>
      </c>
      <c r="AN92" s="398">
        <f t="shared" si="56"/>
        <v>0</v>
      </c>
      <c r="AO92" s="399">
        <f t="shared" si="57"/>
        <v>0</v>
      </c>
      <c r="AP92" s="1110" t="str">
        <f t="shared" si="58"/>
        <v>Negligible</v>
      </c>
      <c r="AQ92" s="1110" t="str">
        <f t="shared" si="59"/>
        <v>Negligible</v>
      </c>
      <c r="AR92" s="618" t="str">
        <f t="shared" si="48"/>
        <v/>
      </c>
      <c r="AS92" s="618" t="str">
        <f t="shared" si="49"/>
        <v/>
      </c>
      <c r="AT92" s="8"/>
      <c r="AU92" s="412">
        <f>'I-Project Contingency'!$O$4-AE92</f>
        <v>0</v>
      </c>
      <c r="AV92" s="413">
        <v>3099768.1860032952</v>
      </c>
      <c r="AW92" s="413">
        <v>8430883.7862095013</v>
      </c>
      <c r="AX92" s="413">
        <v>11173736.674482957</v>
      </c>
      <c r="AY92" s="413">
        <f>'I-Project Contingency'!$E$66-AV92</f>
        <v>0</v>
      </c>
      <c r="AZ92" s="413">
        <f>'I-Project Contingency'!$E$69-AW92</f>
        <v>0</v>
      </c>
      <c r="BA92" s="413">
        <f>'I-Project Contingency'!$E$70-AX92</f>
        <v>0</v>
      </c>
      <c r="BB92" s="414">
        <f>'I-Project Contingency'!$O$5-AG92</f>
        <v>0</v>
      </c>
      <c r="BC92" s="415">
        <v>1.78464631257918</v>
      </c>
      <c r="BD92" s="415">
        <v>4.4807515628171739</v>
      </c>
      <c r="BE92" s="416">
        <v>5.8619163793628264</v>
      </c>
      <c r="BF92" s="415">
        <f>'I-Project Contingency'!$E$81-BC92</f>
        <v>0</v>
      </c>
      <c r="BG92" s="415">
        <f>'I-Project Contingency'!$E$84-BD92</f>
        <v>0</v>
      </c>
      <c r="BH92" s="415">
        <f>'I-Project Contingency'!$E$85-BE92</f>
        <v>0</v>
      </c>
      <c r="BI92" s="417" t="str">
        <f>IF(BK92="N/A","N/A",IF('D-Project Data'!$C$6=50%,ABS(BK92),IF('D-Project Data'!$C$6=80%,ABS(BL92),IF('D-Project Data'!$C$6=90%,ABS(BM92)))))</f>
        <v>N/A</v>
      </c>
      <c r="BJ92" s="418" t="str">
        <f>IF(BI92="N/A","N/A",RANK(BI92,$BI$18:$BI$117,0)+COUNTIF($BI$18:BI92,BI92)-1)</f>
        <v>N/A</v>
      </c>
      <c r="BK92" s="417" t="str">
        <f>IF(AY92/SUM(AY:AY)*'I-Project Contingency'!$F$66=0,"N/A",AY92/SUM(AY:AY)*'I-Project Contingency'!$F$66)</f>
        <v>N/A</v>
      </c>
      <c r="BL92" s="417" t="str">
        <f>IF(AZ92/SUM(AZ:AZ)*'I-Project Contingency'!$F$69=0,"N/A",AZ92/SUM(AZ:AZ)*'I-Project Contingency'!$F$69)</f>
        <v>N/A</v>
      </c>
      <c r="BM92" s="417" t="str">
        <f>IF(BA92/SUM(BA:BA)*'I-Project Contingency'!$F$70=0,"N/A",BA92/SUM(BA:BA)*'I-Project Contingency'!$F$70)</f>
        <v>N/A</v>
      </c>
      <c r="BN92" s="416" t="str">
        <f>IF(BP92="N/A","N/A",IF('D-Project Data'!$C$6=50%,ABS(BP92),IF('D-Project Data'!$C$6=80%,ABS(BQ92),IF('D-Project Data'!$C$6=90%,ABS(BR92)))))</f>
        <v>N/A</v>
      </c>
      <c r="BO92" s="418" t="str">
        <f>IF(BN92="N/A","N/A",RANK(BN92,$BN$18:$BN$117,0)+COUNTIF($BN$18:BN92,BN92)-1)</f>
        <v>N/A</v>
      </c>
      <c r="BP92" s="416" t="str">
        <f>IF(BF92/SUM(BF:BF)*'I-Project Contingency'!$F$81=0,"N/A",BF92/SUM(BF:BF)*'I-Project Contingency'!$F$81)</f>
        <v>N/A</v>
      </c>
      <c r="BQ92" s="416" t="str">
        <f>IF(BG92/SUM(BG:BG)*'I-Project Contingency'!$F$84=0,"N/A",BG92/SUM(BG:BG)*'I-Project Contingency'!$F$84)</f>
        <v>N/A</v>
      </c>
      <c r="BR92" s="416" t="str">
        <f>IF(BH92/SUM(BH:BH)*'I-Project Contingency'!$F$85=0,"N/A",BH92/SUM(BH:BH)*'I-Project Contingency'!$F$85)</f>
        <v>N/A</v>
      </c>
      <c r="BS92" s="418">
        <f t="shared" si="50"/>
        <v>75</v>
      </c>
      <c r="BT92" s="419" t="str">
        <f t="shared" si="51"/>
        <v xml:space="preserve">75 -  </v>
      </c>
      <c r="BU92" s="413">
        <f t="shared" si="52"/>
        <v>0</v>
      </c>
      <c r="BV92" s="413">
        <f t="shared" si="53"/>
        <v>0</v>
      </c>
      <c r="BW92" s="415">
        <f t="shared" si="54"/>
        <v>0</v>
      </c>
      <c r="BX92" s="415">
        <f t="shared" si="55"/>
        <v>0</v>
      </c>
    </row>
    <row r="93" spans="1:76" ht="43.2" x14ac:dyDescent="0.3">
      <c r="A93" s="193">
        <f t="shared" si="22"/>
        <v>76</v>
      </c>
      <c r="B93" s="194" t="s">
        <v>747</v>
      </c>
      <c r="C93" s="204" t="s">
        <v>665</v>
      </c>
      <c r="D93" s="205" t="s">
        <v>665</v>
      </c>
      <c r="E93" s="195" t="s">
        <v>665</v>
      </c>
      <c r="F93" s="196" t="s">
        <v>716</v>
      </c>
      <c r="G93" s="196" t="s">
        <v>730</v>
      </c>
      <c r="H93" s="187" t="str">
        <f>IF('H-Risk Register-Model'!F93="Certain","Relook at Basis of Estimate",INDEX('G-Assumptions'!$F$8:$J$11,MATCH(F93,'G-Assumptions'!$D$8:$D$11,0),MATCH(G93,'G-Assumptions'!$F$6:$J$6,0)))</f>
        <v>Relook at Basis of Estimate</v>
      </c>
      <c r="I93" s="197" t="s">
        <v>730</v>
      </c>
      <c r="J93" s="187" t="str">
        <f>IF('H-Risk Register-Model'!F93="Certain","Relook at Basis of Estimate",INDEX('G-Assumptions'!$F$8:$J$11,MATCH(F93,'G-Assumptions'!$D$8:$D$11,0),MATCH(I93,'G-Assumptions'!$F$6:$J$6,0)))</f>
        <v>Relook at Basis of Estimate</v>
      </c>
      <c r="K93" s="197" t="s">
        <v>747</v>
      </c>
      <c r="L93" s="197" t="s">
        <v>747</v>
      </c>
      <c r="M93" s="197"/>
      <c r="N93" s="384" t="s">
        <v>747</v>
      </c>
      <c r="O93" s="384" t="s">
        <v>747</v>
      </c>
      <c r="P93" s="198"/>
      <c r="Q93" s="198"/>
      <c r="R93" s="198"/>
      <c r="S93" s="199"/>
      <c r="T93" s="199"/>
      <c r="U93" s="199"/>
      <c r="V93" s="206"/>
      <c r="W93" s="198"/>
      <c r="X93" s="198"/>
      <c r="Y93" s="200">
        <v>1</v>
      </c>
      <c r="Z93" s="201">
        <v>1</v>
      </c>
      <c r="AA93" s="202">
        <f t="shared" si="42"/>
        <v>0</v>
      </c>
      <c r="AB93" s="202">
        <f t="shared" si="43"/>
        <v>0</v>
      </c>
      <c r="AC93" s="202">
        <f t="shared" si="44"/>
        <v>0</v>
      </c>
      <c r="AD93" s="202"/>
      <c r="AE93" s="198">
        <f t="shared" si="45"/>
        <v>0</v>
      </c>
      <c r="AF93" s="203"/>
      <c r="AG93" s="199">
        <f t="shared" si="46"/>
        <v>0</v>
      </c>
      <c r="AH93" s="195"/>
      <c r="AI93" s="195"/>
      <c r="AJ93" s="8"/>
      <c r="AK93" s="616" t="str">
        <f t="shared" si="47"/>
        <v>No</v>
      </c>
      <c r="AL93" s="617">
        <f>'I-Project Contingency'!$I$4</f>
        <v>28979098.489999998</v>
      </c>
      <c r="AM93" s="399">
        <f>'I-Project Contingency'!$I$11</f>
        <v>64.971830985915489</v>
      </c>
      <c r="AN93" s="398">
        <f t="shared" si="56"/>
        <v>0</v>
      </c>
      <c r="AO93" s="399">
        <f t="shared" si="57"/>
        <v>0</v>
      </c>
      <c r="AP93" s="1110" t="str">
        <f t="shared" si="58"/>
        <v>Negligible</v>
      </c>
      <c r="AQ93" s="1110" t="str">
        <f t="shared" si="59"/>
        <v>Negligible</v>
      </c>
      <c r="AR93" s="618" t="str">
        <f t="shared" si="48"/>
        <v/>
      </c>
      <c r="AS93" s="618" t="str">
        <f t="shared" si="49"/>
        <v/>
      </c>
      <c r="AT93" s="8"/>
      <c r="AU93" s="412">
        <f>'I-Project Contingency'!$O$4-AE93</f>
        <v>0</v>
      </c>
      <c r="AV93" s="413">
        <v>3099768.1860032952</v>
      </c>
      <c r="AW93" s="413">
        <v>8430883.7862095013</v>
      </c>
      <c r="AX93" s="413">
        <v>11173736.674482957</v>
      </c>
      <c r="AY93" s="413">
        <f>'I-Project Contingency'!$E$66-AV93</f>
        <v>0</v>
      </c>
      <c r="AZ93" s="413">
        <f>'I-Project Contingency'!$E$69-AW93</f>
        <v>0</v>
      </c>
      <c r="BA93" s="413">
        <f>'I-Project Contingency'!$E$70-AX93</f>
        <v>0</v>
      </c>
      <c r="BB93" s="414">
        <f>'I-Project Contingency'!$O$5-AG93</f>
        <v>0</v>
      </c>
      <c r="BC93" s="415">
        <v>1.78464631257918</v>
      </c>
      <c r="BD93" s="415">
        <v>4.4807515628171739</v>
      </c>
      <c r="BE93" s="416">
        <v>5.8619163793628264</v>
      </c>
      <c r="BF93" s="415">
        <f>'I-Project Contingency'!$E$81-BC93</f>
        <v>0</v>
      </c>
      <c r="BG93" s="415">
        <f>'I-Project Contingency'!$E$84-BD93</f>
        <v>0</v>
      </c>
      <c r="BH93" s="415">
        <f>'I-Project Contingency'!$E$85-BE93</f>
        <v>0</v>
      </c>
      <c r="BI93" s="417" t="str">
        <f>IF(BK93="N/A","N/A",IF('D-Project Data'!$C$6=50%,ABS(BK93),IF('D-Project Data'!$C$6=80%,ABS(BL93),IF('D-Project Data'!$C$6=90%,ABS(BM93)))))</f>
        <v>N/A</v>
      </c>
      <c r="BJ93" s="418" t="str">
        <f>IF(BI93="N/A","N/A",RANK(BI93,$BI$18:$BI$117,0)+COUNTIF($BI$18:BI93,BI93)-1)</f>
        <v>N/A</v>
      </c>
      <c r="BK93" s="417" t="str">
        <f>IF(AY93/SUM(AY:AY)*'I-Project Contingency'!$F$66=0,"N/A",AY93/SUM(AY:AY)*'I-Project Contingency'!$F$66)</f>
        <v>N/A</v>
      </c>
      <c r="BL93" s="417" t="str">
        <f>IF(AZ93/SUM(AZ:AZ)*'I-Project Contingency'!$F$69=0,"N/A",AZ93/SUM(AZ:AZ)*'I-Project Contingency'!$F$69)</f>
        <v>N/A</v>
      </c>
      <c r="BM93" s="417" t="str">
        <f>IF(BA93/SUM(BA:BA)*'I-Project Contingency'!$F$70=0,"N/A",BA93/SUM(BA:BA)*'I-Project Contingency'!$F$70)</f>
        <v>N/A</v>
      </c>
      <c r="BN93" s="416" t="str">
        <f>IF(BP93="N/A","N/A",IF('D-Project Data'!$C$6=50%,ABS(BP93),IF('D-Project Data'!$C$6=80%,ABS(BQ93),IF('D-Project Data'!$C$6=90%,ABS(BR93)))))</f>
        <v>N/A</v>
      </c>
      <c r="BO93" s="418" t="str">
        <f>IF(BN93="N/A","N/A",RANK(BN93,$BN$18:$BN$117,0)+COUNTIF($BN$18:BN93,BN93)-1)</f>
        <v>N/A</v>
      </c>
      <c r="BP93" s="416" t="str">
        <f>IF(BF93/SUM(BF:BF)*'I-Project Contingency'!$F$81=0,"N/A",BF93/SUM(BF:BF)*'I-Project Contingency'!$F$81)</f>
        <v>N/A</v>
      </c>
      <c r="BQ93" s="416" t="str">
        <f>IF(BG93/SUM(BG:BG)*'I-Project Contingency'!$F$84=0,"N/A",BG93/SUM(BG:BG)*'I-Project Contingency'!$F$84)</f>
        <v>N/A</v>
      </c>
      <c r="BR93" s="416" t="str">
        <f>IF(BH93/SUM(BH:BH)*'I-Project Contingency'!$F$85=0,"N/A",BH93/SUM(BH:BH)*'I-Project Contingency'!$F$85)</f>
        <v>N/A</v>
      </c>
      <c r="BS93" s="418">
        <f t="shared" si="50"/>
        <v>76</v>
      </c>
      <c r="BT93" s="419" t="str">
        <f t="shared" si="51"/>
        <v xml:space="preserve">76 -  </v>
      </c>
      <c r="BU93" s="413">
        <f t="shared" si="52"/>
        <v>0</v>
      </c>
      <c r="BV93" s="413">
        <f t="shared" si="53"/>
        <v>0</v>
      </c>
      <c r="BW93" s="415">
        <f t="shared" si="54"/>
        <v>0</v>
      </c>
      <c r="BX93" s="415">
        <f t="shared" si="55"/>
        <v>0</v>
      </c>
    </row>
    <row r="94" spans="1:76" ht="43.2" x14ac:dyDescent="0.3">
      <c r="A94" s="193">
        <f t="shared" si="22"/>
        <v>77</v>
      </c>
      <c r="B94" s="194" t="s">
        <v>747</v>
      </c>
      <c r="C94" s="204" t="s">
        <v>665</v>
      </c>
      <c r="D94" s="205" t="s">
        <v>665</v>
      </c>
      <c r="E94" s="195" t="s">
        <v>665</v>
      </c>
      <c r="F94" s="196" t="s">
        <v>716</v>
      </c>
      <c r="G94" s="196" t="s">
        <v>730</v>
      </c>
      <c r="H94" s="187" t="str">
        <f>IF('H-Risk Register-Model'!F94="Certain","Relook at Basis of Estimate",INDEX('G-Assumptions'!$F$8:$J$11,MATCH(F94,'G-Assumptions'!$D$8:$D$11,0),MATCH(G94,'G-Assumptions'!$F$6:$J$6,0)))</f>
        <v>Relook at Basis of Estimate</v>
      </c>
      <c r="I94" s="197" t="s">
        <v>730</v>
      </c>
      <c r="J94" s="187" t="str">
        <f>IF('H-Risk Register-Model'!F94="Certain","Relook at Basis of Estimate",INDEX('G-Assumptions'!$F$8:$J$11,MATCH(F94,'G-Assumptions'!$D$8:$D$11,0),MATCH(I94,'G-Assumptions'!$F$6:$J$6,0)))</f>
        <v>Relook at Basis of Estimate</v>
      </c>
      <c r="K94" s="197" t="s">
        <v>747</v>
      </c>
      <c r="L94" s="197" t="s">
        <v>747</v>
      </c>
      <c r="M94" s="197"/>
      <c r="N94" s="384" t="s">
        <v>747</v>
      </c>
      <c r="O94" s="384" t="s">
        <v>747</v>
      </c>
      <c r="P94" s="198"/>
      <c r="Q94" s="198"/>
      <c r="R94" s="198"/>
      <c r="S94" s="199"/>
      <c r="T94" s="199"/>
      <c r="U94" s="199"/>
      <c r="V94" s="206"/>
      <c r="W94" s="198"/>
      <c r="X94" s="198"/>
      <c r="Y94" s="200">
        <v>1</v>
      </c>
      <c r="Z94" s="201">
        <v>1</v>
      </c>
      <c r="AA94" s="202">
        <f t="shared" si="42"/>
        <v>0</v>
      </c>
      <c r="AB94" s="202">
        <f t="shared" si="43"/>
        <v>0</v>
      </c>
      <c r="AC94" s="202">
        <f t="shared" si="44"/>
        <v>0</v>
      </c>
      <c r="AD94" s="202"/>
      <c r="AE94" s="198">
        <f t="shared" si="45"/>
        <v>0</v>
      </c>
      <c r="AF94" s="203"/>
      <c r="AG94" s="199">
        <f t="shared" si="46"/>
        <v>0</v>
      </c>
      <c r="AH94" s="195"/>
      <c r="AI94" s="195"/>
      <c r="AJ94" s="8"/>
      <c r="AK94" s="616" t="str">
        <f t="shared" si="47"/>
        <v>No</v>
      </c>
      <c r="AL94" s="617">
        <f>'I-Project Contingency'!$I$4</f>
        <v>28979098.489999998</v>
      </c>
      <c r="AM94" s="399">
        <f>'I-Project Contingency'!$I$11</f>
        <v>64.971830985915489</v>
      </c>
      <c r="AN94" s="398">
        <f t="shared" si="56"/>
        <v>0</v>
      </c>
      <c r="AO94" s="399">
        <f t="shared" si="57"/>
        <v>0</v>
      </c>
      <c r="AP94" s="1110" t="str">
        <f t="shared" si="58"/>
        <v>Negligible</v>
      </c>
      <c r="AQ94" s="1110" t="str">
        <f t="shared" si="59"/>
        <v>Negligible</v>
      </c>
      <c r="AR94" s="618" t="str">
        <f t="shared" si="48"/>
        <v/>
      </c>
      <c r="AS94" s="618" t="str">
        <f t="shared" si="49"/>
        <v/>
      </c>
      <c r="AT94" s="8"/>
      <c r="AU94" s="412">
        <f>'I-Project Contingency'!$O$4-AE94</f>
        <v>0</v>
      </c>
      <c r="AV94" s="413">
        <v>3099768.1860032952</v>
      </c>
      <c r="AW94" s="413">
        <v>8430883.7862095013</v>
      </c>
      <c r="AX94" s="413">
        <v>11173736.674482957</v>
      </c>
      <c r="AY94" s="413">
        <f>'I-Project Contingency'!$E$66-AV94</f>
        <v>0</v>
      </c>
      <c r="AZ94" s="413">
        <f>'I-Project Contingency'!$E$69-AW94</f>
        <v>0</v>
      </c>
      <c r="BA94" s="413">
        <f>'I-Project Contingency'!$E$70-AX94</f>
        <v>0</v>
      </c>
      <c r="BB94" s="414">
        <f>'I-Project Contingency'!$O$5-AG94</f>
        <v>0</v>
      </c>
      <c r="BC94" s="415">
        <v>1.78464631257918</v>
      </c>
      <c r="BD94" s="415">
        <v>4.4807515628171739</v>
      </c>
      <c r="BE94" s="416">
        <v>5.8619163793628264</v>
      </c>
      <c r="BF94" s="415">
        <f>'I-Project Contingency'!$E$81-BC94</f>
        <v>0</v>
      </c>
      <c r="BG94" s="415">
        <f>'I-Project Contingency'!$E$84-BD94</f>
        <v>0</v>
      </c>
      <c r="BH94" s="415">
        <f>'I-Project Contingency'!$E$85-BE94</f>
        <v>0</v>
      </c>
      <c r="BI94" s="417" t="str">
        <f>IF(BK94="N/A","N/A",IF('D-Project Data'!$C$6=50%,ABS(BK94),IF('D-Project Data'!$C$6=80%,ABS(BL94),IF('D-Project Data'!$C$6=90%,ABS(BM94)))))</f>
        <v>N/A</v>
      </c>
      <c r="BJ94" s="418" t="str">
        <f>IF(BI94="N/A","N/A",RANK(BI94,$BI$18:$BI$117,0)+COUNTIF($BI$18:BI94,BI94)-1)</f>
        <v>N/A</v>
      </c>
      <c r="BK94" s="417" t="str">
        <f>IF(AY94/SUM(AY:AY)*'I-Project Contingency'!$F$66=0,"N/A",AY94/SUM(AY:AY)*'I-Project Contingency'!$F$66)</f>
        <v>N/A</v>
      </c>
      <c r="BL94" s="417" t="str">
        <f>IF(AZ94/SUM(AZ:AZ)*'I-Project Contingency'!$F$69=0,"N/A",AZ94/SUM(AZ:AZ)*'I-Project Contingency'!$F$69)</f>
        <v>N/A</v>
      </c>
      <c r="BM94" s="417" t="str">
        <f>IF(BA94/SUM(BA:BA)*'I-Project Contingency'!$F$70=0,"N/A",BA94/SUM(BA:BA)*'I-Project Contingency'!$F$70)</f>
        <v>N/A</v>
      </c>
      <c r="BN94" s="416" t="str">
        <f>IF(BP94="N/A","N/A",IF('D-Project Data'!$C$6=50%,ABS(BP94),IF('D-Project Data'!$C$6=80%,ABS(BQ94),IF('D-Project Data'!$C$6=90%,ABS(BR94)))))</f>
        <v>N/A</v>
      </c>
      <c r="BO94" s="418" t="str">
        <f>IF(BN94="N/A","N/A",RANK(BN94,$BN$18:$BN$117,0)+COUNTIF($BN$18:BN94,BN94)-1)</f>
        <v>N/A</v>
      </c>
      <c r="BP94" s="416" t="str">
        <f>IF(BF94/SUM(BF:BF)*'I-Project Contingency'!$F$81=0,"N/A",BF94/SUM(BF:BF)*'I-Project Contingency'!$F$81)</f>
        <v>N/A</v>
      </c>
      <c r="BQ94" s="416" t="str">
        <f>IF(BG94/SUM(BG:BG)*'I-Project Contingency'!$F$84=0,"N/A",BG94/SUM(BG:BG)*'I-Project Contingency'!$F$84)</f>
        <v>N/A</v>
      </c>
      <c r="BR94" s="416" t="str">
        <f>IF(BH94/SUM(BH:BH)*'I-Project Contingency'!$F$85=0,"N/A",BH94/SUM(BH:BH)*'I-Project Contingency'!$F$85)</f>
        <v>N/A</v>
      </c>
      <c r="BS94" s="418">
        <f t="shared" si="50"/>
        <v>77</v>
      </c>
      <c r="BT94" s="419" t="str">
        <f t="shared" si="51"/>
        <v xml:space="preserve">77 -  </v>
      </c>
      <c r="BU94" s="413">
        <f t="shared" si="52"/>
        <v>0</v>
      </c>
      <c r="BV94" s="413">
        <f t="shared" si="53"/>
        <v>0</v>
      </c>
      <c r="BW94" s="415">
        <f t="shared" si="54"/>
        <v>0</v>
      </c>
      <c r="BX94" s="415">
        <f t="shared" si="55"/>
        <v>0</v>
      </c>
    </row>
    <row r="95" spans="1:76" ht="43.2" x14ac:dyDescent="0.3">
      <c r="A95" s="193">
        <f t="shared" si="22"/>
        <v>78</v>
      </c>
      <c r="B95" s="194" t="s">
        <v>747</v>
      </c>
      <c r="C95" s="204" t="s">
        <v>665</v>
      </c>
      <c r="D95" s="205" t="s">
        <v>665</v>
      </c>
      <c r="E95" s="195" t="s">
        <v>665</v>
      </c>
      <c r="F95" s="196" t="s">
        <v>716</v>
      </c>
      <c r="G95" s="196" t="s">
        <v>730</v>
      </c>
      <c r="H95" s="187" t="str">
        <f>IF('H-Risk Register-Model'!F95="Certain","Relook at Basis of Estimate",INDEX('G-Assumptions'!$F$8:$J$11,MATCH(F95,'G-Assumptions'!$D$8:$D$11,0),MATCH(G95,'G-Assumptions'!$F$6:$J$6,0)))</f>
        <v>Relook at Basis of Estimate</v>
      </c>
      <c r="I95" s="197" t="s">
        <v>730</v>
      </c>
      <c r="J95" s="187" t="str">
        <f>IF('H-Risk Register-Model'!F95="Certain","Relook at Basis of Estimate",INDEX('G-Assumptions'!$F$8:$J$11,MATCH(F95,'G-Assumptions'!$D$8:$D$11,0),MATCH(I95,'G-Assumptions'!$F$6:$J$6,0)))</f>
        <v>Relook at Basis of Estimate</v>
      </c>
      <c r="K95" s="197" t="s">
        <v>747</v>
      </c>
      <c r="L95" s="197" t="s">
        <v>747</v>
      </c>
      <c r="M95" s="197"/>
      <c r="N95" s="384" t="s">
        <v>747</v>
      </c>
      <c r="O95" s="384" t="s">
        <v>747</v>
      </c>
      <c r="P95" s="198"/>
      <c r="Q95" s="198"/>
      <c r="R95" s="198"/>
      <c r="S95" s="199"/>
      <c r="T95" s="199"/>
      <c r="U95" s="199"/>
      <c r="V95" s="206"/>
      <c r="W95" s="198"/>
      <c r="X95" s="198"/>
      <c r="Y95" s="200">
        <v>1</v>
      </c>
      <c r="Z95" s="201">
        <v>1</v>
      </c>
      <c r="AA95" s="202">
        <f t="shared" si="42"/>
        <v>0</v>
      </c>
      <c r="AB95" s="202">
        <f t="shared" si="43"/>
        <v>0</v>
      </c>
      <c r="AC95" s="202">
        <f t="shared" si="44"/>
        <v>0</v>
      </c>
      <c r="AD95" s="202"/>
      <c r="AE95" s="198">
        <f t="shared" si="45"/>
        <v>0</v>
      </c>
      <c r="AF95" s="203"/>
      <c r="AG95" s="199">
        <f t="shared" si="46"/>
        <v>0</v>
      </c>
      <c r="AH95" s="195"/>
      <c r="AI95" s="195"/>
      <c r="AJ95" s="8"/>
      <c r="AK95" s="616" t="str">
        <f t="shared" si="47"/>
        <v>No</v>
      </c>
      <c r="AL95" s="617">
        <f>'I-Project Contingency'!$I$4</f>
        <v>28979098.489999998</v>
      </c>
      <c r="AM95" s="399">
        <f>'I-Project Contingency'!$I$11</f>
        <v>64.971830985915489</v>
      </c>
      <c r="AN95" s="398">
        <f t="shared" si="56"/>
        <v>0</v>
      </c>
      <c r="AO95" s="399">
        <f t="shared" si="57"/>
        <v>0</v>
      </c>
      <c r="AP95" s="1110" t="str">
        <f t="shared" si="58"/>
        <v>Negligible</v>
      </c>
      <c r="AQ95" s="1110" t="str">
        <f t="shared" si="59"/>
        <v>Negligible</v>
      </c>
      <c r="AR95" s="618" t="str">
        <f t="shared" si="48"/>
        <v/>
      </c>
      <c r="AS95" s="618" t="str">
        <f t="shared" si="49"/>
        <v/>
      </c>
      <c r="AT95" s="8"/>
      <c r="AU95" s="412">
        <f>'I-Project Contingency'!$O$4-AE95</f>
        <v>0</v>
      </c>
      <c r="AV95" s="413">
        <v>3099768.1860032952</v>
      </c>
      <c r="AW95" s="413">
        <v>8430883.7862095013</v>
      </c>
      <c r="AX95" s="413">
        <v>11173736.674482957</v>
      </c>
      <c r="AY95" s="413">
        <f>'I-Project Contingency'!$E$66-AV95</f>
        <v>0</v>
      </c>
      <c r="AZ95" s="413">
        <f>'I-Project Contingency'!$E$69-AW95</f>
        <v>0</v>
      </c>
      <c r="BA95" s="413">
        <f>'I-Project Contingency'!$E$70-AX95</f>
        <v>0</v>
      </c>
      <c r="BB95" s="414">
        <f>'I-Project Contingency'!$O$5-AG95</f>
        <v>0</v>
      </c>
      <c r="BC95" s="415">
        <v>1.78464631257918</v>
      </c>
      <c r="BD95" s="415">
        <v>4.4807515628171739</v>
      </c>
      <c r="BE95" s="416">
        <v>5.8619163793628264</v>
      </c>
      <c r="BF95" s="415">
        <f>'I-Project Contingency'!$E$81-BC95</f>
        <v>0</v>
      </c>
      <c r="BG95" s="415">
        <f>'I-Project Contingency'!$E$84-BD95</f>
        <v>0</v>
      </c>
      <c r="BH95" s="415">
        <f>'I-Project Contingency'!$E$85-BE95</f>
        <v>0</v>
      </c>
      <c r="BI95" s="417" t="str">
        <f>IF(BK95="N/A","N/A",IF('D-Project Data'!$C$6=50%,ABS(BK95),IF('D-Project Data'!$C$6=80%,ABS(BL95),IF('D-Project Data'!$C$6=90%,ABS(BM95)))))</f>
        <v>N/A</v>
      </c>
      <c r="BJ95" s="418" t="str">
        <f>IF(BI95="N/A","N/A",RANK(BI95,$BI$18:$BI$117,0)+COUNTIF($BI$18:BI95,BI95)-1)</f>
        <v>N/A</v>
      </c>
      <c r="BK95" s="417" t="str">
        <f>IF(AY95/SUM(AY:AY)*'I-Project Contingency'!$F$66=0,"N/A",AY95/SUM(AY:AY)*'I-Project Contingency'!$F$66)</f>
        <v>N/A</v>
      </c>
      <c r="BL95" s="417" t="str">
        <f>IF(AZ95/SUM(AZ:AZ)*'I-Project Contingency'!$F$69=0,"N/A",AZ95/SUM(AZ:AZ)*'I-Project Contingency'!$F$69)</f>
        <v>N/A</v>
      </c>
      <c r="BM95" s="417" t="str">
        <f>IF(BA95/SUM(BA:BA)*'I-Project Contingency'!$F$70=0,"N/A",BA95/SUM(BA:BA)*'I-Project Contingency'!$F$70)</f>
        <v>N/A</v>
      </c>
      <c r="BN95" s="416" t="str">
        <f>IF(BP95="N/A","N/A",IF('D-Project Data'!$C$6=50%,ABS(BP95),IF('D-Project Data'!$C$6=80%,ABS(BQ95),IF('D-Project Data'!$C$6=90%,ABS(BR95)))))</f>
        <v>N/A</v>
      </c>
      <c r="BO95" s="418" t="str">
        <f>IF(BN95="N/A","N/A",RANK(BN95,$BN$18:$BN$117,0)+COUNTIF($BN$18:BN95,BN95)-1)</f>
        <v>N/A</v>
      </c>
      <c r="BP95" s="416" t="str">
        <f>IF(BF95/SUM(BF:BF)*'I-Project Contingency'!$F$81=0,"N/A",BF95/SUM(BF:BF)*'I-Project Contingency'!$F$81)</f>
        <v>N/A</v>
      </c>
      <c r="BQ95" s="416" t="str">
        <f>IF(BG95/SUM(BG:BG)*'I-Project Contingency'!$F$84=0,"N/A",BG95/SUM(BG:BG)*'I-Project Contingency'!$F$84)</f>
        <v>N/A</v>
      </c>
      <c r="BR95" s="416" t="str">
        <f>IF(BH95/SUM(BH:BH)*'I-Project Contingency'!$F$85=0,"N/A",BH95/SUM(BH:BH)*'I-Project Contingency'!$F$85)</f>
        <v>N/A</v>
      </c>
      <c r="BS95" s="418">
        <f t="shared" si="50"/>
        <v>78</v>
      </c>
      <c r="BT95" s="419" t="str">
        <f t="shared" si="51"/>
        <v xml:space="preserve">78 -  </v>
      </c>
      <c r="BU95" s="413">
        <f t="shared" si="52"/>
        <v>0</v>
      </c>
      <c r="BV95" s="413">
        <f t="shared" si="53"/>
        <v>0</v>
      </c>
      <c r="BW95" s="415">
        <f t="shared" si="54"/>
        <v>0</v>
      </c>
      <c r="BX95" s="415">
        <f t="shared" si="55"/>
        <v>0</v>
      </c>
    </row>
    <row r="96" spans="1:76" ht="43.2" x14ac:dyDescent="0.3">
      <c r="A96" s="193">
        <f t="shared" si="22"/>
        <v>79</v>
      </c>
      <c r="B96" s="194" t="s">
        <v>747</v>
      </c>
      <c r="C96" s="204" t="s">
        <v>665</v>
      </c>
      <c r="D96" s="205" t="s">
        <v>665</v>
      </c>
      <c r="E96" s="195" t="s">
        <v>665</v>
      </c>
      <c r="F96" s="196" t="s">
        <v>716</v>
      </c>
      <c r="G96" s="196" t="s">
        <v>730</v>
      </c>
      <c r="H96" s="187" t="str">
        <f>IF('H-Risk Register-Model'!F96="Certain","Relook at Basis of Estimate",INDEX('G-Assumptions'!$F$8:$J$11,MATCH(F96,'G-Assumptions'!$D$8:$D$11,0),MATCH(G96,'G-Assumptions'!$F$6:$J$6,0)))</f>
        <v>Relook at Basis of Estimate</v>
      </c>
      <c r="I96" s="197" t="s">
        <v>730</v>
      </c>
      <c r="J96" s="187" t="str">
        <f>IF('H-Risk Register-Model'!F96="Certain","Relook at Basis of Estimate",INDEX('G-Assumptions'!$F$8:$J$11,MATCH(F96,'G-Assumptions'!$D$8:$D$11,0),MATCH(I96,'G-Assumptions'!$F$6:$J$6,0)))</f>
        <v>Relook at Basis of Estimate</v>
      </c>
      <c r="K96" s="197" t="s">
        <v>747</v>
      </c>
      <c r="L96" s="197" t="s">
        <v>747</v>
      </c>
      <c r="M96" s="197"/>
      <c r="N96" s="384" t="s">
        <v>747</v>
      </c>
      <c r="O96" s="384" t="s">
        <v>747</v>
      </c>
      <c r="P96" s="198"/>
      <c r="Q96" s="198"/>
      <c r="R96" s="198"/>
      <c r="S96" s="199"/>
      <c r="T96" s="199"/>
      <c r="U96" s="199"/>
      <c r="V96" s="206"/>
      <c r="W96" s="198"/>
      <c r="X96" s="198"/>
      <c r="Y96" s="200">
        <v>1</v>
      </c>
      <c r="Z96" s="201">
        <v>1</v>
      </c>
      <c r="AA96" s="202">
        <f t="shared" si="42"/>
        <v>0</v>
      </c>
      <c r="AB96" s="202">
        <f t="shared" si="43"/>
        <v>0</v>
      </c>
      <c r="AC96" s="202">
        <f t="shared" si="44"/>
        <v>0</v>
      </c>
      <c r="AD96" s="202"/>
      <c r="AE96" s="198">
        <f t="shared" si="45"/>
        <v>0</v>
      </c>
      <c r="AF96" s="203"/>
      <c r="AG96" s="199">
        <f t="shared" si="46"/>
        <v>0</v>
      </c>
      <c r="AH96" s="195"/>
      <c r="AI96" s="195"/>
      <c r="AJ96" s="8"/>
      <c r="AK96" s="616" t="str">
        <f t="shared" si="47"/>
        <v>No</v>
      </c>
      <c r="AL96" s="617">
        <f>'I-Project Contingency'!$I$4</f>
        <v>28979098.489999998</v>
      </c>
      <c r="AM96" s="399">
        <f>'I-Project Contingency'!$I$11</f>
        <v>64.971830985915489</v>
      </c>
      <c r="AN96" s="398">
        <f t="shared" si="56"/>
        <v>0</v>
      </c>
      <c r="AO96" s="399">
        <f t="shared" si="57"/>
        <v>0</v>
      </c>
      <c r="AP96" s="1110" t="str">
        <f t="shared" si="58"/>
        <v>Negligible</v>
      </c>
      <c r="AQ96" s="1110" t="str">
        <f t="shared" si="59"/>
        <v>Negligible</v>
      </c>
      <c r="AR96" s="618" t="str">
        <f t="shared" si="48"/>
        <v/>
      </c>
      <c r="AS96" s="618" t="str">
        <f t="shared" si="49"/>
        <v/>
      </c>
      <c r="AT96" s="8"/>
      <c r="AU96" s="412">
        <f>'I-Project Contingency'!$O$4-AE96</f>
        <v>0</v>
      </c>
      <c r="AV96" s="413">
        <v>3099768.1860032952</v>
      </c>
      <c r="AW96" s="413">
        <v>8430883.7862095013</v>
      </c>
      <c r="AX96" s="413">
        <v>11173736.674482957</v>
      </c>
      <c r="AY96" s="413">
        <f>'I-Project Contingency'!$E$66-AV96</f>
        <v>0</v>
      </c>
      <c r="AZ96" s="413">
        <f>'I-Project Contingency'!$E$69-AW96</f>
        <v>0</v>
      </c>
      <c r="BA96" s="413">
        <f>'I-Project Contingency'!$E$70-AX96</f>
        <v>0</v>
      </c>
      <c r="BB96" s="414">
        <f>'I-Project Contingency'!$O$5-AG96</f>
        <v>0</v>
      </c>
      <c r="BC96" s="415">
        <v>1.78464631257918</v>
      </c>
      <c r="BD96" s="415">
        <v>4.4807515628171739</v>
      </c>
      <c r="BE96" s="416">
        <v>5.8619163793628264</v>
      </c>
      <c r="BF96" s="415">
        <f>'I-Project Contingency'!$E$81-BC96</f>
        <v>0</v>
      </c>
      <c r="BG96" s="415">
        <f>'I-Project Contingency'!$E$84-BD96</f>
        <v>0</v>
      </c>
      <c r="BH96" s="415">
        <f>'I-Project Contingency'!$E$85-BE96</f>
        <v>0</v>
      </c>
      <c r="BI96" s="417" t="str">
        <f>IF(BK96="N/A","N/A",IF('D-Project Data'!$C$6=50%,ABS(BK96),IF('D-Project Data'!$C$6=80%,ABS(BL96),IF('D-Project Data'!$C$6=90%,ABS(BM96)))))</f>
        <v>N/A</v>
      </c>
      <c r="BJ96" s="418" t="str">
        <f>IF(BI96="N/A","N/A",RANK(BI96,$BI$18:$BI$117,0)+COUNTIF($BI$18:BI96,BI96)-1)</f>
        <v>N/A</v>
      </c>
      <c r="BK96" s="417" t="str">
        <f>IF(AY96/SUM(AY:AY)*'I-Project Contingency'!$F$66=0,"N/A",AY96/SUM(AY:AY)*'I-Project Contingency'!$F$66)</f>
        <v>N/A</v>
      </c>
      <c r="BL96" s="417" t="str">
        <f>IF(AZ96/SUM(AZ:AZ)*'I-Project Contingency'!$F$69=0,"N/A",AZ96/SUM(AZ:AZ)*'I-Project Contingency'!$F$69)</f>
        <v>N/A</v>
      </c>
      <c r="BM96" s="417" t="str">
        <f>IF(BA96/SUM(BA:BA)*'I-Project Contingency'!$F$70=0,"N/A",BA96/SUM(BA:BA)*'I-Project Contingency'!$F$70)</f>
        <v>N/A</v>
      </c>
      <c r="BN96" s="416" t="str">
        <f>IF(BP96="N/A","N/A",IF('D-Project Data'!$C$6=50%,ABS(BP96),IF('D-Project Data'!$C$6=80%,ABS(BQ96),IF('D-Project Data'!$C$6=90%,ABS(BR96)))))</f>
        <v>N/A</v>
      </c>
      <c r="BO96" s="418" t="str">
        <f>IF(BN96="N/A","N/A",RANK(BN96,$BN$18:$BN$117,0)+COUNTIF($BN$18:BN96,BN96)-1)</f>
        <v>N/A</v>
      </c>
      <c r="BP96" s="416" t="str">
        <f>IF(BF96/SUM(BF:BF)*'I-Project Contingency'!$F$81=0,"N/A",BF96/SUM(BF:BF)*'I-Project Contingency'!$F$81)</f>
        <v>N/A</v>
      </c>
      <c r="BQ96" s="416" t="str">
        <f>IF(BG96/SUM(BG:BG)*'I-Project Contingency'!$F$84=0,"N/A",BG96/SUM(BG:BG)*'I-Project Contingency'!$F$84)</f>
        <v>N/A</v>
      </c>
      <c r="BR96" s="416" t="str">
        <f>IF(BH96/SUM(BH:BH)*'I-Project Contingency'!$F$85=0,"N/A",BH96/SUM(BH:BH)*'I-Project Contingency'!$F$85)</f>
        <v>N/A</v>
      </c>
      <c r="BS96" s="418">
        <f t="shared" si="50"/>
        <v>79</v>
      </c>
      <c r="BT96" s="419" t="str">
        <f t="shared" si="51"/>
        <v xml:space="preserve">79 -  </v>
      </c>
      <c r="BU96" s="413">
        <f t="shared" si="52"/>
        <v>0</v>
      </c>
      <c r="BV96" s="413">
        <f t="shared" si="53"/>
        <v>0</v>
      </c>
      <c r="BW96" s="415">
        <f t="shared" si="54"/>
        <v>0</v>
      </c>
      <c r="BX96" s="415">
        <f t="shared" si="55"/>
        <v>0</v>
      </c>
    </row>
    <row r="97" spans="1:76" ht="43.2" x14ac:dyDescent="0.3">
      <c r="A97" s="193">
        <f t="shared" si="22"/>
        <v>80</v>
      </c>
      <c r="B97" s="194" t="s">
        <v>747</v>
      </c>
      <c r="C97" s="204" t="s">
        <v>665</v>
      </c>
      <c r="D97" s="205" t="s">
        <v>665</v>
      </c>
      <c r="E97" s="195" t="s">
        <v>665</v>
      </c>
      <c r="F97" s="196" t="s">
        <v>716</v>
      </c>
      <c r="G97" s="196" t="s">
        <v>730</v>
      </c>
      <c r="H97" s="187" t="str">
        <f>IF('H-Risk Register-Model'!F97="Certain","Relook at Basis of Estimate",INDEX('G-Assumptions'!$F$8:$J$11,MATCH(F97,'G-Assumptions'!$D$8:$D$11,0),MATCH(G97,'G-Assumptions'!$F$6:$J$6,0)))</f>
        <v>Relook at Basis of Estimate</v>
      </c>
      <c r="I97" s="197" t="s">
        <v>730</v>
      </c>
      <c r="J97" s="187" t="str">
        <f>IF('H-Risk Register-Model'!F97="Certain","Relook at Basis of Estimate",INDEX('G-Assumptions'!$F$8:$J$11,MATCH(F97,'G-Assumptions'!$D$8:$D$11,0),MATCH(I97,'G-Assumptions'!$F$6:$J$6,0)))</f>
        <v>Relook at Basis of Estimate</v>
      </c>
      <c r="K97" s="197" t="s">
        <v>747</v>
      </c>
      <c r="L97" s="197" t="s">
        <v>747</v>
      </c>
      <c r="M97" s="197"/>
      <c r="N97" s="384" t="s">
        <v>747</v>
      </c>
      <c r="O97" s="384" t="s">
        <v>747</v>
      </c>
      <c r="P97" s="198"/>
      <c r="Q97" s="198"/>
      <c r="R97" s="198"/>
      <c r="S97" s="199"/>
      <c r="T97" s="199"/>
      <c r="U97" s="199"/>
      <c r="V97" s="206"/>
      <c r="W97" s="198"/>
      <c r="X97" s="198"/>
      <c r="Y97" s="200">
        <v>1</v>
      </c>
      <c r="Z97" s="201">
        <v>1</v>
      </c>
      <c r="AA97" s="202">
        <f t="shared" si="42"/>
        <v>0</v>
      </c>
      <c r="AB97" s="202">
        <f t="shared" si="43"/>
        <v>0</v>
      </c>
      <c r="AC97" s="202">
        <f t="shared" si="44"/>
        <v>0</v>
      </c>
      <c r="AD97" s="202"/>
      <c r="AE97" s="198">
        <f t="shared" si="45"/>
        <v>0</v>
      </c>
      <c r="AF97" s="203"/>
      <c r="AG97" s="199">
        <f t="shared" si="46"/>
        <v>0</v>
      </c>
      <c r="AH97" s="195"/>
      <c r="AI97" s="195"/>
      <c r="AJ97" s="8"/>
      <c r="AK97" s="616" t="str">
        <f t="shared" si="47"/>
        <v>No</v>
      </c>
      <c r="AL97" s="617">
        <f>'I-Project Contingency'!$I$4</f>
        <v>28979098.489999998</v>
      </c>
      <c r="AM97" s="399">
        <f>'I-Project Contingency'!$I$11</f>
        <v>64.971830985915489</v>
      </c>
      <c r="AN97" s="398">
        <f t="shared" si="56"/>
        <v>0</v>
      </c>
      <c r="AO97" s="399">
        <f t="shared" si="57"/>
        <v>0</v>
      </c>
      <c r="AP97" s="1110" t="str">
        <f t="shared" si="58"/>
        <v>Negligible</v>
      </c>
      <c r="AQ97" s="1110" t="str">
        <f t="shared" si="59"/>
        <v>Negligible</v>
      </c>
      <c r="AR97" s="618" t="str">
        <f t="shared" si="48"/>
        <v/>
      </c>
      <c r="AS97" s="618" t="str">
        <f t="shared" si="49"/>
        <v/>
      </c>
      <c r="AT97" s="8"/>
      <c r="AU97" s="412">
        <f>'I-Project Contingency'!$O$4-AE97</f>
        <v>0</v>
      </c>
      <c r="AV97" s="413">
        <v>3099768.1860032952</v>
      </c>
      <c r="AW97" s="413">
        <v>8430883.7862095013</v>
      </c>
      <c r="AX97" s="413">
        <v>11173736.674482957</v>
      </c>
      <c r="AY97" s="413">
        <f>'I-Project Contingency'!$E$66-AV97</f>
        <v>0</v>
      </c>
      <c r="AZ97" s="413">
        <f>'I-Project Contingency'!$E$69-AW97</f>
        <v>0</v>
      </c>
      <c r="BA97" s="413">
        <f>'I-Project Contingency'!$E$70-AX97</f>
        <v>0</v>
      </c>
      <c r="BB97" s="414">
        <f>'I-Project Contingency'!$O$5-AG97</f>
        <v>0</v>
      </c>
      <c r="BC97" s="415">
        <v>1.78464631257918</v>
      </c>
      <c r="BD97" s="415">
        <v>4.4807515628171739</v>
      </c>
      <c r="BE97" s="416">
        <v>5.8619163793628264</v>
      </c>
      <c r="BF97" s="415">
        <f>'I-Project Contingency'!$E$81-BC97</f>
        <v>0</v>
      </c>
      <c r="BG97" s="415">
        <f>'I-Project Contingency'!$E$84-BD97</f>
        <v>0</v>
      </c>
      <c r="BH97" s="415">
        <f>'I-Project Contingency'!$E$85-BE97</f>
        <v>0</v>
      </c>
      <c r="BI97" s="417" t="str">
        <f>IF(BK97="N/A","N/A",IF('D-Project Data'!$C$6=50%,ABS(BK97),IF('D-Project Data'!$C$6=80%,ABS(BL97),IF('D-Project Data'!$C$6=90%,ABS(BM97)))))</f>
        <v>N/A</v>
      </c>
      <c r="BJ97" s="418" t="str">
        <f>IF(BI97="N/A","N/A",RANK(BI97,$BI$18:$BI$117,0)+COUNTIF($BI$18:BI97,BI97)-1)</f>
        <v>N/A</v>
      </c>
      <c r="BK97" s="417" t="str">
        <f>IF(AY97/SUM(AY:AY)*'I-Project Contingency'!$F$66=0,"N/A",AY97/SUM(AY:AY)*'I-Project Contingency'!$F$66)</f>
        <v>N/A</v>
      </c>
      <c r="BL97" s="417" t="str">
        <f>IF(AZ97/SUM(AZ:AZ)*'I-Project Contingency'!$F$69=0,"N/A",AZ97/SUM(AZ:AZ)*'I-Project Contingency'!$F$69)</f>
        <v>N/A</v>
      </c>
      <c r="BM97" s="417" t="str">
        <f>IF(BA97/SUM(BA:BA)*'I-Project Contingency'!$F$70=0,"N/A",BA97/SUM(BA:BA)*'I-Project Contingency'!$F$70)</f>
        <v>N/A</v>
      </c>
      <c r="BN97" s="416" t="str">
        <f>IF(BP97="N/A","N/A",IF('D-Project Data'!$C$6=50%,ABS(BP97),IF('D-Project Data'!$C$6=80%,ABS(BQ97),IF('D-Project Data'!$C$6=90%,ABS(BR97)))))</f>
        <v>N/A</v>
      </c>
      <c r="BO97" s="418" t="str">
        <f>IF(BN97="N/A","N/A",RANK(BN97,$BN$18:$BN$117,0)+COUNTIF($BN$18:BN97,BN97)-1)</f>
        <v>N/A</v>
      </c>
      <c r="BP97" s="416" t="str">
        <f>IF(BF97/SUM(BF:BF)*'I-Project Contingency'!$F$81=0,"N/A",BF97/SUM(BF:BF)*'I-Project Contingency'!$F$81)</f>
        <v>N/A</v>
      </c>
      <c r="BQ97" s="416" t="str">
        <f>IF(BG97/SUM(BG:BG)*'I-Project Contingency'!$F$84=0,"N/A",BG97/SUM(BG:BG)*'I-Project Contingency'!$F$84)</f>
        <v>N/A</v>
      </c>
      <c r="BR97" s="416" t="str">
        <f>IF(BH97/SUM(BH:BH)*'I-Project Contingency'!$F$85=0,"N/A",BH97/SUM(BH:BH)*'I-Project Contingency'!$F$85)</f>
        <v>N/A</v>
      </c>
      <c r="BS97" s="418">
        <f t="shared" si="50"/>
        <v>80</v>
      </c>
      <c r="BT97" s="419" t="str">
        <f t="shared" si="51"/>
        <v xml:space="preserve">80 -  </v>
      </c>
      <c r="BU97" s="413">
        <f t="shared" si="52"/>
        <v>0</v>
      </c>
      <c r="BV97" s="413">
        <f t="shared" si="53"/>
        <v>0</v>
      </c>
      <c r="BW97" s="415">
        <f t="shared" si="54"/>
        <v>0</v>
      </c>
      <c r="BX97" s="415">
        <f t="shared" si="55"/>
        <v>0</v>
      </c>
    </row>
    <row r="98" spans="1:76" ht="43.2" x14ac:dyDescent="0.3">
      <c r="A98" s="193">
        <f t="shared" si="22"/>
        <v>81</v>
      </c>
      <c r="B98" s="194" t="s">
        <v>747</v>
      </c>
      <c r="C98" s="204" t="s">
        <v>665</v>
      </c>
      <c r="D98" s="205" t="s">
        <v>665</v>
      </c>
      <c r="E98" s="195" t="s">
        <v>665</v>
      </c>
      <c r="F98" s="196" t="s">
        <v>716</v>
      </c>
      <c r="G98" s="196" t="s">
        <v>730</v>
      </c>
      <c r="H98" s="187" t="str">
        <f>IF('H-Risk Register-Model'!F98="Certain","Relook at Basis of Estimate",INDEX('G-Assumptions'!$F$8:$J$11,MATCH(F98,'G-Assumptions'!$D$8:$D$11,0),MATCH(G98,'G-Assumptions'!$F$6:$J$6,0)))</f>
        <v>Relook at Basis of Estimate</v>
      </c>
      <c r="I98" s="197" t="s">
        <v>730</v>
      </c>
      <c r="J98" s="187" t="str">
        <f>IF('H-Risk Register-Model'!F98="Certain","Relook at Basis of Estimate",INDEX('G-Assumptions'!$F$8:$J$11,MATCH(F98,'G-Assumptions'!$D$8:$D$11,0),MATCH(I98,'G-Assumptions'!$F$6:$J$6,0)))</f>
        <v>Relook at Basis of Estimate</v>
      </c>
      <c r="K98" s="197" t="s">
        <v>747</v>
      </c>
      <c r="L98" s="197" t="s">
        <v>747</v>
      </c>
      <c r="M98" s="197"/>
      <c r="N98" s="384" t="s">
        <v>747</v>
      </c>
      <c r="O98" s="384" t="s">
        <v>747</v>
      </c>
      <c r="P98" s="198"/>
      <c r="Q98" s="198"/>
      <c r="R98" s="198"/>
      <c r="S98" s="199"/>
      <c r="T98" s="199"/>
      <c r="U98" s="199"/>
      <c r="V98" s="206"/>
      <c r="W98" s="198"/>
      <c r="X98" s="198"/>
      <c r="Y98" s="200">
        <v>1</v>
      </c>
      <c r="Z98" s="201">
        <v>1</v>
      </c>
      <c r="AA98" s="202">
        <f t="shared" si="42"/>
        <v>0</v>
      </c>
      <c r="AB98" s="202">
        <f t="shared" si="43"/>
        <v>0</v>
      </c>
      <c r="AC98" s="202">
        <f t="shared" si="44"/>
        <v>0</v>
      </c>
      <c r="AD98" s="202"/>
      <c r="AE98" s="198">
        <f t="shared" si="45"/>
        <v>0</v>
      </c>
      <c r="AF98" s="203"/>
      <c r="AG98" s="199">
        <f t="shared" si="46"/>
        <v>0</v>
      </c>
      <c r="AH98" s="195"/>
      <c r="AI98" s="195"/>
      <c r="AJ98" s="8"/>
      <c r="AK98" s="616" t="str">
        <f t="shared" si="47"/>
        <v>No</v>
      </c>
      <c r="AL98" s="617">
        <f>'I-Project Contingency'!$I$4</f>
        <v>28979098.489999998</v>
      </c>
      <c r="AM98" s="399">
        <f>'I-Project Contingency'!$I$11</f>
        <v>64.971830985915489</v>
      </c>
      <c r="AN98" s="398">
        <f t="shared" si="56"/>
        <v>0</v>
      </c>
      <c r="AO98" s="399">
        <f t="shared" si="57"/>
        <v>0</v>
      </c>
      <c r="AP98" s="1110" t="str">
        <f t="shared" si="58"/>
        <v>Negligible</v>
      </c>
      <c r="AQ98" s="1110" t="str">
        <f t="shared" si="59"/>
        <v>Negligible</v>
      </c>
      <c r="AR98" s="618" t="str">
        <f t="shared" si="48"/>
        <v/>
      </c>
      <c r="AS98" s="618" t="str">
        <f t="shared" si="49"/>
        <v/>
      </c>
      <c r="AT98" s="8"/>
      <c r="AU98" s="412">
        <f>'I-Project Contingency'!$O$4-AE98</f>
        <v>0</v>
      </c>
      <c r="AV98" s="413">
        <v>3099768.1860032952</v>
      </c>
      <c r="AW98" s="413">
        <v>8430883.7862095013</v>
      </c>
      <c r="AX98" s="413">
        <v>11173736.674482957</v>
      </c>
      <c r="AY98" s="413">
        <f>'I-Project Contingency'!$E$66-AV98</f>
        <v>0</v>
      </c>
      <c r="AZ98" s="413">
        <f>'I-Project Contingency'!$E$69-AW98</f>
        <v>0</v>
      </c>
      <c r="BA98" s="413">
        <f>'I-Project Contingency'!$E$70-AX98</f>
        <v>0</v>
      </c>
      <c r="BB98" s="414">
        <f>'I-Project Contingency'!$O$5-AG98</f>
        <v>0</v>
      </c>
      <c r="BC98" s="415">
        <v>1.78464631257918</v>
      </c>
      <c r="BD98" s="415">
        <v>4.4807515628171739</v>
      </c>
      <c r="BE98" s="416">
        <v>5.8619163793628264</v>
      </c>
      <c r="BF98" s="415">
        <f>'I-Project Contingency'!$E$81-BC98</f>
        <v>0</v>
      </c>
      <c r="BG98" s="415">
        <f>'I-Project Contingency'!$E$84-BD98</f>
        <v>0</v>
      </c>
      <c r="BH98" s="415">
        <f>'I-Project Contingency'!$E$85-BE98</f>
        <v>0</v>
      </c>
      <c r="BI98" s="417" t="str">
        <f>IF(BK98="N/A","N/A",IF('D-Project Data'!$C$6=50%,ABS(BK98),IF('D-Project Data'!$C$6=80%,ABS(BL98),IF('D-Project Data'!$C$6=90%,ABS(BM98)))))</f>
        <v>N/A</v>
      </c>
      <c r="BJ98" s="418" t="str">
        <f>IF(BI98="N/A","N/A",RANK(BI98,$BI$18:$BI$117,0)+COUNTIF($BI$18:BI98,BI98)-1)</f>
        <v>N/A</v>
      </c>
      <c r="BK98" s="417" t="str">
        <f>IF(AY98/SUM(AY:AY)*'I-Project Contingency'!$F$66=0,"N/A",AY98/SUM(AY:AY)*'I-Project Contingency'!$F$66)</f>
        <v>N/A</v>
      </c>
      <c r="BL98" s="417" t="str">
        <f>IF(AZ98/SUM(AZ:AZ)*'I-Project Contingency'!$F$69=0,"N/A",AZ98/SUM(AZ:AZ)*'I-Project Contingency'!$F$69)</f>
        <v>N/A</v>
      </c>
      <c r="BM98" s="417" t="str">
        <f>IF(BA98/SUM(BA:BA)*'I-Project Contingency'!$F$70=0,"N/A",BA98/SUM(BA:BA)*'I-Project Contingency'!$F$70)</f>
        <v>N/A</v>
      </c>
      <c r="BN98" s="416" t="str">
        <f>IF(BP98="N/A","N/A",IF('D-Project Data'!$C$6=50%,ABS(BP98),IF('D-Project Data'!$C$6=80%,ABS(BQ98),IF('D-Project Data'!$C$6=90%,ABS(BR98)))))</f>
        <v>N/A</v>
      </c>
      <c r="BO98" s="418" t="str">
        <f>IF(BN98="N/A","N/A",RANK(BN98,$BN$18:$BN$117,0)+COUNTIF($BN$18:BN98,BN98)-1)</f>
        <v>N/A</v>
      </c>
      <c r="BP98" s="416" t="str">
        <f>IF(BF98/SUM(BF:BF)*'I-Project Contingency'!$F$81=0,"N/A",BF98/SUM(BF:BF)*'I-Project Contingency'!$F$81)</f>
        <v>N/A</v>
      </c>
      <c r="BQ98" s="416" t="str">
        <f>IF(BG98/SUM(BG:BG)*'I-Project Contingency'!$F$84=0,"N/A",BG98/SUM(BG:BG)*'I-Project Contingency'!$F$84)</f>
        <v>N/A</v>
      </c>
      <c r="BR98" s="416" t="str">
        <f>IF(BH98/SUM(BH:BH)*'I-Project Contingency'!$F$85=0,"N/A",BH98/SUM(BH:BH)*'I-Project Contingency'!$F$85)</f>
        <v>N/A</v>
      </c>
      <c r="BS98" s="418">
        <f t="shared" si="50"/>
        <v>81</v>
      </c>
      <c r="BT98" s="419" t="str">
        <f t="shared" si="51"/>
        <v xml:space="preserve">81 -  </v>
      </c>
      <c r="BU98" s="413">
        <f t="shared" si="52"/>
        <v>0</v>
      </c>
      <c r="BV98" s="413">
        <f t="shared" si="53"/>
        <v>0</v>
      </c>
      <c r="BW98" s="415">
        <f t="shared" si="54"/>
        <v>0</v>
      </c>
      <c r="BX98" s="415">
        <f t="shared" si="55"/>
        <v>0</v>
      </c>
    </row>
    <row r="99" spans="1:76" ht="43.2" x14ac:dyDescent="0.3">
      <c r="A99" s="193">
        <f t="shared" si="22"/>
        <v>82</v>
      </c>
      <c r="B99" s="194" t="s">
        <v>747</v>
      </c>
      <c r="C99" s="204" t="s">
        <v>665</v>
      </c>
      <c r="D99" s="205" t="s">
        <v>665</v>
      </c>
      <c r="E99" s="195" t="s">
        <v>665</v>
      </c>
      <c r="F99" s="196" t="s">
        <v>716</v>
      </c>
      <c r="G99" s="196" t="s">
        <v>730</v>
      </c>
      <c r="H99" s="187" t="str">
        <f>IF('H-Risk Register-Model'!F99="Certain","Relook at Basis of Estimate",INDEX('G-Assumptions'!$F$8:$J$11,MATCH(F99,'G-Assumptions'!$D$8:$D$11,0),MATCH(G99,'G-Assumptions'!$F$6:$J$6,0)))</f>
        <v>Relook at Basis of Estimate</v>
      </c>
      <c r="I99" s="197" t="s">
        <v>730</v>
      </c>
      <c r="J99" s="187" t="str">
        <f>IF('H-Risk Register-Model'!F99="Certain","Relook at Basis of Estimate",INDEX('G-Assumptions'!$F$8:$J$11,MATCH(F99,'G-Assumptions'!$D$8:$D$11,0),MATCH(I99,'G-Assumptions'!$F$6:$J$6,0)))</f>
        <v>Relook at Basis of Estimate</v>
      </c>
      <c r="K99" s="197" t="s">
        <v>747</v>
      </c>
      <c r="L99" s="197" t="s">
        <v>747</v>
      </c>
      <c r="M99" s="197"/>
      <c r="N99" s="384" t="s">
        <v>747</v>
      </c>
      <c r="O99" s="384" t="s">
        <v>747</v>
      </c>
      <c r="P99" s="198"/>
      <c r="Q99" s="198"/>
      <c r="R99" s="198"/>
      <c r="S99" s="199"/>
      <c r="T99" s="199"/>
      <c r="U99" s="199"/>
      <c r="V99" s="206"/>
      <c r="W99" s="198"/>
      <c r="X99" s="198"/>
      <c r="Y99" s="200">
        <v>1</v>
      </c>
      <c r="Z99" s="201">
        <v>1</v>
      </c>
      <c r="AA99" s="202">
        <f t="shared" si="42"/>
        <v>0</v>
      </c>
      <c r="AB99" s="202">
        <f t="shared" si="43"/>
        <v>0</v>
      </c>
      <c r="AC99" s="202">
        <f t="shared" si="44"/>
        <v>0</v>
      </c>
      <c r="AD99" s="202"/>
      <c r="AE99" s="198">
        <f t="shared" si="45"/>
        <v>0</v>
      </c>
      <c r="AF99" s="203"/>
      <c r="AG99" s="199">
        <f t="shared" si="46"/>
        <v>0</v>
      </c>
      <c r="AH99" s="195"/>
      <c r="AI99" s="195"/>
      <c r="AJ99" s="8"/>
      <c r="AK99" s="616" t="str">
        <f t="shared" si="47"/>
        <v>No</v>
      </c>
      <c r="AL99" s="617">
        <f>'I-Project Contingency'!$I$4</f>
        <v>28979098.489999998</v>
      </c>
      <c r="AM99" s="399">
        <f>'I-Project Contingency'!$I$11</f>
        <v>64.971830985915489</v>
      </c>
      <c r="AN99" s="398">
        <f t="shared" si="56"/>
        <v>0</v>
      </c>
      <c r="AO99" s="399">
        <f t="shared" si="57"/>
        <v>0</v>
      </c>
      <c r="AP99" s="1110" t="str">
        <f t="shared" si="58"/>
        <v>Negligible</v>
      </c>
      <c r="AQ99" s="1110" t="str">
        <f t="shared" si="59"/>
        <v>Negligible</v>
      </c>
      <c r="AR99" s="618" t="str">
        <f t="shared" si="48"/>
        <v/>
      </c>
      <c r="AS99" s="618" t="str">
        <f t="shared" si="49"/>
        <v/>
      </c>
      <c r="AT99" s="8"/>
      <c r="AU99" s="412">
        <f>'I-Project Contingency'!$O$4-AE99</f>
        <v>0</v>
      </c>
      <c r="AV99" s="413">
        <v>3099768.1860032952</v>
      </c>
      <c r="AW99" s="413">
        <v>8430883.7862095013</v>
      </c>
      <c r="AX99" s="413">
        <v>11173736.674482957</v>
      </c>
      <c r="AY99" s="413">
        <f>'I-Project Contingency'!$E$66-AV99</f>
        <v>0</v>
      </c>
      <c r="AZ99" s="413">
        <f>'I-Project Contingency'!$E$69-AW99</f>
        <v>0</v>
      </c>
      <c r="BA99" s="413">
        <f>'I-Project Contingency'!$E$70-AX99</f>
        <v>0</v>
      </c>
      <c r="BB99" s="414">
        <f>'I-Project Contingency'!$O$5-AG99</f>
        <v>0</v>
      </c>
      <c r="BC99" s="415">
        <v>1.78464631257918</v>
      </c>
      <c r="BD99" s="415">
        <v>4.4807515628171739</v>
      </c>
      <c r="BE99" s="416">
        <v>5.8619163793628264</v>
      </c>
      <c r="BF99" s="415">
        <f>'I-Project Contingency'!$E$81-BC99</f>
        <v>0</v>
      </c>
      <c r="BG99" s="415">
        <f>'I-Project Contingency'!$E$84-BD99</f>
        <v>0</v>
      </c>
      <c r="BH99" s="415">
        <f>'I-Project Contingency'!$E$85-BE99</f>
        <v>0</v>
      </c>
      <c r="BI99" s="417" t="str">
        <f>IF(BK99="N/A","N/A",IF('D-Project Data'!$C$6=50%,ABS(BK99),IF('D-Project Data'!$C$6=80%,ABS(BL99),IF('D-Project Data'!$C$6=90%,ABS(BM99)))))</f>
        <v>N/A</v>
      </c>
      <c r="BJ99" s="418" t="str">
        <f>IF(BI99="N/A","N/A",RANK(BI99,$BI$18:$BI$117,0)+COUNTIF($BI$18:BI99,BI99)-1)</f>
        <v>N/A</v>
      </c>
      <c r="BK99" s="417" t="str">
        <f>IF(AY99/SUM(AY:AY)*'I-Project Contingency'!$F$66=0,"N/A",AY99/SUM(AY:AY)*'I-Project Contingency'!$F$66)</f>
        <v>N/A</v>
      </c>
      <c r="BL99" s="417" t="str">
        <f>IF(AZ99/SUM(AZ:AZ)*'I-Project Contingency'!$F$69=0,"N/A",AZ99/SUM(AZ:AZ)*'I-Project Contingency'!$F$69)</f>
        <v>N/A</v>
      </c>
      <c r="BM99" s="417" t="str">
        <f>IF(BA99/SUM(BA:BA)*'I-Project Contingency'!$F$70=0,"N/A",BA99/SUM(BA:BA)*'I-Project Contingency'!$F$70)</f>
        <v>N/A</v>
      </c>
      <c r="BN99" s="416" t="str">
        <f>IF(BP99="N/A","N/A",IF('D-Project Data'!$C$6=50%,ABS(BP99),IF('D-Project Data'!$C$6=80%,ABS(BQ99),IF('D-Project Data'!$C$6=90%,ABS(BR99)))))</f>
        <v>N/A</v>
      </c>
      <c r="BO99" s="418" t="str">
        <f>IF(BN99="N/A","N/A",RANK(BN99,$BN$18:$BN$117,0)+COUNTIF($BN$18:BN99,BN99)-1)</f>
        <v>N/A</v>
      </c>
      <c r="BP99" s="416" t="str">
        <f>IF(BF99/SUM(BF:BF)*'I-Project Contingency'!$F$81=0,"N/A",BF99/SUM(BF:BF)*'I-Project Contingency'!$F$81)</f>
        <v>N/A</v>
      </c>
      <c r="BQ99" s="416" t="str">
        <f>IF(BG99/SUM(BG:BG)*'I-Project Contingency'!$F$84=0,"N/A",BG99/SUM(BG:BG)*'I-Project Contingency'!$F$84)</f>
        <v>N/A</v>
      </c>
      <c r="BR99" s="416" t="str">
        <f>IF(BH99/SUM(BH:BH)*'I-Project Contingency'!$F$85=0,"N/A",BH99/SUM(BH:BH)*'I-Project Contingency'!$F$85)</f>
        <v>N/A</v>
      </c>
      <c r="BS99" s="418">
        <f t="shared" si="50"/>
        <v>82</v>
      </c>
      <c r="BT99" s="419" t="str">
        <f t="shared" si="51"/>
        <v xml:space="preserve">82 -  </v>
      </c>
      <c r="BU99" s="413">
        <f t="shared" si="52"/>
        <v>0</v>
      </c>
      <c r="BV99" s="413">
        <f t="shared" si="53"/>
        <v>0</v>
      </c>
      <c r="BW99" s="415">
        <f t="shared" si="54"/>
        <v>0</v>
      </c>
      <c r="BX99" s="415">
        <f t="shared" si="55"/>
        <v>0</v>
      </c>
    </row>
    <row r="100" spans="1:76" ht="43.2" x14ac:dyDescent="0.3">
      <c r="A100" s="193">
        <f t="shared" si="22"/>
        <v>83</v>
      </c>
      <c r="B100" s="194" t="s">
        <v>747</v>
      </c>
      <c r="C100" s="204" t="s">
        <v>665</v>
      </c>
      <c r="D100" s="205" t="s">
        <v>665</v>
      </c>
      <c r="E100" s="195" t="s">
        <v>665</v>
      </c>
      <c r="F100" s="196" t="s">
        <v>716</v>
      </c>
      <c r="G100" s="196" t="s">
        <v>730</v>
      </c>
      <c r="H100" s="187" t="str">
        <f>IF('H-Risk Register-Model'!F100="Certain","Relook at Basis of Estimate",INDEX('G-Assumptions'!$F$8:$J$11,MATCH(F100,'G-Assumptions'!$D$8:$D$11,0),MATCH(G100,'G-Assumptions'!$F$6:$J$6,0)))</f>
        <v>Relook at Basis of Estimate</v>
      </c>
      <c r="I100" s="197" t="s">
        <v>730</v>
      </c>
      <c r="J100" s="187" t="str">
        <f>IF('H-Risk Register-Model'!F100="Certain","Relook at Basis of Estimate",INDEX('G-Assumptions'!$F$8:$J$11,MATCH(F100,'G-Assumptions'!$D$8:$D$11,0),MATCH(I100,'G-Assumptions'!$F$6:$J$6,0)))</f>
        <v>Relook at Basis of Estimate</v>
      </c>
      <c r="K100" s="197" t="s">
        <v>747</v>
      </c>
      <c r="L100" s="197" t="s">
        <v>747</v>
      </c>
      <c r="M100" s="197"/>
      <c r="N100" s="384" t="s">
        <v>747</v>
      </c>
      <c r="O100" s="384" t="s">
        <v>747</v>
      </c>
      <c r="P100" s="198"/>
      <c r="Q100" s="198"/>
      <c r="R100" s="198"/>
      <c r="S100" s="199"/>
      <c r="T100" s="199"/>
      <c r="U100" s="199"/>
      <c r="V100" s="206"/>
      <c r="W100" s="198"/>
      <c r="X100" s="198"/>
      <c r="Y100" s="200">
        <v>1</v>
      </c>
      <c r="Z100" s="201">
        <v>1</v>
      </c>
      <c r="AA100" s="202">
        <f t="shared" si="42"/>
        <v>0</v>
      </c>
      <c r="AB100" s="202">
        <f t="shared" si="43"/>
        <v>0</v>
      </c>
      <c r="AC100" s="202">
        <f t="shared" si="44"/>
        <v>0</v>
      </c>
      <c r="AD100" s="202"/>
      <c r="AE100" s="198">
        <f t="shared" si="45"/>
        <v>0</v>
      </c>
      <c r="AF100" s="203"/>
      <c r="AG100" s="199">
        <f t="shared" si="46"/>
        <v>0</v>
      </c>
      <c r="AH100" s="195"/>
      <c r="AI100" s="195"/>
      <c r="AJ100" s="8"/>
      <c r="AK100" s="616" t="str">
        <f t="shared" si="47"/>
        <v>No</v>
      </c>
      <c r="AL100" s="617">
        <f>'I-Project Contingency'!$I$4</f>
        <v>28979098.489999998</v>
      </c>
      <c r="AM100" s="399">
        <f>'I-Project Contingency'!$I$11</f>
        <v>64.971830985915489</v>
      </c>
      <c r="AN100" s="398">
        <f t="shared" si="56"/>
        <v>0</v>
      </c>
      <c r="AO100" s="399">
        <f t="shared" si="57"/>
        <v>0</v>
      </c>
      <c r="AP100" s="1110" t="str">
        <f t="shared" si="58"/>
        <v>Negligible</v>
      </c>
      <c r="AQ100" s="1110" t="str">
        <f t="shared" si="59"/>
        <v>Negligible</v>
      </c>
      <c r="AR100" s="618" t="str">
        <f t="shared" si="48"/>
        <v/>
      </c>
      <c r="AS100" s="618" t="str">
        <f t="shared" si="49"/>
        <v/>
      </c>
      <c r="AT100" s="8"/>
      <c r="AU100" s="412">
        <f>'I-Project Contingency'!$O$4-AE100</f>
        <v>0</v>
      </c>
      <c r="AV100" s="413">
        <v>3099768.1860032952</v>
      </c>
      <c r="AW100" s="413">
        <v>8430883.7862095013</v>
      </c>
      <c r="AX100" s="413">
        <v>11173736.674482957</v>
      </c>
      <c r="AY100" s="413">
        <f>'I-Project Contingency'!$E$66-AV100</f>
        <v>0</v>
      </c>
      <c r="AZ100" s="413">
        <f>'I-Project Contingency'!$E$69-AW100</f>
        <v>0</v>
      </c>
      <c r="BA100" s="413">
        <f>'I-Project Contingency'!$E$70-AX100</f>
        <v>0</v>
      </c>
      <c r="BB100" s="414">
        <f>'I-Project Contingency'!$O$5-AG100</f>
        <v>0</v>
      </c>
      <c r="BC100" s="415">
        <v>1.78464631257918</v>
      </c>
      <c r="BD100" s="415">
        <v>4.4807515628171739</v>
      </c>
      <c r="BE100" s="416">
        <v>5.8619163793628264</v>
      </c>
      <c r="BF100" s="415">
        <f>'I-Project Contingency'!$E$81-BC100</f>
        <v>0</v>
      </c>
      <c r="BG100" s="415">
        <f>'I-Project Contingency'!$E$84-BD100</f>
        <v>0</v>
      </c>
      <c r="BH100" s="415">
        <f>'I-Project Contingency'!$E$85-BE100</f>
        <v>0</v>
      </c>
      <c r="BI100" s="417" t="str">
        <f>IF(BK100="N/A","N/A",IF('D-Project Data'!$C$6=50%,ABS(BK100),IF('D-Project Data'!$C$6=80%,ABS(BL100),IF('D-Project Data'!$C$6=90%,ABS(BM100)))))</f>
        <v>N/A</v>
      </c>
      <c r="BJ100" s="418" t="str">
        <f>IF(BI100="N/A","N/A",RANK(BI100,$BI$18:$BI$117,0)+COUNTIF($BI$18:BI100,BI100)-1)</f>
        <v>N/A</v>
      </c>
      <c r="BK100" s="417" t="str">
        <f>IF(AY100/SUM(AY:AY)*'I-Project Contingency'!$F$66=0,"N/A",AY100/SUM(AY:AY)*'I-Project Contingency'!$F$66)</f>
        <v>N/A</v>
      </c>
      <c r="BL100" s="417" t="str">
        <f>IF(AZ100/SUM(AZ:AZ)*'I-Project Contingency'!$F$69=0,"N/A",AZ100/SUM(AZ:AZ)*'I-Project Contingency'!$F$69)</f>
        <v>N/A</v>
      </c>
      <c r="BM100" s="417" t="str">
        <f>IF(BA100/SUM(BA:BA)*'I-Project Contingency'!$F$70=0,"N/A",BA100/SUM(BA:BA)*'I-Project Contingency'!$F$70)</f>
        <v>N/A</v>
      </c>
      <c r="BN100" s="416" t="str">
        <f>IF(BP100="N/A","N/A",IF('D-Project Data'!$C$6=50%,ABS(BP100),IF('D-Project Data'!$C$6=80%,ABS(BQ100),IF('D-Project Data'!$C$6=90%,ABS(BR100)))))</f>
        <v>N/A</v>
      </c>
      <c r="BO100" s="418" t="str">
        <f>IF(BN100="N/A","N/A",RANK(BN100,$BN$18:$BN$117,0)+COUNTIF($BN$18:BN100,BN100)-1)</f>
        <v>N/A</v>
      </c>
      <c r="BP100" s="416" t="str">
        <f>IF(BF100/SUM(BF:BF)*'I-Project Contingency'!$F$81=0,"N/A",BF100/SUM(BF:BF)*'I-Project Contingency'!$F$81)</f>
        <v>N/A</v>
      </c>
      <c r="BQ100" s="416" t="str">
        <f>IF(BG100/SUM(BG:BG)*'I-Project Contingency'!$F$84=0,"N/A",BG100/SUM(BG:BG)*'I-Project Contingency'!$F$84)</f>
        <v>N/A</v>
      </c>
      <c r="BR100" s="416" t="str">
        <f>IF(BH100/SUM(BH:BH)*'I-Project Contingency'!$F$85=0,"N/A",BH100/SUM(BH:BH)*'I-Project Contingency'!$F$85)</f>
        <v>N/A</v>
      </c>
      <c r="BS100" s="418">
        <f t="shared" si="50"/>
        <v>83</v>
      </c>
      <c r="BT100" s="419" t="str">
        <f t="shared" si="51"/>
        <v xml:space="preserve">83 -  </v>
      </c>
      <c r="BU100" s="413">
        <f t="shared" si="52"/>
        <v>0</v>
      </c>
      <c r="BV100" s="413">
        <f t="shared" si="53"/>
        <v>0</v>
      </c>
      <c r="BW100" s="415">
        <f t="shared" si="54"/>
        <v>0</v>
      </c>
      <c r="BX100" s="415">
        <f t="shared" si="55"/>
        <v>0</v>
      </c>
    </row>
    <row r="101" spans="1:76" ht="43.2" x14ac:dyDescent="0.3">
      <c r="A101" s="193">
        <f t="shared" si="22"/>
        <v>84</v>
      </c>
      <c r="B101" s="194" t="s">
        <v>747</v>
      </c>
      <c r="C101" s="204" t="s">
        <v>665</v>
      </c>
      <c r="D101" s="205" t="s">
        <v>665</v>
      </c>
      <c r="E101" s="195" t="s">
        <v>665</v>
      </c>
      <c r="F101" s="196" t="s">
        <v>716</v>
      </c>
      <c r="G101" s="196" t="s">
        <v>730</v>
      </c>
      <c r="H101" s="187" t="str">
        <f>IF('H-Risk Register-Model'!F101="Certain","Relook at Basis of Estimate",INDEX('G-Assumptions'!$F$8:$J$11,MATCH(F101,'G-Assumptions'!$D$8:$D$11,0),MATCH(G101,'G-Assumptions'!$F$6:$J$6,0)))</f>
        <v>Relook at Basis of Estimate</v>
      </c>
      <c r="I101" s="197" t="s">
        <v>730</v>
      </c>
      <c r="J101" s="187" t="str">
        <f>IF('H-Risk Register-Model'!F101="Certain","Relook at Basis of Estimate",INDEX('G-Assumptions'!$F$8:$J$11,MATCH(F101,'G-Assumptions'!$D$8:$D$11,0),MATCH(I101,'G-Assumptions'!$F$6:$J$6,0)))</f>
        <v>Relook at Basis of Estimate</v>
      </c>
      <c r="K101" s="197" t="s">
        <v>747</v>
      </c>
      <c r="L101" s="197" t="s">
        <v>747</v>
      </c>
      <c r="M101" s="197"/>
      <c r="N101" s="384" t="s">
        <v>747</v>
      </c>
      <c r="O101" s="384" t="s">
        <v>747</v>
      </c>
      <c r="P101" s="198"/>
      <c r="Q101" s="198"/>
      <c r="R101" s="198"/>
      <c r="S101" s="199"/>
      <c r="T101" s="199"/>
      <c r="U101" s="199"/>
      <c r="V101" s="206"/>
      <c r="W101" s="198"/>
      <c r="X101" s="198"/>
      <c r="Y101" s="200">
        <v>1</v>
      </c>
      <c r="Z101" s="201">
        <v>1</v>
      </c>
      <c r="AA101" s="202">
        <f t="shared" si="42"/>
        <v>0</v>
      </c>
      <c r="AB101" s="202">
        <f t="shared" si="43"/>
        <v>0</v>
      </c>
      <c r="AC101" s="202">
        <f t="shared" si="44"/>
        <v>0</v>
      </c>
      <c r="AD101" s="202"/>
      <c r="AE101" s="198">
        <f t="shared" si="45"/>
        <v>0</v>
      </c>
      <c r="AF101" s="203"/>
      <c r="AG101" s="199">
        <f t="shared" si="46"/>
        <v>0</v>
      </c>
      <c r="AH101" s="195"/>
      <c r="AI101" s="195"/>
      <c r="AJ101" s="8"/>
      <c r="AK101" s="616" t="str">
        <f t="shared" si="47"/>
        <v>No</v>
      </c>
      <c r="AL101" s="617">
        <f>'I-Project Contingency'!$I$4</f>
        <v>28979098.489999998</v>
      </c>
      <c r="AM101" s="399">
        <f>'I-Project Contingency'!$I$11</f>
        <v>64.971830985915489</v>
      </c>
      <c r="AN101" s="398">
        <f t="shared" si="56"/>
        <v>0</v>
      </c>
      <c r="AO101" s="399">
        <f t="shared" si="57"/>
        <v>0</v>
      </c>
      <c r="AP101" s="1110" t="str">
        <f t="shared" si="58"/>
        <v>Negligible</v>
      </c>
      <c r="AQ101" s="1110" t="str">
        <f t="shared" si="59"/>
        <v>Negligible</v>
      </c>
      <c r="AR101" s="618" t="str">
        <f t="shared" si="48"/>
        <v/>
      </c>
      <c r="AS101" s="618" t="str">
        <f t="shared" si="49"/>
        <v/>
      </c>
      <c r="AT101" s="8"/>
      <c r="AU101" s="412">
        <f>'I-Project Contingency'!$O$4-AE101</f>
        <v>0</v>
      </c>
      <c r="AV101" s="413">
        <v>3099768.1860032952</v>
      </c>
      <c r="AW101" s="413">
        <v>8430883.7862095013</v>
      </c>
      <c r="AX101" s="413">
        <v>11173736.674482957</v>
      </c>
      <c r="AY101" s="413">
        <f>'I-Project Contingency'!$E$66-AV101</f>
        <v>0</v>
      </c>
      <c r="AZ101" s="413">
        <f>'I-Project Contingency'!$E$69-AW101</f>
        <v>0</v>
      </c>
      <c r="BA101" s="413">
        <f>'I-Project Contingency'!$E$70-AX101</f>
        <v>0</v>
      </c>
      <c r="BB101" s="414">
        <f>'I-Project Contingency'!$O$5-AG101</f>
        <v>0</v>
      </c>
      <c r="BC101" s="415">
        <v>1.78464631257918</v>
      </c>
      <c r="BD101" s="415">
        <v>4.4807515628171739</v>
      </c>
      <c r="BE101" s="416">
        <v>5.8619163793628264</v>
      </c>
      <c r="BF101" s="415">
        <f>'I-Project Contingency'!$E$81-BC101</f>
        <v>0</v>
      </c>
      <c r="BG101" s="415">
        <f>'I-Project Contingency'!$E$84-BD101</f>
        <v>0</v>
      </c>
      <c r="BH101" s="415">
        <f>'I-Project Contingency'!$E$85-BE101</f>
        <v>0</v>
      </c>
      <c r="BI101" s="417" t="str">
        <f>IF(BK101="N/A","N/A",IF('D-Project Data'!$C$6=50%,ABS(BK101),IF('D-Project Data'!$C$6=80%,ABS(BL101),IF('D-Project Data'!$C$6=90%,ABS(BM101)))))</f>
        <v>N/A</v>
      </c>
      <c r="BJ101" s="418" t="str">
        <f>IF(BI101="N/A","N/A",RANK(BI101,$BI$18:$BI$117,0)+COUNTIF($BI$18:BI101,BI101)-1)</f>
        <v>N/A</v>
      </c>
      <c r="BK101" s="417" t="str">
        <f>IF(AY101/SUM(AY:AY)*'I-Project Contingency'!$F$66=0,"N/A",AY101/SUM(AY:AY)*'I-Project Contingency'!$F$66)</f>
        <v>N/A</v>
      </c>
      <c r="BL101" s="417" t="str">
        <f>IF(AZ101/SUM(AZ:AZ)*'I-Project Contingency'!$F$69=0,"N/A",AZ101/SUM(AZ:AZ)*'I-Project Contingency'!$F$69)</f>
        <v>N/A</v>
      </c>
      <c r="BM101" s="417" t="str">
        <f>IF(BA101/SUM(BA:BA)*'I-Project Contingency'!$F$70=0,"N/A",BA101/SUM(BA:BA)*'I-Project Contingency'!$F$70)</f>
        <v>N/A</v>
      </c>
      <c r="BN101" s="416" t="str">
        <f>IF(BP101="N/A","N/A",IF('D-Project Data'!$C$6=50%,ABS(BP101),IF('D-Project Data'!$C$6=80%,ABS(BQ101),IF('D-Project Data'!$C$6=90%,ABS(BR101)))))</f>
        <v>N/A</v>
      </c>
      <c r="BO101" s="418" t="str">
        <f>IF(BN101="N/A","N/A",RANK(BN101,$BN$18:$BN$117,0)+COUNTIF($BN$18:BN101,BN101)-1)</f>
        <v>N/A</v>
      </c>
      <c r="BP101" s="416" t="str">
        <f>IF(BF101/SUM(BF:BF)*'I-Project Contingency'!$F$81=0,"N/A",BF101/SUM(BF:BF)*'I-Project Contingency'!$F$81)</f>
        <v>N/A</v>
      </c>
      <c r="BQ101" s="416" t="str">
        <f>IF(BG101/SUM(BG:BG)*'I-Project Contingency'!$F$84=0,"N/A",BG101/SUM(BG:BG)*'I-Project Contingency'!$F$84)</f>
        <v>N/A</v>
      </c>
      <c r="BR101" s="416" t="str">
        <f>IF(BH101/SUM(BH:BH)*'I-Project Contingency'!$F$85=0,"N/A",BH101/SUM(BH:BH)*'I-Project Contingency'!$F$85)</f>
        <v>N/A</v>
      </c>
      <c r="BS101" s="418">
        <f t="shared" si="50"/>
        <v>84</v>
      </c>
      <c r="BT101" s="419" t="str">
        <f t="shared" si="51"/>
        <v xml:space="preserve">84 -  </v>
      </c>
      <c r="BU101" s="413">
        <f t="shared" si="52"/>
        <v>0</v>
      </c>
      <c r="BV101" s="413">
        <f t="shared" si="53"/>
        <v>0</v>
      </c>
      <c r="BW101" s="415">
        <f t="shared" si="54"/>
        <v>0</v>
      </c>
      <c r="BX101" s="415">
        <f t="shared" si="55"/>
        <v>0</v>
      </c>
    </row>
    <row r="102" spans="1:76" ht="43.2" x14ac:dyDescent="0.3">
      <c r="A102" s="193">
        <f t="shared" si="22"/>
        <v>85</v>
      </c>
      <c r="B102" s="194" t="s">
        <v>747</v>
      </c>
      <c r="C102" s="204" t="s">
        <v>665</v>
      </c>
      <c r="D102" s="205" t="s">
        <v>665</v>
      </c>
      <c r="E102" s="195" t="s">
        <v>665</v>
      </c>
      <c r="F102" s="196" t="s">
        <v>716</v>
      </c>
      <c r="G102" s="196" t="s">
        <v>730</v>
      </c>
      <c r="H102" s="187" t="str">
        <f>IF('H-Risk Register-Model'!F102="Certain","Relook at Basis of Estimate",INDEX('G-Assumptions'!$F$8:$J$11,MATCH(F102,'G-Assumptions'!$D$8:$D$11,0),MATCH(G102,'G-Assumptions'!$F$6:$J$6,0)))</f>
        <v>Relook at Basis of Estimate</v>
      </c>
      <c r="I102" s="197" t="s">
        <v>730</v>
      </c>
      <c r="J102" s="187" t="str">
        <f>IF('H-Risk Register-Model'!F102="Certain","Relook at Basis of Estimate",INDEX('G-Assumptions'!$F$8:$J$11,MATCH(F102,'G-Assumptions'!$D$8:$D$11,0),MATCH(I102,'G-Assumptions'!$F$6:$J$6,0)))</f>
        <v>Relook at Basis of Estimate</v>
      </c>
      <c r="K102" s="197" t="s">
        <v>747</v>
      </c>
      <c r="L102" s="197" t="s">
        <v>747</v>
      </c>
      <c r="M102" s="197"/>
      <c r="N102" s="384" t="s">
        <v>747</v>
      </c>
      <c r="O102" s="384" t="s">
        <v>747</v>
      </c>
      <c r="P102" s="198"/>
      <c r="Q102" s="198"/>
      <c r="R102" s="198"/>
      <c r="S102" s="199"/>
      <c r="T102" s="199"/>
      <c r="U102" s="199"/>
      <c r="V102" s="206"/>
      <c r="W102" s="198"/>
      <c r="X102" s="198"/>
      <c r="Y102" s="200">
        <v>1</v>
      </c>
      <c r="Z102" s="201">
        <v>1</v>
      </c>
      <c r="AA102" s="202">
        <f t="shared" si="42"/>
        <v>0</v>
      </c>
      <c r="AB102" s="202">
        <f t="shared" si="43"/>
        <v>0</v>
      </c>
      <c r="AC102" s="202">
        <f t="shared" si="44"/>
        <v>0</v>
      </c>
      <c r="AD102" s="202"/>
      <c r="AE102" s="198">
        <f t="shared" si="45"/>
        <v>0</v>
      </c>
      <c r="AF102" s="203"/>
      <c r="AG102" s="199">
        <f t="shared" si="46"/>
        <v>0</v>
      </c>
      <c r="AH102" s="195"/>
      <c r="AI102" s="195"/>
      <c r="AJ102" s="8"/>
      <c r="AK102" s="616" t="str">
        <f t="shared" si="47"/>
        <v>No</v>
      </c>
      <c r="AL102" s="617">
        <f>'I-Project Contingency'!$I$4</f>
        <v>28979098.489999998</v>
      </c>
      <c r="AM102" s="399">
        <f>'I-Project Contingency'!$I$11</f>
        <v>64.971830985915489</v>
      </c>
      <c r="AN102" s="398">
        <f t="shared" si="56"/>
        <v>0</v>
      </c>
      <c r="AO102" s="399">
        <f t="shared" si="57"/>
        <v>0</v>
      </c>
      <c r="AP102" s="1110" t="str">
        <f t="shared" si="58"/>
        <v>Negligible</v>
      </c>
      <c r="AQ102" s="1110" t="str">
        <f t="shared" si="59"/>
        <v>Negligible</v>
      </c>
      <c r="AR102" s="618" t="str">
        <f t="shared" si="48"/>
        <v/>
      </c>
      <c r="AS102" s="618" t="str">
        <f t="shared" si="49"/>
        <v/>
      </c>
      <c r="AT102" s="8"/>
      <c r="AU102" s="412">
        <f>'I-Project Contingency'!$O$4-AE102</f>
        <v>0</v>
      </c>
      <c r="AV102" s="413">
        <v>3099768.1860032952</v>
      </c>
      <c r="AW102" s="413">
        <v>8430883.7862095013</v>
      </c>
      <c r="AX102" s="413">
        <v>11173736.674482957</v>
      </c>
      <c r="AY102" s="413">
        <f>'I-Project Contingency'!$E$66-AV102</f>
        <v>0</v>
      </c>
      <c r="AZ102" s="413">
        <f>'I-Project Contingency'!$E$69-AW102</f>
        <v>0</v>
      </c>
      <c r="BA102" s="413">
        <f>'I-Project Contingency'!$E$70-AX102</f>
        <v>0</v>
      </c>
      <c r="BB102" s="414">
        <f>'I-Project Contingency'!$O$5-AG102</f>
        <v>0</v>
      </c>
      <c r="BC102" s="415">
        <v>1.78464631257918</v>
      </c>
      <c r="BD102" s="415">
        <v>4.4807515628171739</v>
      </c>
      <c r="BE102" s="416">
        <v>5.8619163793628264</v>
      </c>
      <c r="BF102" s="415">
        <f>'I-Project Contingency'!$E$81-BC102</f>
        <v>0</v>
      </c>
      <c r="BG102" s="415">
        <f>'I-Project Contingency'!$E$84-BD102</f>
        <v>0</v>
      </c>
      <c r="BH102" s="415">
        <f>'I-Project Contingency'!$E$85-BE102</f>
        <v>0</v>
      </c>
      <c r="BI102" s="417" t="str">
        <f>IF(BK102="N/A","N/A",IF('D-Project Data'!$C$6=50%,ABS(BK102),IF('D-Project Data'!$C$6=80%,ABS(BL102),IF('D-Project Data'!$C$6=90%,ABS(BM102)))))</f>
        <v>N/A</v>
      </c>
      <c r="BJ102" s="418" t="str">
        <f>IF(BI102="N/A","N/A",RANK(BI102,$BI$18:$BI$117,0)+COUNTIF($BI$18:BI102,BI102)-1)</f>
        <v>N/A</v>
      </c>
      <c r="BK102" s="417" t="str">
        <f>IF(AY102/SUM(AY:AY)*'I-Project Contingency'!$F$66=0,"N/A",AY102/SUM(AY:AY)*'I-Project Contingency'!$F$66)</f>
        <v>N/A</v>
      </c>
      <c r="BL102" s="417" t="str">
        <f>IF(AZ102/SUM(AZ:AZ)*'I-Project Contingency'!$F$69=0,"N/A",AZ102/SUM(AZ:AZ)*'I-Project Contingency'!$F$69)</f>
        <v>N/A</v>
      </c>
      <c r="BM102" s="417" t="str">
        <f>IF(BA102/SUM(BA:BA)*'I-Project Contingency'!$F$70=0,"N/A",BA102/SUM(BA:BA)*'I-Project Contingency'!$F$70)</f>
        <v>N/A</v>
      </c>
      <c r="BN102" s="416" t="str">
        <f>IF(BP102="N/A","N/A",IF('D-Project Data'!$C$6=50%,ABS(BP102),IF('D-Project Data'!$C$6=80%,ABS(BQ102),IF('D-Project Data'!$C$6=90%,ABS(BR102)))))</f>
        <v>N/A</v>
      </c>
      <c r="BO102" s="418" t="str">
        <f>IF(BN102="N/A","N/A",RANK(BN102,$BN$18:$BN$117,0)+COUNTIF($BN$18:BN102,BN102)-1)</f>
        <v>N/A</v>
      </c>
      <c r="BP102" s="416" t="str">
        <f>IF(BF102/SUM(BF:BF)*'I-Project Contingency'!$F$81=0,"N/A",BF102/SUM(BF:BF)*'I-Project Contingency'!$F$81)</f>
        <v>N/A</v>
      </c>
      <c r="BQ102" s="416" t="str">
        <f>IF(BG102/SUM(BG:BG)*'I-Project Contingency'!$F$84=0,"N/A",BG102/SUM(BG:BG)*'I-Project Contingency'!$F$84)</f>
        <v>N/A</v>
      </c>
      <c r="BR102" s="416" t="str">
        <f>IF(BH102/SUM(BH:BH)*'I-Project Contingency'!$F$85=0,"N/A",BH102/SUM(BH:BH)*'I-Project Contingency'!$F$85)</f>
        <v>N/A</v>
      </c>
      <c r="BS102" s="418">
        <f t="shared" si="50"/>
        <v>85</v>
      </c>
      <c r="BT102" s="419" t="str">
        <f t="shared" si="51"/>
        <v xml:space="preserve">85 -  </v>
      </c>
      <c r="BU102" s="413">
        <f t="shared" si="52"/>
        <v>0</v>
      </c>
      <c r="BV102" s="413">
        <f t="shared" si="53"/>
        <v>0</v>
      </c>
      <c r="BW102" s="415">
        <f t="shared" si="54"/>
        <v>0</v>
      </c>
      <c r="BX102" s="415">
        <f t="shared" si="55"/>
        <v>0</v>
      </c>
    </row>
    <row r="103" spans="1:76" ht="43.2" x14ac:dyDescent="0.3">
      <c r="A103" s="193">
        <f t="shared" si="22"/>
        <v>86</v>
      </c>
      <c r="B103" s="194" t="s">
        <v>747</v>
      </c>
      <c r="C103" s="204" t="s">
        <v>665</v>
      </c>
      <c r="D103" s="205" t="s">
        <v>665</v>
      </c>
      <c r="E103" s="195" t="s">
        <v>665</v>
      </c>
      <c r="F103" s="196" t="s">
        <v>716</v>
      </c>
      <c r="G103" s="196" t="s">
        <v>730</v>
      </c>
      <c r="H103" s="187" t="str">
        <f>IF('H-Risk Register-Model'!F103="Certain","Relook at Basis of Estimate",INDEX('G-Assumptions'!$F$8:$J$11,MATCH(F103,'G-Assumptions'!$D$8:$D$11,0),MATCH(G103,'G-Assumptions'!$F$6:$J$6,0)))</f>
        <v>Relook at Basis of Estimate</v>
      </c>
      <c r="I103" s="197" t="s">
        <v>730</v>
      </c>
      <c r="J103" s="187" t="str">
        <f>IF('H-Risk Register-Model'!F103="Certain","Relook at Basis of Estimate",INDEX('G-Assumptions'!$F$8:$J$11,MATCH(F103,'G-Assumptions'!$D$8:$D$11,0),MATCH(I103,'G-Assumptions'!$F$6:$J$6,0)))</f>
        <v>Relook at Basis of Estimate</v>
      </c>
      <c r="K103" s="197" t="s">
        <v>747</v>
      </c>
      <c r="L103" s="197" t="s">
        <v>747</v>
      </c>
      <c r="M103" s="197"/>
      <c r="N103" s="384" t="s">
        <v>747</v>
      </c>
      <c r="O103" s="384" t="s">
        <v>747</v>
      </c>
      <c r="P103" s="198"/>
      <c r="Q103" s="198"/>
      <c r="R103" s="198"/>
      <c r="S103" s="199"/>
      <c r="T103" s="199"/>
      <c r="U103" s="199"/>
      <c r="V103" s="206"/>
      <c r="W103" s="198"/>
      <c r="X103" s="198"/>
      <c r="Y103" s="200">
        <v>1</v>
      </c>
      <c r="Z103" s="201">
        <v>1</v>
      </c>
      <c r="AA103" s="202">
        <f t="shared" si="42"/>
        <v>0</v>
      </c>
      <c r="AB103" s="202">
        <f t="shared" si="43"/>
        <v>0</v>
      </c>
      <c r="AC103" s="202">
        <f t="shared" si="44"/>
        <v>0</v>
      </c>
      <c r="AD103" s="202"/>
      <c r="AE103" s="198">
        <f t="shared" si="45"/>
        <v>0</v>
      </c>
      <c r="AF103" s="203"/>
      <c r="AG103" s="199">
        <f t="shared" si="46"/>
        <v>0</v>
      </c>
      <c r="AH103" s="195"/>
      <c r="AI103" s="195"/>
      <c r="AJ103" s="8"/>
      <c r="AK103" s="616" t="str">
        <f t="shared" si="47"/>
        <v>No</v>
      </c>
      <c r="AL103" s="617">
        <f>'I-Project Contingency'!$I$4</f>
        <v>28979098.489999998</v>
      </c>
      <c r="AM103" s="399">
        <f>'I-Project Contingency'!$I$11</f>
        <v>64.971830985915489</v>
      </c>
      <c r="AN103" s="398">
        <f t="shared" si="56"/>
        <v>0</v>
      </c>
      <c r="AO103" s="399">
        <f t="shared" si="57"/>
        <v>0</v>
      </c>
      <c r="AP103" s="1110" t="str">
        <f t="shared" si="58"/>
        <v>Negligible</v>
      </c>
      <c r="AQ103" s="1110" t="str">
        <f t="shared" si="59"/>
        <v>Negligible</v>
      </c>
      <c r="AR103" s="618" t="str">
        <f t="shared" si="48"/>
        <v/>
      </c>
      <c r="AS103" s="618" t="str">
        <f t="shared" si="49"/>
        <v/>
      </c>
      <c r="AT103" s="8"/>
      <c r="AU103" s="412">
        <f>'I-Project Contingency'!$O$4-AE103</f>
        <v>0</v>
      </c>
      <c r="AV103" s="413">
        <v>3099768.1860032952</v>
      </c>
      <c r="AW103" s="413">
        <v>8430883.7862095013</v>
      </c>
      <c r="AX103" s="413">
        <v>11173736.674482957</v>
      </c>
      <c r="AY103" s="413">
        <f>'I-Project Contingency'!$E$66-AV103</f>
        <v>0</v>
      </c>
      <c r="AZ103" s="413">
        <f>'I-Project Contingency'!$E$69-AW103</f>
        <v>0</v>
      </c>
      <c r="BA103" s="413">
        <f>'I-Project Contingency'!$E$70-AX103</f>
        <v>0</v>
      </c>
      <c r="BB103" s="414">
        <f>'I-Project Contingency'!$O$5-AG103</f>
        <v>0</v>
      </c>
      <c r="BC103" s="415">
        <v>1.78464631257918</v>
      </c>
      <c r="BD103" s="415">
        <v>4.4807515628171739</v>
      </c>
      <c r="BE103" s="416">
        <v>5.8619163793628264</v>
      </c>
      <c r="BF103" s="415">
        <f>'I-Project Contingency'!$E$81-BC103</f>
        <v>0</v>
      </c>
      <c r="BG103" s="415">
        <f>'I-Project Contingency'!$E$84-BD103</f>
        <v>0</v>
      </c>
      <c r="BH103" s="415">
        <f>'I-Project Contingency'!$E$85-BE103</f>
        <v>0</v>
      </c>
      <c r="BI103" s="417" t="str">
        <f>IF(BK103="N/A","N/A",IF('D-Project Data'!$C$6=50%,ABS(BK103),IF('D-Project Data'!$C$6=80%,ABS(BL103),IF('D-Project Data'!$C$6=90%,ABS(BM103)))))</f>
        <v>N/A</v>
      </c>
      <c r="BJ103" s="418" t="str">
        <f>IF(BI103="N/A","N/A",RANK(BI103,$BI$18:$BI$117,0)+COUNTIF($BI$18:BI103,BI103)-1)</f>
        <v>N/A</v>
      </c>
      <c r="BK103" s="417" t="str">
        <f>IF(AY103/SUM(AY:AY)*'I-Project Contingency'!$F$66=0,"N/A",AY103/SUM(AY:AY)*'I-Project Contingency'!$F$66)</f>
        <v>N/A</v>
      </c>
      <c r="BL103" s="417" t="str">
        <f>IF(AZ103/SUM(AZ:AZ)*'I-Project Contingency'!$F$69=0,"N/A",AZ103/SUM(AZ:AZ)*'I-Project Contingency'!$F$69)</f>
        <v>N/A</v>
      </c>
      <c r="BM103" s="417" t="str">
        <f>IF(BA103/SUM(BA:BA)*'I-Project Contingency'!$F$70=0,"N/A",BA103/SUM(BA:BA)*'I-Project Contingency'!$F$70)</f>
        <v>N/A</v>
      </c>
      <c r="BN103" s="416" t="str">
        <f>IF(BP103="N/A","N/A",IF('D-Project Data'!$C$6=50%,ABS(BP103),IF('D-Project Data'!$C$6=80%,ABS(BQ103),IF('D-Project Data'!$C$6=90%,ABS(BR103)))))</f>
        <v>N/A</v>
      </c>
      <c r="BO103" s="418" t="str">
        <f>IF(BN103="N/A","N/A",RANK(BN103,$BN$18:$BN$117,0)+COUNTIF($BN$18:BN103,BN103)-1)</f>
        <v>N/A</v>
      </c>
      <c r="BP103" s="416" t="str">
        <f>IF(BF103/SUM(BF:BF)*'I-Project Contingency'!$F$81=0,"N/A",BF103/SUM(BF:BF)*'I-Project Contingency'!$F$81)</f>
        <v>N/A</v>
      </c>
      <c r="BQ103" s="416" t="str">
        <f>IF(BG103/SUM(BG:BG)*'I-Project Contingency'!$F$84=0,"N/A",BG103/SUM(BG:BG)*'I-Project Contingency'!$F$84)</f>
        <v>N/A</v>
      </c>
      <c r="BR103" s="416" t="str">
        <f>IF(BH103/SUM(BH:BH)*'I-Project Contingency'!$F$85=0,"N/A",BH103/SUM(BH:BH)*'I-Project Contingency'!$F$85)</f>
        <v>N/A</v>
      </c>
      <c r="BS103" s="418">
        <f t="shared" si="50"/>
        <v>86</v>
      </c>
      <c r="BT103" s="419" t="str">
        <f t="shared" si="51"/>
        <v xml:space="preserve">86 -  </v>
      </c>
      <c r="BU103" s="413">
        <f t="shared" si="52"/>
        <v>0</v>
      </c>
      <c r="BV103" s="413">
        <f t="shared" si="53"/>
        <v>0</v>
      </c>
      <c r="BW103" s="415">
        <f t="shared" si="54"/>
        <v>0</v>
      </c>
      <c r="BX103" s="415">
        <f t="shared" si="55"/>
        <v>0</v>
      </c>
    </row>
    <row r="104" spans="1:76" ht="43.2" x14ac:dyDescent="0.3">
      <c r="A104" s="193">
        <f t="shared" si="22"/>
        <v>87</v>
      </c>
      <c r="B104" s="194" t="s">
        <v>747</v>
      </c>
      <c r="C104" s="204" t="s">
        <v>665</v>
      </c>
      <c r="D104" s="205" t="s">
        <v>665</v>
      </c>
      <c r="E104" s="195" t="s">
        <v>665</v>
      </c>
      <c r="F104" s="196" t="s">
        <v>716</v>
      </c>
      <c r="G104" s="196" t="s">
        <v>730</v>
      </c>
      <c r="H104" s="187" t="str">
        <f>IF('H-Risk Register-Model'!F104="Certain","Relook at Basis of Estimate",INDEX('G-Assumptions'!$F$8:$J$11,MATCH(F104,'G-Assumptions'!$D$8:$D$11,0),MATCH(G104,'G-Assumptions'!$F$6:$J$6,0)))</f>
        <v>Relook at Basis of Estimate</v>
      </c>
      <c r="I104" s="197" t="s">
        <v>730</v>
      </c>
      <c r="J104" s="187" t="str">
        <f>IF('H-Risk Register-Model'!F104="Certain","Relook at Basis of Estimate",INDEX('G-Assumptions'!$F$8:$J$11,MATCH(F104,'G-Assumptions'!$D$8:$D$11,0),MATCH(I104,'G-Assumptions'!$F$6:$J$6,0)))</f>
        <v>Relook at Basis of Estimate</v>
      </c>
      <c r="K104" s="197" t="s">
        <v>747</v>
      </c>
      <c r="L104" s="197" t="s">
        <v>747</v>
      </c>
      <c r="M104" s="197"/>
      <c r="N104" s="384" t="s">
        <v>747</v>
      </c>
      <c r="O104" s="384" t="s">
        <v>747</v>
      </c>
      <c r="P104" s="198"/>
      <c r="Q104" s="198"/>
      <c r="R104" s="198"/>
      <c r="S104" s="199"/>
      <c r="T104" s="199"/>
      <c r="U104" s="199"/>
      <c r="V104" s="206"/>
      <c r="W104" s="198"/>
      <c r="X104" s="198"/>
      <c r="Y104" s="200">
        <v>1</v>
      </c>
      <c r="Z104" s="201">
        <v>1</v>
      </c>
      <c r="AA104" s="202">
        <f t="shared" si="42"/>
        <v>0</v>
      </c>
      <c r="AB104" s="202">
        <f t="shared" si="43"/>
        <v>0</v>
      </c>
      <c r="AC104" s="202">
        <f t="shared" si="44"/>
        <v>0</v>
      </c>
      <c r="AD104" s="202"/>
      <c r="AE104" s="198">
        <f t="shared" si="45"/>
        <v>0</v>
      </c>
      <c r="AF104" s="203"/>
      <c r="AG104" s="199">
        <f t="shared" si="46"/>
        <v>0</v>
      </c>
      <c r="AH104" s="195"/>
      <c r="AI104" s="195"/>
      <c r="AJ104" s="8"/>
      <c r="AK104" s="616" t="str">
        <f t="shared" si="47"/>
        <v>No</v>
      </c>
      <c r="AL104" s="617">
        <f>'I-Project Contingency'!$I$4</f>
        <v>28979098.489999998</v>
      </c>
      <c r="AM104" s="399">
        <f>'I-Project Contingency'!$I$11</f>
        <v>64.971830985915489</v>
      </c>
      <c r="AN104" s="398">
        <f t="shared" si="56"/>
        <v>0</v>
      </c>
      <c r="AO104" s="399">
        <f t="shared" si="57"/>
        <v>0</v>
      </c>
      <c r="AP104" s="1110" t="str">
        <f t="shared" si="58"/>
        <v>Negligible</v>
      </c>
      <c r="AQ104" s="1110" t="str">
        <f t="shared" si="59"/>
        <v>Negligible</v>
      </c>
      <c r="AR104" s="618" t="str">
        <f t="shared" si="48"/>
        <v/>
      </c>
      <c r="AS104" s="618" t="str">
        <f t="shared" si="49"/>
        <v/>
      </c>
      <c r="AT104" s="8"/>
      <c r="AU104" s="412">
        <f>'I-Project Contingency'!$O$4-AE104</f>
        <v>0</v>
      </c>
      <c r="AV104" s="413">
        <v>3099768.1860032952</v>
      </c>
      <c r="AW104" s="413">
        <v>8430883.7862095013</v>
      </c>
      <c r="AX104" s="413">
        <v>11173736.674482957</v>
      </c>
      <c r="AY104" s="413">
        <f>'I-Project Contingency'!$E$66-AV104</f>
        <v>0</v>
      </c>
      <c r="AZ104" s="413">
        <f>'I-Project Contingency'!$E$69-AW104</f>
        <v>0</v>
      </c>
      <c r="BA104" s="413">
        <f>'I-Project Contingency'!$E$70-AX104</f>
        <v>0</v>
      </c>
      <c r="BB104" s="414">
        <f>'I-Project Contingency'!$O$5-AG104</f>
        <v>0</v>
      </c>
      <c r="BC104" s="415">
        <v>1.78464631257918</v>
      </c>
      <c r="BD104" s="415">
        <v>4.4807515628171739</v>
      </c>
      <c r="BE104" s="416">
        <v>5.8619163793628264</v>
      </c>
      <c r="BF104" s="415">
        <f>'I-Project Contingency'!$E$81-BC104</f>
        <v>0</v>
      </c>
      <c r="BG104" s="415">
        <f>'I-Project Contingency'!$E$84-BD104</f>
        <v>0</v>
      </c>
      <c r="BH104" s="415">
        <f>'I-Project Contingency'!$E$85-BE104</f>
        <v>0</v>
      </c>
      <c r="BI104" s="417" t="str">
        <f>IF(BK104="N/A","N/A",IF('D-Project Data'!$C$6=50%,ABS(BK104),IF('D-Project Data'!$C$6=80%,ABS(BL104),IF('D-Project Data'!$C$6=90%,ABS(BM104)))))</f>
        <v>N/A</v>
      </c>
      <c r="BJ104" s="418" t="str">
        <f>IF(BI104="N/A","N/A",RANK(BI104,$BI$18:$BI$117,0)+COUNTIF($BI$18:BI104,BI104)-1)</f>
        <v>N/A</v>
      </c>
      <c r="BK104" s="417" t="str">
        <f>IF(AY104/SUM(AY:AY)*'I-Project Contingency'!$F$66=0,"N/A",AY104/SUM(AY:AY)*'I-Project Contingency'!$F$66)</f>
        <v>N/A</v>
      </c>
      <c r="BL104" s="417" t="str">
        <f>IF(AZ104/SUM(AZ:AZ)*'I-Project Contingency'!$F$69=0,"N/A",AZ104/SUM(AZ:AZ)*'I-Project Contingency'!$F$69)</f>
        <v>N/A</v>
      </c>
      <c r="BM104" s="417" t="str">
        <f>IF(BA104/SUM(BA:BA)*'I-Project Contingency'!$F$70=0,"N/A",BA104/SUM(BA:BA)*'I-Project Contingency'!$F$70)</f>
        <v>N/A</v>
      </c>
      <c r="BN104" s="416" t="str">
        <f>IF(BP104="N/A","N/A",IF('D-Project Data'!$C$6=50%,ABS(BP104),IF('D-Project Data'!$C$6=80%,ABS(BQ104),IF('D-Project Data'!$C$6=90%,ABS(BR104)))))</f>
        <v>N/A</v>
      </c>
      <c r="BO104" s="418" t="str">
        <f>IF(BN104="N/A","N/A",RANK(BN104,$BN$18:$BN$117,0)+COUNTIF($BN$18:BN104,BN104)-1)</f>
        <v>N/A</v>
      </c>
      <c r="BP104" s="416" t="str">
        <f>IF(BF104/SUM(BF:BF)*'I-Project Contingency'!$F$81=0,"N/A",BF104/SUM(BF:BF)*'I-Project Contingency'!$F$81)</f>
        <v>N/A</v>
      </c>
      <c r="BQ104" s="416" t="str">
        <f>IF(BG104/SUM(BG:BG)*'I-Project Contingency'!$F$84=0,"N/A",BG104/SUM(BG:BG)*'I-Project Contingency'!$F$84)</f>
        <v>N/A</v>
      </c>
      <c r="BR104" s="416" t="str">
        <f>IF(BH104/SUM(BH:BH)*'I-Project Contingency'!$F$85=0,"N/A",BH104/SUM(BH:BH)*'I-Project Contingency'!$F$85)</f>
        <v>N/A</v>
      </c>
      <c r="BS104" s="418">
        <f t="shared" si="50"/>
        <v>87</v>
      </c>
      <c r="BT104" s="419" t="str">
        <f t="shared" si="51"/>
        <v xml:space="preserve">87 -  </v>
      </c>
      <c r="BU104" s="413">
        <f t="shared" si="52"/>
        <v>0</v>
      </c>
      <c r="BV104" s="413">
        <f t="shared" si="53"/>
        <v>0</v>
      </c>
      <c r="BW104" s="415">
        <f t="shared" si="54"/>
        <v>0</v>
      </c>
      <c r="BX104" s="415">
        <f t="shared" si="55"/>
        <v>0</v>
      </c>
    </row>
    <row r="105" spans="1:76" ht="43.2" x14ac:dyDescent="0.3">
      <c r="A105" s="193">
        <f t="shared" si="22"/>
        <v>88</v>
      </c>
      <c r="B105" s="194" t="s">
        <v>747</v>
      </c>
      <c r="C105" s="204" t="s">
        <v>665</v>
      </c>
      <c r="D105" s="205" t="s">
        <v>665</v>
      </c>
      <c r="E105" s="195" t="s">
        <v>665</v>
      </c>
      <c r="F105" s="196" t="s">
        <v>716</v>
      </c>
      <c r="G105" s="196" t="s">
        <v>730</v>
      </c>
      <c r="H105" s="187" t="str">
        <f>IF('H-Risk Register-Model'!F105="Certain","Relook at Basis of Estimate",INDEX('G-Assumptions'!$F$8:$J$11,MATCH(F105,'G-Assumptions'!$D$8:$D$11,0),MATCH(G105,'G-Assumptions'!$F$6:$J$6,0)))</f>
        <v>Relook at Basis of Estimate</v>
      </c>
      <c r="I105" s="197" t="s">
        <v>730</v>
      </c>
      <c r="J105" s="187" t="str">
        <f>IF('H-Risk Register-Model'!F105="Certain","Relook at Basis of Estimate",INDEX('G-Assumptions'!$F$8:$J$11,MATCH(F105,'G-Assumptions'!$D$8:$D$11,0),MATCH(I105,'G-Assumptions'!$F$6:$J$6,0)))</f>
        <v>Relook at Basis of Estimate</v>
      </c>
      <c r="K105" s="197" t="s">
        <v>747</v>
      </c>
      <c r="L105" s="197" t="s">
        <v>747</v>
      </c>
      <c r="M105" s="197"/>
      <c r="N105" s="384" t="s">
        <v>747</v>
      </c>
      <c r="O105" s="384" t="s">
        <v>747</v>
      </c>
      <c r="P105" s="198"/>
      <c r="Q105" s="198"/>
      <c r="R105" s="198"/>
      <c r="S105" s="199"/>
      <c r="T105" s="199"/>
      <c r="U105" s="199"/>
      <c r="V105" s="206"/>
      <c r="W105" s="198"/>
      <c r="X105" s="198"/>
      <c r="Y105" s="200">
        <v>1</v>
      </c>
      <c r="Z105" s="201">
        <v>1</v>
      </c>
      <c r="AA105" s="202">
        <f t="shared" si="42"/>
        <v>0</v>
      </c>
      <c r="AB105" s="202">
        <f t="shared" si="43"/>
        <v>0</v>
      </c>
      <c r="AC105" s="202">
        <f t="shared" si="44"/>
        <v>0</v>
      </c>
      <c r="AD105" s="202"/>
      <c r="AE105" s="198">
        <f t="shared" si="45"/>
        <v>0</v>
      </c>
      <c r="AF105" s="203"/>
      <c r="AG105" s="199">
        <f t="shared" si="46"/>
        <v>0</v>
      </c>
      <c r="AH105" s="195"/>
      <c r="AI105" s="195"/>
      <c r="AJ105" s="8"/>
      <c r="AK105" s="616" t="str">
        <f t="shared" si="47"/>
        <v>No</v>
      </c>
      <c r="AL105" s="617">
        <f>'I-Project Contingency'!$I$4</f>
        <v>28979098.489999998</v>
      </c>
      <c r="AM105" s="399">
        <f>'I-Project Contingency'!$I$11</f>
        <v>64.971830985915489</v>
      </c>
      <c r="AN105" s="398">
        <f t="shared" si="56"/>
        <v>0</v>
      </c>
      <c r="AO105" s="399">
        <f t="shared" si="57"/>
        <v>0</v>
      </c>
      <c r="AP105" s="1110" t="str">
        <f t="shared" si="58"/>
        <v>Negligible</v>
      </c>
      <c r="AQ105" s="1110" t="str">
        <f t="shared" si="59"/>
        <v>Negligible</v>
      </c>
      <c r="AR105" s="618" t="str">
        <f t="shared" si="48"/>
        <v/>
      </c>
      <c r="AS105" s="618" t="str">
        <f t="shared" si="49"/>
        <v/>
      </c>
      <c r="AT105" s="8"/>
      <c r="AU105" s="412">
        <f>'I-Project Contingency'!$O$4-AE105</f>
        <v>0</v>
      </c>
      <c r="AV105" s="413">
        <v>3099768.1860032952</v>
      </c>
      <c r="AW105" s="413">
        <v>8430883.7862095013</v>
      </c>
      <c r="AX105" s="413">
        <v>11173736.674482957</v>
      </c>
      <c r="AY105" s="413">
        <f>'I-Project Contingency'!$E$66-AV105</f>
        <v>0</v>
      </c>
      <c r="AZ105" s="413">
        <f>'I-Project Contingency'!$E$69-AW105</f>
        <v>0</v>
      </c>
      <c r="BA105" s="413">
        <f>'I-Project Contingency'!$E$70-AX105</f>
        <v>0</v>
      </c>
      <c r="BB105" s="414">
        <f>'I-Project Contingency'!$O$5-AG105</f>
        <v>0</v>
      </c>
      <c r="BC105" s="415">
        <v>1.78464631257918</v>
      </c>
      <c r="BD105" s="415">
        <v>4.4807515628171739</v>
      </c>
      <c r="BE105" s="416">
        <v>5.8619163793628264</v>
      </c>
      <c r="BF105" s="415">
        <f>'I-Project Contingency'!$E$81-BC105</f>
        <v>0</v>
      </c>
      <c r="BG105" s="415">
        <f>'I-Project Contingency'!$E$84-BD105</f>
        <v>0</v>
      </c>
      <c r="BH105" s="415">
        <f>'I-Project Contingency'!$E$85-BE105</f>
        <v>0</v>
      </c>
      <c r="BI105" s="417" t="str">
        <f>IF(BK105="N/A","N/A",IF('D-Project Data'!$C$6=50%,ABS(BK105),IF('D-Project Data'!$C$6=80%,ABS(BL105),IF('D-Project Data'!$C$6=90%,ABS(BM105)))))</f>
        <v>N/A</v>
      </c>
      <c r="BJ105" s="418" t="str">
        <f>IF(BI105="N/A","N/A",RANK(BI105,$BI$18:$BI$117,0)+COUNTIF($BI$18:BI105,BI105)-1)</f>
        <v>N/A</v>
      </c>
      <c r="BK105" s="417" t="str">
        <f>IF(AY105/SUM(AY:AY)*'I-Project Contingency'!$F$66=0,"N/A",AY105/SUM(AY:AY)*'I-Project Contingency'!$F$66)</f>
        <v>N/A</v>
      </c>
      <c r="BL105" s="417" t="str">
        <f>IF(AZ105/SUM(AZ:AZ)*'I-Project Contingency'!$F$69=0,"N/A",AZ105/SUM(AZ:AZ)*'I-Project Contingency'!$F$69)</f>
        <v>N/A</v>
      </c>
      <c r="BM105" s="417" t="str">
        <f>IF(BA105/SUM(BA:BA)*'I-Project Contingency'!$F$70=0,"N/A",BA105/SUM(BA:BA)*'I-Project Contingency'!$F$70)</f>
        <v>N/A</v>
      </c>
      <c r="BN105" s="416" t="str">
        <f>IF(BP105="N/A","N/A",IF('D-Project Data'!$C$6=50%,ABS(BP105),IF('D-Project Data'!$C$6=80%,ABS(BQ105),IF('D-Project Data'!$C$6=90%,ABS(BR105)))))</f>
        <v>N/A</v>
      </c>
      <c r="BO105" s="418" t="str">
        <f>IF(BN105="N/A","N/A",RANK(BN105,$BN$18:$BN$117,0)+COUNTIF($BN$18:BN105,BN105)-1)</f>
        <v>N/A</v>
      </c>
      <c r="BP105" s="416" t="str">
        <f>IF(BF105/SUM(BF:BF)*'I-Project Contingency'!$F$81=0,"N/A",BF105/SUM(BF:BF)*'I-Project Contingency'!$F$81)</f>
        <v>N/A</v>
      </c>
      <c r="BQ105" s="416" t="str">
        <f>IF(BG105/SUM(BG:BG)*'I-Project Contingency'!$F$84=0,"N/A",BG105/SUM(BG:BG)*'I-Project Contingency'!$F$84)</f>
        <v>N/A</v>
      </c>
      <c r="BR105" s="416" t="str">
        <f>IF(BH105/SUM(BH:BH)*'I-Project Contingency'!$F$85=0,"N/A",BH105/SUM(BH:BH)*'I-Project Contingency'!$F$85)</f>
        <v>N/A</v>
      </c>
      <c r="BS105" s="418">
        <f t="shared" si="50"/>
        <v>88</v>
      </c>
      <c r="BT105" s="419" t="str">
        <f t="shared" si="51"/>
        <v xml:space="preserve">88 -  </v>
      </c>
      <c r="BU105" s="413">
        <f t="shared" si="52"/>
        <v>0</v>
      </c>
      <c r="BV105" s="413">
        <f t="shared" si="53"/>
        <v>0</v>
      </c>
      <c r="BW105" s="415">
        <f t="shared" si="54"/>
        <v>0</v>
      </c>
      <c r="BX105" s="415">
        <f t="shared" si="55"/>
        <v>0</v>
      </c>
    </row>
    <row r="106" spans="1:76" ht="43.2" x14ac:dyDescent="0.3">
      <c r="A106" s="193">
        <f t="shared" si="22"/>
        <v>89</v>
      </c>
      <c r="B106" s="194" t="s">
        <v>747</v>
      </c>
      <c r="C106" s="204" t="s">
        <v>665</v>
      </c>
      <c r="D106" s="205" t="s">
        <v>665</v>
      </c>
      <c r="E106" s="195" t="s">
        <v>665</v>
      </c>
      <c r="F106" s="196" t="s">
        <v>716</v>
      </c>
      <c r="G106" s="196" t="s">
        <v>730</v>
      </c>
      <c r="H106" s="187" t="str">
        <f>IF('H-Risk Register-Model'!F106="Certain","Relook at Basis of Estimate",INDEX('G-Assumptions'!$F$8:$J$11,MATCH(F106,'G-Assumptions'!$D$8:$D$11,0),MATCH(G106,'G-Assumptions'!$F$6:$J$6,0)))</f>
        <v>Relook at Basis of Estimate</v>
      </c>
      <c r="I106" s="197" t="s">
        <v>730</v>
      </c>
      <c r="J106" s="187" t="str">
        <f>IF('H-Risk Register-Model'!F106="Certain","Relook at Basis of Estimate",INDEX('G-Assumptions'!$F$8:$J$11,MATCH(F106,'G-Assumptions'!$D$8:$D$11,0),MATCH(I106,'G-Assumptions'!$F$6:$J$6,0)))</f>
        <v>Relook at Basis of Estimate</v>
      </c>
      <c r="K106" s="197" t="s">
        <v>747</v>
      </c>
      <c r="L106" s="197" t="s">
        <v>747</v>
      </c>
      <c r="M106" s="197"/>
      <c r="N106" s="384" t="s">
        <v>747</v>
      </c>
      <c r="O106" s="384" t="s">
        <v>747</v>
      </c>
      <c r="P106" s="198"/>
      <c r="Q106" s="198"/>
      <c r="R106" s="198"/>
      <c r="S106" s="199"/>
      <c r="T106" s="199"/>
      <c r="U106" s="199"/>
      <c r="V106" s="206"/>
      <c r="W106" s="198"/>
      <c r="X106" s="198"/>
      <c r="Y106" s="200">
        <v>1</v>
      </c>
      <c r="Z106" s="201">
        <v>1</v>
      </c>
      <c r="AA106" s="202">
        <f t="shared" si="42"/>
        <v>0</v>
      </c>
      <c r="AB106" s="202">
        <f t="shared" si="43"/>
        <v>0</v>
      </c>
      <c r="AC106" s="202">
        <f t="shared" si="44"/>
        <v>0</v>
      </c>
      <c r="AD106" s="202"/>
      <c r="AE106" s="198">
        <f t="shared" si="45"/>
        <v>0</v>
      </c>
      <c r="AF106" s="203"/>
      <c r="AG106" s="199">
        <f t="shared" si="46"/>
        <v>0</v>
      </c>
      <c r="AH106" s="195"/>
      <c r="AI106" s="195"/>
      <c r="AJ106" s="8"/>
      <c r="AK106" s="616" t="str">
        <f t="shared" si="47"/>
        <v>No</v>
      </c>
      <c r="AL106" s="617">
        <f>'I-Project Contingency'!$I$4</f>
        <v>28979098.489999998</v>
      </c>
      <c r="AM106" s="399">
        <f>'I-Project Contingency'!$I$11</f>
        <v>64.971830985915489</v>
      </c>
      <c r="AN106" s="398">
        <f t="shared" si="56"/>
        <v>0</v>
      </c>
      <c r="AO106" s="399">
        <f t="shared" si="57"/>
        <v>0</v>
      </c>
      <c r="AP106" s="1110" t="str">
        <f t="shared" si="58"/>
        <v>Negligible</v>
      </c>
      <c r="AQ106" s="1110" t="str">
        <f t="shared" si="59"/>
        <v>Negligible</v>
      </c>
      <c r="AR106" s="618" t="str">
        <f t="shared" si="48"/>
        <v/>
      </c>
      <c r="AS106" s="618" t="str">
        <f t="shared" si="49"/>
        <v/>
      </c>
      <c r="AT106" s="8"/>
      <c r="AU106" s="412">
        <f>'I-Project Contingency'!$O$4-AE106</f>
        <v>0</v>
      </c>
      <c r="AV106" s="413">
        <v>3099768.1860032952</v>
      </c>
      <c r="AW106" s="413">
        <v>8430883.7862095013</v>
      </c>
      <c r="AX106" s="413">
        <v>11173736.674482957</v>
      </c>
      <c r="AY106" s="413">
        <f>'I-Project Contingency'!$E$66-AV106</f>
        <v>0</v>
      </c>
      <c r="AZ106" s="413">
        <f>'I-Project Contingency'!$E$69-AW106</f>
        <v>0</v>
      </c>
      <c r="BA106" s="413">
        <f>'I-Project Contingency'!$E$70-AX106</f>
        <v>0</v>
      </c>
      <c r="BB106" s="414">
        <f>'I-Project Contingency'!$O$5-AG106</f>
        <v>0</v>
      </c>
      <c r="BC106" s="415">
        <v>1.78464631257918</v>
      </c>
      <c r="BD106" s="415">
        <v>4.4807515628171739</v>
      </c>
      <c r="BE106" s="416">
        <v>5.8619163793628264</v>
      </c>
      <c r="BF106" s="415">
        <f>'I-Project Contingency'!$E$81-BC106</f>
        <v>0</v>
      </c>
      <c r="BG106" s="415">
        <f>'I-Project Contingency'!$E$84-BD106</f>
        <v>0</v>
      </c>
      <c r="BH106" s="415">
        <f>'I-Project Contingency'!$E$85-BE106</f>
        <v>0</v>
      </c>
      <c r="BI106" s="417" t="str">
        <f>IF(BK106="N/A","N/A",IF('D-Project Data'!$C$6=50%,ABS(BK106),IF('D-Project Data'!$C$6=80%,ABS(BL106),IF('D-Project Data'!$C$6=90%,ABS(BM106)))))</f>
        <v>N/A</v>
      </c>
      <c r="BJ106" s="418" t="str">
        <f>IF(BI106="N/A","N/A",RANK(BI106,$BI$18:$BI$117,0)+COUNTIF($BI$18:BI106,BI106)-1)</f>
        <v>N/A</v>
      </c>
      <c r="BK106" s="417" t="str">
        <f>IF(AY106/SUM(AY:AY)*'I-Project Contingency'!$F$66=0,"N/A",AY106/SUM(AY:AY)*'I-Project Contingency'!$F$66)</f>
        <v>N/A</v>
      </c>
      <c r="BL106" s="417" t="str">
        <f>IF(AZ106/SUM(AZ:AZ)*'I-Project Contingency'!$F$69=0,"N/A",AZ106/SUM(AZ:AZ)*'I-Project Contingency'!$F$69)</f>
        <v>N/A</v>
      </c>
      <c r="BM106" s="417" t="str">
        <f>IF(BA106/SUM(BA:BA)*'I-Project Contingency'!$F$70=0,"N/A",BA106/SUM(BA:BA)*'I-Project Contingency'!$F$70)</f>
        <v>N/A</v>
      </c>
      <c r="BN106" s="416" t="str">
        <f>IF(BP106="N/A","N/A",IF('D-Project Data'!$C$6=50%,ABS(BP106),IF('D-Project Data'!$C$6=80%,ABS(BQ106),IF('D-Project Data'!$C$6=90%,ABS(BR106)))))</f>
        <v>N/A</v>
      </c>
      <c r="BO106" s="418" t="str">
        <f>IF(BN106="N/A","N/A",RANK(BN106,$BN$18:$BN$117,0)+COUNTIF($BN$18:BN106,BN106)-1)</f>
        <v>N/A</v>
      </c>
      <c r="BP106" s="416" t="str">
        <f>IF(BF106/SUM(BF:BF)*'I-Project Contingency'!$F$81=0,"N/A",BF106/SUM(BF:BF)*'I-Project Contingency'!$F$81)</f>
        <v>N/A</v>
      </c>
      <c r="BQ106" s="416" t="str">
        <f>IF(BG106/SUM(BG:BG)*'I-Project Contingency'!$F$84=0,"N/A",BG106/SUM(BG:BG)*'I-Project Contingency'!$F$84)</f>
        <v>N/A</v>
      </c>
      <c r="BR106" s="416" t="str">
        <f>IF(BH106/SUM(BH:BH)*'I-Project Contingency'!$F$85=0,"N/A",BH106/SUM(BH:BH)*'I-Project Contingency'!$F$85)</f>
        <v>N/A</v>
      </c>
      <c r="BS106" s="418">
        <f t="shared" si="50"/>
        <v>89</v>
      </c>
      <c r="BT106" s="419" t="str">
        <f t="shared" si="51"/>
        <v xml:space="preserve">89 -  </v>
      </c>
      <c r="BU106" s="413">
        <f t="shared" si="52"/>
        <v>0</v>
      </c>
      <c r="BV106" s="413">
        <f t="shared" si="53"/>
        <v>0</v>
      </c>
      <c r="BW106" s="415">
        <f t="shared" si="54"/>
        <v>0</v>
      </c>
      <c r="BX106" s="415">
        <f t="shared" si="55"/>
        <v>0</v>
      </c>
    </row>
    <row r="107" spans="1:76" ht="43.2" x14ac:dyDescent="0.3">
      <c r="A107" s="193">
        <f t="shared" si="22"/>
        <v>90</v>
      </c>
      <c r="B107" s="194" t="s">
        <v>747</v>
      </c>
      <c r="C107" s="204" t="s">
        <v>665</v>
      </c>
      <c r="D107" s="205" t="s">
        <v>665</v>
      </c>
      <c r="E107" s="195" t="s">
        <v>665</v>
      </c>
      <c r="F107" s="196" t="s">
        <v>716</v>
      </c>
      <c r="G107" s="196" t="s">
        <v>730</v>
      </c>
      <c r="H107" s="187" t="str">
        <f>IF('H-Risk Register-Model'!F107="Certain","Relook at Basis of Estimate",INDEX('G-Assumptions'!$F$8:$J$11,MATCH(F107,'G-Assumptions'!$D$8:$D$11,0),MATCH(G107,'G-Assumptions'!$F$6:$J$6,0)))</f>
        <v>Relook at Basis of Estimate</v>
      </c>
      <c r="I107" s="197" t="s">
        <v>730</v>
      </c>
      <c r="J107" s="187" t="str">
        <f>IF('H-Risk Register-Model'!F107="Certain","Relook at Basis of Estimate",INDEX('G-Assumptions'!$F$8:$J$11,MATCH(F107,'G-Assumptions'!$D$8:$D$11,0),MATCH(I107,'G-Assumptions'!$F$6:$J$6,0)))</f>
        <v>Relook at Basis of Estimate</v>
      </c>
      <c r="K107" s="197" t="s">
        <v>747</v>
      </c>
      <c r="L107" s="197" t="s">
        <v>747</v>
      </c>
      <c r="M107" s="197"/>
      <c r="N107" s="384" t="s">
        <v>747</v>
      </c>
      <c r="O107" s="384" t="s">
        <v>747</v>
      </c>
      <c r="P107" s="198"/>
      <c r="Q107" s="198"/>
      <c r="R107" s="198"/>
      <c r="S107" s="199"/>
      <c r="T107" s="199"/>
      <c r="U107" s="199"/>
      <c r="V107" s="206"/>
      <c r="W107" s="198"/>
      <c r="X107" s="198"/>
      <c r="Y107" s="200">
        <v>1</v>
      </c>
      <c r="Z107" s="201">
        <v>1</v>
      </c>
      <c r="AA107" s="202">
        <f t="shared" si="42"/>
        <v>0</v>
      </c>
      <c r="AB107" s="202">
        <f t="shared" si="43"/>
        <v>0</v>
      </c>
      <c r="AC107" s="202">
        <f t="shared" si="44"/>
        <v>0</v>
      </c>
      <c r="AD107" s="202"/>
      <c r="AE107" s="198">
        <f t="shared" si="45"/>
        <v>0</v>
      </c>
      <c r="AF107" s="203"/>
      <c r="AG107" s="199">
        <f t="shared" si="46"/>
        <v>0</v>
      </c>
      <c r="AH107" s="195"/>
      <c r="AI107" s="195"/>
      <c r="AJ107" s="8"/>
      <c r="AK107" s="616" t="str">
        <f t="shared" si="47"/>
        <v>No</v>
      </c>
      <c r="AL107" s="617">
        <f>'I-Project Contingency'!$I$4</f>
        <v>28979098.489999998</v>
      </c>
      <c r="AM107" s="399">
        <f>'I-Project Contingency'!$I$11</f>
        <v>64.971830985915489</v>
      </c>
      <c r="AN107" s="398">
        <f t="shared" si="56"/>
        <v>0</v>
      </c>
      <c r="AO107" s="399">
        <f t="shared" si="57"/>
        <v>0</v>
      </c>
      <c r="AP107" s="1110" t="str">
        <f t="shared" si="58"/>
        <v>Negligible</v>
      </c>
      <c r="AQ107" s="1110" t="str">
        <f t="shared" si="59"/>
        <v>Negligible</v>
      </c>
      <c r="AR107" s="618" t="str">
        <f t="shared" si="48"/>
        <v/>
      </c>
      <c r="AS107" s="618" t="str">
        <f t="shared" si="49"/>
        <v/>
      </c>
      <c r="AT107" s="8"/>
      <c r="AU107" s="412">
        <f>'I-Project Contingency'!$O$4-AE107</f>
        <v>0</v>
      </c>
      <c r="AV107" s="413">
        <v>3099768.1860032952</v>
      </c>
      <c r="AW107" s="413">
        <v>8430883.7862095013</v>
      </c>
      <c r="AX107" s="413">
        <v>11173736.674482957</v>
      </c>
      <c r="AY107" s="413">
        <f>'I-Project Contingency'!$E$66-AV107</f>
        <v>0</v>
      </c>
      <c r="AZ107" s="413">
        <f>'I-Project Contingency'!$E$69-AW107</f>
        <v>0</v>
      </c>
      <c r="BA107" s="413">
        <f>'I-Project Contingency'!$E$70-AX107</f>
        <v>0</v>
      </c>
      <c r="BB107" s="414">
        <f>'I-Project Contingency'!$O$5-AG107</f>
        <v>0</v>
      </c>
      <c r="BC107" s="415">
        <v>1.78464631257918</v>
      </c>
      <c r="BD107" s="415">
        <v>4.4807515628171739</v>
      </c>
      <c r="BE107" s="416">
        <v>5.8619163793628264</v>
      </c>
      <c r="BF107" s="415">
        <f>'I-Project Contingency'!$E$81-BC107</f>
        <v>0</v>
      </c>
      <c r="BG107" s="415">
        <f>'I-Project Contingency'!$E$84-BD107</f>
        <v>0</v>
      </c>
      <c r="BH107" s="415">
        <f>'I-Project Contingency'!$E$85-BE107</f>
        <v>0</v>
      </c>
      <c r="BI107" s="417" t="str">
        <f>IF(BK107="N/A","N/A",IF('D-Project Data'!$C$6=50%,ABS(BK107),IF('D-Project Data'!$C$6=80%,ABS(BL107),IF('D-Project Data'!$C$6=90%,ABS(BM107)))))</f>
        <v>N/A</v>
      </c>
      <c r="BJ107" s="418" t="str">
        <f>IF(BI107="N/A","N/A",RANK(BI107,$BI$18:$BI$117,0)+COUNTIF($BI$18:BI107,BI107)-1)</f>
        <v>N/A</v>
      </c>
      <c r="BK107" s="417" t="str">
        <f>IF(AY107/SUM(AY:AY)*'I-Project Contingency'!$F$66=0,"N/A",AY107/SUM(AY:AY)*'I-Project Contingency'!$F$66)</f>
        <v>N/A</v>
      </c>
      <c r="BL107" s="417" t="str">
        <f>IF(AZ107/SUM(AZ:AZ)*'I-Project Contingency'!$F$69=0,"N/A",AZ107/SUM(AZ:AZ)*'I-Project Contingency'!$F$69)</f>
        <v>N/A</v>
      </c>
      <c r="BM107" s="417" t="str">
        <f>IF(BA107/SUM(BA:BA)*'I-Project Contingency'!$F$70=0,"N/A",BA107/SUM(BA:BA)*'I-Project Contingency'!$F$70)</f>
        <v>N/A</v>
      </c>
      <c r="BN107" s="416" t="str">
        <f>IF(BP107="N/A","N/A",IF('D-Project Data'!$C$6=50%,ABS(BP107),IF('D-Project Data'!$C$6=80%,ABS(BQ107),IF('D-Project Data'!$C$6=90%,ABS(BR107)))))</f>
        <v>N/A</v>
      </c>
      <c r="BO107" s="418" t="str">
        <f>IF(BN107="N/A","N/A",RANK(BN107,$BN$18:$BN$117,0)+COUNTIF($BN$18:BN107,BN107)-1)</f>
        <v>N/A</v>
      </c>
      <c r="BP107" s="416" t="str">
        <f>IF(BF107/SUM(BF:BF)*'I-Project Contingency'!$F$81=0,"N/A",BF107/SUM(BF:BF)*'I-Project Contingency'!$F$81)</f>
        <v>N/A</v>
      </c>
      <c r="BQ107" s="416" t="str">
        <f>IF(BG107/SUM(BG:BG)*'I-Project Contingency'!$F$84=0,"N/A",BG107/SUM(BG:BG)*'I-Project Contingency'!$F$84)</f>
        <v>N/A</v>
      </c>
      <c r="BR107" s="416" t="str">
        <f>IF(BH107/SUM(BH:BH)*'I-Project Contingency'!$F$85=0,"N/A",BH107/SUM(BH:BH)*'I-Project Contingency'!$F$85)</f>
        <v>N/A</v>
      </c>
      <c r="BS107" s="418">
        <f t="shared" si="50"/>
        <v>90</v>
      </c>
      <c r="BT107" s="419" t="str">
        <f t="shared" si="51"/>
        <v xml:space="preserve">90 -  </v>
      </c>
      <c r="BU107" s="413">
        <f t="shared" si="52"/>
        <v>0</v>
      </c>
      <c r="BV107" s="413">
        <f t="shared" si="53"/>
        <v>0</v>
      </c>
      <c r="BW107" s="415">
        <f t="shared" si="54"/>
        <v>0</v>
      </c>
      <c r="BX107" s="415">
        <f t="shared" si="55"/>
        <v>0</v>
      </c>
    </row>
    <row r="108" spans="1:76" ht="43.2" x14ac:dyDescent="0.3">
      <c r="A108" s="193">
        <f t="shared" si="22"/>
        <v>91</v>
      </c>
      <c r="B108" s="194" t="s">
        <v>747</v>
      </c>
      <c r="C108" s="204" t="s">
        <v>665</v>
      </c>
      <c r="D108" s="205" t="s">
        <v>665</v>
      </c>
      <c r="E108" s="195" t="s">
        <v>665</v>
      </c>
      <c r="F108" s="196" t="s">
        <v>716</v>
      </c>
      <c r="G108" s="196" t="s">
        <v>730</v>
      </c>
      <c r="H108" s="187" t="str">
        <f>IF('H-Risk Register-Model'!F108="Certain","Relook at Basis of Estimate",INDEX('G-Assumptions'!$F$8:$J$11,MATCH(F108,'G-Assumptions'!$D$8:$D$11,0),MATCH(G108,'G-Assumptions'!$F$6:$J$6,0)))</f>
        <v>Relook at Basis of Estimate</v>
      </c>
      <c r="I108" s="197" t="s">
        <v>730</v>
      </c>
      <c r="J108" s="187" t="str">
        <f>IF('H-Risk Register-Model'!F108="Certain","Relook at Basis of Estimate",INDEX('G-Assumptions'!$F$8:$J$11,MATCH(F108,'G-Assumptions'!$D$8:$D$11,0),MATCH(I108,'G-Assumptions'!$F$6:$J$6,0)))</f>
        <v>Relook at Basis of Estimate</v>
      </c>
      <c r="K108" s="197" t="s">
        <v>747</v>
      </c>
      <c r="L108" s="197" t="s">
        <v>747</v>
      </c>
      <c r="M108" s="197"/>
      <c r="N108" s="384" t="s">
        <v>747</v>
      </c>
      <c r="O108" s="384" t="s">
        <v>747</v>
      </c>
      <c r="P108" s="198"/>
      <c r="Q108" s="198"/>
      <c r="R108" s="198"/>
      <c r="S108" s="199"/>
      <c r="T108" s="199"/>
      <c r="U108" s="199"/>
      <c r="V108" s="206"/>
      <c r="W108" s="198"/>
      <c r="X108" s="198"/>
      <c r="Y108" s="200">
        <v>1</v>
      </c>
      <c r="Z108" s="201">
        <v>1</v>
      </c>
      <c r="AA108" s="202">
        <f t="shared" si="42"/>
        <v>0</v>
      </c>
      <c r="AB108" s="202">
        <f t="shared" si="43"/>
        <v>0</v>
      </c>
      <c r="AC108" s="202">
        <f t="shared" si="44"/>
        <v>0</v>
      </c>
      <c r="AD108" s="202"/>
      <c r="AE108" s="198">
        <f t="shared" si="45"/>
        <v>0</v>
      </c>
      <c r="AF108" s="203"/>
      <c r="AG108" s="199">
        <f t="shared" si="46"/>
        <v>0</v>
      </c>
      <c r="AH108" s="195"/>
      <c r="AI108" s="195"/>
      <c r="AJ108" s="8"/>
      <c r="AK108" s="616" t="str">
        <f t="shared" si="47"/>
        <v>No</v>
      </c>
      <c r="AL108" s="617">
        <f>'I-Project Contingency'!$I$4</f>
        <v>28979098.489999998</v>
      </c>
      <c r="AM108" s="399">
        <f>'I-Project Contingency'!$I$11</f>
        <v>64.971830985915489</v>
      </c>
      <c r="AN108" s="398">
        <f t="shared" si="56"/>
        <v>0</v>
      </c>
      <c r="AO108" s="399">
        <f t="shared" si="57"/>
        <v>0</v>
      </c>
      <c r="AP108" s="1110" t="str">
        <f t="shared" si="58"/>
        <v>Negligible</v>
      </c>
      <c r="AQ108" s="1110" t="str">
        <f t="shared" si="59"/>
        <v>Negligible</v>
      </c>
      <c r="AR108" s="618" t="str">
        <f t="shared" si="48"/>
        <v/>
      </c>
      <c r="AS108" s="618" t="str">
        <f t="shared" si="49"/>
        <v/>
      </c>
      <c r="AT108" s="8"/>
      <c r="AU108" s="412">
        <f>'I-Project Contingency'!$O$4-AE108</f>
        <v>0</v>
      </c>
      <c r="AV108" s="413">
        <v>3099768.1860032952</v>
      </c>
      <c r="AW108" s="413">
        <v>8430883.7862095013</v>
      </c>
      <c r="AX108" s="413">
        <v>11173736.674482957</v>
      </c>
      <c r="AY108" s="413">
        <f>'I-Project Contingency'!$E$66-AV108</f>
        <v>0</v>
      </c>
      <c r="AZ108" s="413">
        <f>'I-Project Contingency'!$E$69-AW108</f>
        <v>0</v>
      </c>
      <c r="BA108" s="413">
        <f>'I-Project Contingency'!$E$70-AX108</f>
        <v>0</v>
      </c>
      <c r="BB108" s="414">
        <f>'I-Project Contingency'!$O$5-AG108</f>
        <v>0</v>
      </c>
      <c r="BC108" s="415">
        <v>1.78464631257918</v>
      </c>
      <c r="BD108" s="415">
        <v>4.4807515628171739</v>
      </c>
      <c r="BE108" s="416">
        <v>5.8619163793628264</v>
      </c>
      <c r="BF108" s="415">
        <f>'I-Project Contingency'!$E$81-BC108</f>
        <v>0</v>
      </c>
      <c r="BG108" s="415">
        <f>'I-Project Contingency'!$E$84-BD108</f>
        <v>0</v>
      </c>
      <c r="BH108" s="415">
        <f>'I-Project Contingency'!$E$85-BE108</f>
        <v>0</v>
      </c>
      <c r="BI108" s="417" t="str">
        <f>IF(BK108="N/A","N/A",IF('D-Project Data'!$C$6=50%,ABS(BK108),IF('D-Project Data'!$C$6=80%,ABS(BL108),IF('D-Project Data'!$C$6=90%,ABS(BM108)))))</f>
        <v>N/A</v>
      </c>
      <c r="BJ108" s="418" t="str">
        <f>IF(BI108="N/A","N/A",RANK(BI108,$BI$18:$BI$117,0)+COUNTIF($BI$18:BI108,BI108)-1)</f>
        <v>N/A</v>
      </c>
      <c r="BK108" s="417" t="str">
        <f>IF(AY108/SUM(AY:AY)*'I-Project Contingency'!$F$66=0,"N/A",AY108/SUM(AY:AY)*'I-Project Contingency'!$F$66)</f>
        <v>N/A</v>
      </c>
      <c r="BL108" s="417" t="str">
        <f>IF(AZ108/SUM(AZ:AZ)*'I-Project Contingency'!$F$69=0,"N/A",AZ108/SUM(AZ:AZ)*'I-Project Contingency'!$F$69)</f>
        <v>N/A</v>
      </c>
      <c r="BM108" s="417" t="str">
        <f>IF(BA108/SUM(BA:BA)*'I-Project Contingency'!$F$70=0,"N/A",BA108/SUM(BA:BA)*'I-Project Contingency'!$F$70)</f>
        <v>N/A</v>
      </c>
      <c r="BN108" s="416" t="str">
        <f>IF(BP108="N/A","N/A",IF('D-Project Data'!$C$6=50%,ABS(BP108),IF('D-Project Data'!$C$6=80%,ABS(BQ108),IF('D-Project Data'!$C$6=90%,ABS(BR108)))))</f>
        <v>N/A</v>
      </c>
      <c r="BO108" s="418" t="str">
        <f>IF(BN108="N/A","N/A",RANK(BN108,$BN$18:$BN$117,0)+COUNTIF($BN$18:BN108,BN108)-1)</f>
        <v>N/A</v>
      </c>
      <c r="BP108" s="416" t="str">
        <f>IF(BF108/SUM(BF:BF)*'I-Project Contingency'!$F$81=0,"N/A",BF108/SUM(BF:BF)*'I-Project Contingency'!$F$81)</f>
        <v>N/A</v>
      </c>
      <c r="BQ108" s="416" t="str">
        <f>IF(BG108/SUM(BG:BG)*'I-Project Contingency'!$F$84=0,"N/A",BG108/SUM(BG:BG)*'I-Project Contingency'!$F$84)</f>
        <v>N/A</v>
      </c>
      <c r="BR108" s="416" t="str">
        <f>IF(BH108/SUM(BH:BH)*'I-Project Contingency'!$F$85=0,"N/A",BH108/SUM(BH:BH)*'I-Project Contingency'!$F$85)</f>
        <v>N/A</v>
      </c>
      <c r="BS108" s="418">
        <f t="shared" si="50"/>
        <v>91</v>
      </c>
      <c r="BT108" s="419" t="str">
        <f t="shared" si="51"/>
        <v xml:space="preserve">91 -  </v>
      </c>
      <c r="BU108" s="413">
        <f t="shared" si="52"/>
        <v>0</v>
      </c>
      <c r="BV108" s="413">
        <f t="shared" si="53"/>
        <v>0</v>
      </c>
      <c r="BW108" s="415">
        <f t="shared" si="54"/>
        <v>0</v>
      </c>
      <c r="BX108" s="415">
        <f t="shared" si="55"/>
        <v>0</v>
      </c>
    </row>
    <row r="109" spans="1:76" ht="43.2" x14ac:dyDescent="0.3">
      <c r="A109" s="193">
        <f t="shared" si="22"/>
        <v>92</v>
      </c>
      <c r="B109" s="194" t="s">
        <v>747</v>
      </c>
      <c r="C109" s="204" t="s">
        <v>665</v>
      </c>
      <c r="D109" s="205" t="s">
        <v>665</v>
      </c>
      <c r="E109" s="195" t="s">
        <v>665</v>
      </c>
      <c r="F109" s="196" t="s">
        <v>716</v>
      </c>
      <c r="G109" s="196" t="s">
        <v>730</v>
      </c>
      <c r="H109" s="187" t="str">
        <f>IF('H-Risk Register-Model'!F109="Certain","Relook at Basis of Estimate",INDEX('G-Assumptions'!$F$8:$J$11,MATCH(F109,'G-Assumptions'!$D$8:$D$11,0),MATCH(G109,'G-Assumptions'!$F$6:$J$6,0)))</f>
        <v>Relook at Basis of Estimate</v>
      </c>
      <c r="I109" s="197" t="s">
        <v>730</v>
      </c>
      <c r="J109" s="187" t="str">
        <f>IF('H-Risk Register-Model'!F109="Certain","Relook at Basis of Estimate",INDEX('G-Assumptions'!$F$8:$J$11,MATCH(F109,'G-Assumptions'!$D$8:$D$11,0),MATCH(I109,'G-Assumptions'!$F$6:$J$6,0)))</f>
        <v>Relook at Basis of Estimate</v>
      </c>
      <c r="K109" s="197" t="s">
        <v>747</v>
      </c>
      <c r="L109" s="197" t="s">
        <v>747</v>
      </c>
      <c r="M109" s="197"/>
      <c r="N109" s="384" t="s">
        <v>747</v>
      </c>
      <c r="O109" s="384" t="s">
        <v>747</v>
      </c>
      <c r="P109" s="198"/>
      <c r="Q109" s="198"/>
      <c r="R109" s="198"/>
      <c r="S109" s="199"/>
      <c r="T109" s="199"/>
      <c r="U109" s="199"/>
      <c r="V109" s="206"/>
      <c r="W109" s="198"/>
      <c r="X109" s="198"/>
      <c r="Y109" s="200">
        <v>1</v>
      </c>
      <c r="Z109" s="201">
        <v>1</v>
      </c>
      <c r="AA109" s="202">
        <f t="shared" si="42"/>
        <v>0</v>
      </c>
      <c r="AB109" s="202">
        <f t="shared" si="43"/>
        <v>0</v>
      </c>
      <c r="AC109" s="202">
        <f t="shared" si="44"/>
        <v>0</v>
      </c>
      <c r="AD109" s="202"/>
      <c r="AE109" s="198">
        <f t="shared" si="45"/>
        <v>0</v>
      </c>
      <c r="AF109" s="203"/>
      <c r="AG109" s="199">
        <f t="shared" si="46"/>
        <v>0</v>
      </c>
      <c r="AH109" s="195"/>
      <c r="AI109" s="195"/>
      <c r="AJ109" s="8"/>
      <c r="AK109" s="616" t="str">
        <f t="shared" si="47"/>
        <v>No</v>
      </c>
      <c r="AL109" s="617">
        <f>'I-Project Contingency'!$I$4</f>
        <v>28979098.489999998</v>
      </c>
      <c r="AM109" s="399">
        <f>'I-Project Contingency'!$I$11</f>
        <v>64.971830985915489</v>
      </c>
      <c r="AN109" s="398">
        <f t="shared" si="56"/>
        <v>0</v>
      </c>
      <c r="AO109" s="399">
        <f t="shared" si="57"/>
        <v>0</v>
      </c>
      <c r="AP109" s="1110" t="str">
        <f t="shared" si="58"/>
        <v>Negligible</v>
      </c>
      <c r="AQ109" s="1110" t="str">
        <f t="shared" si="59"/>
        <v>Negligible</v>
      </c>
      <c r="AR109" s="618" t="str">
        <f t="shared" si="48"/>
        <v/>
      </c>
      <c r="AS109" s="618" t="str">
        <f t="shared" si="49"/>
        <v/>
      </c>
      <c r="AT109" s="8"/>
      <c r="AU109" s="412">
        <f>'I-Project Contingency'!$O$4-AE109</f>
        <v>0</v>
      </c>
      <c r="AV109" s="413">
        <v>3099768.1860032952</v>
      </c>
      <c r="AW109" s="413">
        <v>8430883.7862095013</v>
      </c>
      <c r="AX109" s="413">
        <v>11173736.674482957</v>
      </c>
      <c r="AY109" s="413">
        <f>'I-Project Contingency'!$E$66-AV109</f>
        <v>0</v>
      </c>
      <c r="AZ109" s="413">
        <f>'I-Project Contingency'!$E$69-AW109</f>
        <v>0</v>
      </c>
      <c r="BA109" s="413">
        <f>'I-Project Contingency'!$E$70-AX109</f>
        <v>0</v>
      </c>
      <c r="BB109" s="414">
        <f>'I-Project Contingency'!$O$5-AG109</f>
        <v>0</v>
      </c>
      <c r="BC109" s="415">
        <v>1.78464631257918</v>
      </c>
      <c r="BD109" s="415">
        <v>4.4807515628171739</v>
      </c>
      <c r="BE109" s="416">
        <v>5.8619163793628264</v>
      </c>
      <c r="BF109" s="415">
        <f>'I-Project Contingency'!$E$81-BC109</f>
        <v>0</v>
      </c>
      <c r="BG109" s="415">
        <f>'I-Project Contingency'!$E$84-BD109</f>
        <v>0</v>
      </c>
      <c r="BH109" s="415">
        <f>'I-Project Contingency'!$E$85-BE109</f>
        <v>0</v>
      </c>
      <c r="BI109" s="417" t="str">
        <f>IF(BK109="N/A","N/A",IF('D-Project Data'!$C$6=50%,ABS(BK109),IF('D-Project Data'!$C$6=80%,ABS(BL109),IF('D-Project Data'!$C$6=90%,ABS(BM109)))))</f>
        <v>N/A</v>
      </c>
      <c r="BJ109" s="418" t="str">
        <f>IF(BI109="N/A","N/A",RANK(BI109,$BI$18:$BI$117,0)+COUNTIF($BI$18:BI109,BI109)-1)</f>
        <v>N/A</v>
      </c>
      <c r="BK109" s="417" t="str">
        <f>IF(AY109/SUM(AY:AY)*'I-Project Contingency'!$F$66=0,"N/A",AY109/SUM(AY:AY)*'I-Project Contingency'!$F$66)</f>
        <v>N/A</v>
      </c>
      <c r="BL109" s="417" t="str">
        <f>IF(AZ109/SUM(AZ:AZ)*'I-Project Contingency'!$F$69=0,"N/A",AZ109/SUM(AZ:AZ)*'I-Project Contingency'!$F$69)</f>
        <v>N/A</v>
      </c>
      <c r="BM109" s="417" t="str">
        <f>IF(BA109/SUM(BA:BA)*'I-Project Contingency'!$F$70=0,"N/A",BA109/SUM(BA:BA)*'I-Project Contingency'!$F$70)</f>
        <v>N/A</v>
      </c>
      <c r="BN109" s="416" t="str">
        <f>IF(BP109="N/A","N/A",IF('D-Project Data'!$C$6=50%,ABS(BP109),IF('D-Project Data'!$C$6=80%,ABS(BQ109),IF('D-Project Data'!$C$6=90%,ABS(BR109)))))</f>
        <v>N/A</v>
      </c>
      <c r="BO109" s="418" t="str">
        <f>IF(BN109="N/A","N/A",RANK(BN109,$BN$18:$BN$117,0)+COUNTIF($BN$18:BN109,BN109)-1)</f>
        <v>N/A</v>
      </c>
      <c r="BP109" s="416" t="str">
        <f>IF(BF109/SUM(BF:BF)*'I-Project Contingency'!$F$81=0,"N/A",BF109/SUM(BF:BF)*'I-Project Contingency'!$F$81)</f>
        <v>N/A</v>
      </c>
      <c r="BQ109" s="416" t="str">
        <f>IF(BG109/SUM(BG:BG)*'I-Project Contingency'!$F$84=0,"N/A",BG109/SUM(BG:BG)*'I-Project Contingency'!$F$84)</f>
        <v>N/A</v>
      </c>
      <c r="BR109" s="416" t="str">
        <f>IF(BH109/SUM(BH:BH)*'I-Project Contingency'!$F$85=0,"N/A",BH109/SUM(BH:BH)*'I-Project Contingency'!$F$85)</f>
        <v>N/A</v>
      </c>
      <c r="BS109" s="418">
        <f t="shared" si="50"/>
        <v>92</v>
      </c>
      <c r="BT109" s="419" t="str">
        <f t="shared" si="51"/>
        <v xml:space="preserve">92 -  </v>
      </c>
      <c r="BU109" s="413">
        <f t="shared" si="52"/>
        <v>0</v>
      </c>
      <c r="BV109" s="413">
        <f t="shared" si="53"/>
        <v>0</v>
      </c>
      <c r="BW109" s="415">
        <f t="shared" si="54"/>
        <v>0</v>
      </c>
      <c r="BX109" s="415">
        <f t="shared" si="55"/>
        <v>0</v>
      </c>
    </row>
    <row r="110" spans="1:76" ht="43.2" x14ac:dyDescent="0.3">
      <c r="A110" s="193">
        <f t="shared" si="22"/>
        <v>93</v>
      </c>
      <c r="B110" s="194" t="s">
        <v>747</v>
      </c>
      <c r="C110" s="204" t="s">
        <v>665</v>
      </c>
      <c r="D110" s="205" t="s">
        <v>665</v>
      </c>
      <c r="E110" s="195" t="s">
        <v>665</v>
      </c>
      <c r="F110" s="196" t="s">
        <v>716</v>
      </c>
      <c r="G110" s="196" t="s">
        <v>730</v>
      </c>
      <c r="H110" s="187" t="str">
        <f>IF('H-Risk Register-Model'!F110="Certain","Relook at Basis of Estimate",INDEX('G-Assumptions'!$F$8:$J$11,MATCH(F110,'G-Assumptions'!$D$8:$D$11,0),MATCH(G110,'G-Assumptions'!$F$6:$J$6,0)))</f>
        <v>Relook at Basis of Estimate</v>
      </c>
      <c r="I110" s="197" t="s">
        <v>730</v>
      </c>
      <c r="J110" s="187" t="str">
        <f>IF('H-Risk Register-Model'!F110="Certain","Relook at Basis of Estimate",INDEX('G-Assumptions'!$F$8:$J$11,MATCH(F110,'G-Assumptions'!$D$8:$D$11,0),MATCH(I110,'G-Assumptions'!$F$6:$J$6,0)))</f>
        <v>Relook at Basis of Estimate</v>
      </c>
      <c r="K110" s="197" t="s">
        <v>747</v>
      </c>
      <c r="L110" s="197" t="s">
        <v>747</v>
      </c>
      <c r="M110" s="197"/>
      <c r="N110" s="384" t="s">
        <v>747</v>
      </c>
      <c r="O110" s="384" t="s">
        <v>747</v>
      </c>
      <c r="P110" s="198"/>
      <c r="Q110" s="198"/>
      <c r="R110" s="198"/>
      <c r="S110" s="199"/>
      <c r="T110" s="199"/>
      <c r="U110" s="199"/>
      <c r="V110" s="206"/>
      <c r="W110" s="198"/>
      <c r="X110" s="198"/>
      <c r="Y110" s="200">
        <v>1</v>
      </c>
      <c r="Z110" s="201">
        <v>1</v>
      </c>
      <c r="AA110" s="202">
        <f t="shared" si="42"/>
        <v>0</v>
      </c>
      <c r="AB110" s="202">
        <f t="shared" si="43"/>
        <v>0</v>
      </c>
      <c r="AC110" s="202">
        <f t="shared" si="44"/>
        <v>0</v>
      </c>
      <c r="AD110" s="202"/>
      <c r="AE110" s="198">
        <f t="shared" si="45"/>
        <v>0</v>
      </c>
      <c r="AF110" s="203"/>
      <c r="AG110" s="199">
        <f t="shared" si="46"/>
        <v>0</v>
      </c>
      <c r="AH110" s="195"/>
      <c r="AI110" s="195"/>
      <c r="AJ110" s="8"/>
      <c r="AK110" s="616" t="str">
        <f t="shared" si="47"/>
        <v>No</v>
      </c>
      <c r="AL110" s="617">
        <f>'I-Project Contingency'!$I$4</f>
        <v>28979098.489999998</v>
      </c>
      <c r="AM110" s="399">
        <f>'I-Project Contingency'!$I$11</f>
        <v>64.971830985915489</v>
      </c>
      <c r="AN110" s="398">
        <f t="shared" si="56"/>
        <v>0</v>
      </c>
      <c r="AO110" s="399">
        <f t="shared" si="57"/>
        <v>0</v>
      </c>
      <c r="AP110" s="1110" t="str">
        <f t="shared" si="58"/>
        <v>Negligible</v>
      </c>
      <c r="AQ110" s="1110" t="str">
        <f t="shared" si="59"/>
        <v>Negligible</v>
      </c>
      <c r="AR110" s="618" t="str">
        <f t="shared" si="48"/>
        <v/>
      </c>
      <c r="AS110" s="618" t="str">
        <f t="shared" si="49"/>
        <v/>
      </c>
      <c r="AT110" s="8"/>
      <c r="AU110" s="412">
        <f>'I-Project Contingency'!$O$4-AE110</f>
        <v>0</v>
      </c>
      <c r="AV110" s="413">
        <v>3099768.1860032952</v>
      </c>
      <c r="AW110" s="413">
        <v>8430883.7862095013</v>
      </c>
      <c r="AX110" s="413">
        <v>11173736.674482957</v>
      </c>
      <c r="AY110" s="413">
        <f>'I-Project Contingency'!$E$66-AV110</f>
        <v>0</v>
      </c>
      <c r="AZ110" s="413">
        <f>'I-Project Contingency'!$E$69-AW110</f>
        <v>0</v>
      </c>
      <c r="BA110" s="413">
        <f>'I-Project Contingency'!$E$70-AX110</f>
        <v>0</v>
      </c>
      <c r="BB110" s="414">
        <f>'I-Project Contingency'!$O$5-AG110</f>
        <v>0</v>
      </c>
      <c r="BC110" s="415">
        <v>1.78464631257918</v>
      </c>
      <c r="BD110" s="415">
        <v>4.4807515628171739</v>
      </c>
      <c r="BE110" s="416">
        <v>5.8619163793628264</v>
      </c>
      <c r="BF110" s="415">
        <f>'I-Project Contingency'!$E$81-BC110</f>
        <v>0</v>
      </c>
      <c r="BG110" s="415">
        <f>'I-Project Contingency'!$E$84-BD110</f>
        <v>0</v>
      </c>
      <c r="BH110" s="415">
        <f>'I-Project Contingency'!$E$85-BE110</f>
        <v>0</v>
      </c>
      <c r="BI110" s="417" t="str">
        <f>IF(BK110="N/A","N/A",IF('D-Project Data'!$C$6=50%,ABS(BK110),IF('D-Project Data'!$C$6=80%,ABS(BL110),IF('D-Project Data'!$C$6=90%,ABS(BM110)))))</f>
        <v>N/A</v>
      </c>
      <c r="BJ110" s="418" t="str">
        <f>IF(BI110="N/A","N/A",RANK(BI110,$BI$18:$BI$117,0)+COUNTIF($BI$18:BI110,BI110)-1)</f>
        <v>N/A</v>
      </c>
      <c r="BK110" s="417" t="str">
        <f>IF(AY110/SUM(AY:AY)*'I-Project Contingency'!$F$66=0,"N/A",AY110/SUM(AY:AY)*'I-Project Contingency'!$F$66)</f>
        <v>N/A</v>
      </c>
      <c r="BL110" s="417" t="str">
        <f>IF(AZ110/SUM(AZ:AZ)*'I-Project Contingency'!$F$69=0,"N/A",AZ110/SUM(AZ:AZ)*'I-Project Contingency'!$F$69)</f>
        <v>N/A</v>
      </c>
      <c r="BM110" s="417" t="str">
        <f>IF(BA110/SUM(BA:BA)*'I-Project Contingency'!$F$70=0,"N/A",BA110/SUM(BA:BA)*'I-Project Contingency'!$F$70)</f>
        <v>N/A</v>
      </c>
      <c r="BN110" s="416" t="str">
        <f>IF(BP110="N/A","N/A",IF('D-Project Data'!$C$6=50%,ABS(BP110),IF('D-Project Data'!$C$6=80%,ABS(BQ110),IF('D-Project Data'!$C$6=90%,ABS(BR110)))))</f>
        <v>N/A</v>
      </c>
      <c r="BO110" s="418" t="str">
        <f>IF(BN110="N/A","N/A",RANK(BN110,$BN$18:$BN$117,0)+COUNTIF($BN$18:BN110,BN110)-1)</f>
        <v>N/A</v>
      </c>
      <c r="BP110" s="416" t="str">
        <f>IF(BF110/SUM(BF:BF)*'I-Project Contingency'!$F$81=0,"N/A",BF110/SUM(BF:BF)*'I-Project Contingency'!$F$81)</f>
        <v>N/A</v>
      </c>
      <c r="BQ110" s="416" t="str">
        <f>IF(BG110/SUM(BG:BG)*'I-Project Contingency'!$F$84=0,"N/A",BG110/SUM(BG:BG)*'I-Project Contingency'!$F$84)</f>
        <v>N/A</v>
      </c>
      <c r="BR110" s="416" t="str">
        <f>IF(BH110/SUM(BH:BH)*'I-Project Contingency'!$F$85=0,"N/A",BH110/SUM(BH:BH)*'I-Project Contingency'!$F$85)</f>
        <v>N/A</v>
      </c>
      <c r="BS110" s="418">
        <f t="shared" si="50"/>
        <v>93</v>
      </c>
      <c r="BT110" s="419" t="str">
        <f t="shared" si="51"/>
        <v xml:space="preserve">93 -  </v>
      </c>
      <c r="BU110" s="413">
        <f t="shared" si="52"/>
        <v>0</v>
      </c>
      <c r="BV110" s="413">
        <f t="shared" si="53"/>
        <v>0</v>
      </c>
      <c r="BW110" s="415">
        <f t="shared" si="54"/>
        <v>0</v>
      </c>
      <c r="BX110" s="415">
        <f t="shared" si="55"/>
        <v>0</v>
      </c>
    </row>
    <row r="111" spans="1:76" ht="43.2" x14ac:dyDescent="0.3">
      <c r="A111" s="193">
        <f t="shared" si="22"/>
        <v>94</v>
      </c>
      <c r="B111" s="194" t="s">
        <v>747</v>
      </c>
      <c r="C111" s="204" t="s">
        <v>665</v>
      </c>
      <c r="D111" s="205" t="s">
        <v>665</v>
      </c>
      <c r="E111" s="195" t="s">
        <v>665</v>
      </c>
      <c r="F111" s="196" t="s">
        <v>716</v>
      </c>
      <c r="G111" s="196" t="s">
        <v>730</v>
      </c>
      <c r="H111" s="187" t="str">
        <f>IF('H-Risk Register-Model'!F111="Certain","Relook at Basis of Estimate",INDEX('G-Assumptions'!$F$8:$J$11,MATCH(F111,'G-Assumptions'!$D$8:$D$11,0),MATCH(G111,'G-Assumptions'!$F$6:$J$6,0)))</f>
        <v>Relook at Basis of Estimate</v>
      </c>
      <c r="I111" s="197" t="s">
        <v>730</v>
      </c>
      <c r="J111" s="187" t="str">
        <f>IF('H-Risk Register-Model'!F111="Certain","Relook at Basis of Estimate",INDEX('G-Assumptions'!$F$8:$J$11,MATCH(F111,'G-Assumptions'!$D$8:$D$11,0),MATCH(I111,'G-Assumptions'!$F$6:$J$6,0)))</f>
        <v>Relook at Basis of Estimate</v>
      </c>
      <c r="K111" s="197" t="s">
        <v>747</v>
      </c>
      <c r="L111" s="197" t="s">
        <v>747</v>
      </c>
      <c r="M111" s="197"/>
      <c r="N111" s="384" t="s">
        <v>747</v>
      </c>
      <c r="O111" s="384" t="s">
        <v>747</v>
      </c>
      <c r="P111" s="198"/>
      <c r="Q111" s="198"/>
      <c r="R111" s="198"/>
      <c r="S111" s="199"/>
      <c r="T111" s="199"/>
      <c r="U111" s="199"/>
      <c r="V111" s="206"/>
      <c r="W111" s="198"/>
      <c r="X111" s="198"/>
      <c r="Y111" s="200">
        <v>1</v>
      </c>
      <c r="Z111" s="201">
        <v>1</v>
      </c>
      <c r="AA111" s="202">
        <f t="shared" si="42"/>
        <v>0</v>
      </c>
      <c r="AB111" s="202">
        <f t="shared" si="43"/>
        <v>0</v>
      </c>
      <c r="AC111" s="202">
        <f t="shared" si="44"/>
        <v>0</v>
      </c>
      <c r="AD111" s="202"/>
      <c r="AE111" s="198">
        <f t="shared" si="45"/>
        <v>0</v>
      </c>
      <c r="AF111" s="203"/>
      <c r="AG111" s="199">
        <f t="shared" si="46"/>
        <v>0</v>
      </c>
      <c r="AH111" s="195"/>
      <c r="AI111" s="195"/>
      <c r="AJ111" s="8"/>
      <c r="AK111" s="616" t="str">
        <f t="shared" si="47"/>
        <v>No</v>
      </c>
      <c r="AL111" s="617">
        <f>'I-Project Contingency'!$I$4</f>
        <v>28979098.489999998</v>
      </c>
      <c r="AM111" s="399">
        <f>'I-Project Contingency'!$I$11</f>
        <v>64.971830985915489</v>
      </c>
      <c r="AN111" s="398">
        <f t="shared" si="56"/>
        <v>0</v>
      </c>
      <c r="AO111" s="399">
        <f t="shared" si="57"/>
        <v>0</v>
      </c>
      <c r="AP111" s="1110" t="str">
        <f t="shared" si="58"/>
        <v>Negligible</v>
      </c>
      <c r="AQ111" s="1110" t="str">
        <f t="shared" si="59"/>
        <v>Negligible</v>
      </c>
      <c r="AR111" s="618" t="str">
        <f t="shared" si="48"/>
        <v/>
      </c>
      <c r="AS111" s="618" t="str">
        <f t="shared" si="49"/>
        <v/>
      </c>
      <c r="AT111" s="8"/>
      <c r="AU111" s="412">
        <f>'I-Project Contingency'!$O$4-AE111</f>
        <v>0</v>
      </c>
      <c r="AV111" s="413">
        <v>3099768.1860032952</v>
      </c>
      <c r="AW111" s="413">
        <v>8430883.7862095013</v>
      </c>
      <c r="AX111" s="413">
        <v>11173736.674482957</v>
      </c>
      <c r="AY111" s="413">
        <f>'I-Project Contingency'!$E$66-AV111</f>
        <v>0</v>
      </c>
      <c r="AZ111" s="413">
        <f>'I-Project Contingency'!$E$69-AW111</f>
        <v>0</v>
      </c>
      <c r="BA111" s="413">
        <f>'I-Project Contingency'!$E$70-AX111</f>
        <v>0</v>
      </c>
      <c r="BB111" s="414">
        <f>'I-Project Contingency'!$O$5-AG111</f>
        <v>0</v>
      </c>
      <c r="BC111" s="415">
        <v>1.78464631257918</v>
      </c>
      <c r="BD111" s="415">
        <v>4.4807515628171739</v>
      </c>
      <c r="BE111" s="416">
        <v>5.8619163793628264</v>
      </c>
      <c r="BF111" s="415">
        <f>'I-Project Contingency'!$E$81-BC111</f>
        <v>0</v>
      </c>
      <c r="BG111" s="415">
        <f>'I-Project Contingency'!$E$84-BD111</f>
        <v>0</v>
      </c>
      <c r="BH111" s="415">
        <f>'I-Project Contingency'!$E$85-BE111</f>
        <v>0</v>
      </c>
      <c r="BI111" s="417" t="str">
        <f>IF(BK111="N/A","N/A",IF('D-Project Data'!$C$6=50%,ABS(BK111),IF('D-Project Data'!$C$6=80%,ABS(BL111),IF('D-Project Data'!$C$6=90%,ABS(BM111)))))</f>
        <v>N/A</v>
      </c>
      <c r="BJ111" s="418" t="str">
        <f>IF(BI111="N/A","N/A",RANK(BI111,$BI$18:$BI$117,0)+COUNTIF($BI$18:BI111,BI111)-1)</f>
        <v>N/A</v>
      </c>
      <c r="BK111" s="417" t="str">
        <f>IF(AY111/SUM(AY:AY)*'I-Project Contingency'!$F$66=0,"N/A",AY111/SUM(AY:AY)*'I-Project Contingency'!$F$66)</f>
        <v>N/A</v>
      </c>
      <c r="BL111" s="417" t="str">
        <f>IF(AZ111/SUM(AZ:AZ)*'I-Project Contingency'!$F$69=0,"N/A",AZ111/SUM(AZ:AZ)*'I-Project Contingency'!$F$69)</f>
        <v>N/A</v>
      </c>
      <c r="BM111" s="417" t="str">
        <f>IF(BA111/SUM(BA:BA)*'I-Project Contingency'!$F$70=0,"N/A",BA111/SUM(BA:BA)*'I-Project Contingency'!$F$70)</f>
        <v>N/A</v>
      </c>
      <c r="BN111" s="416" t="str">
        <f>IF(BP111="N/A","N/A",IF('D-Project Data'!$C$6=50%,ABS(BP111),IF('D-Project Data'!$C$6=80%,ABS(BQ111),IF('D-Project Data'!$C$6=90%,ABS(BR111)))))</f>
        <v>N/A</v>
      </c>
      <c r="BO111" s="418" t="str">
        <f>IF(BN111="N/A","N/A",RANK(BN111,$BN$18:$BN$117,0)+COUNTIF($BN$18:BN111,BN111)-1)</f>
        <v>N/A</v>
      </c>
      <c r="BP111" s="416" t="str">
        <f>IF(BF111/SUM(BF:BF)*'I-Project Contingency'!$F$81=0,"N/A",BF111/SUM(BF:BF)*'I-Project Contingency'!$F$81)</f>
        <v>N/A</v>
      </c>
      <c r="BQ111" s="416" t="str">
        <f>IF(BG111/SUM(BG:BG)*'I-Project Contingency'!$F$84=0,"N/A",BG111/SUM(BG:BG)*'I-Project Contingency'!$F$84)</f>
        <v>N/A</v>
      </c>
      <c r="BR111" s="416" t="str">
        <f>IF(BH111/SUM(BH:BH)*'I-Project Contingency'!$F$85=0,"N/A",BH111/SUM(BH:BH)*'I-Project Contingency'!$F$85)</f>
        <v>N/A</v>
      </c>
      <c r="BS111" s="418">
        <f t="shared" si="50"/>
        <v>94</v>
      </c>
      <c r="BT111" s="419" t="str">
        <f t="shared" si="51"/>
        <v xml:space="preserve">94 -  </v>
      </c>
      <c r="BU111" s="413">
        <f t="shared" si="52"/>
        <v>0</v>
      </c>
      <c r="BV111" s="413">
        <f t="shared" si="53"/>
        <v>0</v>
      </c>
      <c r="BW111" s="415">
        <f t="shared" si="54"/>
        <v>0</v>
      </c>
      <c r="BX111" s="415">
        <f t="shared" si="55"/>
        <v>0</v>
      </c>
    </row>
    <row r="112" spans="1:76" ht="43.2" x14ac:dyDescent="0.3">
      <c r="A112" s="193">
        <f t="shared" si="22"/>
        <v>95</v>
      </c>
      <c r="B112" s="194" t="s">
        <v>747</v>
      </c>
      <c r="C112" s="204" t="s">
        <v>665</v>
      </c>
      <c r="D112" s="205" t="s">
        <v>665</v>
      </c>
      <c r="E112" s="195" t="s">
        <v>665</v>
      </c>
      <c r="F112" s="196" t="s">
        <v>716</v>
      </c>
      <c r="G112" s="196" t="s">
        <v>730</v>
      </c>
      <c r="H112" s="187" t="str">
        <f>IF('H-Risk Register-Model'!F112="Certain","Relook at Basis of Estimate",INDEX('G-Assumptions'!$F$8:$J$11,MATCH(F112,'G-Assumptions'!$D$8:$D$11,0),MATCH(G112,'G-Assumptions'!$F$6:$J$6,0)))</f>
        <v>Relook at Basis of Estimate</v>
      </c>
      <c r="I112" s="197" t="s">
        <v>730</v>
      </c>
      <c r="J112" s="187" t="str">
        <f>IF('H-Risk Register-Model'!F112="Certain","Relook at Basis of Estimate",INDEX('G-Assumptions'!$F$8:$J$11,MATCH(F112,'G-Assumptions'!$D$8:$D$11,0),MATCH(I112,'G-Assumptions'!$F$6:$J$6,0)))</f>
        <v>Relook at Basis of Estimate</v>
      </c>
      <c r="K112" s="197" t="s">
        <v>747</v>
      </c>
      <c r="L112" s="197" t="s">
        <v>747</v>
      </c>
      <c r="M112" s="197"/>
      <c r="N112" s="384" t="s">
        <v>747</v>
      </c>
      <c r="O112" s="384" t="s">
        <v>747</v>
      </c>
      <c r="P112" s="198"/>
      <c r="Q112" s="198"/>
      <c r="R112" s="198"/>
      <c r="S112" s="199"/>
      <c r="T112" s="199"/>
      <c r="U112" s="199"/>
      <c r="V112" s="206"/>
      <c r="W112" s="198"/>
      <c r="X112" s="198"/>
      <c r="Y112" s="200">
        <v>1</v>
      </c>
      <c r="Z112" s="201">
        <v>1</v>
      </c>
      <c r="AA112" s="202">
        <f t="shared" si="42"/>
        <v>0</v>
      </c>
      <c r="AB112" s="202">
        <f t="shared" si="43"/>
        <v>0</v>
      </c>
      <c r="AC112" s="202">
        <f t="shared" si="44"/>
        <v>0</v>
      </c>
      <c r="AD112" s="202"/>
      <c r="AE112" s="198">
        <f t="shared" si="45"/>
        <v>0</v>
      </c>
      <c r="AF112" s="203"/>
      <c r="AG112" s="199">
        <f t="shared" si="46"/>
        <v>0</v>
      </c>
      <c r="AH112" s="195"/>
      <c r="AI112" s="195"/>
      <c r="AJ112" s="8"/>
      <c r="AK112" s="616" t="str">
        <f t="shared" si="47"/>
        <v>No</v>
      </c>
      <c r="AL112" s="617">
        <f>'I-Project Contingency'!$I$4</f>
        <v>28979098.489999998</v>
      </c>
      <c r="AM112" s="399">
        <f>'I-Project Contingency'!$I$11</f>
        <v>64.971830985915489</v>
      </c>
      <c r="AN112" s="398">
        <f t="shared" si="56"/>
        <v>0</v>
      </c>
      <c r="AO112" s="399">
        <f t="shared" si="57"/>
        <v>0</v>
      </c>
      <c r="AP112" s="1110" t="str">
        <f t="shared" si="58"/>
        <v>Negligible</v>
      </c>
      <c r="AQ112" s="1110" t="str">
        <f t="shared" si="59"/>
        <v>Negligible</v>
      </c>
      <c r="AR112" s="618" t="str">
        <f t="shared" si="48"/>
        <v/>
      </c>
      <c r="AS112" s="618" t="str">
        <f t="shared" si="49"/>
        <v/>
      </c>
      <c r="AT112" s="8"/>
      <c r="AU112" s="412">
        <f>'I-Project Contingency'!$O$4-AE112</f>
        <v>0</v>
      </c>
      <c r="AV112" s="413">
        <v>3099768.1860032952</v>
      </c>
      <c r="AW112" s="413">
        <v>8430883.7862095013</v>
      </c>
      <c r="AX112" s="413">
        <v>11173736.674482957</v>
      </c>
      <c r="AY112" s="413">
        <f>'I-Project Contingency'!$E$66-AV112</f>
        <v>0</v>
      </c>
      <c r="AZ112" s="413">
        <f>'I-Project Contingency'!$E$69-AW112</f>
        <v>0</v>
      </c>
      <c r="BA112" s="413">
        <f>'I-Project Contingency'!$E$70-AX112</f>
        <v>0</v>
      </c>
      <c r="BB112" s="414">
        <f>'I-Project Contingency'!$O$5-AG112</f>
        <v>0</v>
      </c>
      <c r="BC112" s="415">
        <v>1.78464631257918</v>
      </c>
      <c r="BD112" s="415">
        <v>4.4807515628171739</v>
      </c>
      <c r="BE112" s="416">
        <v>5.8619163793628264</v>
      </c>
      <c r="BF112" s="415">
        <f>'I-Project Contingency'!$E$81-BC112</f>
        <v>0</v>
      </c>
      <c r="BG112" s="415">
        <f>'I-Project Contingency'!$E$84-BD112</f>
        <v>0</v>
      </c>
      <c r="BH112" s="415">
        <f>'I-Project Contingency'!$E$85-BE112</f>
        <v>0</v>
      </c>
      <c r="BI112" s="417" t="str">
        <f>IF(BK112="N/A","N/A",IF('D-Project Data'!$C$6=50%,ABS(BK112),IF('D-Project Data'!$C$6=80%,ABS(BL112),IF('D-Project Data'!$C$6=90%,ABS(BM112)))))</f>
        <v>N/A</v>
      </c>
      <c r="BJ112" s="418" t="str">
        <f>IF(BI112="N/A","N/A",RANK(BI112,$BI$18:$BI$117,0)+COUNTIF($BI$18:BI112,BI112)-1)</f>
        <v>N/A</v>
      </c>
      <c r="BK112" s="417" t="str">
        <f>IF(AY112/SUM(AY:AY)*'I-Project Contingency'!$F$66=0,"N/A",AY112/SUM(AY:AY)*'I-Project Contingency'!$F$66)</f>
        <v>N/A</v>
      </c>
      <c r="BL112" s="417" t="str">
        <f>IF(AZ112/SUM(AZ:AZ)*'I-Project Contingency'!$F$69=0,"N/A",AZ112/SUM(AZ:AZ)*'I-Project Contingency'!$F$69)</f>
        <v>N/A</v>
      </c>
      <c r="BM112" s="417" t="str">
        <f>IF(BA112/SUM(BA:BA)*'I-Project Contingency'!$F$70=0,"N/A",BA112/SUM(BA:BA)*'I-Project Contingency'!$F$70)</f>
        <v>N/A</v>
      </c>
      <c r="BN112" s="416" t="str">
        <f>IF(BP112="N/A","N/A",IF('D-Project Data'!$C$6=50%,ABS(BP112),IF('D-Project Data'!$C$6=80%,ABS(BQ112),IF('D-Project Data'!$C$6=90%,ABS(BR112)))))</f>
        <v>N/A</v>
      </c>
      <c r="BO112" s="418" t="str">
        <f>IF(BN112="N/A","N/A",RANK(BN112,$BN$18:$BN$117,0)+COUNTIF($BN$18:BN112,BN112)-1)</f>
        <v>N/A</v>
      </c>
      <c r="BP112" s="416" t="str">
        <f>IF(BF112/SUM(BF:BF)*'I-Project Contingency'!$F$81=0,"N/A",BF112/SUM(BF:BF)*'I-Project Contingency'!$F$81)</f>
        <v>N/A</v>
      </c>
      <c r="BQ112" s="416" t="str">
        <f>IF(BG112/SUM(BG:BG)*'I-Project Contingency'!$F$84=0,"N/A",BG112/SUM(BG:BG)*'I-Project Contingency'!$F$84)</f>
        <v>N/A</v>
      </c>
      <c r="BR112" s="416" t="str">
        <f>IF(BH112/SUM(BH:BH)*'I-Project Contingency'!$F$85=0,"N/A",BH112/SUM(BH:BH)*'I-Project Contingency'!$F$85)</f>
        <v>N/A</v>
      </c>
      <c r="BS112" s="418">
        <f t="shared" si="50"/>
        <v>95</v>
      </c>
      <c r="BT112" s="419" t="str">
        <f t="shared" si="51"/>
        <v xml:space="preserve">95 -  </v>
      </c>
      <c r="BU112" s="413">
        <f t="shared" si="52"/>
        <v>0</v>
      </c>
      <c r="BV112" s="413">
        <f t="shared" si="53"/>
        <v>0</v>
      </c>
      <c r="BW112" s="415">
        <f t="shared" si="54"/>
        <v>0</v>
      </c>
      <c r="BX112" s="415">
        <f t="shared" si="55"/>
        <v>0</v>
      </c>
    </row>
    <row r="113" spans="1:76" ht="43.2" x14ac:dyDescent="0.3">
      <c r="A113" s="193">
        <f t="shared" si="22"/>
        <v>96</v>
      </c>
      <c r="B113" s="194" t="s">
        <v>747</v>
      </c>
      <c r="C113" s="204" t="s">
        <v>665</v>
      </c>
      <c r="D113" s="205" t="s">
        <v>665</v>
      </c>
      <c r="E113" s="195" t="s">
        <v>665</v>
      </c>
      <c r="F113" s="196" t="s">
        <v>716</v>
      </c>
      <c r="G113" s="196" t="s">
        <v>730</v>
      </c>
      <c r="H113" s="187" t="str">
        <f>IF('H-Risk Register-Model'!F113="Certain","Relook at Basis of Estimate",INDEX('G-Assumptions'!$F$8:$J$11,MATCH(F113,'G-Assumptions'!$D$8:$D$11,0),MATCH(G113,'G-Assumptions'!$F$6:$J$6,0)))</f>
        <v>Relook at Basis of Estimate</v>
      </c>
      <c r="I113" s="197" t="s">
        <v>730</v>
      </c>
      <c r="J113" s="187" t="str">
        <f>IF('H-Risk Register-Model'!F113="Certain","Relook at Basis of Estimate",INDEX('G-Assumptions'!$F$8:$J$11,MATCH(F113,'G-Assumptions'!$D$8:$D$11,0),MATCH(I113,'G-Assumptions'!$F$6:$J$6,0)))</f>
        <v>Relook at Basis of Estimate</v>
      </c>
      <c r="K113" s="197" t="s">
        <v>747</v>
      </c>
      <c r="L113" s="197" t="s">
        <v>747</v>
      </c>
      <c r="M113" s="197"/>
      <c r="N113" s="384" t="s">
        <v>747</v>
      </c>
      <c r="O113" s="384" t="s">
        <v>747</v>
      </c>
      <c r="P113" s="198"/>
      <c r="Q113" s="198"/>
      <c r="R113" s="198"/>
      <c r="S113" s="199"/>
      <c r="T113" s="199"/>
      <c r="U113" s="199"/>
      <c r="V113" s="206"/>
      <c r="W113" s="198"/>
      <c r="X113" s="198"/>
      <c r="Y113" s="200">
        <v>1</v>
      </c>
      <c r="Z113" s="201">
        <v>1</v>
      </c>
      <c r="AA113" s="202">
        <f t="shared" si="42"/>
        <v>0</v>
      </c>
      <c r="AB113" s="202">
        <f t="shared" si="43"/>
        <v>0</v>
      </c>
      <c r="AC113" s="202">
        <f t="shared" si="44"/>
        <v>0</v>
      </c>
      <c r="AD113" s="202"/>
      <c r="AE113" s="198">
        <f t="shared" si="45"/>
        <v>0</v>
      </c>
      <c r="AF113" s="203"/>
      <c r="AG113" s="199">
        <f t="shared" si="46"/>
        <v>0</v>
      </c>
      <c r="AH113" s="195"/>
      <c r="AI113" s="195"/>
      <c r="AJ113" s="8"/>
      <c r="AK113" s="616" t="str">
        <f t="shared" si="47"/>
        <v>No</v>
      </c>
      <c r="AL113" s="617">
        <f>'I-Project Contingency'!$I$4</f>
        <v>28979098.489999998</v>
      </c>
      <c r="AM113" s="399">
        <f>'I-Project Contingency'!$I$11</f>
        <v>64.971830985915489</v>
      </c>
      <c r="AN113" s="398">
        <f t="shared" si="56"/>
        <v>0</v>
      </c>
      <c r="AO113" s="399">
        <f t="shared" si="57"/>
        <v>0</v>
      </c>
      <c r="AP113" s="1110" t="str">
        <f t="shared" si="58"/>
        <v>Negligible</v>
      </c>
      <c r="AQ113" s="1110" t="str">
        <f t="shared" si="59"/>
        <v>Negligible</v>
      </c>
      <c r="AR113" s="618" t="str">
        <f t="shared" si="48"/>
        <v/>
      </c>
      <c r="AS113" s="618" t="str">
        <f t="shared" si="49"/>
        <v/>
      </c>
      <c r="AT113" s="8"/>
      <c r="AU113" s="412">
        <f>'I-Project Contingency'!$O$4-AE113</f>
        <v>0</v>
      </c>
      <c r="AV113" s="413">
        <v>3099768.1860032952</v>
      </c>
      <c r="AW113" s="413">
        <v>8430883.7862095013</v>
      </c>
      <c r="AX113" s="413">
        <v>11173736.674482957</v>
      </c>
      <c r="AY113" s="413">
        <f>'I-Project Contingency'!$E$66-AV113</f>
        <v>0</v>
      </c>
      <c r="AZ113" s="413">
        <f>'I-Project Contingency'!$E$69-AW113</f>
        <v>0</v>
      </c>
      <c r="BA113" s="413">
        <f>'I-Project Contingency'!$E$70-AX113</f>
        <v>0</v>
      </c>
      <c r="BB113" s="414">
        <f>'I-Project Contingency'!$O$5-AG113</f>
        <v>0</v>
      </c>
      <c r="BC113" s="415">
        <v>1.78464631257918</v>
      </c>
      <c r="BD113" s="415">
        <v>4.4807515628171739</v>
      </c>
      <c r="BE113" s="416">
        <v>5.8619163793628264</v>
      </c>
      <c r="BF113" s="415">
        <f>'I-Project Contingency'!$E$81-BC113</f>
        <v>0</v>
      </c>
      <c r="BG113" s="415">
        <f>'I-Project Contingency'!$E$84-BD113</f>
        <v>0</v>
      </c>
      <c r="BH113" s="415">
        <f>'I-Project Contingency'!$E$85-BE113</f>
        <v>0</v>
      </c>
      <c r="BI113" s="417" t="str">
        <f>IF(BK113="N/A","N/A",IF('D-Project Data'!$C$6=50%,ABS(BK113),IF('D-Project Data'!$C$6=80%,ABS(BL113),IF('D-Project Data'!$C$6=90%,ABS(BM113)))))</f>
        <v>N/A</v>
      </c>
      <c r="BJ113" s="418" t="str">
        <f>IF(BI113="N/A","N/A",RANK(BI113,$BI$18:$BI$117,0)+COUNTIF($BI$18:BI113,BI113)-1)</f>
        <v>N/A</v>
      </c>
      <c r="BK113" s="417" t="str">
        <f>IF(AY113/SUM(AY:AY)*'I-Project Contingency'!$F$66=0,"N/A",AY113/SUM(AY:AY)*'I-Project Contingency'!$F$66)</f>
        <v>N/A</v>
      </c>
      <c r="BL113" s="417" t="str">
        <f>IF(AZ113/SUM(AZ:AZ)*'I-Project Contingency'!$F$69=0,"N/A",AZ113/SUM(AZ:AZ)*'I-Project Contingency'!$F$69)</f>
        <v>N/A</v>
      </c>
      <c r="BM113" s="417" t="str">
        <f>IF(BA113/SUM(BA:BA)*'I-Project Contingency'!$F$70=0,"N/A",BA113/SUM(BA:BA)*'I-Project Contingency'!$F$70)</f>
        <v>N/A</v>
      </c>
      <c r="BN113" s="416" t="str">
        <f>IF(BP113="N/A","N/A",IF('D-Project Data'!$C$6=50%,ABS(BP113),IF('D-Project Data'!$C$6=80%,ABS(BQ113),IF('D-Project Data'!$C$6=90%,ABS(BR113)))))</f>
        <v>N/A</v>
      </c>
      <c r="BO113" s="418" t="str">
        <f>IF(BN113="N/A","N/A",RANK(BN113,$BN$18:$BN$117,0)+COUNTIF($BN$18:BN113,BN113)-1)</f>
        <v>N/A</v>
      </c>
      <c r="BP113" s="416" t="str">
        <f>IF(BF113/SUM(BF:BF)*'I-Project Contingency'!$F$81=0,"N/A",BF113/SUM(BF:BF)*'I-Project Contingency'!$F$81)</f>
        <v>N/A</v>
      </c>
      <c r="BQ113" s="416" t="str">
        <f>IF(BG113/SUM(BG:BG)*'I-Project Contingency'!$F$84=0,"N/A",BG113/SUM(BG:BG)*'I-Project Contingency'!$F$84)</f>
        <v>N/A</v>
      </c>
      <c r="BR113" s="416" t="str">
        <f>IF(BH113/SUM(BH:BH)*'I-Project Contingency'!$F$85=0,"N/A",BH113/SUM(BH:BH)*'I-Project Contingency'!$F$85)</f>
        <v>N/A</v>
      </c>
      <c r="BS113" s="418">
        <f t="shared" si="50"/>
        <v>96</v>
      </c>
      <c r="BT113" s="419" t="str">
        <f t="shared" si="51"/>
        <v xml:space="preserve">96 -  </v>
      </c>
      <c r="BU113" s="413">
        <f t="shared" si="52"/>
        <v>0</v>
      </c>
      <c r="BV113" s="413">
        <f t="shared" si="53"/>
        <v>0</v>
      </c>
      <c r="BW113" s="415">
        <f t="shared" si="54"/>
        <v>0</v>
      </c>
      <c r="BX113" s="415">
        <f t="shared" si="55"/>
        <v>0</v>
      </c>
    </row>
    <row r="114" spans="1:76" ht="43.2" x14ac:dyDescent="0.3">
      <c r="A114" s="193">
        <f t="shared" si="22"/>
        <v>97</v>
      </c>
      <c r="B114" s="194" t="s">
        <v>747</v>
      </c>
      <c r="C114" s="204" t="s">
        <v>665</v>
      </c>
      <c r="D114" s="205" t="s">
        <v>665</v>
      </c>
      <c r="E114" s="195" t="s">
        <v>665</v>
      </c>
      <c r="F114" s="196" t="s">
        <v>716</v>
      </c>
      <c r="G114" s="196" t="s">
        <v>730</v>
      </c>
      <c r="H114" s="187" t="str">
        <f>IF('H-Risk Register-Model'!F114="Certain","Relook at Basis of Estimate",INDEX('G-Assumptions'!$F$8:$J$11,MATCH(F114,'G-Assumptions'!$D$8:$D$11,0),MATCH(G114,'G-Assumptions'!$F$6:$J$6,0)))</f>
        <v>Relook at Basis of Estimate</v>
      </c>
      <c r="I114" s="197" t="s">
        <v>730</v>
      </c>
      <c r="J114" s="187" t="str">
        <f>IF('H-Risk Register-Model'!F114="Certain","Relook at Basis of Estimate",INDEX('G-Assumptions'!$F$8:$J$11,MATCH(F114,'G-Assumptions'!$D$8:$D$11,0),MATCH(I114,'G-Assumptions'!$F$6:$J$6,0)))</f>
        <v>Relook at Basis of Estimate</v>
      </c>
      <c r="K114" s="197" t="s">
        <v>747</v>
      </c>
      <c r="L114" s="197" t="s">
        <v>747</v>
      </c>
      <c r="M114" s="197"/>
      <c r="N114" s="384" t="s">
        <v>747</v>
      </c>
      <c r="O114" s="384" t="s">
        <v>747</v>
      </c>
      <c r="P114" s="198"/>
      <c r="Q114" s="198"/>
      <c r="R114" s="198"/>
      <c r="S114" s="199"/>
      <c r="T114" s="199"/>
      <c r="U114" s="199"/>
      <c r="V114" s="206"/>
      <c r="W114" s="198"/>
      <c r="X114" s="198"/>
      <c r="Y114" s="200">
        <v>1</v>
      </c>
      <c r="Z114" s="201">
        <v>1</v>
      </c>
      <c r="AA114" s="202">
        <f t="shared" si="42"/>
        <v>0</v>
      </c>
      <c r="AB114" s="202">
        <f t="shared" si="43"/>
        <v>0</v>
      </c>
      <c r="AC114" s="202">
        <f t="shared" si="44"/>
        <v>0</v>
      </c>
      <c r="AD114" s="202"/>
      <c r="AE114" s="198">
        <f t="shared" si="45"/>
        <v>0</v>
      </c>
      <c r="AF114" s="203"/>
      <c r="AG114" s="199">
        <f t="shared" si="46"/>
        <v>0</v>
      </c>
      <c r="AH114" s="195"/>
      <c r="AI114" s="195"/>
      <c r="AJ114" s="8"/>
      <c r="AK114" s="616" t="str">
        <f t="shared" si="47"/>
        <v>No</v>
      </c>
      <c r="AL114" s="617">
        <f>'I-Project Contingency'!$I$4</f>
        <v>28979098.489999998</v>
      </c>
      <c r="AM114" s="399">
        <f>'I-Project Contingency'!$I$11</f>
        <v>64.971830985915489</v>
      </c>
      <c r="AN114" s="398">
        <f t="shared" si="56"/>
        <v>0</v>
      </c>
      <c r="AO114" s="399">
        <f t="shared" si="57"/>
        <v>0</v>
      </c>
      <c r="AP114" s="1110" t="str">
        <f t="shared" si="58"/>
        <v>Negligible</v>
      </c>
      <c r="AQ114" s="1110" t="str">
        <f t="shared" si="59"/>
        <v>Negligible</v>
      </c>
      <c r="AR114" s="618" t="str">
        <f t="shared" si="48"/>
        <v/>
      </c>
      <c r="AS114" s="618" t="str">
        <f t="shared" si="49"/>
        <v/>
      </c>
      <c r="AT114" s="8"/>
      <c r="AU114" s="412">
        <f>'I-Project Contingency'!$O$4-AE114</f>
        <v>0</v>
      </c>
      <c r="AV114" s="413">
        <v>3099768.1860032952</v>
      </c>
      <c r="AW114" s="413">
        <v>8430883.7862095013</v>
      </c>
      <c r="AX114" s="413">
        <v>11173736.674482957</v>
      </c>
      <c r="AY114" s="413">
        <f>'I-Project Contingency'!$E$66-AV114</f>
        <v>0</v>
      </c>
      <c r="AZ114" s="413">
        <f>'I-Project Contingency'!$E$69-AW114</f>
        <v>0</v>
      </c>
      <c r="BA114" s="413">
        <f>'I-Project Contingency'!$E$70-AX114</f>
        <v>0</v>
      </c>
      <c r="BB114" s="414">
        <f>'I-Project Contingency'!$O$5-AG114</f>
        <v>0</v>
      </c>
      <c r="BC114" s="415">
        <v>1.78464631257918</v>
      </c>
      <c r="BD114" s="415">
        <v>4.4807515628171739</v>
      </c>
      <c r="BE114" s="416">
        <v>5.8619163793628264</v>
      </c>
      <c r="BF114" s="415">
        <f>'I-Project Contingency'!$E$81-BC114</f>
        <v>0</v>
      </c>
      <c r="BG114" s="415">
        <f>'I-Project Contingency'!$E$84-BD114</f>
        <v>0</v>
      </c>
      <c r="BH114" s="415">
        <f>'I-Project Contingency'!$E$85-BE114</f>
        <v>0</v>
      </c>
      <c r="BI114" s="417" t="str">
        <f>IF(BK114="N/A","N/A",IF('D-Project Data'!$C$6=50%,ABS(BK114),IF('D-Project Data'!$C$6=80%,ABS(BL114),IF('D-Project Data'!$C$6=90%,ABS(BM114)))))</f>
        <v>N/A</v>
      </c>
      <c r="BJ114" s="418" t="str">
        <f>IF(BI114="N/A","N/A",RANK(BI114,$BI$18:$BI$117,0)+COUNTIF($BI$18:BI114,BI114)-1)</f>
        <v>N/A</v>
      </c>
      <c r="BK114" s="417" t="str">
        <f>IF(AY114/SUM(AY:AY)*'I-Project Contingency'!$F$66=0,"N/A",AY114/SUM(AY:AY)*'I-Project Contingency'!$F$66)</f>
        <v>N/A</v>
      </c>
      <c r="BL114" s="417" t="str">
        <f>IF(AZ114/SUM(AZ:AZ)*'I-Project Contingency'!$F$69=0,"N/A",AZ114/SUM(AZ:AZ)*'I-Project Contingency'!$F$69)</f>
        <v>N/A</v>
      </c>
      <c r="BM114" s="417" t="str">
        <f>IF(BA114/SUM(BA:BA)*'I-Project Contingency'!$F$70=0,"N/A",BA114/SUM(BA:BA)*'I-Project Contingency'!$F$70)</f>
        <v>N/A</v>
      </c>
      <c r="BN114" s="416" t="str">
        <f>IF(BP114="N/A","N/A",IF('D-Project Data'!$C$6=50%,ABS(BP114),IF('D-Project Data'!$C$6=80%,ABS(BQ114),IF('D-Project Data'!$C$6=90%,ABS(BR114)))))</f>
        <v>N/A</v>
      </c>
      <c r="BO114" s="418" t="str">
        <f>IF(BN114="N/A","N/A",RANK(BN114,$BN$18:$BN$117,0)+COUNTIF($BN$18:BN114,BN114)-1)</f>
        <v>N/A</v>
      </c>
      <c r="BP114" s="416" t="str">
        <f>IF(BF114/SUM(BF:BF)*'I-Project Contingency'!$F$81=0,"N/A",BF114/SUM(BF:BF)*'I-Project Contingency'!$F$81)</f>
        <v>N/A</v>
      </c>
      <c r="BQ114" s="416" t="str">
        <f>IF(BG114/SUM(BG:BG)*'I-Project Contingency'!$F$84=0,"N/A",BG114/SUM(BG:BG)*'I-Project Contingency'!$F$84)</f>
        <v>N/A</v>
      </c>
      <c r="BR114" s="416" t="str">
        <f>IF(BH114/SUM(BH:BH)*'I-Project Contingency'!$F$85=0,"N/A",BH114/SUM(BH:BH)*'I-Project Contingency'!$F$85)</f>
        <v>N/A</v>
      </c>
      <c r="BS114" s="418">
        <f t="shared" si="50"/>
        <v>97</v>
      </c>
      <c r="BT114" s="419" t="str">
        <f t="shared" si="51"/>
        <v xml:space="preserve">97 -  </v>
      </c>
      <c r="BU114" s="413">
        <f t="shared" si="52"/>
        <v>0</v>
      </c>
      <c r="BV114" s="413">
        <f t="shared" si="53"/>
        <v>0</v>
      </c>
      <c r="BW114" s="415">
        <f t="shared" si="54"/>
        <v>0</v>
      </c>
      <c r="BX114" s="415">
        <f t="shared" si="55"/>
        <v>0</v>
      </c>
    </row>
    <row r="115" spans="1:76" ht="43.2" x14ac:dyDescent="0.3">
      <c r="A115" s="193">
        <f t="shared" si="22"/>
        <v>98</v>
      </c>
      <c r="B115" s="194" t="s">
        <v>747</v>
      </c>
      <c r="C115" s="204" t="s">
        <v>665</v>
      </c>
      <c r="D115" s="205" t="s">
        <v>665</v>
      </c>
      <c r="E115" s="195" t="s">
        <v>665</v>
      </c>
      <c r="F115" s="196" t="s">
        <v>716</v>
      </c>
      <c r="G115" s="196" t="s">
        <v>730</v>
      </c>
      <c r="H115" s="187" t="str">
        <f>IF('H-Risk Register-Model'!F115="Certain","Relook at Basis of Estimate",INDEX('G-Assumptions'!$F$8:$J$11,MATCH(F115,'G-Assumptions'!$D$8:$D$11,0),MATCH(G115,'G-Assumptions'!$F$6:$J$6,0)))</f>
        <v>Relook at Basis of Estimate</v>
      </c>
      <c r="I115" s="197" t="s">
        <v>730</v>
      </c>
      <c r="J115" s="187" t="str">
        <f>IF('H-Risk Register-Model'!F115="Certain","Relook at Basis of Estimate",INDEX('G-Assumptions'!$F$8:$J$11,MATCH(F115,'G-Assumptions'!$D$8:$D$11,0),MATCH(I115,'G-Assumptions'!$F$6:$J$6,0)))</f>
        <v>Relook at Basis of Estimate</v>
      </c>
      <c r="K115" s="197" t="s">
        <v>747</v>
      </c>
      <c r="L115" s="197" t="s">
        <v>747</v>
      </c>
      <c r="M115" s="197"/>
      <c r="N115" s="384" t="s">
        <v>747</v>
      </c>
      <c r="O115" s="384" t="s">
        <v>747</v>
      </c>
      <c r="P115" s="198"/>
      <c r="Q115" s="198"/>
      <c r="R115" s="198"/>
      <c r="S115" s="199"/>
      <c r="T115" s="199"/>
      <c r="U115" s="199"/>
      <c r="V115" s="206"/>
      <c r="W115" s="198"/>
      <c r="X115" s="198"/>
      <c r="Y115" s="200">
        <v>1</v>
      </c>
      <c r="Z115" s="201">
        <v>1</v>
      </c>
      <c r="AA115" s="202">
        <f t="shared" si="42"/>
        <v>0</v>
      </c>
      <c r="AB115" s="202">
        <f t="shared" si="43"/>
        <v>0</v>
      </c>
      <c r="AC115" s="202">
        <f t="shared" si="44"/>
        <v>0</v>
      </c>
      <c r="AD115" s="202"/>
      <c r="AE115" s="198">
        <f t="shared" si="45"/>
        <v>0</v>
      </c>
      <c r="AF115" s="203"/>
      <c r="AG115" s="199">
        <f t="shared" si="46"/>
        <v>0</v>
      </c>
      <c r="AH115" s="195"/>
      <c r="AI115" s="195"/>
      <c r="AJ115" s="8"/>
      <c r="AK115" s="616" t="str">
        <f t="shared" si="47"/>
        <v>No</v>
      </c>
      <c r="AL115" s="617">
        <f>'I-Project Contingency'!$I$4</f>
        <v>28979098.489999998</v>
      </c>
      <c r="AM115" s="399">
        <f>'I-Project Contingency'!$I$11</f>
        <v>64.971830985915489</v>
      </c>
      <c r="AN115" s="398">
        <f t="shared" si="56"/>
        <v>0</v>
      </c>
      <c r="AO115" s="399">
        <f t="shared" si="57"/>
        <v>0</v>
      </c>
      <c r="AP115" s="1110" t="str">
        <f t="shared" si="58"/>
        <v>Negligible</v>
      </c>
      <c r="AQ115" s="1110" t="str">
        <f t="shared" si="59"/>
        <v>Negligible</v>
      </c>
      <c r="AR115" s="618" t="str">
        <f t="shared" si="48"/>
        <v/>
      </c>
      <c r="AS115" s="618" t="str">
        <f t="shared" si="49"/>
        <v/>
      </c>
      <c r="AT115" s="8"/>
      <c r="AU115" s="412">
        <f>'I-Project Contingency'!$O$4-AE115</f>
        <v>0</v>
      </c>
      <c r="AV115" s="413">
        <v>3099768.1860032952</v>
      </c>
      <c r="AW115" s="413">
        <v>8430883.7862095013</v>
      </c>
      <c r="AX115" s="413">
        <v>11173736.674482957</v>
      </c>
      <c r="AY115" s="413">
        <f>'I-Project Contingency'!$E$66-AV115</f>
        <v>0</v>
      </c>
      <c r="AZ115" s="413">
        <f>'I-Project Contingency'!$E$69-AW115</f>
        <v>0</v>
      </c>
      <c r="BA115" s="413">
        <f>'I-Project Contingency'!$E$70-AX115</f>
        <v>0</v>
      </c>
      <c r="BB115" s="414">
        <f>'I-Project Contingency'!$O$5-AG115</f>
        <v>0</v>
      </c>
      <c r="BC115" s="415">
        <v>1.78464631257918</v>
      </c>
      <c r="BD115" s="415">
        <v>4.4807515628171739</v>
      </c>
      <c r="BE115" s="416">
        <v>5.8619163793628264</v>
      </c>
      <c r="BF115" s="415">
        <f>'I-Project Contingency'!$E$81-BC115</f>
        <v>0</v>
      </c>
      <c r="BG115" s="415">
        <f>'I-Project Contingency'!$E$84-BD115</f>
        <v>0</v>
      </c>
      <c r="BH115" s="415">
        <f>'I-Project Contingency'!$E$85-BE115</f>
        <v>0</v>
      </c>
      <c r="BI115" s="417" t="str">
        <f>IF(BK115="N/A","N/A",IF('D-Project Data'!$C$6=50%,ABS(BK115),IF('D-Project Data'!$C$6=80%,ABS(BL115),IF('D-Project Data'!$C$6=90%,ABS(BM115)))))</f>
        <v>N/A</v>
      </c>
      <c r="BJ115" s="418" t="str">
        <f>IF(BI115="N/A","N/A",RANK(BI115,$BI$18:$BI$117,0)+COUNTIF($BI$18:BI115,BI115)-1)</f>
        <v>N/A</v>
      </c>
      <c r="BK115" s="417" t="str">
        <f>IF(AY115/SUM(AY:AY)*'I-Project Contingency'!$F$66=0,"N/A",AY115/SUM(AY:AY)*'I-Project Contingency'!$F$66)</f>
        <v>N/A</v>
      </c>
      <c r="BL115" s="417" t="str">
        <f>IF(AZ115/SUM(AZ:AZ)*'I-Project Contingency'!$F$69=0,"N/A",AZ115/SUM(AZ:AZ)*'I-Project Contingency'!$F$69)</f>
        <v>N/A</v>
      </c>
      <c r="BM115" s="417" t="str">
        <f>IF(BA115/SUM(BA:BA)*'I-Project Contingency'!$F$70=0,"N/A",BA115/SUM(BA:BA)*'I-Project Contingency'!$F$70)</f>
        <v>N/A</v>
      </c>
      <c r="BN115" s="416" t="str">
        <f>IF(BP115="N/A","N/A",IF('D-Project Data'!$C$6=50%,ABS(BP115),IF('D-Project Data'!$C$6=80%,ABS(BQ115),IF('D-Project Data'!$C$6=90%,ABS(BR115)))))</f>
        <v>N/A</v>
      </c>
      <c r="BO115" s="418" t="str">
        <f>IF(BN115="N/A","N/A",RANK(BN115,$BN$18:$BN$117,0)+COUNTIF($BN$18:BN115,BN115)-1)</f>
        <v>N/A</v>
      </c>
      <c r="BP115" s="416" t="str">
        <f>IF(BF115/SUM(BF:BF)*'I-Project Contingency'!$F$81=0,"N/A",BF115/SUM(BF:BF)*'I-Project Contingency'!$F$81)</f>
        <v>N/A</v>
      </c>
      <c r="BQ115" s="416" t="str">
        <f>IF(BG115/SUM(BG:BG)*'I-Project Contingency'!$F$84=0,"N/A",BG115/SUM(BG:BG)*'I-Project Contingency'!$F$84)</f>
        <v>N/A</v>
      </c>
      <c r="BR115" s="416" t="str">
        <f>IF(BH115/SUM(BH:BH)*'I-Project Contingency'!$F$85=0,"N/A",BH115/SUM(BH:BH)*'I-Project Contingency'!$F$85)</f>
        <v>N/A</v>
      </c>
      <c r="BS115" s="418">
        <f t="shared" si="50"/>
        <v>98</v>
      </c>
      <c r="BT115" s="419" t="str">
        <f t="shared" si="51"/>
        <v xml:space="preserve">98 -  </v>
      </c>
      <c r="BU115" s="413">
        <f t="shared" si="52"/>
        <v>0</v>
      </c>
      <c r="BV115" s="413">
        <f t="shared" si="53"/>
        <v>0</v>
      </c>
      <c r="BW115" s="415">
        <f t="shared" si="54"/>
        <v>0</v>
      </c>
      <c r="BX115" s="415">
        <f t="shared" si="55"/>
        <v>0</v>
      </c>
    </row>
    <row r="116" spans="1:76" ht="43.2" x14ac:dyDescent="0.3">
      <c r="A116" s="193">
        <f t="shared" si="22"/>
        <v>99</v>
      </c>
      <c r="B116" s="194" t="s">
        <v>747</v>
      </c>
      <c r="C116" s="204" t="s">
        <v>665</v>
      </c>
      <c r="D116" s="205" t="s">
        <v>665</v>
      </c>
      <c r="E116" s="195" t="s">
        <v>665</v>
      </c>
      <c r="F116" s="196" t="s">
        <v>716</v>
      </c>
      <c r="G116" s="196" t="s">
        <v>730</v>
      </c>
      <c r="H116" s="187" t="str">
        <f>IF('H-Risk Register-Model'!F116="Certain","Relook at Basis of Estimate",INDEX('G-Assumptions'!$F$8:$J$11,MATCH(F116,'G-Assumptions'!$D$8:$D$11,0),MATCH(G116,'G-Assumptions'!$F$6:$J$6,0)))</f>
        <v>Relook at Basis of Estimate</v>
      </c>
      <c r="I116" s="197" t="s">
        <v>730</v>
      </c>
      <c r="J116" s="187" t="str">
        <f>IF('H-Risk Register-Model'!F116="Certain","Relook at Basis of Estimate",INDEX('G-Assumptions'!$F$8:$J$11,MATCH(F116,'G-Assumptions'!$D$8:$D$11,0),MATCH(I116,'G-Assumptions'!$F$6:$J$6,0)))</f>
        <v>Relook at Basis of Estimate</v>
      </c>
      <c r="K116" s="197" t="s">
        <v>747</v>
      </c>
      <c r="L116" s="197" t="s">
        <v>747</v>
      </c>
      <c r="M116" s="197"/>
      <c r="N116" s="384" t="s">
        <v>747</v>
      </c>
      <c r="O116" s="384" t="s">
        <v>747</v>
      </c>
      <c r="P116" s="198"/>
      <c r="Q116" s="198"/>
      <c r="R116" s="198"/>
      <c r="S116" s="199"/>
      <c r="T116" s="199"/>
      <c r="U116" s="199"/>
      <c r="V116" s="206"/>
      <c r="W116" s="198"/>
      <c r="X116" s="198"/>
      <c r="Y116" s="200">
        <v>1</v>
      </c>
      <c r="Z116" s="201">
        <v>1</v>
      </c>
      <c r="AA116" s="202">
        <f t="shared" si="42"/>
        <v>0</v>
      </c>
      <c r="AB116" s="202">
        <f t="shared" si="43"/>
        <v>0</v>
      </c>
      <c r="AC116" s="202">
        <f t="shared" si="44"/>
        <v>0</v>
      </c>
      <c r="AD116" s="202"/>
      <c r="AE116" s="198">
        <f t="shared" si="45"/>
        <v>0</v>
      </c>
      <c r="AF116" s="203"/>
      <c r="AG116" s="199">
        <f t="shared" si="46"/>
        <v>0</v>
      </c>
      <c r="AH116" s="195"/>
      <c r="AI116" s="195"/>
      <c r="AJ116" s="8"/>
      <c r="AK116" s="616" t="str">
        <f t="shared" si="47"/>
        <v>No</v>
      </c>
      <c r="AL116" s="617">
        <f>'I-Project Contingency'!$I$4</f>
        <v>28979098.489999998</v>
      </c>
      <c r="AM116" s="399">
        <f>'I-Project Contingency'!$I$11</f>
        <v>64.971830985915489</v>
      </c>
      <c r="AN116" s="398">
        <f t="shared" si="56"/>
        <v>0</v>
      </c>
      <c r="AO116" s="399">
        <f t="shared" si="57"/>
        <v>0</v>
      </c>
      <c r="AP116" s="1110" t="str">
        <f t="shared" si="58"/>
        <v>Negligible</v>
      </c>
      <c r="AQ116" s="1110" t="str">
        <f t="shared" si="59"/>
        <v>Negligible</v>
      </c>
      <c r="AR116" s="618" t="str">
        <f t="shared" si="48"/>
        <v/>
      </c>
      <c r="AS116" s="618" t="str">
        <f t="shared" si="49"/>
        <v/>
      </c>
      <c r="AT116" s="8"/>
      <c r="AU116" s="412">
        <f>'I-Project Contingency'!$O$4-AE116</f>
        <v>0</v>
      </c>
      <c r="AV116" s="413">
        <v>3099768.1860032952</v>
      </c>
      <c r="AW116" s="413">
        <v>8430883.7862095013</v>
      </c>
      <c r="AX116" s="413">
        <v>11173736.674482957</v>
      </c>
      <c r="AY116" s="413">
        <f>'I-Project Contingency'!$E$66-AV116</f>
        <v>0</v>
      </c>
      <c r="AZ116" s="413">
        <f>'I-Project Contingency'!$E$69-AW116</f>
        <v>0</v>
      </c>
      <c r="BA116" s="413">
        <f>'I-Project Contingency'!$E$70-AX116</f>
        <v>0</v>
      </c>
      <c r="BB116" s="414">
        <f>'I-Project Contingency'!$O$5-AG116</f>
        <v>0</v>
      </c>
      <c r="BC116" s="415">
        <v>1.78464631257918</v>
      </c>
      <c r="BD116" s="415">
        <v>4.4807515628171739</v>
      </c>
      <c r="BE116" s="416">
        <v>5.8619163793628264</v>
      </c>
      <c r="BF116" s="415">
        <f>'I-Project Contingency'!$E$81-BC116</f>
        <v>0</v>
      </c>
      <c r="BG116" s="415">
        <f>'I-Project Contingency'!$E$84-BD116</f>
        <v>0</v>
      </c>
      <c r="BH116" s="415">
        <f>'I-Project Contingency'!$E$85-BE116</f>
        <v>0</v>
      </c>
      <c r="BI116" s="417" t="str">
        <f>IF(BK116="N/A","N/A",IF('D-Project Data'!$C$6=50%,ABS(BK116),IF('D-Project Data'!$C$6=80%,ABS(BL116),IF('D-Project Data'!$C$6=90%,ABS(BM116)))))</f>
        <v>N/A</v>
      </c>
      <c r="BJ116" s="418" t="str">
        <f>IF(BI116="N/A","N/A",RANK(BI116,$BI$18:$BI$117,0)+COUNTIF($BI$18:BI116,BI116)-1)</f>
        <v>N/A</v>
      </c>
      <c r="BK116" s="417" t="str">
        <f>IF(AY116/SUM(AY:AY)*'I-Project Contingency'!$F$66=0,"N/A",AY116/SUM(AY:AY)*'I-Project Contingency'!$F$66)</f>
        <v>N/A</v>
      </c>
      <c r="BL116" s="417" t="str">
        <f>IF(AZ116/SUM(AZ:AZ)*'I-Project Contingency'!$F$69=0,"N/A",AZ116/SUM(AZ:AZ)*'I-Project Contingency'!$F$69)</f>
        <v>N/A</v>
      </c>
      <c r="BM116" s="417" t="str">
        <f>IF(BA116/SUM(BA:BA)*'I-Project Contingency'!$F$70=0,"N/A",BA116/SUM(BA:BA)*'I-Project Contingency'!$F$70)</f>
        <v>N/A</v>
      </c>
      <c r="BN116" s="416" t="str">
        <f>IF(BP116="N/A","N/A",IF('D-Project Data'!$C$6=50%,ABS(BP116),IF('D-Project Data'!$C$6=80%,ABS(BQ116),IF('D-Project Data'!$C$6=90%,ABS(BR116)))))</f>
        <v>N/A</v>
      </c>
      <c r="BO116" s="418" t="str">
        <f>IF(BN116="N/A","N/A",RANK(BN116,$BN$18:$BN$117,0)+COUNTIF($BN$18:BN116,BN116)-1)</f>
        <v>N/A</v>
      </c>
      <c r="BP116" s="416" t="str">
        <f>IF(BF116/SUM(BF:BF)*'I-Project Contingency'!$F$81=0,"N/A",BF116/SUM(BF:BF)*'I-Project Contingency'!$F$81)</f>
        <v>N/A</v>
      </c>
      <c r="BQ116" s="416" t="str">
        <f>IF(BG116/SUM(BG:BG)*'I-Project Contingency'!$F$84=0,"N/A",BG116/SUM(BG:BG)*'I-Project Contingency'!$F$84)</f>
        <v>N/A</v>
      </c>
      <c r="BR116" s="416" t="str">
        <f>IF(BH116/SUM(BH:BH)*'I-Project Contingency'!$F$85=0,"N/A",BH116/SUM(BH:BH)*'I-Project Contingency'!$F$85)</f>
        <v>N/A</v>
      </c>
      <c r="BS116" s="418">
        <f t="shared" si="50"/>
        <v>99</v>
      </c>
      <c r="BT116" s="419" t="str">
        <f t="shared" si="51"/>
        <v xml:space="preserve">99 -  </v>
      </c>
      <c r="BU116" s="413">
        <f t="shared" si="52"/>
        <v>0</v>
      </c>
      <c r="BV116" s="413">
        <f t="shared" si="53"/>
        <v>0</v>
      </c>
      <c r="BW116" s="415">
        <f t="shared" si="54"/>
        <v>0</v>
      </c>
      <c r="BX116" s="415">
        <f t="shared" si="55"/>
        <v>0</v>
      </c>
    </row>
    <row r="117" spans="1:76" ht="43.2" x14ac:dyDescent="0.3">
      <c r="A117" s="193">
        <f t="shared" si="22"/>
        <v>100</v>
      </c>
      <c r="B117" s="194" t="s">
        <v>747</v>
      </c>
      <c r="C117" s="204" t="s">
        <v>665</v>
      </c>
      <c r="D117" s="205" t="s">
        <v>665</v>
      </c>
      <c r="E117" s="195" t="s">
        <v>665</v>
      </c>
      <c r="F117" s="196" t="s">
        <v>716</v>
      </c>
      <c r="G117" s="196" t="s">
        <v>730</v>
      </c>
      <c r="H117" s="187" t="str">
        <f>IF('H-Risk Register-Model'!F117="Certain","Relook at Basis of Estimate",INDEX('G-Assumptions'!$F$8:$J$11,MATCH(F117,'G-Assumptions'!$D$8:$D$11,0),MATCH(G117,'G-Assumptions'!$F$6:$J$6,0)))</f>
        <v>Relook at Basis of Estimate</v>
      </c>
      <c r="I117" s="197" t="s">
        <v>730</v>
      </c>
      <c r="J117" s="187" t="str">
        <f>IF('H-Risk Register-Model'!F117="Certain","Relook at Basis of Estimate",INDEX('G-Assumptions'!$F$8:$J$11,MATCH(F117,'G-Assumptions'!$D$8:$D$11,0),MATCH(I117,'G-Assumptions'!$F$6:$J$6,0)))</f>
        <v>Relook at Basis of Estimate</v>
      </c>
      <c r="K117" s="197" t="s">
        <v>747</v>
      </c>
      <c r="L117" s="197" t="s">
        <v>747</v>
      </c>
      <c r="M117" s="197"/>
      <c r="N117" s="384" t="s">
        <v>747</v>
      </c>
      <c r="O117" s="384" t="s">
        <v>747</v>
      </c>
      <c r="P117" s="198"/>
      <c r="Q117" s="198"/>
      <c r="R117" s="198"/>
      <c r="S117" s="199"/>
      <c r="T117" s="199"/>
      <c r="U117" s="199"/>
      <c r="V117" s="206"/>
      <c r="W117" s="198"/>
      <c r="X117" s="198"/>
      <c r="Y117" s="200">
        <v>1</v>
      </c>
      <c r="Z117" s="201">
        <v>1</v>
      </c>
      <c r="AA117" s="202">
        <f t="shared" si="42"/>
        <v>0</v>
      </c>
      <c r="AB117" s="202">
        <f t="shared" si="43"/>
        <v>0</v>
      </c>
      <c r="AC117" s="202">
        <f t="shared" si="44"/>
        <v>0</v>
      </c>
      <c r="AD117" s="202"/>
      <c r="AE117" s="198">
        <f t="shared" si="45"/>
        <v>0</v>
      </c>
      <c r="AF117" s="203"/>
      <c r="AG117" s="199">
        <f t="shared" si="46"/>
        <v>0</v>
      </c>
      <c r="AH117" s="195"/>
      <c r="AI117" s="195"/>
      <c r="AJ117" s="8"/>
      <c r="AK117" s="616" t="str">
        <f t="shared" si="47"/>
        <v>No</v>
      </c>
      <c r="AL117" s="617">
        <f>'I-Project Contingency'!$I$4</f>
        <v>28979098.489999998</v>
      </c>
      <c r="AM117" s="399">
        <f>'I-Project Contingency'!$I$11</f>
        <v>64.971830985915489</v>
      </c>
      <c r="AN117" s="398">
        <f t="shared" si="56"/>
        <v>0</v>
      </c>
      <c r="AO117" s="399">
        <f t="shared" si="57"/>
        <v>0</v>
      </c>
      <c r="AP117" s="1110" t="str">
        <f t="shared" si="58"/>
        <v>Negligible</v>
      </c>
      <c r="AQ117" s="1110" t="str">
        <f t="shared" si="59"/>
        <v>Negligible</v>
      </c>
      <c r="AR117" s="618" t="str">
        <f t="shared" si="48"/>
        <v/>
      </c>
      <c r="AS117" s="618" t="str">
        <f t="shared" si="49"/>
        <v/>
      </c>
      <c r="AT117" s="8"/>
      <c r="AU117" s="412">
        <f>'I-Project Contingency'!$O$4-AE117</f>
        <v>0</v>
      </c>
      <c r="AV117" s="413">
        <v>3099768.1860032952</v>
      </c>
      <c r="AW117" s="413">
        <v>8430883.7862095013</v>
      </c>
      <c r="AX117" s="413">
        <v>11173736.674482957</v>
      </c>
      <c r="AY117" s="413">
        <f>'I-Project Contingency'!$E$66-AV117</f>
        <v>0</v>
      </c>
      <c r="AZ117" s="413">
        <f>'I-Project Contingency'!$E$69-AW117</f>
        <v>0</v>
      </c>
      <c r="BA117" s="413">
        <f>'I-Project Contingency'!$E$70-AX117</f>
        <v>0</v>
      </c>
      <c r="BB117" s="414">
        <f>'I-Project Contingency'!$O$5-AG117</f>
        <v>0</v>
      </c>
      <c r="BC117" s="415">
        <v>1.78464631257918</v>
      </c>
      <c r="BD117" s="415">
        <v>4.4807515628171739</v>
      </c>
      <c r="BE117" s="416">
        <v>5.8619163793628264</v>
      </c>
      <c r="BF117" s="415">
        <f>'I-Project Contingency'!$E$81-BC117</f>
        <v>0</v>
      </c>
      <c r="BG117" s="415">
        <f>'I-Project Contingency'!$E$84-BD117</f>
        <v>0</v>
      </c>
      <c r="BH117" s="415">
        <f>'I-Project Contingency'!$E$85-BE117</f>
        <v>0</v>
      </c>
      <c r="BI117" s="417" t="str">
        <f>IF(BK117="N/A","N/A",IF('D-Project Data'!$C$6=50%,ABS(BK117),IF('D-Project Data'!$C$6=80%,ABS(BL117),IF('D-Project Data'!$C$6=90%,ABS(BM117)))))</f>
        <v>N/A</v>
      </c>
      <c r="BJ117" s="418" t="str">
        <f>IF(BI117="N/A","N/A",RANK(BI117,$BI$18:$BI$117,0)+COUNTIF($BI$18:BI117,BI117)-1)</f>
        <v>N/A</v>
      </c>
      <c r="BK117" s="417" t="str">
        <f>IF(AY117/SUM(AY:AY)*'I-Project Contingency'!$F$66=0,"N/A",AY117/SUM(AY:AY)*'I-Project Contingency'!$F$66)</f>
        <v>N/A</v>
      </c>
      <c r="BL117" s="417" t="str">
        <f>IF(AZ117/SUM(AZ:AZ)*'I-Project Contingency'!$F$69=0,"N/A",AZ117/SUM(AZ:AZ)*'I-Project Contingency'!$F$69)</f>
        <v>N/A</v>
      </c>
      <c r="BM117" s="417" t="str">
        <f>IF(BA117/SUM(BA:BA)*'I-Project Contingency'!$F$70=0,"N/A",BA117/SUM(BA:BA)*'I-Project Contingency'!$F$70)</f>
        <v>N/A</v>
      </c>
      <c r="BN117" s="416" t="str">
        <f>IF(BP117="N/A","N/A",IF('D-Project Data'!$C$6=50%,ABS(BP117),IF('D-Project Data'!$C$6=80%,ABS(BQ117),IF('D-Project Data'!$C$6=90%,ABS(BR117)))))</f>
        <v>N/A</v>
      </c>
      <c r="BO117" s="418" t="str">
        <f>IF(BN117="N/A","N/A",RANK(BN117,$BN$18:$BN$117,0)+COUNTIF($BN$18:BN117,BN117)-1)</f>
        <v>N/A</v>
      </c>
      <c r="BP117" s="416" t="str">
        <f>IF(BF117/SUM(BF:BF)*'I-Project Contingency'!$F$81=0,"N/A",BF117/SUM(BF:BF)*'I-Project Contingency'!$F$81)</f>
        <v>N/A</v>
      </c>
      <c r="BQ117" s="416" t="str">
        <f>IF(BG117/SUM(BG:BG)*'I-Project Contingency'!$F$84=0,"N/A",BG117/SUM(BG:BG)*'I-Project Contingency'!$F$84)</f>
        <v>N/A</v>
      </c>
      <c r="BR117" s="416" t="str">
        <f>IF(BH117/SUM(BH:BH)*'I-Project Contingency'!$F$85=0,"N/A",BH117/SUM(BH:BH)*'I-Project Contingency'!$F$85)</f>
        <v>N/A</v>
      </c>
      <c r="BS117" s="418">
        <f t="shared" si="50"/>
        <v>100</v>
      </c>
      <c r="BT117" s="419" t="str">
        <f t="shared" si="51"/>
        <v xml:space="preserve">100 -  </v>
      </c>
      <c r="BU117" s="413">
        <f t="shared" si="52"/>
        <v>0</v>
      </c>
      <c r="BV117" s="413">
        <f t="shared" si="53"/>
        <v>0</v>
      </c>
      <c r="BW117" s="415">
        <f t="shared" si="54"/>
        <v>0</v>
      </c>
      <c r="BX117" s="415">
        <f t="shared" si="55"/>
        <v>0</v>
      </c>
    </row>
    <row r="118" spans="1:76" x14ac:dyDescent="0.3">
      <c r="A118"/>
      <c r="B118"/>
      <c r="C118"/>
      <c r="D118"/>
      <c r="E118"/>
      <c r="F118"/>
      <c r="G118"/>
      <c r="H118"/>
      <c r="I118"/>
      <c r="J118"/>
      <c r="K118"/>
      <c r="L118"/>
      <c r="M118"/>
      <c r="N118"/>
      <c r="O118"/>
      <c r="P118" s="207"/>
      <c r="Q118" s="207"/>
      <c r="R118" s="207"/>
      <c r="S118" s="208"/>
      <c r="T118" s="208"/>
      <c r="U118" s="208"/>
      <c r="V118" s="207"/>
      <c r="W118" s="207"/>
      <c r="X118" s="207"/>
      <c r="Y118" s="209"/>
      <c r="Z118" s="210"/>
      <c r="AA118" s="210"/>
      <c r="AB118" s="210"/>
      <c r="AC118" s="210"/>
      <c r="AD118" s="210"/>
      <c r="AE118" s="207"/>
      <c r="AF118" s="209"/>
      <c r="AG118" s="211"/>
      <c r="AH118"/>
      <c r="AI118"/>
    </row>
    <row r="119" spans="1:76" x14ac:dyDescent="0.3">
      <c r="A119"/>
      <c r="B119"/>
      <c r="C119"/>
      <c r="D119"/>
      <c r="E119"/>
      <c r="F119"/>
      <c r="G119"/>
      <c r="H119"/>
      <c r="I119"/>
      <c r="J119"/>
      <c r="K119"/>
      <c r="L119"/>
      <c r="M119"/>
      <c r="N119"/>
      <c r="O119"/>
      <c r="P119" s="207"/>
      <c r="Q119" s="207"/>
      <c r="R119" s="207"/>
      <c r="S119" s="208"/>
      <c r="T119" s="208"/>
      <c r="U119" s="208"/>
      <c r="V119" s="207"/>
      <c r="W119" s="207"/>
      <c r="X119" s="207"/>
      <c r="Y119" s="209"/>
      <c r="Z119" s="210"/>
      <c r="AA119" s="210"/>
      <c r="AB119" s="210"/>
      <c r="AC119" s="210"/>
      <c r="AD119" s="210"/>
      <c r="AE119" s="207"/>
      <c r="AF119" s="209"/>
      <c r="AG119" s="211"/>
      <c r="AH119"/>
      <c r="AI119"/>
    </row>
    <row r="120" spans="1:76" x14ac:dyDescent="0.3">
      <c r="A120"/>
      <c r="B120"/>
      <c r="C120"/>
      <c r="D120"/>
      <c r="E120"/>
      <c r="F120"/>
      <c r="G120"/>
      <c r="H120"/>
      <c r="I120"/>
      <c r="J120"/>
      <c r="K120"/>
      <c r="L120"/>
      <c r="M120"/>
      <c r="N120"/>
      <c r="O120"/>
      <c r="P120" s="207"/>
      <c r="Q120" s="207"/>
      <c r="R120" s="207"/>
      <c r="S120" s="208"/>
      <c r="T120" s="208"/>
      <c r="U120" s="208"/>
      <c r="V120" s="207"/>
      <c r="W120" s="207"/>
      <c r="X120" s="207"/>
      <c r="Y120" s="209"/>
      <c r="Z120" s="210"/>
      <c r="AA120" s="210"/>
      <c r="AB120" s="210"/>
      <c r="AC120" s="210"/>
      <c r="AD120" s="210"/>
      <c r="AE120" s="207"/>
      <c r="AF120" s="209"/>
      <c r="AG120" s="211"/>
      <c r="AH120"/>
      <c r="AI120"/>
    </row>
    <row r="121" spans="1:76" x14ac:dyDescent="0.3">
      <c r="A121"/>
      <c r="B121"/>
      <c r="C121"/>
      <c r="D121"/>
      <c r="E121"/>
      <c r="F121"/>
      <c r="G121"/>
      <c r="H121"/>
      <c r="I121"/>
      <c r="J121"/>
      <c r="K121"/>
      <c r="L121"/>
      <c r="M121"/>
      <c r="N121"/>
      <c r="O121"/>
      <c r="P121" s="207"/>
      <c r="Q121" s="207"/>
      <c r="R121" s="207"/>
      <c r="S121" s="208"/>
      <c r="T121" s="208"/>
      <c r="U121" s="208"/>
      <c r="V121" s="207"/>
      <c r="W121" s="207"/>
      <c r="X121" s="207"/>
      <c r="Y121" s="209"/>
      <c r="Z121" s="210"/>
      <c r="AA121" s="210"/>
      <c r="AB121" s="210"/>
      <c r="AC121" s="210"/>
      <c r="AD121" s="210"/>
      <c r="AE121" s="207"/>
      <c r="AF121" s="209"/>
      <c r="AG121" s="211"/>
      <c r="AH121"/>
      <c r="AI121"/>
    </row>
    <row r="122" spans="1:76" x14ac:dyDescent="0.3">
      <c r="A122"/>
      <c r="B122"/>
      <c r="C122"/>
      <c r="D122"/>
      <c r="E122"/>
      <c r="F122"/>
      <c r="G122"/>
      <c r="H122"/>
      <c r="I122"/>
      <c r="J122"/>
      <c r="K122"/>
      <c r="L122"/>
      <c r="M122"/>
      <c r="N122"/>
      <c r="O122"/>
      <c r="P122" s="207"/>
      <c r="Q122" s="207"/>
      <c r="R122" s="207"/>
      <c r="S122" s="208"/>
      <c r="T122" s="208"/>
      <c r="U122" s="208"/>
      <c r="V122" s="207"/>
      <c r="W122" s="207"/>
      <c r="X122" s="207"/>
      <c r="Y122" s="209"/>
      <c r="Z122" s="210"/>
      <c r="AA122" s="210"/>
      <c r="AB122" s="210"/>
      <c r="AC122" s="210"/>
      <c r="AD122" s="210"/>
      <c r="AE122" s="207"/>
      <c r="AF122" s="209"/>
      <c r="AG122" s="211"/>
      <c r="AH122"/>
      <c r="AI122"/>
    </row>
    <row r="123" spans="1:76" x14ac:dyDescent="0.3">
      <c r="A123"/>
      <c r="B123"/>
      <c r="C123"/>
      <c r="D123"/>
      <c r="E123"/>
      <c r="F123"/>
      <c r="G123"/>
      <c r="H123"/>
      <c r="I123"/>
      <c r="J123"/>
      <c r="K123"/>
      <c r="L123"/>
      <c r="M123"/>
      <c r="N123"/>
      <c r="O123"/>
      <c r="P123" s="207"/>
      <c r="Q123" s="207"/>
      <c r="R123" s="207"/>
      <c r="S123" s="208"/>
      <c r="T123" s="208"/>
      <c r="U123" s="208"/>
      <c r="V123" s="207"/>
      <c r="W123" s="207"/>
      <c r="X123" s="207"/>
      <c r="Y123" s="209"/>
      <c r="Z123" s="210"/>
      <c r="AA123" s="210"/>
      <c r="AB123" s="210"/>
      <c r="AC123" s="210"/>
      <c r="AD123" s="210"/>
      <c r="AE123" s="207"/>
      <c r="AF123" s="209"/>
      <c r="AG123" s="211"/>
      <c r="AH123"/>
      <c r="AI123"/>
    </row>
    <row r="124" spans="1:76" x14ac:dyDescent="0.3">
      <c r="A124"/>
      <c r="B124"/>
      <c r="C124"/>
      <c r="D124"/>
      <c r="E124"/>
      <c r="F124"/>
      <c r="G124"/>
      <c r="H124"/>
      <c r="I124"/>
      <c r="J124"/>
      <c r="K124"/>
      <c r="L124"/>
      <c r="M124"/>
      <c r="N124"/>
      <c r="O124"/>
      <c r="P124" s="207"/>
      <c r="Q124" s="207"/>
      <c r="R124" s="207"/>
      <c r="S124" s="208"/>
      <c r="T124" s="208"/>
      <c r="U124" s="208"/>
      <c r="V124" s="207"/>
      <c r="W124" s="207"/>
      <c r="X124" s="207"/>
      <c r="Y124" s="209"/>
      <c r="Z124" s="210"/>
      <c r="AA124" s="210"/>
      <c r="AB124" s="210"/>
      <c r="AC124" s="210"/>
      <c r="AD124" s="210"/>
      <c r="AE124" s="207"/>
      <c r="AF124" s="209"/>
      <c r="AG124" s="211"/>
      <c r="AH124"/>
      <c r="AI124"/>
    </row>
    <row r="125" spans="1:76" x14ac:dyDescent="0.3">
      <c r="A125"/>
      <c r="B125"/>
      <c r="C125"/>
      <c r="D125"/>
      <c r="E125"/>
      <c r="F125"/>
      <c r="G125"/>
      <c r="H125"/>
      <c r="I125"/>
      <c r="J125"/>
      <c r="K125"/>
      <c r="L125"/>
      <c r="M125"/>
      <c r="N125"/>
      <c r="O125"/>
      <c r="P125" s="207"/>
      <c r="Q125" s="207"/>
      <c r="R125" s="207"/>
      <c r="S125" s="208"/>
      <c r="T125" s="208"/>
      <c r="U125" s="208"/>
      <c r="V125" s="207"/>
      <c r="W125" s="207"/>
      <c r="X125" s="207"/>
      <c r="Y125" s="209"/>
      <c r="Z125" s="210"/>
      <c r="AA125" s="210"/>
      <c r="AB125" s="210"/>
      <c r="AC125" s="210"/>
      <c r="AD125" s="210"/>
      <c r="AE125" s="207"/>
      <c r="AF125" s="209"/>
      <c r="AG125" s="211"/>
      <c r="AH125"/>
      <c r="AI125"/>
    </row>
    <row r="126" spans="1:76" x14ac:dyDescent="0.3">
      <c r="A126"/>
      <c r="B126"/>
      <c r="C126"/>
      <c r="D126"/>
      <c r="E126"/>
      <c r="F126"/>
      <c r="G126"/>
      <c r="H126"/>
      <c r="I126"/>
      <c r="J126"/>
      <c r="K126"/>
      <c r="L126"/>
      <c r="M126"/>
      <c r="N126"/>
      <c r="O126"/>
      <c r="P126" s="207"/>
      <c r="Q126" s="207"/>
      <c r="R126" s="207"/>
      <c r="S126" s="208"/>
      <c r="T126" s="208"/>
      <c r="U126" s="208"/>
      <c r="V126" s="207"/>
      <c r="W126" s="207"/>
      <c r="X126" s="207"/>
      <c r="Y126" s="209"/>
      <c r="Z126" s="210"/>
      <c r="AA126" s="210"/>
      <c r="AB126" s="210"/>
      <c r="AC126" s="210"/>
      <c r="AD126" s="210"/>
      <c r="AE126" s="207"/>
      <c r="AF126" s="209"/>
      <c r="AG126" s="211"/>
      <c r="AH126"/>
      <c r="AI126"/>
    </row>
    <row r="127" spans="1:76" x14ac:dyDescent="0.3">
      <c r="A127"/>
      <c r="B127"/>
      <c r="C127"/>
      <c r="D127"/>
      <c r="E127"/>
      <c r="F127"/>
      <c r="G127"/>
      <c r="H127"/>
      <c r="I127"/>
      <c r="J127"/>
      <c r="K127"/>
      <c r="L127"/>
      <c r="M127"/>
      <c r="N127"/>
      <c r="O127"/>
      <c r="P127" s="207"/>
      <c r="Q127" s="207"/>
      <c r="R127" s="207"/>
      <c r="S127" s="208"/>
      <c r="T127" s="208"/>
      <c r="U127" s="208"/>
      <c r="V127" s="207"/>
      <c r="W127" s="207"/>
      <c r="X127" s="207"/>
      <c r="Y127" s="209"/>
      <c r="Z127" s="210"/>
      <c r="AA127" s="210"/>
      <c r="AB127" s="210"/>
      <c r="AC127" s="210"/>
      <c r="AD127" s="210"/>
      <c r="AE127" s="207"/>
      <c r="AF127" s="209"/>
      <c r="AG127" s="211"/>
      <c r="AH127"/>
      <c r="AI127"/>
    </row>
    <row r="128" spans="1:76" x14ac:dyDescent="0.3">
      <c r="A128"/>
      <c r="B128"/>
      <c r="C128"/>
      <c r="D128"/>
      <c r="E128"/>
      <c r="F128"/>
      <c r="G128"/>
      <c r="H128"/>
      <c r="I128"/>
      <c r="J128"/>
      <c r="K128"/>
      <c r="L128"/>
      <c r="M128"/>
      <c r="N128"/>
      <c r="O128"/>
      <c r="P128" s="207"/>
      <c r="Q128" s="207"/>
      <c r="R128" s="207"/>
      <c r="S128" s="208"/>
      <c r="T128" s="208"/>
      <c r="U128" s="208"/>
      <c r="V128" s="207"/>
      <c r="W128" s="207"/>
      <c r="X128" s="207"/>
      <c r="Y128" s="209"/>
      <c r="Z128" s="210"/>
      <c r="AA128" s="210"/>
      <c r="AB128" s="210"/>
      <c r="AC128" s="210"/>
      <c r="AD128" s="210"/>
      <c r="AE128" s="207"/>
      <c r="AF128" s="209"/>
      <c r="AG128" s="211"/>
      <c r="AH128"/>
      <c r="AI128"/>
    </row>
    <row r="129" spans="1:35" x14ac:dyDescent="0.3">
      <c r="A129"/>
      <c r="B129"/>
      <c r="C129"/>
      <c r="D129"/>
      <c r="E129"/>
      <c r="F129"/>
      <c r="G129"/>
      <c r="H129"/>
      <c r="I129"/>
      <c r="J129"/>
      <c r="K129"/>
      <c r="L129"/>
      <c r="M129"/>
      <c r="N129"/>
      <c r="O129"/>
      <c r="P129" s="207"/>
      <c r="Q129" s="207"/>
      <c r="R129" s="207"/>
      <c r="S129" s="208"/>
      <c r="T129" s="208"/>
      <c r="U129" s="208"/>
      <c r="V129" s="207"/>
      <c r="W129" s="207"/>
      <c r="X129" s="207"/>
      <c r="Y129" s="209"/>
      <c r="Z129" s="210"/>
      <c r="AA129" s="210"/>
      <c r="AB129" s="210"/>
      <c r="AC129" s="210"/>
      <c r="AD129" s="210"/>
      <c r="AE129" s="207"/>
      <c r="AF129" s="209"/>
      <c r="AG129" s="211"/>
      <c r="AH129"/>
      <c r="AI129"/>
    </row>
    <row r="130" spans="1:35" x14ac:dyDescent="0.3">
      <c r="A130"/>
      <c r="B130"/>
      <c r="C130"/>
      <c r="D130"/>
      <c r="E130"/>
      <c r="F130"/>
      <c r="G130"/>
      <c r="H130"/>
      <c r="I130"/>
      <c r="J130"/>
      <c r="K130"/>
      <c r="L130"/>
      <c r="M130"/>
      <c r="N130"/>
      <c r="O130"/>
      <c r="P130" s="207"/>
      <c r="Q130" s="207"/>
      <c r="R130" s="207"/>
      <c r="S130" s="208"/>
      <c r="T130" s="208"/>
      <c r="U130" s="208"/>
      <c r="V130" s="207"/>
      <c r="W130" s="207"/>
      <c r="X130" s="207"/>
      <c r="Y130" s="209"/>
      <c r="Z130" s="210"/>
      <c r="AA130" s="210"/>
      <c r="AB130" s="210"/>
      <c r="AC130" s="210"/>
      <c r="AD130" s="210"/>
      <c r="AE130" s="207"/>
      <c r="AF130" s="209"/>
      <c r="AG130" s="211"/>
      <c r="AH130"/>
      <c r="AI130"/>
    </row>
    <row r="131" spans="1:35" x14ac:dyDescent="0.3">
      <c r="A131"/>
      <c r="B131"/>
      <c r="C131"/>
      <c r="D131"/>
      <c r="E131"/>
      <c r="F131"/>
      <c r="G131"/>
      <c r="H131"/>
      <c r="I131"/>
      <c r="J131"/>
      <c r="K131"/>
      <c r="L131"/>
      <c r="M131"/>
      <c r="N131"/>
      <c r="O131"/>
      <c r="P131" s="207"/>
      <c r="Q131" s="207"/>
      <c r="R131" s="207"/>
      <c r="S131" s="208"/>
      <c r="T131" s="208"/>
      <c r="U131" s="208"/>
      <c r="V131" s="207"/>
      <c r="W131" s="207"/>
      <c r="X131" s="207"/>
      <c r="Y131" s="209"/>
      <c r="Z131" s="210"/>
      <c r="AA131" s="210"/>
      <c r="AB131" s="210"/>
      <c r="AC131" s="210"/>
      <c r="AD131" s="210"/>
      <c r="AE131" s="207"/>
      <c r="AF131" s="209"/>
      <c r="AG131" s="211"/>
      <c r="AH131"/>
      <c r="AI131"/>
    </row>
    <row r="132" spans="1:35" x14ac:dyDescent="0.3">
      <c r="A132"/>
      <c r="B132"/>
      <c r="C132"/>
      <c r="D132"/>
      <c r="E132"/>
      <c r="F132"/>
      <c r="G132"/>
      <c r="H132"/>
      <c r="I132"/>
      <c r="J132"/>
      <c r="K132"/>
      <c r="L132"/>
      <c r="M132"/>
      <c r="N132"/>
      <c r="O132"/>
      <c r="P132" s="207"/>
      <c r="Q132" s="207"/>
      <c r="R132" s="207"/>
      <c r="S132" s="208"/>
      <c r="T132" s="208"/>
      <c r="U132" s="208"/>
      <c r="V132" s="207"/>
      <c r="W132" s="207"/>
      <c r="X132" s="207"/>
      <c r="Y132" s="209"/>
      <c r="Z132" s="210"/>
      <c r="AA132" s="210"/>
      <c r="AB132" s="210"/>
      <c r="AC132" s="210"/>
      <c r="AD132" s="210"/>
      <c r="AE132" s="207"/>
      <c r="AF132" s="209"/>
      <c r="AG132" s="211"/>
      <c r="AH132"/>
      <c r="AI132"/>
    </row>
    <row r="133" spans="1:35" x14ac:dyDescent="0.3">
      <c r="A133"/>
      <c r="B133"/>
      <c r="C133"/>
      <c r="D133"/>
      <c r="E133"/>
      <c r="F133"/>
      <c r="G133"/>
      <c r="H133"/>
      <c r="I133"/>
      <c r="J133"/>
      <c r="K133"/>
      <c r="L133"/>
      <c r="M133"/>
      <c r="N133"/>
      <c r="O133"/>
      <c r="P133" s="207"/>
      <c r="Q133" s="207"/>
      <c r="R133" s="207"/>
      <c r="S133" s="208"/>
      <c r="T133" s="208"/>
      <c r="U133" s="208"/>
      <c r="V133" s="207"/>
      <c r="W133" s="207"/>
      <c r="X133" s="207"/>
      <c r="Y133" s="209"/>
      <c r="Z133" s="210"/>
      <c r="AA133" s="210"/>
      <c r="AB133" s="210"/>
      <c r="AC133" s="210"/>
      <c r="AD133" s="210"/>
      <c r="AE133" s="207"/>
      <c r="AF133" s="209"/>
      <c r="AG133" s="211"/>
      <c r="AH133"/>
      <c r="AI133"/>
    </row>
    <row r="134" spans="1:35" x14ac:dyDescent="0.3">
      <c r="A134"/>
      <c r="B134"/>
      <c r="C134"/>
      <c r="D134"/>
      <c r="E134"/>
      <c r="F134"/>
      <c r="G134"/>
      <c r="H134"/>
      <c r="I134"/>
      <c r="J134"/>
      <c r="K134"/>
      <c r="L134"/>
      <c r="M134"/>
      <c r="N134"/>
      <c r="O134"/>
      <c r="P134" s="207"/>
      <c r="Q134" s="207"/>
      <c r="R134" s="207"/>
      <c r="S134" s="208"/>
      <c r="T134" s="208"/>
      <c r="U134" s="208"/>
      <c r="V134" s="207"/>
      <c r="W134" s="207"/>
      <c r="X134" s="207"/>
      <c r="Y134" s="209"/>
      <c r="Z134" s="210"/>
      <c r="AA134" s="210"/>
      <c r="AB134" s="210"/>
      <c r="AC134" s="210"/>
      <c r="AD134" s="210"/>
      <c r="AE134" s="207"/>
      <c r="AF134" s="209"/>
      <c r="AG134" s="211"/>
      <c r="AH134"/>
      <c r="AI134"/>
    </row>
    <row r="135" spans="1:35" x14ac:dyDescent="0.3">
      <c r="A135"/>
      <c r="B135"/>
      <c r="C135"/>
      <c r="D135"/>
      <c r="E135"/>
      <c r="F135"/>
      <c r="G135"/>
      <c r="H135"/>
      <c r="I135"/>
      <c r="J135"/>
      <c r="K135"/>
      <c r="L135"/>
      <c r="M135"/>
      <c r="N135"/>
      <c r="O135"/>
      <c r="P135" s="207"/>
      <c r="Q135" s="207"/>
      <c r="R135" s="207"/>
      <c r="S135" s="208"/>
      <c r="T135" s="208"/>
      <c r="U135" s="208"/>
      <c r="V135" s="207"/>
      <c r="W135" s="207"/>
      <c r="X135" s="207"/>
      <c r="Y135" s="209"/>
      <c r="Z135" s="210"/>
      <c r="AA135" s="210"/>
      <c r="AB135" s="210"/>
      <c r="AC135" s="210"/>
      <c r="AD135" s="210"/>
      <c r="AE135" s="207"/>
      <c r="AF135" s="209"/>
      <c r="AG135" s="211"/>
      <c r="AH135"/>
      <c r="AI135"/>
    </row>
    <row r="136" spans="1:35" x14ac:dyDescent="0.3">
      <c r="A136"/>
      <c r="B136"/>
      <c r="C136"/>
      <c r="D136"/>
      <c r="E136"/>
      <c r="F136"/>
      <c r="G136"/>
      <c r="H136"/>
      <c r="I136"/>
      <c r="J136"/>
      <c r="K136"/>
      <c r="L136"/>
      <c r="M136"/>
      <c r="N136"/>
      <c r="O136"/>
      <c r="P136" s="207"/>
      <c r="Q136" s="207"/>
      <c r="R136" s="207"/>
      <c r="S136" s="208"/>
      <c r="T136" s="208"/>
      <c r="U136" s="208"/>
      <c r="V136" s="207"/>
      <c r="W136" s="207"/>
      <c r="X136" s="207"/>
      <c r="Y136" s="209"/>
      <c r="Z136" s="210"/>
      <c r="AA136" s="210"/>
      <c r="AB136" s="210"/>
      <c r="AC136" s="210"/>
      <c r="AD136" s="210"/>
      <c r="AE136" s="207"/>
      <c r="AF136" s="209"/>
      <c r="AG136" s="211"/>
      <c r="AH136"/>
      <c r="AI136"/>
    </row>
    <row r="137" spans="1:35" x14ac:dyDescent="0.3">
      <c r="A137"/>
      <c r="B137"/>
      <c r="C137"/>
      <c r="D137"/>
      <c r="E137"/>
      <c r="F137"/>
      <c r="G137"/>
      <c r="H137"/>
      <c r="I137"/>
      <c r="J137"/>
      <c r="K137"/>
      <c r="L137"/>
      <c r="M137"/>
      <c r="N137"/>
      <c r="O137"/>
      <c r="P137" s="207"/>
      <c r="Q137" s="207"/>
      <c r="R137" s="207"/>
      <c r="S137" s="208"/>
      <c r="T137" s="208"/>
      <c r="U137" s="208"/>
      <c r="V137" s="207"/>
      <c r="W137" s="207"/>
      <c r="X137" s="207"/>
      <c r="Y137" s="209"/>
      <c r="Z137" s="210"/>
      <c r="AA137" s="210"/>
      <c r="AB137" s="210"/>
      <c r="AC137" s="210"/>
      <c r="AD137" s="210"/>
      <c r="AE137" s="207"/>
      <c r="AF137" s="209"/>
      <c r="AG137" s="211"/>
      <c r="AH137"/>
      <c r="AI137"/>
    </row>
    <row r="138" spans="1:35" x14ac:dyDescent="0.3">
      <c r="A138"/>
      <c r="B138"/>
      <c r="C138"/>
      <c r="D138"/>
      <c r="E138"/>
      <c r="F138"/>
      <c r="G138"/>
      <c r="H138"/>
      <c r="I138"/>
      <c r="J138"/>
      <c r="K138"/>
      <c r="L138"/>
      <c r="M138"/>
      <c r="N138"/>
      <c r="O138"/>
      <c r="P138" s="207"/>
      <c r="Q138" s="207"/>
      <c r="R138" s="207"/>
      <c r="S138" s="208"/>
      <c r="T138" s="208"/>
      <c r="U138" s="208"/>
      <c r="V138" s="207"/>
      <c r="W138" s="207"/>
      <c r="X138" s="207"/>
      <c r="Y138" s="209"/>
      <c r="Z138" s="210"/>
      <c r="AA138" s="210"/>
      <c r="AB138" s="210"/>
      <c r="AC138" s="210"/>
      <c r="AD138" s="210"/>
      <c r="AE138" s="207"/>
      <c r="AF138" s="209"/>
      <c r="AG138" s="211"/>
      <c r="AH138"/>
      <c r="AI138"/>
    </row>
    <row r="139" spans="1:35" x14ac:dyDescent="0.3">
      <c r="A139"/>
      <c r="B139"/>
      <c r="C139"/>
      <c r="D139"/>
      <c r="E139"/>
      <c r="F139"/>
      <c r="G139"/>
      <c r="H139"/>
      <c r="I139"/>
      <c r="J139"/>
      <c r="K139"/>
      <c r="L139"/>
      <c r="M139"/>
      <c r="N139"/>
      <c r="O139"/>
      <c r="P139" s="207"/>
      <c r="Q139" s="207"/>
      <c r="R139" s="207"/>
      <c r="S139" s="208"/>
      <c r="T139" s="208"/>
      <c r="U139" s="208"/>
      <c r="V139" s="207"/>
      <c r="W139" s="207"/>
      <c r="X139" s="207"/>
      <c r="Y139" s="209"/>
      <c r="Z139" s="210"/>
      <c r="AA139" s="210"/>
      <c r="AB139" s="210"/>
      <c r="AC139" s="210"/>
      <c r="AD139" s="210"/>
      <c r="AE139" s="207"/>
      <c r="AF139" s="209"/>
      <c r="AG139" s="211"/>
      <c r="AH139"/>
      <c r="AI139"/>
    </row>
    <row r="140" spans="1:35" x14ac:dyDescent="0.3">
      <c r="A140"/>
      <c r="B140"/>
      <c r="C140"/>
      <c r="D140"/>
      <c r="E140"/>
      <c r="F140"/>
      <c r="G140"/>
      <c r="H140"/>
      <c r="I140"/>
      <c r="J140"/>
      <c r="K140"/>
      <c r="L140"/>
      <c r="M140"/>
      <c r="N140"/>
      <c r="O140"/>
      <c r="P140" s="207"/>
      <c r="Q140" s="207"/>
      <c r="R140" s="207"/>
      <c r="S140" s="208"/>
      <c r="T140" s="208"/>
      <c r="U140" s="208"/>
      <c r="V140" s="207"/>
      <c r="W140" s="207"/>
      <c r="X140" s="207"/>
      <c r="Y140" s="209"/>
      <c r="Z140" s="210"/>
      <c r="AA140" s="210"/>
      <c r="AB140" s="210"/>
      <c r="AC140" s="210"/>
      <c r="AD140" s="210"/>
      <c r="AE140" s="207"/>
      <c r="AF140" s="209"/>
      <c r="AG140" s="211"/>
      <c r="AH140"/>
      <c r="AI140"/>
    </row>
    <row r="141" spans="1:35" x14ac:dyDescent="0.3">
      <c r="A141"/>
      <c r="B141"/>
      <c r="C141"/>
      <c r="D141"/>
      <c r="E141"/>
      <c r="F141"/>
      <c r="G141"/>
      <c r="H141"/>
      <c r="I141"/>
      <c r="J141"/>
      <c r="K141"/>
      <c r="L141"/>
      <c r="M141"/>
      <c r="N141"/>
      <c r="O141"/>
      <c r="P141" s="207"/>
      <c r="Q141" s="207"/>
      <c r="R141" s="207"/>
      <c r="S141" s="208"/>
      <c r="T141" s="208"/>
      <c r="U141" s="208"/>
      <c r="V141" s="207"/>
      <c r="W141" s="207"/>
      <c r="X141" s="207"/>
      <c r="Y141" s="209"/>
      <c r="Z141" s="210"/>
      <c r="AA141" s="210"/>
      <c r="AB141" s="210"/>
      <c r="AC141" s="210"/>
      <c r="AD141" s="210"/>
      <c r="AE141" s="207"/>
      <c r="AF141" s="209"/>
      <c r="AG141" s="211"/>
      <c r="AH141"/>
      <c r="AI141"/>
    </row>
    <row r="142" spans="1:35" x14ac:dyDescent="0.3">
      <c r="A142"/>
      <c r="B142"/>
      <c r="C142"/>
      <c r="D142"/>
      <c r="E142"/>
      <c r="F142"/>
      <c r="G142"/>
      <c r="H142"/>
      <c r="I142"/>
      <c r="J142"/>
      <c r="K142"/>
      <c r="L142"/>
      <c r="M142"/>
      <c r="N142"/>
      <c r="O142"/>
      <c r="P142" s="207"/>
      <c r="Q142" s="207"/>
      <c r="R142" s="207"/>
      <c r="S142" s="208"/>
      <c r="T142" s="208"/>
      <c r="U142" s="208"/>
      <c r="V142" s="207"/>
      <c r="W142" s="207"/>
      <c r="X142" s="207"/>
      <c r="Y142" s="209"/>
      <c r="Z142" s="210"/>
      <c r="AA142" s="210"/>
      <c r="AB142" s="210"/>
      <c r="AC142" s="210"/>
      <c r="AD142" s="210"/>
      <c r="AE142" s="207"/>
      <c r="AF142" s="209"/>
      <c r="AG142" s="211"/>
      <c r="AH142"/>
      <c r="AI142"/>
    </row>
    <row r="143" spans="1:35" x14ac:dyDescent="0.3">
      <c r="A143"/>
      <c r="B143"/>
      <c r="C143"/>
      <c r="D143"/>
      <c r="E143"/>
      <c r="F143"/>
      <c r="G143"/>
      <c r="H143"/>
      <c r="I143"/>
      <c r="J143"/>
      <c r="K143"/>
      <c r="L143"/>
      <c r="M143"/>
      <c r="N143"/>
      <c r="O143"/>
      <c r="P143" s="207"/>
      <c r="Q143" s="207"/>
      <c r="R143" s="207"/>
      <c r="S143" s="208"/>
      <c r="T143" s="208"/>
      <c r="U143" s="208"/>
      <c r="V143" s="207"/>
      <c r="W143" s="207"/>
      <c r="X143" s="207"/>
      <c r="Y143" s="209"/>
      <c r="Z143" s="210"/>
      <c r="AA143" s="210"/>
      <c r="AB143" s="210"/>
      <c r="AC143" s="210"/>
      <c r="AD143" s="210"/>
      <c r="AE143" s="207"/>
      <c r="AF143" s="209"/>
      <c r="AG143" s="211"/>
      <c r="AH143"/>
      <c r="AI143"/>
    </row>
    <row r="144" spans="1:35" x14ac:dyDescent="0.3">
      <c r="A144"/>
      <c r="B144"/>
      <c r="C144"/>
      <c r="D144"/>
      <c r="E144"/>
      <c r="F144"/>
      <c r="G144"/>
      <c r="H144"/>
      <c r="I144"/>
      <c r="J144"/>
      <c r="K144"/>
      <c r="L144"/>
      <c r="M144"/>
      <c r="N144"/>
      <c r="O144"/>
      <c r="P144" s="207"/>
      <c r="Q144" s="207"/>
      <c r="R144" s="207"/>
      <c r="S144" s="208"/>
      <c r="T144" s="208"/>
      <c r="U144" s="208"/>
      <c r="V144" s="207"/>
      <c r="W144" s="207"/>
      <c r="X144" s="207"/>
      <c r="Y144" s="209"/>
      <c r="Z144" s="210"/>
      <c r="AA144" s="210"/>
      <c r="AB144" s="210"/>
      <c r="AC144" s="210"/>
      <c r="AD144" s="210"/>
      <c r="AE144" s="207"/>
      <c r="AF144" s="209"/>
      <c r="AG144" s="211"/>
      <c r="AH144"/>
      <c r="AI144"/>
    </row>
    <row r="145" spans="1:35" x14ac:dyDescent="0.3">
      <c r="A145"/>
      <c r="B145"/>
      <c r="C145"/>
      <c r="D145"/>
      <c r="E145"/>
      <c r="F145"/>
      <c r="G145"/>
      <c r="H145"/>
      <c r="I145"/>
      <c r="J145"/>
      <c r="K145"/>
      <c r="L145"/>
      <c r="M145"/>
      <c r="N145"/>
      <c r="O145"/>
      <c r="P145" s="207"/>
      <c r="Q145" s="207"/>
      <c r="R145" s="207"/>
      <c r="S145" s="208"/>
      <c r="T145" s="208"/>
      <c r="U145" s="208"/>
      <c r="V145" s="207"/>
      <c r="W145" s="207"/>
      <c r="X145" s="207"/>
      <c r="Y145" s="209"/>
      <c r="Z145" s="210"/>
      <c r="AA145" s="210"/>
      <c r="AB145" s="210"/>
      <c r="AC145" s="210"/>
      <c r="AD145" s="210"/>
      <c r="AE145" s="207"/>
      <c r="AF145" s="209"/>
      <c r="AG145" s="211"/>
      <c r="AH145"/>
      <c r="AI145"/>
    </row>
    <row r="146" spans="1:35" x14ac:dyDescent="0.3">
      <c r="A146"/>
      <c r="B146"/>
      <c r="C146"/>
      <c r="D146"/>
      <c r="E146"/>
      <c r="F146"/>
      <c r="G146"/>
      <c r="H146"/>
      <c r="I146"/>
      <c r="J146"/>
      <c r="K146"/>
      <c r="L146"/>
      <c r="M146"/>
      <c r="N146"/>
      <c r="O146"/>
      <c r="P146" s="207"/>
      <c r="Q146" s="207"/>
      <c r="R146" s="207"/>
      <c r="S146" s="208"/>
      <c r="T146" s="208"/>
      <c r="U146" s="208"/>
      <c r="V146" s="207"/>
      <c r="W146" s="207"/>
      <c r="X146" s="207"/>
      <c r="Y146" s="209"/>
      <c r="Z146" s="210"/>
      <c r="AA146" s="210"/>
      <c r="AB146" s="210"/>
      <c r="AC146" s="210"/>
      <c r="AD146" s="210"/>
      <c r="AE146" s="207"/>
      <c r="AF146" s="209"/>
      <c r="AG146" s="211"/>
      <c r="AH146"/>
      <c r="AI146"/>
    </row>
    <row r="147" spans="1:35" x14ac:dyDescent="0.3">
      <c r="A147"/>
      <c r="B147"/>
      <c r="C147"/>
      <c r="D147"/>
      <c r="E147"/>
      <c r="F147"/>
      <c r="G147"/>
      <c r="H147"/>
      <c r="I147"/>
      <c r="J147"/>
      <c r="K147"/>
      <c r="L147"/>
      <c r="M147"/>
      <c r="N147"/>
      <c r="O147"/>
      <c r="P147" s="207"/>
      <c r="Q147" s="207"/>
      <c r="R147" s="207"/>
      <c r="S147" s="208"/>
      <c r="T147" s="208"/>
      <c r="U147" s="208"/>
      <c r="V147" s="207"/>
      <c r="W147" s="207"/>
      <c r="X147" s="207"/>
      <c r="Y147" s="209"/>
      <c r="Z147" s="210"/>
      <c r="AA147" s="210"/>
      <c r="AB147" s="210"/>
      <c r="AC147" s="210"/>
      <c r="AD147" s="210"/>
      <c r="AE147" s="207"/>
      <c r="AF147" s="209"/>
      <c r="AG147" s="211"/>
      <c r="AH147"/>
      <c r="AI147"/>
    </row>
    <row r="148" spans="1:35" x14ac:dyDescent="0.3">
      <c r="A148"/>
      <c r="B148"/>
      <c r="C148"/>
      <c r="D148"/>
      <c r="E148"/>
      <c r="F148"/>
      <c r="G148"/>
      <c r="H148"/>
      <c r="I148"/>
      <c r="J148"/>
      <c r="K148"/>
      <c r="L148"/>
      <c r="M148"/>
      <c r="N148"/>
      <c r="O148"/>
      <c r="P148" s="207"/>
      <c r="Q148" s="207"/>
      <c r="R148" s="207"/>
      <c r="S148" s="208"/>
      <c r="T148" s="208"/>
      <c r="U148" s="208"/>
      <c r="V148" s="207"/>
      <c r="W148" s="207"/>
      <c r="X148" s="207"/>
      <c r="Y148" s="209"/>
      <c r="Z148" s="210"/>
      <c r="AA148" s="210"/>
      <c r="AB148" s="210"/>
      <c r="AC148" s="210"/>
      <c r="AD148" s="210"/>
      <c r="AE148" s="207"/>
      <c r="AF148" s="209"/>
      <c r="AG148" s="211"/>
      <c r="AH148"/>
      <c r="AI148"/>
    </row>
    <row r="149" spans="1:35" x14ac:dyDescent="0.3">
      <c r="A149"/>
      <c r="B149"/>
      <c r="C149"/>
      <c r="D149"/>
      <c r="E149"/>
      <c r="F149"/>
      <c r="G149"/>
      <c r="H149"/>
      <c r="I149"/>
      <c r="J149"/>
      <c r="K149"/>
      <c r="L149"/>
      <c r="M149"/>
      <c r="N149"/>
      <c r="O149"/>
      <c r="P149" s="207"/>
      <c r="Q149" s="207"/>
      <c r="R149" s="207"/>
      <c r="S149" s="208"/>
      <c r="T149" s="208"/>
      <c r="U149" s="208"/>
      <c r="V149" s="207"/>
      <c r="W149" s="207"/>
      <c r="X149" s="207"/>
      <c r="Y149" s="209"/>
      <c r="Z149" s="210"/>
      <c r="AA149" s="210"/>
      <c r="AB149" s="210"/>
      <c r="AC149" s="210"/>
      <c r="AD149" s="210"/>
      <c r="AE149" s="207"/>
      <c r="AF149" s="209"/>
      <c r="AG149" s="211"/>
      <c r="AH149"/>
      <c r="AI149"/>
    </row>
    <row r="150" spans="1:35" x14ac:dyDescent="0.3">
      <c r="A150"/>
      <c r="B150"/>
      <c r="C150"/>
      <c r="D150"/>
      <c r="E150"/>
      <c r="F150"/>
      <c r="G150"/>
      <c r="H150"/>
      <c r="I150"/>
      <c r="J150"/>
      <c r="K150"/>
      <c r="L150"/>
      <c r="M150"/>
      <c r="N150"/>
      <c r="O150"/>
      <c r="P150" s="207"/>
      <c r="Q150" s="207"/>
      <c r="R150" s="207"/>
      <c r="S150" s="208"/>
      <c r="T150" s="208"/>
      <c r="U150" s="208"/>
      <c r="V150" s="207"/>
      <c r="W150" s="207"/>
      <c r="X150" s="207"/>
      <c r="Y150" s="209"/>
      <c r="Z150" s="210"/>
      <c r="AA150" s="210"/>
      <c r="AB150" s="210"/>
      <c r="AC150" s="210"/>
      <c r="AD150" s="210"/>
      <c r="AE150" s="207"/>
      <c r="AF150" s="209"/>
      <c r="AG150" s="211"/>
      <c r="AH150"/>
      <c r="AI150"/>
    </row>
    <row r="151" spans="1:35" x14ac:dyDescent="0.3">
      <c r="A151"/>
      <c r="B151"/>
      <c r="C151"/>
      <c r="D151"/>
      <c r="E151"/>
      <c r="F151"/>
      <c r="G151"/>
      <c r="H151"/>
      <c r="I151"/>
      <c r="J151"/>
      <c r="K151"/>
      <c r="L151"/>
      <c r="M151"/>
      <c r="N151"/>
      <c r="O151"/>
      <c r="P151" s="207"/>
      <c r="Q151" s="207"/>
      <c r="R151" s="207"/>
      <c r="S151" s="208"/>
      <c r="T151" s="208"/>
      <c r="U151" s="208"/>
      <c r="V151" s="207"/>
      <c r="W151" s="207"/>
      <c r="X151" s="207"/>
      <c r="Y151" s="209"/>
      <c r="Z151" s="210"/>
      <c r="AA151" s="210"/>
      <c r="AB151" s="210"/>
      <c r="AC151" s="210"/>
      <c r="AD151" s="210"/>
      <c r="AE151" s="207"/>
      <c r="AF151" s="209"/>
      <c r="AG151" s="211"/>
      <c r="AH151"/>
      <c r="AI151"/>
    </row>
    <row r="152" spans="1:35" x14ac:dyDescent="0.3">
      <c r="A152"/>
      <c r="B152"/>
      <c r="C152"/>
      <c r="D152"/>
      <c r="E152"/>
      <c r="F152"/>
      <c r="G152"/>
      <c r="H152"/>
      <c r="I152"/>
      <c r="J152"/>
      <c r="K152"/>
      <c r="L152"/>
      <c r="M152"/>
      <c r="N152"/>
      <c r="O152"/>
      <c r="P152" s="207"/>
      <c r="Q152" s="207"/>
      <c r="R152" s="207"/>
      <c r="S152" s="208"/>
      <c r="T152" s="208"/>
      <c r="U152" s="208"/>
      <c r="V152" s="207"/>
      <c r="W152" s="207"/>
      <c r="X152" s="207"/>
      <c r="Y152" s="209"/>
      <c r="Z152" s="210"/>
      <c r="AA152" s="210"/>
      <c r="AB152" s="210"/>
      <c r="AC152" s="210"/>
      <c r="AD152" s="210"/>
      <c r="AE152" s="207"/>
      <c r="AF152" s="209"/>
      <c r="AG152" s="211"/>
      <c r="AH152"/>
      <c r="AI152"/>
    </row>
    <row r="153" spans="1:35" x14ac:dyDescent="0.3">
      <c r="A153"/>
      <c r="B153"/>
      <c r="C153"/>
      <c r="D153"/>
      <c r="E153"/>
      <c r="F153"/>
      <c r="G153"/>
      <c r="H153"/>
      <c r="I153"/>
      <c r="J153"/>
      <c r="K153"/>
      <c r="L153"/>
      <c r="M153"/>
      <c r="N153"/>
      <c r="O153"/>
      <c r="P153" s="207"/>
      <c r="Q153" s="207"/>
      <c r="R153" s="207"/>
      <c r="S153" s="208"/>
      <c r="T153" s="208"/>
      <c r="U153" s="208"/>
      <c r="V153" s="207"/>
      <c r="W153" s="207"/>
      <c r="X153" s="207"/>
      <c r="Y153" s="209"/>
      <c r="Z153" s="210"/>
      <c r="AA153" s="210"/>
      <c r="AB153" s="210"/>
      <c r="AC153" s="210"/>
      <c r="AD153" s="210"/>
      <c r="AE153" s="207"/>
      <c r="AF153" s="209"/>
      <c r="AG153" s="211"/>
      <c r="AH153"/>
      <c r="AI153"/>
    </row>
    <row r="154" spans="1:35" x14ac:dyDescent="0.3">
      <c r="A154"/>
      <c r="B154"/>
      <c r="C154"/>
      <c r="D154"/>
      <c r="E154"/>
      <c r="F154"/>
      <c r="G154"/>
      <c r="H154"/>
      <c r="I154"/>
      <c r="J154"/>
      <c r="K154"/>
      <c r="L154"/>
      <c r="M154"/>
      <c r="N154"/>
      <c r="O154"/>
      <c r="P154" s="207"/>
      <c r="Q154" s="207"/>
      <c r="R154" s="207"/>
      <c r="S154" s="208"/>
      <c r="T154" s="208"/>
      <c r="U154" s="208"/>
      <c r="V154" s="207"/>
      <c r="W154" s="207"/>
      <c r="X154" s="207"/>
      <c r="Y154" s="209"/>
      <c r="Z154" s="210"/>
      <c r="AA154" s="210"/>
      <c r="AB154" s="210"/>
      <c r="AC154" s="210"/>
      <c r="AD154" s="210"/>
      <c r="AE154" s="207"/>
      <c r="AF154" s="209"/>
      <c r="AG154" s="211"/>
      <c r="AH154"/>
      <c r="AI154"/>
    </row>
    <row r="155" spans="1:35" x14ac:dyDescent="0.3">
      <c r="A155"/>
      <c r="B155"/>
      <c r="C155"/>
      <c r="D155"/>
      <c r="E155"/>
      <c r="F155"/>
      <c r="G155"/>
      <c r="H155"/>
      <c r="I155"/>
      <c r="J155"/>
      <c r="K155"/>
      <c r="L155"/>
      <c r="M155"/>
      <c r="N155"/>
      <c r="O155"/>
      <c r="P155" s="207"/>
      <c r="Q155" s="207"/>
      <c r="R155" s="207"/>
      <c r="S155" s="208"/>
      <c r="T155" s="208"/>
      <c r="U155" s="208"/>
      <c r="V155" s="207"/>
      <c r="W155" s="207"/>
      <c r="X155" s="207"/>
      <c r="Y155" s="209"/>
      <c r="Z155" s="210"/>
      <c r="AA155" s="210"/>
      <c r="AB155" s="210"/>
      <c r="AC155" s="210"/>
      <c r="AD155" s="210"/>
      <c r="AE155" s="207"/>
      <c r="AF155" s="209"/>
      <c r="AG155" s="211"/>
      <c r="AH155"/>
      <c r="AI155"/>
    </row>
    <row r="156" spans="1:35" x14ac:dyDescent="0.3">
      <c r="A156"/>
      <c r="B156"/>
      <c r="C156"/>
      <c r="D156"/>
      <c r="E156"/>
      <c r="F156"/>
      <c r="G156"/>
      <c r="H156"/>
      <c r="I156"/>
      <c r="J156"/>
      <c r="K156"/>
      <c r="L156"/>
      <c r="M156"/>
      <c r="N156"/>
      <c r="O156"/>
      <c r="P156" s="207"/>
      <c r="Q156" s="207"/>
      <c r="R156" s="207"/>
      <c r="S156" s="208"/>
      <c r="T156" s="208"/>
      <c r="U156" s="208"/>
      <c r="V156" s="207"/>
      <c r="W156" s="207"/>
      <c r="X156" s="207"/>
      <c r="Y156" s="209"/>
      <c r="Z156" s="210"/>
      <c r="AA156" s="210"/>
      <c r="AB156" s="210"/>
      <c r="AC156" s="210"/>
      <c r="AD156" s="210"/>
      <c r="AE156" s="207"/>
      <c r="AF156" s="209"/>
      <c r="AG156" s="211"/>
      <c r="AH156"/>
      <c r="AI156"/>
    </row>
    <row r="157" spans="1:35" x14ac:dyDescent="0.3">
      <c r="A157"/>
      <c r="B157"/>
      <c r="C157"/>
      <c r="D157"/>
      <c r="E157"/>
      <c r="F157"/>
      <c r="G157"/>
      <c r="H157"/>
      <c r="I157"/>
      <c r="J157"/>
      <c r="K157"/>
      <c r="L157"/>
      <c r="M157"/>
      <c r="N157"/>
      <c r="O157"/>
      <c r="P157" s="207"/>
      <c r="Q157" s="207"/>
      <c r="R157" s="207"/>
      <c r="S157" s="208"/>
      <c r="T157" s="208"/>
      <c r="U157" s="208"/>
      <c r="V157" s="207"/>
      <c r="W157" s="207"/>
      <c r="X157" s="207"/>
      <c r="Y157" s="209"/>
      <c r="Z157" s="210"/>
      <c r="AA157" s="210"/>
      <c r="AB157" s="210"/>
      <c r="AC157" s="210"/>
      <c r="AD157" s="210"/>
      <c r="AE157" s="207"/>
      <c r="AF157" s="209"/>
      <c r="AG157" s="211"/>
      <c r="AH157"/>
      <c r="AI157"/>
    </row>
    <row r="158" spans="1:35" x14ac:dyDescent="0.3">
      <c r="A158"/>
      <c r="B158"/>
      <c r="C158"/>
      <c r="D158"/>
      <c r="E158"/>
      <c r="F158"/>
      <c r="G158"/>
      <c r="H158"/>
      <c r="I158"/>
      <c r="J158"/>
      <c r="K158"/>
      <c r="L158"/>
      <c r="M158"/>
      <c r="N158"/>
      <c r="O158"/>
      <c r="P158" s="207"/>
      <c r="Q158" s="207"/>
      <c r="R158" s="207"/>
      <c r="S158" s="208"/>
      <c r="T158" s="208"/>
      <c r="U158" s="208"/>
      <c r="V158" s="207"/>
      <c r="W158" s="207"/>
      <c r="X158" s="207"/>
      <c r="Y158" s="209"/>
      <c r="Z158" s="210"/>
      <c r="AA158" s="210"/>
      <c r="AB158" s="210"/>
      <c r="AC158" s="210"/>
      <c r="AD158" s="210"/>
      <c r="AE158" s="207"/>
      <c r="AF158" s="209"/>
      <c r="AG158" s="211"/>
      <c r="AH158"/>
      <c r="AI158"/>
    </row>
    <row r="159" spans="1:35" x14ac:dyDescent="0.3">
      <c r="A159"/>
      <c r="B159"/>
      <c r="C159"/>
      <c r="D159"/>
      <c r="E159"/>
      <c r="F159"/>
      <c r="G159"/>
      <c r="H159"/>
      <c r="I159"/>
      <c r="J159"/>
      <c r="K159"/>
      <c r="L159"/>
      <c r="M159"/>
      <c r="N159"/>
      <c r="O159"/>
      <c r="P159" s="207"/>
      <c r="Q159" s="207"/>
      <c r="R159" s="207"/>
      <c r="S159" s="208"/>
      <c r="T159" s="208"/>
      <c r="U159" s="208"/>
      <c r="V159" s="207"/>
      <c r="W159" s="207"/>
      <c r="X159" s="207"/>
      <c r="Y159" s="209"/>
      <c r="Z159" s="210"/>
      <c r="AA159" s="210"/>
      <c r="AB159" s="210"/>
      <c r="AC159" s="210"/>
      <c r="AD159" s="210"/>
      <c r="AE159" s="207"/>
      <c r="AF159" s="209"/>
      <c r="AG159" s="211"/>
      <c r="AH159"/>
      <c r="AI159"/>
    </row>
    <row r="160" spans="1:35" x14ac:dyDescent="0.3">
      <c r="A160"/>
      <c r="B160"/>
      <c r="C160"/>
      <c r="D160"/>
      <c r="E160"/>
      <c r="F160"/>
      <c r="G160"/>
      <c r="H160"/>
      <c r="I160"/>
      <c r="J160"/>
      <c r="K160"/>
      <c r="L160"/>
      <c r="M160"/>
      <c r="N160"/>
      <c r="O160"/>
      <c r="P160" s="207"/>
      <c r="Q160" s="207"/>
      <c r="R160" s="207"/>
      <c r="S160" s="208"/>
      <c r="T160" s="208"/>
      <c r="U160" s="208"/>
      <c r="V160" s="207"/>
      <c r="W160" s="207"/>
      <c r="X160" s="207"/>
      <c r="Y160" s="209"/>
      <c r="Z160" s="210"/>
      <c r="AA160" s="210"/>
      <c r="AB160" s="210"/>
      <c r="AC160" s="210"/>
      <c r="AD160" s="210"/>
      <c r="AE160" s="207"/>
      <c r="AF160" s="209"/>
      <c r="AG160" s="211"/>
      <c r="AH160"/>
      <c r="AI160"/>
    </row>
    <row r="161" spans="1:35" x14ac:dyDescent="0.3">
      <c r="A161"/>
      <c r="B161"/>
      <c r="C161"/>
      <c r="D161"/>
      <c r="E161"/>
      <c r="F161"/>
      <c r="G161"/>
      <c r="H161"/>
      <c r="I161"/>
      <c r="J161"/>
      <c r="K161"/>
      <c r="L161"/>
      <c r="M161"/>
      <c r="N161"/>
      <c r="O161"/>
      <c r="P161" s="207"/>
      <c r="Q161" s="207"/>
      <c r="R161" s="207"/>
      <c r="S161" s="208"/>
      <c r="T161" s="208"/>
      <c r="U161" s="208"/>
      <c r="V161" s="207"/>
      <c r="W161" s="207"/>
      <c r="X161" s="207"/>
      <c r="Y161" s="209"/>
      <c r="Z161" s="210"/>
      <c r="AA161" s="210"/>
      <c r="AB161" s="210"/>
      <c r="AC161" s="210"/>
      <c r="AD161" s="210"/>
      <c r="AE161" s="207"/>
      <c r="AF161" s="209"/>
      <c r="AG161" s="211"/>
      <c r="AH161"/>
      <c r="AI161"/>
    </row>
    <row r="162" spans="1:35" x14ac:dyDescent="0.3">
      <c r="A162"/>
      <c r="B162"/>
      <c r="C162"/>
      <c r="D162"/>
      <c r="E162"/>
      <c r="F162"/>
      <c r="G162"/>
      <c r="H162"/>
      <c r="I162"/>
      <c r="J162"/>
      <c r="K162"/>
      <c r="L162"/>
      <c r="M162"/>
      <c r="N162"/>
      <c r="O162"/>
      <c r="P162" s="207"/>
      <c r="Q162" s="207"/>
      <c r="R162" s="207"/>
      <c r="S162" s="208"/>
      <c r="T162" s="208"/>
      <c r="U162" s="208"/>
      <c r="V162" s="207"/>
      <c r="W162" s="207"/>
      <c r="X162" s="207"/>
      <c r="Y162" s="209"/>
      <c r="Z162" s="210"/>
      <c r="AA162" s="210"/>
      <c r="AB162" s="210"/>
      <c r="AC162" s="210"/>
      <c r="AD162" s="210"/>
      <c r="AE162" s="207"/>
      <c r="AF162" s="209"/>
      <c r="AG162" s="211"/>
      <c r="AH162"/>
      <c r="AI162"/>
    </row>
    <row r="163" spans="1:35" x14ac:dyDescent="0.3">
      <c r="A163"/>
      <c r="B163"/>
      <c r="C163"/>
      <c r="D163"/>
      <c r="E163"/>
      <c r="F163"/>
      <c r="G163"/>
      <c r="H163"/>
      <c r="I163"/>
      <c r="J163"/>
      <c r="K163"/>
      <c r="L163"/>
      <c r="M163"/>
      <c r="N163"/>
      <c r="O163"/>
      <c r="P163" s="207"/>
      <c r="Q163" s="207"/>
      <c r="R163" s="207"/>
      <c r="S163" s="208"/>
      <c r="T163" s="208"/>
      <c r="U163" s="208"/>
      <c r="V163" s="207"/>
      <c r="W163" s="207"/>
      <c r="X163" s="207"/>
      <c r="Y163" s="209"/>
      <c r="Z163" s="210"/>
      <c r="AA163" s="210"/>
      <c r="AB163" s="210"/>
      <c r="AC163" s="210"/>
      <c r="AD163" s="210"/>
      <c r="AE163" s="207"/>
      <c r="AF163" s="209"/>
      <c r="AG163" s="211"/>
      <c r="AH163"/>
      <c r="AI163"/>
    </row>
    <row r="164" spans="1:35" x14ac:dyDescent="0.3">
      <c r="A164"/>
      <c r="B164"/>
      <c r="C164"/>
      <c r="D164"/>
      <c r="E164"/>
      <c r="F164"/>
      <c r="G164"/>
      <c r="H164"/>
      <c r="I164"/>
      <c r="J164"/>
      <c r="K164"/>
      <c r="L164"/>
      <c r="M164"/>
      <c r="N164"/>
      <c r="O164"/>
      <c r="P164" s="207"/>
      <c r="Q164" s="207"/>
      <c r="R164" s="207"/>
      <c r="S164" s="208"/>
      <c r="T164" s="208"/>
      <c r="U164" s="208"/>
      <c r="V164" s="207"/>
      <c r="W164" s="207"/>
      <c r="X164" s="207"/>
      <c r="Y164" s="209"/>
      <c r="Z164" s="210"/>
      <c r="AA164" s="210"/>
      <c r="AB164" s="210"/>
      <c r="AC164" s="210"/>
      <c r="AD164" s="210"/>
      <c r="AE164" s="207"/>
      <c r="AF164" s="209"/>
      <c r="AG164" s="211"/>
      <c r="AH164"/>
      <c r="AI164"/>
    </row>
    <row r="165" spans="1:35" x14ac:dyDescent="0.3">
      <c r="A165"/>
      <c r="B165"/>
      <c r="C165"/>
      <c r="D165"/>
      <c r="E165"/>
      <c r="F165"/>
      <c r="G165"/>
      <c r="H165"/>
      <c r="I165"/>
      <c r="J165"/>
      <c r="K165"/>
      <c r="L165"/>
      <c r="M165"/>
      <c r="N165"/>
      <c r="O165"/>
      <c r="P165" s="207"/>
      <c r="Q165" s="207"/>
      <c r="R165" s="207"/>
      <c r="S165" s="208"/>
      <c r="T165" s="208"/>
      <c r="U165" s="208"/>
      <c r="V165" s="207"/>
      <c r="W165" s="207"/>
      <c r="X165" s="207"/>
      <c r="Y165" s="209"/>
      <c r="Z165" s="210"/>
      <c r="AA165" s="210"/>
      <c r="AB165" s="210"/>
      <c r="AC165" s="210"/>
      <c r="AD165" s="210"/>
      <c r="AE165" s="207"/>
      <c r="AF165" s="209"/>
      <c r="AG165" s="211"/>
      <c r="AH165"/>
      <c r="AI165"/>
    </row>
    <row r="166" spans="1:35" x14ac:dyDescent="0.3">
      <c r="A166"/>
      <c r="B166"/>
      <c r="C166"/>
      <c r="D166"/>
      <c r="E166"/>
      <c r="F166"/>
      <c r="G166"/>
      <c r="H166"/>
      <c r="I166"/>
      <c r="J166"/>
      <c r="K166"/>
      <c r="L166"/>
      <c r="M166"/>
      <c r="N166"/>
      <c r="O166"/>
      <c r="P166" s="207"/>
      <c r="Q166" s="207"/>
      <c r="R166" s="207"/>
      <c r="S166" s="208"/>
      <c r="T166" s="208"/>
      <c r="U166" s="208"/>
      <c r="V166" s="207"/>
      <c r="W166" s="207"/>
      <c r="X166" s="207"/>
      <c r="Y166" s="209"/>
      <c r="Z166" s="210"/>
      <c r="AA166" s="210"/>
      <c r="AB166" s="210"/>
      <c r="AC166" s="210"/>
      <c r="AD166" s="210"/>
      <c r="AE166" s="207"/>
      <c r="AF166" s="209"/>
      <c r="AG166" s="211"/>
      <c r="AH166"/>
      <c r="AI166"/>
    </row>
    <row r="167" spans="1:35" x14ac:dyDescent="0.3">
      <c r="A167"/>
      <c r="B167"/>
      <c r="C167"/>
      <c r="D167"/>
      <c r="E167"/>
      <c r="F167"/>
      <c r="G167"/>
      <c r="H167"/>
      <c r="I167"/>
      <c r="J167"/>
      <c r="K167"/>
      <c r="L167"/>
      <c r="M167"/>
      <c r="N167"/>
      <c r="O167"/>
      <c r="P167" s="207"/>
      <c r="Q167" s="207"/>
      <c r="R167" s="207"/>
      <c r="S167" s="208"/>
      <c r="T167" s="208"/>
      <c r="U167" s="208"/>
      <c r="V167" s="207"/>
      <c r="W167" s="207"/>
      <c r="X167" s="207"/>
      <c r="Y167" s="209"/>
      <c r="Z167" s="210"/>
      <c r="AA167" s="210"/>
      <c r="AB167" s="210"/>
      <c r="AC167" s="210"/>
      <c r="AD167" s="210"/>
      <c r="AE167" s="207"/>
      <c r="AF167" s="209"/>
      <c r="AG167" s="211"/>
      <c r="AH167"/>
      <c r="AI167"/>
    </row>
    <row r="168" spans="1:35" x14ac:dyDescent="0.3">
      <c r="A168"/>
      <c r="B168"/>
      <c r="C168"/>
      <c r="D168"/>
      <c r="E168"/>
      <c r="F168"/>
      <c r="G168"/>
      <c r="H168"/>
      <c r="I168"/>
      <c r="J168"/>
      <c r="K168"/>
      <c r="L168"/>
      <c r="M168"/>
      <c r="N168"/>
      <c r="O168"/>
      <c r="P168" s="207"/>
      <c r="Q168" s="207"/>
      <c r="R168" s="207"/>
      <c r="S168" s="208"/>
      <c r="T168" s="208"/>
      <c r="U168" s="208"/>
      <c r="V168" s="207"/>
      <c r="W168" s="207"/>
      <c r="X168" s="207"/>
      <c r="Y168" s="209"/>
      <c r="Z168" s="210"/>
      <c r="AA168" s="210"/>
      <c r="AB168" s="210"/>
      <c r="AC168" s="210"/>
      <c r="AD168" s="210"/>
      <c r="AE168" s="207"/>
      <c r="AF168" s="209"/>
      <c r="AG168" s="211"/>
      <c r="AH168"/>
      <c r="AI168"/>
    </row>
    <row r="169" spans="1:35" x14ac:dyDescent="0.3">
      <c r="A169"/>
      <c r="B169"/>
      <c r="C169"/>
      <c r="D169"/>
      <c r="E169"/>
      <c r="F169"/>
      <c r="G169"/>
      <c r="H169"/>
      <c r="I169"/>
      <c r="J169"/>
      <c r="K169"/>
      <c r="L169"/>
      <c r="M169"/>
      <c r="N169"/>
      <c r="O169"/>
      <c r="P169" s="207"/>
      <c r="Q169" s="207"/>
      <c r="R169" s="207"/>
      <c r="S169" s="208"/>
      <c r="T169" s="208"/>
      <c r="U169" s="208"/>
      <c r="V169" s="207"/>
      <c r="W169" s="207"/>
      <c r="X169" s="207"/>
      <c r="Y169" s="209"/>
      <c r="Z169" s="210"/>
      <c r="AA169" s="210"/>
      <c r="AB169" s="210"/>
      <c r="AC169" s="210"/>
      <c r="AD169" s="210"/>
      <c r="AE169" s="207"/>
      <c r="AF169" s="209"/>
      <c r="AG169" s="211"/>
      <c r="AH169"/>
      <c r="AI169"/>
    </row>
    <row r="170" spans="1:35" x14ac:dyDescent="0.3">
      <c r="A170"/>
      <c r="B170"/>
      <c r="C170"/>
      <c r="D170"/>
      <c r="E170"/>
      <c r="F170"/>
      <c r="G170"/>
      <c r="H170"/>
      <c r="I170"/>
      <c r="J170"/>
      <c r="K170"/>
      <c r="L170"/>
      <c r="M170"/>
      <c r="N170"/>
      <c r="O170"/>
      <c r="P170" s="207"/>
      <c r="Q170" s="207"/>
      <c r="R170" s="207"/>
      <c r="S170" s="208"/>
      <c r="T170" s="208"/>
      <c r="U170" s="208"/>
      <c r="V170" s="207"/>
      <c r="W170" s="207"/>
      <c r="X170" s="207"/>
      <c r="Y170" s="209"/>
      <c r="Z170" s="210"/>
      <c r="AA170" s="210"/>
      <c r="AB170" s="210"/>
      <c r="AC170" s="210"/>
      <c r="AD170" s="210"/>
      <c r="AE170" s="207"/>
      <c r="AF170" s="209"/>
      <c r="AG170" s="211"/>
      <c r="AH170"/>
      <c r="AI170"/>
    </row>
    <row r="171" spans="1:35" x14ac:dyDescent="0.3">
      <c r="A171"/>
      <c r="B171"/>
      <c r="C171"/>
      <c r="D171"/>
      <c r="E171"/>
      <c r="F171"/>
      <c r="G171"/>
      <c r="H171"/>
      <c r="I171"/>
      <c r="J171"/>
      <c r="K171"/>
      <c r="L171"/>
      <c r="M171"/>
      <c r="N171"/>
      <c r="O171"/>
      <c r="P171" s="207"/>
      <c r="Q171" s="207"/>
      <c r="R171" s="207"/>
      <c r="S171" s="208"/>
      <c r="T171" s="208"/>
      <c r="U171" s="208"/>
      <c r="V171" s="207"/>
      <c r="W171" s="207"/>
      <c r="X171" s="207"/>
      <c r="Y171" s="209"/>
      <c r="Z171" s="210"/>
      <c r="AA171" s="210"/>
      <c r="AB171" s="210"/>
      <c r="AC171" s="210"/>
      <c r="AD171" s="210"/>
      <c r="AE171" s="207"/>
      <c r="AF171" s="209"/>
      <c r="AG171" s="211"/>
      <c r="AH171"/>
      <c r="AI171"/>
    </row>
    <row r="172" spans="1:35" x14ac:dyDescent="0.3">
      <c r="A172"/>
      <c r="B172"/>
      <c r="C172"/>
      <c r="D172"/>
      <c r="E172"/>
      <c r="F172"/>
      <c r="G172"/>
      <c r="H172"/>
      <c r="I172"/>
      <c r="J172"/>
      <c r="K172"/>
      <c r="L172"/>
      <c r="M172"/>
      <c r="N172"/>
      <c r="O172"/>
      <c r="P172" s="207"/>
      <c r="Q172" s="207"/>
      <c r="R172" s="207"/>
      <c r="S172" s="208"/>
      <c r="T172" s="208"/>
      <c r="U172" s="208"/>
      <c r="V172" s="207"/>
      <c r="W172" s="207"/>
      <c r="X172" s="207"/>
      <c r="Y172" s="209"/>
      <c r="Z172" s="210"/>
      <c r="AA172" s="210"/>
      <c r="AB172" s="210"/>
      <c r="AC172" s="210"/>
      <c r="AD172" s="210"/>
      <c r="AE172" s="207"/>
      <c r="AF172" s="209"/>
      <c r="AG172" s="211"/>
      <c r="AH172"/>
      <c r="AI172"/>
    </row>
    <row r="173" spans="1:35" x14ac:dyDescent="0.3">
      <c r="A173"/>
      <c r="B173"/>
      <c r="C173"/>
      <c r="D173"/>
      <c r="E173"/>
      <c r="F173"/>
      <c r="G173"/>
      <c r="H173"/>
      <c r="I173"/>
      <c r="J173"/>
      <c r="K173"/>
      <c r="L173"/>
      <c r="M173"/>
      <c r="N173"/>
      <c r="O173"/>
      <c r="P173" s="207"/>
      <c r="Q173" s="207"/>
      <c r="R173" s="207"/>
      <c r="S173" s="208"/>
      <c r="T173" s="208"/>
      <c r="U173" s="208"/>
      <c r="V173" s="207"/>
      <c r="W173" s="207"/>
      <c r="X173" s="207"/>
      <c r="Y173" s="209"/>
      <c r="Z173" s="210"/>
      <c r="AA173" s="210"/>
      <c r="AB173" s="210"/>
      <c r="AC173" s="210"/>
      <c r="AD173" s="210"/>
      <c r="AE173" s="207"/>
      <c r="AF173" s="209"/>
      <c r="AG173" s="211"/>
      <c r="AH173"/>
      <c r="AI173"/>
    </row>
    <row r="174" spans="1:35" x14ac:dyDescent="0.3">
      <c r="A174"/>
      <c r="B174"/>
      <c r="C174"/>
      <c r="D174"/>
      <c r="E174"/>
      <c r="F174"/>
      <c r="G174"/>
      <c r="H174"/>
      <c r="I174"/>
      <c r="J174"/>
      <c r="K174"/>
      <c r="L174"/>
      <c r="M174"/>
      <c r="N174"/>
      <c r="O174"/>
      <c r="P174" s="207"/>
      <c r="Q174" s="207"/>
      <c r="R174" s="207"/>
      <c r="S174" s="208"/>
      <c r="T174" s="208"/>
      <c r="U174" s="208"/>
      <c r="V174" s="207"/>
      <c r="W174" s="207"/>
      <c r="X174" s="207"/>
      <c r="Y174" s="209"/>
      <c r="Z174" s="210"/>
      <c r="AA174" s="210"/>
      <c r="AB174" s="210"/>
      <c r="AC174" s="210"/>
      <c r="AD174" s="210"/>
      <c r="AE174" s="207"/>
      <c r="AF174" s="209"/>
      <c r="AG174" s="211"/>
      <c r="AH174"/>
      <c r="AI174"/>
    </row>
    <row r="175" spans="1:35" x14ac:dyDescent="0.3">
      <c r="A175"/>
      <c r="B175"/>
      <c r="C175"/>
      <c r="D175"/>
      <c r="E175"/>
      <c r="F175"/>
      <c r="G175"/>
      <c r="H175"/>
      <c r="I175"/>
      <c r="J175"/>
      <c r="K175"/>
      <c r="L175"/>
      <c r="M175"/>
      <c r="N175"/>
      <c r="O175"/>
      <c r="P175" s="207"/>
      <c r="Q175" s="207"/>
      <c r="R175" s="207"/>
      <c r="S175" s="208"/>
      <c r="T175" s="208"/>
      <c r="U175" s="208"/>
      <c r="V175" s="207"/>
      <c r="W175" s="207"/>
      <c r="X175" s="207"/>
      <c r="Y175" s="209"/>
      <c r="Z175" s="210"/>
      <c r="AA175" s="210"/>
      <c r="AB175" s="210"/>
      <c r="AC175" s="210"/>
      <c r="AD175" s="210"/>
      <c r="AE175" s="207"/>
      <c r="AF175" s="209"/>
      <c r="AG175" s="211"/>
      <c r="AH175"/>
      <c r="AI175"/>
    </row>
    <row r="176" spans="1:35" x14ac:dyDescent="0.3">
      <c r="A176"/>
      <c r="B176"/>
      <c r="C176"/>
      <c r="D176"/>
      <c r="E176"/>
      <c r="F176"/>
      <c r="G176"/>
      <c r="H176"/>
      <c r="I176"/>
      <c r="J176"/>
      <c r="K176"/>
      <c r="L176"/>
      <c r="M176"/>
      <c r="N176"/>
      <c r="O176"/>
      <c r="P176" s="207"/>
      <c r="Q176" s="207"/>
      <c r="R176" s="207"/>
      <c r="S176" s="208"/>
      <c r="T176" s="208"/>
      <c r="U176" s="208"/>
      <c r="V176" s="207"/>
      <c r="W176" s="207"/>
      <c r="X176" s="207"/>
      <c r="Y176" s="209"/>
      <c r="Z176" s="210"/>
      <c r="AA176" s="210"/>
      <c r="AB176" s="210"/>
      <c r="AC176" s="210"/>
      <c r="AD176" s="210"/>
      <c r="AE176" s="207"/>
      <c r="AF176" s="209"/>
      <c r="AG176" s="211"/>
      <c r="AH176"/>
      <c r="AI176"/>
    </row>
    <row r="177" spans="1:35" x14ac:dyDescent="0.3">
      <c r="A177"/>
      <c r="B177"/>
      <c r="C177"/>
      <c r="D177"/>
      <c r="E177"/>
      <c r="F177"/>
      <c r="G177"/>
      <c r="H177"/>
      <c r="I177"/>
      <c r="J177"/>
      <c r="K177"/>
      <c r="L177"/>
      <c r="M177"/>
      <c r="N177"/>
      <c r="O177"/>
      <c r="P177" s="207"/>
      <c r="Q177" s="207"/>
      <c r="R177" s="207"/>
      <c r="S177" s="208"/>
      <c r="T177" s="208"/>
      <c r="U177" s="208"/>
      <c r="V177" s="207"/>
      <c r="W177" s="207"/>
      <c r="X177" s="207"/>
      <c r="Y177" s="209"/>
      <c r="Z177" s="210"/>
      <c r="AA177" s="210"/>
      <c r="AB177" s="210"/>
      <c r="AC177" s="210"/>
      <c r="AD177" s="210"/>
      <c r="AE177" s="207"/>
      <c r="AF177" s="209"/>
      <c r="AG177" s="211"/>
      <c r="AH177"/>
      <c r="AI177"/>
    </row>
    <row r="178" spans="1:35" x14ac:dyDescent="0.3">
      <c r="A178"/>
      <c r="B178"/>
      <c r="C178"/>
      <c r="D178"/>
      <c r="E178"/>
      <c r="F178"/>
      <c r="G178"/>
      <c r="H178"/>
      <c r="I178"/>
      <c r="J178"/>
      <c r="K178"/>
      <c r="L178"/>
      <c r="M178"/>
      <c r="N178"/>
      <c r="O178"/>
      <c r="P178" s="207"/>
      <c r="Q178" s="207"/>
      <c r="R178" s="207"/>
      <c r="S178" s="208"/>
      <c r="T178" s="208"/>
      <c r="U178" s="208"/>
      <c r="V178" s="207"/>
      <c r="W178" s="207"/>
      <c r="X178" s="207"/>
      <c r="Y178" s="209"/>
      <c r="Z178" s="210"/>
      <c r="AA178" s="210"/>
      <c r="AB178" s="210"/>
      <c r="AC178" s="210"/>
      <c r="AD178" s="210"/>
      <c r="AE178" s="207"/>
      <c r="AF178" s="209"/>
      <c r="AG178" s="211"/>
      <c r="AH178"/>
      <c r="AI178"/>
    </row>
    <row r="179" spans="1:35" x14ac:dyDescent="0.3">
      <c r="A179"/>
      <c r="B179"/>
      <c r="C179"/>
      <c r="D179"/>
      <c r="E179"/>
      <c r="F179"/>
      <c r="G179"/>
      <c r="H179"/>
      <c r="I179"/>
      <c r="J179"/>
      <c r="K179"/>
      <c r="L179"/>
      <c r="M179"/>
      <c r="N179"/>
      <c r="O179"/>
      <c r="P179" s="207"/>
      <c r="Q179" s="207"/>
      <c r="R179" s="207"/>
      <c r="S179" s="208"/>
      <c r="T179" s="208"/>
      <c r="U179" s="208"/>
      <c r="V179" s="207"/>
      <c r="W179" s="207"/>
      <c r="X179" s="207"/>
      <c r="Y179" s="209"/>
      <c r="Z179" s="210"/>
      <c r="AA179" s="210"/>
      <c r="AB179" s="210"/>
      <c r="AC179" s="210"/>
      <c r="AD179" s="210"/>
      <c r="AE179" s="207"/>
      <c r="AF179" s="209"/>
      <c r="AG179" s="211"/>
      <c r="AH179"/>
      <c r="AI179"/>
    </row>
    <row r="180" spans="1:35" x14ac:dyDescent="0.3">
      <c r="A180"/>
      <c r="B180"/>
      <c r="C180"/>
      <c r="D180"/>
      <c r="E180"/>
      <c r="F180"/>
      <c r="G180"/>
      <c r="H180"/>
      <c r="I180"/>
      <c r="J180"/>
      <c r="K180"/>
      <c r="L180"/>
      <c r="M180"/>
      <c r="N180"/>
      <c r="O180"/>
      <c r="P180" s="207"/>
      <c r="Q180" s="207"/>
      <c r="R180" s="207"/>
      <c r="S180" s="208"/>
      <c r="T180" s="208"/>
      <c r="U180" s="208"/>
      <c r="V180" s="207"/>
      <c r="W180" s="207"/>
      <c r="X180" s="207"/>
      <c r="Y180" s="209"/>
      <c r="Z180" s="210"/>
      <c r="AA180" s="210"/>
      <c r="AB180" s="210"/>
      <c r="AC180" s="210"/>
      <c r="AD180" s="210"/>
      <c r="AE180" s="207"/>
      <c r="AF180" s="209"/>
      <c r="AG180" s="211"/>
      <c r="AH180"/>
      <c r="AI180"/>
    </row>
    <row r="181" spans="1:35" x14ac:dyDescent="0.3">
      <c r="A181"/>
      <c r="B181"/>
      <c r="C181"/>
      <c r="D181"/>
      <c r="E181"/>
      <c r="F181"/>
      <c r="G181"/>
      <c r="H181"/>
      <c r="I181"/>
      <c r="J181"/>
      <c r="K181"/>
      <c r="L181"/>
      <c r="M181"/>
      <c r="N181"/>
      <c r="O181"/>
      <c r="P181" s="207"/>
      <c r="Q181" s="207"/>
      <c r="R181" s="207"/>
      <c r="S181" s="208"/>
      <c r="T181" s="208"/>
      <c r="U181" s="208"/>
      <c r="V181" s="207"/>
      <c r="W181" s="207"/>
      <c r="X181" s="207"/>
      <c r="Y181" s="209"/>
      <c r="Z181" s="210"/>
      <c r="AA181" s="210"/>
      <c r="AB181" s="210"/>
      <c r="AC181" s="210"/>
      <c r="AD181" s="210"/>
      <c r="AE181" s="207"/>
      <c r="AF181" s="209"/>
      <c r="AG181" s="211"/>
      <c r="AH181"/>
      <c r="AI181"/>
    </row>
    <row r="182" spans="1:35" x14ac:dyDescent="0.3">
      <c r="A182"/>
      <c r="B182"/>
      <c r="C182"/>
      <c r="D182"/>
      <c r="E182"/>
      <c r="F182"/>
      <c r="G182"/>
      <c r="H182"/>
      <c r="I182"/>
      <c r="J182"/>
      <c r="K182"/>
      <c r="L182"/>
      <c r="M182"/>
      <c r="N182"/>
      <c r="O182"/>
      <c r="P182" s="207"/>
      <c r="Q182" s="207"/>
      <c r="R182" s="207"/>
      <c r="S182" s="208"/>
      <c r="T182" s="208"/>
      <c r="U182" s="208"/>
      <c r="V182" s="207"/>
      <c r="W182" s="207"/>
      <c r="X182" s="207"/>
      <c r="Y182" s="209"/>
      <c r="Z182" s="210"/>
      <c r="AA182" s="210"/>
      <c r="AB182" s="210"/>
      <c r="AC182" s="210"/>
      <c r="AD182" s="210"/>
      <c r="AE182" s="207"/>
      <c r="AF182" s="209"/>
      <c r="AG182" s="211"/>
      <c r="AH182"/>
      <c r="AI182"/>
    </row>
    <row r="183" spans="1:35" x14ac:dyDescent="0.3">
      <c r="A183"/>
      <c r="B183"/>
      <c r="C183"/>
      <c r="D183"/>
      <c r="E183"/>
      <c r="F183"/>
      <c r="G183"/>
      <c r="H183"/>
      <c r="I183"/>
      <c r="J183"/>
      <c r="K183"/>
      <c r="L183"/>
      <c r="M183"/>
      <c r="N183"/>
      <c r="O183"/>
      <c r="P183" s="207"/>
      <c r="Q183" s="207"/>
      <c r="R183" s="207"/>
      <c r="S183" s="208"/>
      <c r="T183" s="208"/>
      <c r="U183" s="208"/>
      <c r="V183" s="207"/>
      <c r="W183" s="207"/>
      <c r="X183" s="207"/>
      <c r="Y183" s="209"/>
      <c r="Z183" s="210"/>
      <c r="AA183" s="210"/>
      <c r="AB183" s="210"/>
      <c r="AC183" s="210"/>
      <c r="AD183" s="210"/>
      <c r="AE183" s="207"/>
      <c r="AF183" s="209"/>
      <c r="AG183" s="211"/>
      <c r="AH183"/>
      <c r="AI183"/>
    </row>
    <row r="184" spans="1:35" x14ac:dyDescent="0.3">
      <c r="A184"/>
      <c r="B184"/>
      <c r="C184"/>
      <c r="D184"/>
      <c r="E184"/>
      <c r="F184"/>
      <c r="G184"/>
      <c r="H184"/>
      <c r="I184"/>
      <c r="J184"/>
      <c r="K184"/>
      <c r="L184"/>
      <c r="M184"/>
      <c r="N184"/>
      <c r="O184"/>
      <c r="P184" s="207"/>
      <c r="Q184" s="207"/>
      <c r="R184" s="207"/>
      <c r="S184" s="208"/>
      <c r="T184" s="208"/>
      <c r="U184" s="208"/>
      <c r="V184" s="207"/>
      <c r="W184" s="207"/>
      <c r="X184" s="207"/>
      <c r="Y184" s="209"/>
      <c r="Z184" s="210"/>
      <c r="AA184" s="210"/>
      <c r="AB184" s="210"/>
      <c r="AC184" s="210"/>
      <c r="AD184" s="210"/>
      <c r="AE184" s="207"/>
      <c r="AF184" s="209"/>
      <c r="AG184" s="211"/>
      <c r="AH184"/>
      <c r="AI184"/>
    </row>
    <row r="185" spans="1:35" x14ac:dyDescent="0.3">
      <c r="A185"/>
      <c r="B185"/>
      <c r="C185"/>
      <c r="D185"/>
      <c r="E185"/>
      <c r="F185"/>
      <c r="G185"/>
      <c r="H185"/>
      <c r="I185"/>
      <c r="J185"/>
      <c r="K185"/>
      <c r="L185"/>
      <c r="M185"/>
      <c r="N185"/>
      <c r="O185"/>
      <c r="P185" s="207"/>
      <c r="Q185" s="207"/>
      <c r="R185" s="207"/>
      <c r="S185" s="208"/>
      <c r="T185" s="208"/>
      <c r="U185" s="208"/>
      <c r="V185" s="207"/>
      <c r="W185" s="207"/>
      <c r="X185" s="207"/>
      <c r="Y185" s="209"/>
      <c r="Z185" s="210"/>
      <c r="AA185" s="210"/>
      <c r="AB185" s="210"/>
      <c r="AC185" s="210"/>
      <c r="AD185" s="210"/>
      <c r="AE185" s="207"/>
      <c r="AF185" s="209"/>
      <c r="AG185" s="211"/>
      <c r="AH185"/>
      <c r="AI185"/>
    </row>
    <row r="186" spans="1:35" x14ac:dyDescent="0.3">
      <c r="A186"/>
      <c r="B186"/>
      <c r="C186"/>
      <c r="D186"/>
      <c r="E186"/>
      <c r="F186"/>
      <c r="G186"/>
      <c r="H186"/>
      <c r="I186"/>
      <c r="J186"/>
      <c r="K186"/>
      <c r="L186"/>
      <c r="M186"/>
      <c r="N186"/>
      <c r="O186"/>
      <c r="P186" s="207"/>
      <c r="Q186" s="207"/>
      <c r="R186" s="207"/>
      <c r="S186" s="208"/>
      <c r="T186" s="208"/>
      <c r="U186" s="208"/>
      <c r="V186" s="207"/>
      <c r="W186" s="207"/>
      <c r="X186" s="207"/>
      <c r="Y186" s="209"/>
      <c r="Z186" s="210"/>
      <c r="AA186" s="210"/>
      <c r="AB186" s="210"/>
      <c r="AC186" s="210"/>
      <c r="AD186" s="210"/>
      <c r="AE186" s="207"/>
      <c r="AF186" s="209"/>
      <c r="AG186" s="211"/>
      <c r="AH186"/>
      <c r="AI186"/>
    </row>
    <row r="187" spans="1:35" x14ac:dyDescent="0.3">
      <c r="A187"/>
      <c r="B187"/>
      <c r="C187"/>
      <c r="D187"/>
      <c r="E187"/>
      <c r="F187"/>
      <c r="G187"/>
      <c r="H187"/>
      <c r="I187"/>
      <c r="J187"/>
      <c r="K187"/>
      <c r="L187"/>
      <c r="M187"/>
      <c r="N187"/>
      <c r="O187"/>
      <c r="P187" s="207"/>
      <c r="Q187" s="207"/>
      <c r="R187" s="207"/>
      <c r="S187" s="208"/>
      <c r="T187" s="208"/>
      <c r="U187" s="208"/>
      <c r="V187" s="207"/>
      <c r="W187" s="207"/>
      <c r="X187" s="207"/>
      <c r="Y187" s="209"/>
      <c r="Z187" s="210"/>
      <c r="AA187" s="210"/>
      <c r="AB187" s="210"/>
      <c r="AC187" s="210"/>
      <c r="AD187" s="210"/>
      <c r="AE187" s="207"/>
      <c r="AF187" s="209"/>
      <c r="AG187" s="211"/>
      <c r="AH187"/>
      <c r="AI187"/>
    </row>
    <row r="188" spans="1:35" x14ac:dyDescent="0.3">
      <c r="A188"/>
      <c r="B188"/>
      <c r="C188"/>
      <c r="D188"/>
      <c r="E188"/>
      <c r="F188"/>
      <c r="G188"/>
      <c r="H188"/>
      <c r="I188"/>
      <c r="J188"/>
      <c r="K188"/>
      <c r="L188"/>
      <c r="M188"/>
      <c r="N188"/>
      <c r="O188"/>
      <c r="P188" s="207"/>
      <c r="Q188" s="207"/>
      <c r="R188" s="207"/>
      <c r="S188" s="208"/>
      <c r="T188" s="208"/>
      <c r="U188" s="208"/>
      <c r="V188" s="207"/>
      <c r="W188" s="207"/>
      <c r="X188" s="207"/>
      <c r="Y188" s="209"/>
      <c r="Z188" s="210"/>
      <c r="AA188" s="210"/>
      <c r="AB188" s="210"/>
      <c r="AC188" s="210"/>
      <c r="AD188" s="210"/>
      <c r="AE188" s="207"/>
      <c r="AF188" s="209"/>
      <c r="AG188" s="211"/>
      <c r="AH188"/>
      <c r="AI188"/>
    </row>
    <row r="189" spans="1:35" x14ac:dyDescent="0.3">
      <c r="A189"/>
      <c r="B189"/>
      <c r="C189"/>
      <c r="D189"/>
      <c r="E189"/>
      <c r="F189"/>
      <c r="G189"/>
      <c r="H189"/>
      <c r="I189"/>
      <c r="J189"/>
      <c r="K189"/>
      <c r="L189"/>
      <c r="M189"/>
      <c r="N189"/>
      <c r="O189"/>
      <c r="P189" s="207"/>
      <c r="Q189" s="207"/>
      <c r="R189" s="207"/>
      <c r="S189" s="208"/>
      <c r="T189" s="208"/>
      <c r="U189" s="208"/>
      <c r="V189" s="207"/>
      <c r="W189" s="207"/>
      <c r="X189" s="207"/>
      <c r="Y189" s="209"/>
      <c r="Z189" s="210"/>
      <c r="AA189" s="210"/>
      <c r="AB189" s="210"/>
      <c r="AC189" s="210"/>
      <c r="AD189" s="210"/>
      <c r="AE189" s="207"/>
      <c r="AF189" s="209"/>
      <c r="AG189" s="211"/>
      <c r="AH189"/>
      <c r="AI189"/>
    </row>
    <row r="190" spans="1:35" x14ac:dyDescent="0.3">
      <c r="A190"/>
      <c r="B190"/>
      <c r="C190"/>
      <c r="D190"/>
      <c r="E190"/>
      <c r="F190"/>
      <c r="G190"/>
      <c r="H190"/>
      <c r="I190"/>
      <c r="J190"/>
      <c r="K190"/>
      <c r="L190"/>
      <c r="M190"/>
      <c r="N190"/>
      <c r="O190"/>
      <c r="P190" s="207"/>
      <c r="Q190" s="207"/>
      <c r="R190" s="207"/>
      <c r="S190" s="208"/>
      <c r="T190" s="208"/>
      <c r="U190" s="208"/>
      <c r="V190" s="207"/>
      <c r="W190" s="207"/>
      <c r="X190" s="207"/>
      <c r="Y190" s="209"/>
      <c r="Z190" s="210"/>
      <c r="AA190" s="210"/>
      <c r="AB190" s="210"/>
      <c r="AC190" s="210"/>
      <c r="AD190" s="210"/>
      <c r="AE190" s="207"/>
      <c r="AF190" s="209"/>
      <c r="AG190" s="211"/>
      <c r="AH190"/>
      <c r="AI190"/>
    </row>
    <row r="191" spans="1:35" x14ac:dyDescent="0.3">
      <c r="A191"/>
      <c r="B191"/>
      <c r="C191"/>
      <c r="D191"/>
      <c r="E191"/>
      <c r="F191"/>
      <c r="G191"/>
      <c r="H191"/>
      <c r="I191"/>
      <c r="J191"/>
      <c r="K191"/>
      <c r="L191"/>
      <c r="M191"/>
      <c r="N191"/>
      <c r="O191"/>
      <c r="P191" s="207"/>
      <c r="Q191" s="207"/>
      <c r="R191" s="207"/>
      <c r="S191" s="208"/>
      <c r="T191" s="208"/>
      <c r="U191" s="208"/>
      <c r="V191" s="207"/>
      <c r="W191" s="207"/>
      <c r="X191" s="207"/>
      <c r="Y191" s="209"/>
      <c r="Z191" s="210"/>
      <c r="AA191" s="210"/>
      <c r="AB191" s="210"/>
      <c r="AC191" s="210"/>
      <c r="AD191" s="210"/>
      <c r="AE191" s="207"/>
      <c r="AF191" s="209"/>
      <c r="AG191" s="211"/>
      <c r="AH191"/>
      <c r="AI191"/>
    </row>
    <row r="192" spans="1:35" x14ac:dyDescent="0.3">
      <c r="A192"/>
      <c r="B192"/>
      <c r="C192"/>
      <c r="D192"/>
      <c r="E192"/>
      <c r="F192"/>
      <c r="G192"/>
      <c r="H192"/>
      <c r="I192"/>
      <c r="J192"/>
      <c r="K192"/>
      <c r="L192"/>
      <c r="M192"/>
      <c r="N192"/>
      <c r="O192"/>
      <c r="P192" s="207"/>
      <c r="Q192" s="207"/>
      <c r="R192" s="207"/>
      <c r="S192" s="208"/>
      <c r="T192" s="208"/>
      <c r="U192" s="208"/>
      <c r="V192" s="207"/>
      <c r="W192" s="207"/>
      <c r="X192" s="207"/>
      <c r="Y192" s="209"/>
      <c r="Z192" s="210"/>
      <c r="AA192" s="210"/>
      <c r="AB192" s="210"/>
      <c r="AC192" s="210"/>
      <c r="AD192" s="210"/>
      <c r="AE192" s="207"/>
      <c r="AF192" s="209"/>
      <c r="AG192" s="211"/>
      <c r="AH192"/>
      <c r="AI192"/>
    </row>
    <row r="193" spans="1:35" x14ac:dyDescent="0.3">
      <c r="A193"/>
      <c r="B193"/>
      <c r="C193"/>
      <c r="D193"/>
      <c r="E193"/>
      <c r="F193"/>
      <c r="G193"/>
      <c r="H193"/>
      <c r="I193"/>
      <c r="J193"/>
      <c r="K193"/>
      <c r="L193"/>
      <c r="M193"/>
      <c r="N193"/>
      <c r="O193"/>
      <c r="P193" s="207"/>
      <c r="Q193" s="207"/>
      <c r="R193" s="207"/>
      <c r="S193" s="208"/>
      <c r="T193" s="208"/>
      <c r="U193" s="208"/>
      <c r="V193" s="207"/>
      <c r="W193" s="207"/>
      <c r="X193" s="207"/>
      <c r="Y193" s="209"/>
      <c r="Z193" s="210"/>
      <c r="AA193" s="210"/>
      <c r="AB193" s="210"/>
      <c r="AC193" s="210"/>
      <c r="AD193" s="210"/>
      <c r="AE193" s="207"/>
      <c r="AF193" s="209"/>
      <c r="AG193" s="211"/>
      <c r="AH193"/>
      <c r="AI193"/>
    </row>
    <row r="194" spans="1:35" x14ac:dyDescent="0.3">
      <c r="A194"/>
      <c r="B194"/>
      <c r="C194"/>
      <c r="D194"/>
      <c r="E194"/>
      <c r="F194"/>
      <c r="G194"/>
      <c r="H194"/>
      <c r="I194"/>
      <c r="J194"/>
      <c r="K194"/>
      <c r="L194"/>
      <c r="M194"/>
      <c r="N194"/>
      <c r="O194"/>
      <c r="P194" s="207"/>
      <c r="Q194" s="207"/>
      <c r="R194" s="207"/>
      <c r="S194" s="208"/>
      <c r="T194" s="208"/>
      <c r="U194" s="208"/>
      <c r="V194" s="207"/>
      <c r="W194" s="207"/>
      <c r="X194" s="207"/>
      <c r="Y194" s="209"/>
      <c r="Z194" s="210"/>
      <c r="AA194" s="210"/>
      <c r="AB194" s="210"/>
      <c r="AC194" s="210"/>
      <c r="AD194" s="210"/>
      <c r="AE194" s="207"/>
      <c r="AF194" s="209"/>
      <c r="AG194" s="211"/>
      <c r="AH194"/>
      <c r="AI194"/>
    </row>
    <row r="195" spans="1:35" x14ac:dyDescent="0.3">
      <c r="A195"/>
      <c r="B195"/>
      <c r="C195"/>
      <c r="D195"/>
      <c r="E195"/>
      <c r="F195"/>
      <c r="G195"/>
      <c r="H195"/>
      <c r="I195"/>
      <c r="J195"/>
      <c r="K195"/>
      <c r="L195"/>
      <c r="M195"/>
      <c r="N195"/>
      <c r="O195"/>
      <c r="P195" s="207"/>
      <c r="Q195" s="207"/>
      <c r="R195" s="207"/>
      <c r="S195" s="208"/>
      <c r="T195" s="208"/>
      <c r="U195" s="208"/>
      <c r="V195" s="207"/>
      <c r="W195" s="207"/>
      <c r="X195" s="207"/>
      <c r="Y195" s="209"/>
      <c r="Z195" s="210"/>
      <c r="AA195" s="210"/>
      <c r="AB195" s="210"/>
      <c r="AC195" s="210"/>
      <c r="AD195" s="210"/>
      <c r="AE195" s="207"/>
      <c r="AF195" s="209"/>
      <c r="AG195" s="211"/>
      <c r="AH195"/>
      <c r="AI195"/>
    </row>
    <row r="196" spans="1:35" x14ac:dyDescent="0.3">
      <c r="A196"/>
      <c r="B196"/>
      <c r="C196"/>
      <c r="D196"/>
      <c r="E196"/>
      <c r="F196"/>
      <c r="G196"/>
      <c r="H196"/>
      <c r="I196"/>
      <c r="J196"/>
      <c r="K196"/>
      <c r="L196"/>
      <c r="M196"/>
      <c r="N196"/>
      <c r="O196"/>
      <c r="P196" s="207"/>
      <c r="Q196" s="207"/>
      <c r="R196" s="207"/>
      <c r="S196" s="208"/>
      <c r="T196" s="208"/>
      <c r="U196" s="208"/>
      <c r="V196" s="207"/>
      <c r="W196" s="207"/>
      <c r="X196" s="207"/>
      <c r="Y196" s="209"/>
      <c r="Z196" s="210"/>
      <c r="AA196" s="210"/>
      <c r="AB196" s="210"/>
      <c r="AC196" s="210"/>
      <c r="AD196" s="210"/>
      <c r="AE196" s="207"/>
      <c r="AF196" s="209"/>
      <c r="AG196" s="211"/>
      <c r="AH196"/>
      <c r="AI196"/>
    </row>
    <row r="197" spans="1:35" x14ac:dyDescent="0.3">
      <c r="A197"/>
      <c r="B197"/>
      <c r="C197"/>
      <c r="D197"/>
      <c r="E197"/>
      <c r="F197"/>
      <c r="G197"/>
      <c r="H197"/>
      <c r="I197"/>
      <c r="J197"/>
      <c r="K197"/>
      <c r="L197"/>
      <c r="M197"/>
      <c r="N197"/>
      <c r="O197"/>
      <c r="P197" s="207"/>
      <c r="Q197" s="207"/>
      <c r="R197" s="207"/>
      <c r="S197" s="208"/>
      <c r="T197" s="208"/>
      <c r="U197" s="208"/>
      <c r="V197" s="207"/>
      <c r="W197" s="207"/>
      <c r="X197" s="207"/>
      <c r="Y197" s="209"/>
      <c r="Z197" s="210"/>
      <c r="AA197" s="210"/>
      <c r="AB197" s="210"/>
      <c r="AC197" s="210"/>
      <c r="AD197" s="210"/>
      <c r="AE197" s="207"/>
      <c r="AF197" s="209"/>
      <c r="AG197" s="211"/>
      <c r="AH197"/>
      <c r="AI197"/>
    </row>
    <row r="198" spans="1:35" x14ac:dyDescent="0.3">
      <c r="A198"/>
      <c r="B198"/>
      <c r="C198"/>
      <c r="D198"/>
      <c r="E198"/>
      <c r="F198"/>
      <c r="G198"/>
      <c r="H198"/>
      <c r="I198"/>
      <c r="J198"/>
      <c r="K198"/>
      <c r="L198"/>
      <c r="M198"/>
      <c r="N198"/>
      <c r="O198"/>
      <c r="P198" s="207"/>
      <c r="Q198" s="207"/>
      <c r="R198" s="207"/>
      <c r="S198" s="208"/>
      <c r="T198" s="208"/>
      <c r="U198" s="208"/>
      <c r="V198" s="207"/>
      <c r="W198" s="207"/>
      <c r="X198" s="207"/>
      <c r="Y198" s="209"/>
      <c r="Z198" s="210"/>
      <c r="AA198" s="210"/>
      <c r="AB198" s="210"/>
      <c r="AC198" s="210"/>
      <c r="AD198" s="210"/>
      <c r="AE198" s="207"/>
      <c r="AF198" s="209"/>
      <c r="AG198" s="211"/>
      <c r="AH198"/>
      <c r="AI198"/>
    </row>
    <row r="199" spans="1:35" x14ac:dyDescent="0.3">
      <c r="A199"/>
      <c r="B199"/>
      <c r="C199"/>
      <c r="D199"/>
      <c r="E199"/>
      <c r="F199"/>
      <c r="G199"/>
      <c r="H199"/>
      <c r="I199"/>
      <c r="J199"/>
      <c r="K199"/>
      <c r="L199"/>
      <c r="M199"/>
      <c r="N199"/>
      <c r="O199"/>
      <c r="P199" s="207"/>
      <c r="Q199" s="207"/>
      <c r="R199" s="207"/>
      <c r="S199" s="208"/>
      <c r="T199" s="208"/>
      <c r="U199" s="208"/>
      <c r="V199" s="207"/>
      <c r="W199" s="207"/>
      <c r="X199" s="207"/>
      <c r="Y199" s="209"/>
      <c r="Z199" s="210"/>
      <c r="AA199" s="210"/>
      <c r="AB199" s="210"/>
      <c r="AC199" s="210"/>
      <c r="AD199" s="210"/>
      <c r="AE199" s="207"/>
      <c r="AF199" s="209"/>
      <c r="AG199" s="211"/>
      <c r="AH199"/>
      <c r="AI199"/>
    </row>
    <row r="200" spans="1:35" x14ac:dyDescent="0.3">
      <c r="A200"/>
      <c r="B200"/>
      <c r="C200"/>
      <c r="D200"/>
      <c r="E200"/>
      <c r="F200"/>
      <c r="G200"/>
      <c r="H200"/>
      <c r="I200"/>
      <c r="J200"/>
      <c r="K200"/>
      <c r="L200"/>
      <c r="M200"/>
      <c r="N200"/>
      <c r="O200"/>
      <c r="P200" s="207"/>
      <c r="Q200" s="207"/>
      <c r="R200" s="207"/>
      <c r="S200" s="208"/>
      <c r="T200" s="208"/>
      <c r="U200" s="208"/>
      <c r="V200" s="207"/>
      <c r="W200" s="207"/>
      <c r="X200" s="207"/>
      <c r="Y200" s="209"/>
      <c r="Z200" s="210"/>
      <c r="AA200" s="210"/>
      <c r="AB200" s="210"/>
      <c r="AC200" s="210"/>
      <c r="AD200" s="210"/>
      <c r="AE200" s="207"/>
      <c r="AF200" s="209"/>
      <c r="AG200" s="211"/>
      <c r="AH200"/>
      <c r="AI200"/>
    </row>
    <row r="201" spans="1:35" x14ac:dyDescent="0.3">
      <c r="A201"/>
      <c r="B201"/>
      <c r="C201"/>
      <c r="D201"/>
      <c r="E201"/>
      <c r="F201"/>
      <c r="G201"/>
      <c r="H201"/>
      <c r="I201"/>
      <c r="J201"/>
      <c r="K201"/>
      <c r="L201"/>
      <c r="M201"/>
      <c r="N201"/>
      <c r="O201"/>
      <c r="P201" s="207"/>
      <c r="Q201" s="207"/>
      <c r="R201" s="207"/>
      <c r="S201" s="208"/>
      <c r="T201" s="208"/>
      <c r="U201" s="208"/>
      <c r="V201" s="207"/>
      <c r="W201" s="207"/>
      <c r="X201" s="207"/>
      <c r="Y201" s="209"/>
      <c r="Z201" s="210"/>
      <c r="AA201" s="210"/>
      <c r="AB201" s="210"/>
      <c r="AC201" s="210"/>
      <c r="AD201" s="210"/>
      <c r="AE201" s="207"/>
      <c r="AF201" s="209"/>
      <c r="AG201" s="211"/>
      <c r="AH201"/>
      <c r="AI201"/>
    </row>
    <row r="202" spans="1:35" x14ac:dyDescent="0.3">
      <c r="A202"/>
      <c r="B202"/>
      <c r="C202"/>
      <c r="D202"/>
      <c r="E202"/>
      <c r="F202"/>
      <c r="G202"/>
      <c r="H202"/>
      <c r="I202"/>
      <c r="J202"/>
      <c r="K202"/>
      <c r="L202"/>
      <c r="M202"/>
      <c r="N202"/>
      <c r="O202"/>
      <c r="P202" s="207"/>
      <c r="Q202" s="207"/>
      <c r="R202" s="207"/>
      <c r="S202" s="208"/>
      <c r="T202" s="208"/>
      <c r="U202" s="208"/>
      <c r="V202" s="207"/>
      <c r="W202" s="207"/>
      <c r="X202" s="207"/>
      <c r="Y202" s="209"/>
      <c r="Z202" s="210"/>
      <c r="AA202" s="210"/>
      <c r="AB202" s="210"/>
      <c r="AC202" s="210"/>
      <c r="AD202" s="210"/>
      <c r="AE202" s="207"/>
      <c r="AF202" s="209"/>
      <c r="AG202" s="211"/>
      <c r="AH202"/>
      <c r="AI202"/>
    </row>
    <row r="203" spans="1:35" x14ac:dyDescent="0.3">
      <c r="A203"/>
      <c r="B203"/>
      <c r="C203"/>
      <c r="D203"/>
      <c r="E203"/>
      <c r="F203"/>
      <c r="G203"/>
      <c r="H203"/>
      <c r="I203"/>
      <c r="J203"/>
      <c r="K203"/>
      <c r="L203"/>
      <c r="M203"/>
      <c r="N203"/>
      <c r="O203"/>
      <c r="P203" s="207"/>
      <c r="Q203" s="207"/>
      <c r="R203" s="207"/>
      <c r="S203" s="208"/>
      <c r="T203" s="208"/>
      <c r="U203" s="208"/>
      <c r="V203" s="207"/>
      <c r="W203" s="207"/>
      <c r="X203" s="207"/>
      <c r="Y203" s="209"/>
      <c r="Z203" s="210"/>
      <c r="AA203" s="210"/>
      <c r="AB203" s="210"/>
      <c r="AC203" s="210"/>
      <c r="AD203" s="210"/>
      <c r="AE203" s="207"/>
      <c r="AF203" s="209"/>
      <c r="AG203" s="211"/>
      <c r="AH203"/>
      <c r="AI203"/>
    </row>
    <row r="204" spans="1:35" x14ac:dyDescent="0.3">
      <c r="A204"/>
      <c r="B204"/>
      <c r="C204"/>
      <c r="D204"/>
      <c r="E204"/>
      <c r="F204"/>
      <c r="G204"/>
      <c r="H204"/>
      <c r="I204"/>
      <c r="J204"/>
      <c r="K204"/>
      <c r="L204"/>
      <c r="M204"/>
      <c r="N204"/>
      <c r="O204"/>
      <c r="P204" s="207"/>
      <c r="Q204" s="207"/>
      <c r="R204" s="207"/>
      <c r="S204" s="208"/>
      <c r="T204" s="208"/>
      <c r="U204" s="208"/>
      <c r="V204" s="207"/>
      <c r="W204" s="207"/>
      <c r="X204" s="207"/>
      <c r="Y204" s="209"/>
      <c r="Z204" s="210"/>
      <c r="AA204" s="210"/>
      <c r="AB204" s="210"/>
      <c r="AC204" s="210"/>
      <c r="AD204" s="210"/>
      <c r="AE204" s="207"/>
      <c r="AF204" s="209"/>
      <c r="AG204" s="211"/>
      <c r="AH204"/>
      <c r="AI204"/>
    </row>
    <row r="205" spans="1:35" x14ac:dyDescent="0.3">
      <c r="A205"/>
      <c r="B205"/>
      <c r="C205"/>
      <c r="D205"/>
      <c r="E205"/>
      <c r="F205"/>
      <c r="G205"/>
      <c r="H205"/>
      <c r="I205"/>
      <c r="J205"/>
      <c r="K205"/>
      <c r="L205"/>
      <c r="M205"/>
      <c r="N205"/>
      <c r="O205"/>
      <c r="P205" s="207"/>
      <c r="Q205" s="207"/>
      <c r="R205" s="207"/>
      <c r="S205" s="208"/>
      <c r="T205" s="208"/>
      <c r="U205" s="208"/>
      <c r="V205" s="207"/>
      <c r="W205" s="207"/>
      <c r="X205" s="207"/>
      <c r="Y205" s="209"/>
      <c r="Z205" s="210"/>
      <c r="AA205" s="210"/>
      <c r="AB205" s="210"/>
      <c r="AC205" s="210"/>
      <c r="AD205" s="210"/>
      <c r="AE205" s="207"/>
      <c r="AF205" s="209"/>
      <c r="AG205" s="211"/>
      <c r="AH205"/>
      <c r="AI205"/>
    </row>
    <row r="206" spans="1:35" x14ac:dyDescent="0.3">
      <c r="A206"/>
      <c r="B206"/>
      <c r="C206"/>
      <c r="D206"/>
      <c r="E206"/>
      <c r="F206"/>
      <c r="G206"/>
      <c r="H206"/>
      <c r="I206"/>
      <c r="J206"/>
      <c r="K206"/>
      <c r="L206"/>
      <c r="M206"/>
      <c r="N206"/>
      <c r="O206"/>
      <c r="P206" s="207"/>
      <c r="Q206" s="207"/>
      <c r="R206" s="207"/>
      <c r="S206" s="208"/>
      <c r="T206" s="208"/>
      <c r="U206" s="208"/>
      <c r="V206" s="207"/>
      <c r="W206" s="207"/>
      <c r="X206" s="207"/>
      <c r="Y206" s="209"/>
      <c r="Z206" s="210"/>
      <c r="AA206" s="210"/>
      <c r="AB206" s="210"/>
      <c r="AC206" s="210"/>
      <c r="AD206" s="210"/>
      <c r="AE206" s="207"/>
      <c r="AF206" s="209"/>
      <c r="AG206" s="211"/>
      <c r="AH206"/>
      <c r="AI206"/>
    </row>
    <row r="207" spans="1:35" x14ac:dyDescent="0.3">
      <c r="A207"/>
      <c r="B207"/>
      <c r="C207"/>
      <c r="D207"/>
      <c r="E207"/>
      <c r="F207"/>
      <c r="G207"/>
      <c r="H207"/>
      <c r="I207"/>
      <c r="J207"/>
      <c r="K207"/>
      <c r="L207"/>
      <c r="M207"/>
      <c r="N207"/>
      <c r="O207"/>
      <c r="P207" s="207"/>
      <c r="Q207" s="207"/>
      <c r="R207" s="207"/>
      <c r="S207" s="208"/>
      <c r="T207" s="208"/>
      <c r="U207" s="208"/>
      <c r="V207" s="207"/>
      <c r="W207" s="207"/>
      <c r="X207" s="207"/>
      <c r="Y207" s="209"/>
      <c r="Z207" s="210"/>
      <c r="AA207" s="210"/>
      <c r="AB207" s="210"/>
      <c r="AC207" s="210"/>
      <c r="AD207" s="210"/>
      <c r="AE207" s="207"/>
      <c r="AF207" s="209"/>
      <c r="AG207" s="211"/>
      <c r="AH207"/>
      <c r="AI207"/>
    </row>
    <row r="208" spans="1:35" x14ac:dyDescent="0.3">
      <c r="A208"/>
      <c r="B208"/>
      <c r="C208"/>
      <c r="D208"/>
      <c r="E208"/>
      <c r="F208"/>
      <c r="G208"/>
      <c r="H208"/>
      <c r="I208"/>
      <c r="J208"/>
      <c r="K208"/>
      <c r="L208"/>
      <c r="M208"/>
      <c r="N208"/>
      <c r="O208"/>
      <c r="P208" s="207"/>
      <c r="Q208" s="207"/>
      <c r="R208" s="207"/>
      <c r="S208" s="208"/>
      <c r="T208" s="208"/>
      <c r="U208" s="208"/>
      <c r="V208" s="207"/>
      <c r="W208" s="207"/>
      <c r="X208" s="207"/>
      <c r="Y208" s="209"/>
      <c r="Z208" s="210"/>
      <c r="AA208" s="210"/>
      <c r="AB208" s="210"/>
      <c r="AC208" s="210"/>
      <c r="AD208" s="210"/>
      <c r="AE208" s="207"/>
      <c r="AF208" s="209"/>
      <c r="AG208" s="211"/>
      <c r="AH208"/>
      <c r="AI208"/>
    </row>
    <row r="209" spans="1:35" x14ac:dyDescent="0.3">
      <c r="A209"/>
      <c r="B209"/>
      <c r="C209"/>
      <c r="D209"/>
      <c r="E209"/>
      <c r="F209"/>
      <c r="G209"/>
      <c r="H209"/>
      <c r="I209"/>
      <c r="J209"/>
      <c r="K209"/>
      <c r="L209"/>
      <c r="M209"/>
      <c r="N209"/>
      <c r="O209"/>
      <c r="P209" s="207"/>
      <c r="Q209" s="207"/>
      <c r="R209" s="207"/>
      <c r="S209" s="208"/>
      <c r="T209" s="208"/>
      <c r="U209" s="208"/>
      <c r="V209" s="207"/>
      <c r="W209" s="207"/>
      <c r="X209" s="207"/>
      <c r="Y209" s="209"/>
      <c r="Z209" s="210"/>
      <c r="AA209" s="210"/>
      <c r="AB209" s="210"/>
      <c r="AC209" s="210"/>
      <c r="AD209" s="210"/>
      <c r="AE209" s="207"/>
      <c r="AF209" s="209"/>
      <c r="AG209" s="211"/>
      <c r="AH209"/>
      <c r="AI209"/>
    </row>
    <row r="210" spans="1:35" x14ac:dyDescent="0.3">
      <c r="A210"/>
      <c r="B210"/>
      <c r="C210"/>
      <c r="D210"/>
      <c r="E210"/>
      <c r="F210"/>
      <c r="G210"/>
      <c r="H210"/>
      <c r="I210"/>
      <c r="J210"/>
      <c r="K210"/>
      <c r="L210"/>
      <c r="M210"/>
      <c r="N210"/>
      <c r="O210"/>
      <c r="P210" s="207"/>
      <c r="Q210" s="207"/>
      <c r="R210" s="207"/>
      <c r="S210" s="208"/>
      <c r="T210" s="208"/>
      <c r="U210" s="208"/>
      <c r="V210" s="207"/>
      <c r="W210" s="207"/>
      <c r="X210" s="207"/>
      <c r="Y210" s="209"/>
      <c r="Z210" s="210"/>
      <c r="AA210" s="210"/>
      <c r="AB210" s="210"/>
      <c r="AC210" s="210"/>
      <c r="AD210" s="210"/>
      <c r="AE210" s="207"/>
      <c r="AF210" s="209"/>
      <c r="AG210" s="211"/>
      <c r="AH210"/>
      <c r="AI210"/>
    </row>
    <row r="211" spans="1:35" x14ac:dyDescent="0.3">
      <c r="A211"/>
      <c r="B211"/>
      <c r="C211"/>
      <c r="D211"/>
      <c r="E211"/>
      <c r="F211"/>
      <c r="G211"/>
      <c r="H211"/>
      <c r="I211"/>
      <c r="J211"/>
      <c r="K211"/>
      <c r="L211"/>
      <c r="M211"/>
      <c r="N211"/>
      <c r="O211"/>
      <c r="P211" s="207"/>
      <c r="Q211" s="207"/>
      <c r="R211" s="207"/>
      <c r="S211" s="208"/>
      <c r="T211" s="208"/>
      <c r="U211" s="208"/>
      <c r="V211" s="207"/>
      <c r="W211" s="207"/>
      <c r="X211" s="207"/>
      <c r="Y211" s="209"/>
      <c r="Z211" s="210"/>
      <c r="AA211" s="210"/>
      <c r="AB211" s="210"/>
      <c r="AC211" s="210"/>
      <c r="AD211" s="210"/>
      <c r="AE211" s="207"/>
      <c r="AF211" s="209"/>
      <c r="AG211" s="211"/>
      <c r="AH211"/>
      <c r="AI211"/>
    </row>
    <row r="212" spans="1:35" x14ac:dyDescent="0.3">
      <c r="A212"/>
      <c r="B212"/>
      <c r="C212"/>
      <c r="D212"/>
      <c r="E212"/>
      <c r="F212"/>
      <c r="G212"/>
      <c r="H212"/>
      <c r="I212"/>
      <c r="J212"/>
      <c r="K212"/>
      <c r="L212"/>
      <c r="M212"/>
      <c r="N212"/>
      <c r="O212"/>
      <c r="P212" s="207"/>
      <c r="Q212" s="207"/>
      <c r="R212" s="207"/>
      <c r="S212" s="208"/>
      <c r="T212" s="208"/>
      <c r="U212" s="208"/>
      <c r="V212" s="207"/>
      <c r="W212" s="207"/>
      <c r="X212" s="207"/>
      <c r="Y212" s="209"/>
      <c r="Z212" s="210"/>
      <c r="AA212" s="210"/>
      <c r="AB212" s="210"/>
      <c r="AC212" s="210"/>
      <c r="AD212" s="210"/>
      <c r="AE212" s="207"/>
      <c r="AF212" s="209"/>
      <c r="AG212" s="211"/>
      <c r="AH212"/>
      <c r="AI212"/>
    </row>
    <row r="213" spans="1:35" x14ac:dyDescent="0.3">
      <c r="A213"/>
      <c r="B213"/>
      <c r="C213"/>
      <c r="D213"/>
      <c r="E213"/>
      <c r="F213"/>
      <c r="G213"/>
      <c r="H213"/>
      <c r="I213"/>
      <c r="J213"/>
      <c r="K213"/>
      <c r="L213"/>
      <c r="M213"/>
      <c r="N213"/>
      <c r="O213"/>
      <c r="P213" s="207"/>
      <c r="Q213" s="207"/>
      <c r="R213" s="207"/>
      <c r="S213" s="208"/>
      <c r="T213" s="208"/>
      <c r="U213" s="208"/>
      <c r="V213" s="207"/>
      <c r="W213" s="207"/>
      <c r="X213" s="207"/>
      <c r="Y213" s="209"/>
      <c r="Z213" s="210"/>
      <c r="AA213" s="210"/>
      <c r="AB213" s="210"/>
      <c r="AC213" s="210"/>
      <c r="AD213" s="210"/>
      <c r="AE213" s="207"/>
      <c r="AF213" s="209"/>
      <c r="AG213" s="211"/>
      <c r="AH213"/>
      <c r="AI213"/>
    </row>
    <row r="214" spans="1:35" x14ac:dyDescent="0.3">
      <c r="A214"/>
      <c r="B214"/>
      <c r="C214"/>
      <c r="D214"/>
      <c r="E214"/>
      <c r="F214"/>
      <c r="G214"/>
      <c r="H214"/>
      <c r="I214"/>
      <c r="J214"/>
      <c r="K214"/>
      <c r="L214"/>
      <c r="M214"/>
      <c r="N214"/>
      <c r="O214"/>
      <c r="P214" s="207"/>
      <c r="Q214" s="207"/>
      <c r="R214" s="207"/>
      <c r="S214" s="208"/>
      <c r="T214" s="208"/>
      <c r="U214" s="208"/>
      <c r="V214" s="207"/>
      <c r="W214" s="207"/>
      <c r="X214" s="207"/>
      <c r="Y214" s="209"/>
      <c r="Z214" s="210"/>
      <c r="AA214" s="210"/>
      <c r="AB214" s="210"/>
      <c r="AC214" s="210"/>
      <c r="AD214" s="210"/>
      <c r="AE214" s="207"/>
      <c r="AF214" s="209"/>
      <c r="AG214" s="211"/>
      <c r="AH214"/>
      <c r="AI214"/>
    </row>
    <row r="215" spans="1:35" x14ac:dyDescent="0.3">
      <c r="A215"/>
      <c r="B215"/>
      <c r="C215"/>
      <c r="D215"/>
      <c r="E215"/>
      <c r="F215"/>
      <c r="G215"/>
      <c r="H215"/>
      <c r="I215"/>
      <c r="J215"/>
      <c r="K215"/>
      <c r="L215"/>
      <c r="M215"/>
      <c r="N215"/>
      <c r="O215"/>
      <c r="P215" s="207"/>
      <c r="Q215" s="207"/>
      <c r="R215" s="207"/>
      <c r="S215" s="208"/>
      <c r="T215" s="208"/>
      <c r="U215" s="208"/>
      <c r="V215" s="207"/>
      <c r="W215" s="207"/>
      <c r="X215" s="207"/>
      <c r="Y215" s="209"/>
      <c r="Z215" s="210"/>
      <c r="AA215" s="210"/>
      <c r="AB215" s="210"/>
      <c r="AC215" s="210"/>
      <c r="AD215" s="210"/>
      <c r="AE215" s="207"/>
      <c r="AF215" s="209"/>
      <c r="AG215" s="211"/>
      <c r="AH215"/>
      <c r="AI215"/>
    </row>
    <row r="216" spans="1:35" x14ac:dyDescent="0.3">
      <c r="A216"/>
      <c r="B216"/>
      <c r="C216"/>
      <c r="D216"/>
      <c r="E216"/>
      <c r="F216"/>
      <c r="G216"/>
      <c r="H216"/>
      <c r="I216"/>
      <c r="J216"/>
      <c r="K216"/>
      <c r="L216"/>
      <c r="M216"/>
      <c r="N216"/>
      <c r="O216"/>
      <c r="P216" s="207"/>
      <c r="Q216" s="207"/>
      <c r="R216" s="207"/>
      <c r="S216" s="208"/>
      <c r="T216" s="208"/>
      <c r="U216" s="208"/>
      <c r="V216" s="207"/>
      <c r="W216" s="207"/>
      <c r="X216" s="207"/>
      <c r="Y216" s="209"/>
      <c r="Z216" s="210"/>
      <c r="AA216" s="210"/>
      <c r="AB216" s="210"/>
      <c r="AC216" s="210"/>
      <c r="AD216" s="210"/>
      <c r="AE216" s="207"/>
      <c r="AF216" s="209"/>
      <c r="AG216" s="211"/>
      <c r="AH216"/>
      <c r="AI216"/>
    </row>
    <row r="217" spans="1:35" x14ac:dyDescent="0.3">
      <c r="A217"/>
      <c r="B217"/>
      <c r="C217"/>
      <c r="D217"/>
      <c r="E217"/>
      <c r="F217"/>
      <c r="G217"/>
      <c r="H217"/>
      <c r="I217"/>
      <c r="J217"/>
      <c r="K217"/>
      <c r="L217"/>
      <c r="M217"/>
      <c r="N217"/>
      <c r="O217"/>
      <c r="P217" s="207"/>
      <c r="Q217" s="207"/>
      <c r="R217" s="207"/>
      <c r="S217" s="208"/>
      <c r="T217" s="208"/>
      <c r="U217" s="208"/>
      <c r="V217" s="207"/>
      <c r="W217" s="207"/>
      <c r="X217" s="207"/>
      <c r="Y217" s="209"/>
      <c r="Z217" s="210"/>
      <c r="AA217" s="210"/>
      <c r="AB217" s="210"/>
      <c r="AC217" s="210"/>
      <c r="AD217" s="210"/>
      <c r="AE217" s="207"/>
      <c r="AF217" s="209"/>
      <c r="AG217" s="211"/>
      <c r="AH217"/>
      <c r="AI217"/>
    </row>
    <row r="218" spans="1:35" x14ac:dyDescent="0.3">
      <c r="A218"/>
      <c r="B218"/>
      <c r="C218"/>
      <c r="D218"/>
      <c r="E218"/>
      <c r="F218"/>
      <c r="G218"/>
      <c r="H218"/>
      <c r="I218"/>
      <c r="J218"/>
      <c r="K218"/>
      <c r="L218"/>
      <c r="M218"/>
      <c r="N218"/>
      <c r="O218"/>
      <c r="P218" s="207"/>
      <c r="Q218" s="207"/>
      <c r="R218" s="207"/>
      <c r="S218" s="208"/>
      <c r="T218" s="208"/>
      <c r="U218" s="208"/>
      <c r="V218" s="207"/>
      <c r="W218" s="207"/>
      <c r="X218" s="207"/>
      <c r="Y218" s="209"/>
      <c r="Z218" s="210"/>
      <c r="AA218" s="210"/>
      <c r="AB218" s="210"/>
      <c r="AC218" s="210"/>
      <c r="AD218" s="210"/>
      <c r="AE218" s="207"/>
      <c r="AF218" s="209"/>
      <c r="AG218" s="211"/>
      <c r="AH218"/>
      <c r="AI218"/>
    </row>
    <row r="219" spans="1:35" x14ac:dyDescent="0.3">
      <c r="A219"/>
      <c r="B219"/>
      <c r="C219"/>
      <c r="D219"/>
      <c r="E219"/>
      <c r="F219"/>
      <c r="G219"/>
      <c r="H219"/>
      <c r="I219"/>
      <c r="J219"/>
      <c r="K219"/>
      <c r="L219"/>
      <c r="M219"/>
      <c r="N219"/>
      <c r="O219"/>
      <c r="P219" s="207"/>
      <c r="Q219" s="207"/>
      <c r="R219" s="207"/>
      <c r="S219" s="208"/>
      <c r="T219" s="208"/>
      <c r="U219" s="208"/>
      <c r="V219" s="207"/>
      <c r="W219" s="207"/>
      <c r="X219" s="207"/>
      <c r="Y219" s="209"/>
      <c r="Z219" s="210"/>
      <c r="AA219" s="210"/>
      <c r="AB219" s="210"/>
      <c r="AC219" s="210"/>
      <c r="AD219" s="210"/>
      <c r="AE219" s="207"/>
      <c r="AF219" s="209"/>
      <c r="AG219" s="211"/>
      <c r="AH219"/>
      <c r="AI219"/>
    </row>
    <row r="220" spans="1:35" x14ac:dyDescent="0.3">
      <c r="A220"/>
      <c r="B220"/>
      <c r="C220"/>
      <c r="D220"/>
      <c r="E220"/>
      <c r="F220"/>
      <c r="G220"/>
      <c r="H220"/>
      <c r="I220"/>
      <c r="J220"/>
      <c r="K220"/>
      <c r="L220"/>
      <c r="M220"/>
      <c r="N220"/>
      <c r="O220"/>
      <c r="P220" s="207"/>
      <c r="Q220" s="207"/>
      <c r="R220" s="207"/>
      <c r="S220" s="208"/>
      <c r="T220" s="208"/>
      <c r="U220" s="208"/>
      <c r="V220" s="207"/>
      <c r="W220" s="207"/>
      <c r="X220" s="207"/>
      <c r="Y220" s="209"/>
      <c r="Z220" s="210"/>
      <c r="AA220" s="210"/>
      <c r="AB220" s="210"/>
      <c r="AC220" s="210"/>
      <c r="AD220" s="210"/>
      <c r="AE220" s="207"/>
      <c r="AF220" s="209"/>
      <c r="AG220" s="211"/>
      <c r="AH220"/>
      <c r="AI220"/>
    </row>
    <row r="221" spans="1:35" x14ac:dyDescent="0.3">
      <c r="A221"/>
      <c r="B221"/>
      <c r="C221"/>
      <c r="D221"/>
      <c r="E221"/>
      <c r="F221"/>
      <c r="G221"/>
      <c r="H221"/>
      <c r="I221"/>
      <c r="J221"/>
      <c r="K221"/>
      <c r="L221"/>
      <c r="M221"/>
      <c r="N221"/>
      <c r="O221"/>
      <c r="P221" s="207"/>
      <c r="Q221" s="207"/>
      <c r="R221" s="207"/>
      <c r="S221" s="208"/>
      <c r="T221" s="208"/>
      <c r="U221" s="208"/>
      <c r="V221" s="207"/>
      <c r="W221" s="207"/>
      <c r="X221" s="207"/>
      <c r="Y221" s="209"/>
      <c r="Z221" s="210"/>
      <c r="AA221" s="210"/>
      <c r="AB221" s="210"/>
      <c r="AC221" s="210"/>
      <c r="AD221" s="210"/>
      <c r="AE221" s="207"/>
      <c r="AF221" s="209"/>
      <c r="AG221" s="211"/>
      <c r="AH221"/>
      <c r="AI221"/>
    </row>
    <row r="222" spans="1:35" x14ac:dyDescent="0.3">
      <c r="A222"/>
      <c r="B222"/>
      <c r="C222"/>
      <c r="D222"/>
      <c r="E222"/>
      <c r="F222"/>
      <c r="G222"/>
      <c r="H222"/>
      <c r="I222"/>
      <c r="J222"/>
      <c r="K222"/>
      <c r="L222"/>
      <c r="M222"/>
      <c r="N222"/>
      <c r="O222"/>
      <c r="P222" s="207"/>
      <c r="Q222" s="207"/>
      <c r="R222" s="207"/>
      <c r="S222" s="208"/>
      <c r="T222" s="208"/>
      <c r="U222" s="208"/>
      <c r="V222" s="207"/>
      <c r="W222" s="207"/>
      <c r="X222" s="207"/>
      <c r="Y222" s="209"/>
      <c r="Z222" s="210"/>
      <c r="AA222" s="210"/>
      <c r="AB222" s="210"/>
      <c r="AC222" s="210"/>
      <c r="AD222" s="210"/>
      <c r="AE222" s="207"/>
      <c r="AF222" s="209"/>
      <c r="AG222" s="211"/>
      <c r="AH222"/>
      <c r="AI222"/>
    </row>
    <row r="223" spans="1:35" x14ac:dyDescent="0.3">
      <c r="A223"/>
      <c r="B223"/>
      <c r="C223"/>
      <c r="D223"/>
      <c r="E223"/>
      <c r="F223"/>
      <c r="G223"/>
      <c r="H223"/>
      <c r="I223"/>
      <c r="J223"/>
      <c r="K223"/>
      <c r="L223"/>
      <c r="M223"/>
      <c r="N223"/>
      <c r="O223"/>
      <c r="P223" s="207"/>
      <c r="Q223" s="207"/>
      <c r="R223" s="207"/>
      <c r="S223" s="208"/>
      <c r="T223" s="208"/>
      <c r="U223" s="208"/>
      <c r="V223" s="207"/>
      <c r="W223" s="207"/>
      <c r="X223" s="207"/>
      <c r="Y223" s="209"/>
      <c r="Z223" s="210"/>
      <c r="AA223" s="210"/>
      <c r="AB223" s="210"/>
      <c r="AC223" s="210"/>
      <c r="AD223" s="210"/>
      <c r="AE223" s="207"/>
      <c r="AF223" s="209"/>
      <c r="AG223" s="211"/>
      <c r="AH223"/>
      <c r="AI223"/>
    </row>
    <row r="224" spans="1:35" x14ac:dyDescent="0.3">
      <c r="A224"/>
      <c r="B224"/>
      <c r="C224"/>
      <c r="D224"/>
      <c r="E224"/>
      <c r="F224"/>
      <c r="G224"/>
      <c r="H224"/>
      <c r="I224"/>
      <c r="J224"/>
      <c r="K224"/>
      <c r="L224"/>
      <c r="M224"/>
      <c r="N224"/>
      <c r="O224"/>
      <c r="P224" s="207"/>
      <c r="Q224" s="207"/>
      <c r="R224" s="207"/>
      <c r="S224" s="208"/>
      <c r="T224" s="208"/>
      <c r="U224" s="208"/>
      <c r="V224" s="207"/>
      <c r="W224" s="207"/>
      <c r="X224" s="207"/>
      <c r="Y224" s="209"/>
      <c r="Z224" s="210"/>
      <c r="AA224" s="210"/>
      <c r="AB224" s="210"/>
      <c r="AC224" s="210"/>
      <c r="AD224" s="210"/>
      <c r="AE224" s="207"/>
      <c r="AF224" s="209"/>
      <c r="AG224" s="211"/>
      <c r="AH224"/>
      <c r="AI224"/>
    </row>
    <row r="225" spans="1:35" x14ac:dyDescent="0.3">
      <c r="A225"/>
      <c r="B225"/>
      <c r="C225"/>
      <c r="D225"/>
      <c r="E225"/>
      <c r="F225"/>
      <c r="G225"/>
      <c r="H225"/>
      <c r="I225"/>
      <c r="J225"/>
      <c r="K225"/>
      <c r="L225"/>
      <c r="M225"/>
      <c r="N225"/>
      <c r="O225"/>
      <c r="P225" s="207"/>
      <c r="Q225" s="207"/>
      <c r="R225" s="207"/>
      <c r="S225" s="208"/>
      <c r="T225" s="208"/>
      <c r="U225" s="208"/>
      <c r="V225" s="207"/>
      <c r="W225" s="207"/>
      <c r="X225" s="207"/>
      <c r="Y225" s="209"/>
      <c r="Z225" s="210"/>
      <c r="AA225" s="210"/>
      <c r="AB225" s="210"/>
      <c r="AC225" s="210"/>
      <c r="AD225" s="210"/>
      <c r="AE225" s="207"/>
      <c r="AF225" s="209"/>
      <c r="AG225" s="211"/>
      <c r="AH225"/>
      <c r="AI225"/>
    </row>
    <row r="226" spans="1:35" x14ac:dyDescent="0.3">
      <c r="A226"/>
      <c r="B226"/>
      <c r="C226"/>
      <c r="D226"/>
      <c r="E226"/>
      <c r="F226"/>
      <c r="G226"/>
      <c r="H226"/>
      <c r="I226"/>
      <c r="J226"/>
      <c r="K226"/>
      <c r="L226"/>
      <c r="M226"/>
      <c r="N226"/>
      <c r="O226"/>
      <c r="P226" s="207"/>
      <c r="Q226" s="207"/>
      <c r="R226" s="207"/>
      <c r="S226" s="208"/>
      <c r="T226" s="208"/>
      <c r="U226" s="208"/>
      <c r="V226" s="207"/>
      <c r="W226" s="207"/>
      <c r="X226" s="207"/>
      <c r="Y226" s="209"/>
      <c r="Z226" s="210"/>
      <c r="AA226" s="210"/>
      <c r="AB226" s="210"/>
      <c r="AC226" s="210"/>
      <c r="AD226" s="210"/>
      <c r="AE226" s="207"/>
      <c r="AF226" s="209"/>
      <c r="AG226" s="211"/>
      <c r="AH226"/>
      <c r="AI226"/>
    </row>
    <row r="227" spans="1:35" x14ac:dyDescent="0.3">
      <c r="A227"/>
      <c r="B227"/>
      <c r="C227"/>
      <c r="D227"/>
      <c r="E227"/>
      <c r="F227"/>
      <c r="G227"/>
      <c r="H227"/>
      <c r="I227"/>
      <c r="J227"/>
      <c r="K227"/>
      <c r="L227"/>
      <c r="M227"/>
      <c r="N227"/>
      <c r="O227"/>
      <c r="P227" s="207"/>
      <c r="Q227" s="207"/>
      <c r="R227" s="207"/>
      <c r="S227" s="208"/>
      <c r="T227" s="208"/>
      <c r="U227" s="208"/>
      <c r="V227" s="207"/>
      <c r="W227" s="207"/>
      <c r="X227" s="207"/>
      <c r="Y227" s="209"/>
      <c r="Z227" s="210"/>
      <c r="AA227" s="210"/>
      <c r="AB227" s="210"/>
      <c r="AC227" s="210"/>
      <c r="AD227" s="210"/>
      <c r="AE227" s="207"/>
      <c r="AF227" s="209"/>
      <c r="AG227" s="211"/>
      <c r="AH227"/>
      <c r="AI227"/>
    </row>
    <row r="228" spans="1:35" x14ac:dyDescent="0.3">
      <c r="A228"/>
      <c r="B228"/>
      <c r="C228"/>
      <c r="D228"/>
      <c r="E228"/>
      <c r="F228"/>
      <c r="G228"/>
      <c r="H228"/>
      <c r="I228"/>
      <c r="J228"/>
      <c r="K228"/>
      <c r="L228"/>
      <c r="M228"/>
      <c r="N228"/>
      <c r="O228"/>
      <c r="P228" s="207"/>
      <c r="Q228" s="207"/>
      <c r="R228" s="207"/>
      <c r="S228" s="208"/>
      <c r="T228" s="208"/>
      <c r="U228" s="208"/>
      <c r="V228" s="207"/>
      <c r="W228" s="207"/>
      <c r="X228" s="207"/>
      <c r="Y228" s="209"/>
      <c r="Z228" s="210"/>
      <c r="AA228" s="210"/>
      <c r="AB228" s="210"/>
      <c r="AC228" s="210"/>
      <c r="AD228" s="210"/>
      <c r="AE228" s="207"/>
      <c r="AF228" s="209"/>
      <c r="AG228" s="211"/>
      <c r="AH228"/>
      <c r="AI228"/>
    </row>
    <row r="229" spans="1:35" x14ac:dyDescent="0.3">
      <c r="A229"/>
      <c r="B229"/>
      <c r="C229"/>
      <c r="D229"/>
      <c r="E229"/>
      <c r="F229"/>
      <c r="G229"/>
      <c r="H229"/>
      <c r="I229"/>
      <c r="J229"/>
      <c r="K229"/>
      <c r="L229"/>
      <c r="M229"/>
      <c r="N229"/>
      <c r="O229"/>
      <c r="P229" s="207"/>
      <c r="Q229" s="207"/>
      <c r="R229" s="207"/>
      <c r="S229" s="208"/>
      <c r="T229" s="208"/>
      <c r="U229" s="208"/>
      <c r="V229" s="207"/>
      <c r="W229" s="207"/>
      <c r="X229" s="207"/>
      <c r="Y229" s="209"/>
      <c r="Z229" s="210"/>
      <c r="AA229" s="210"/>
      <c r="AB229" s="210"/>
      <c r="AC229" s="210"/>
      <c r="AD229" s="210"/>
      <c r="AE229" s="207"/>
      <c r="AF229" s="209"/>
      <c r="AG229" s="211"/>
      <c r="AH229"/>
      <c r="AI229"/>
    </row>
    <row r="230" spans="1:35" x14ac:dyDescent="0.3">
      <c r="A230"/>
      <c r="B230"/>
      <c r="C230"/>
      <c r="D230"/>
      <c r="E230"/>
      <c r="F230"/>
      <c r="G230"/>
      <c r="H230"/>
      <c r="I230"/>
      <c r="J230"/>
      <c r="K230"/>
      <c r="L230"/>
      <c r="M230"/>
      <c r="N230"/>
      <c r="O230"/>
      <c r="P230" s="207"/>
      <c r="Q230" s="207"/>
      <c r="R230" s="207"/>
      <c r="S230" s="208"/>
      <c r="T230" s="208"/>
      <c r="U230" s="208"/>
      <c r="V230" s="207"/>
      <c r="W230" s="207"/>
      <c r="X230" s="207"/>
      <c r="Y230" s="209"/>
      <c r="Z230" s="210"/>
      <c r="AA230" s="210"/>
      <c r="AB230" s="210"/>
      <c r="AC230" s="210"/>
      <c r="AD230" s="210"/>
      <c r="AE230" s="207"/>
      <c r="AF230" s="209"/>
      <c r="AG230" s="211"/>
      <c r="AH230"/>
      <c r="AI230"/>
    </row>
    <row r="231" spans="1:35" x14ac:dyDescent="0.3">
      <c r="A231"/>
      <c r="B231"/>
      <c r="C231"/>
      <c r="D231"/>
      <c r="E231"/>
      <c r="F231"/>
      <c r="G231"/>
      <c r="H231"/>
      <c r="I231"/>
      <c r="J231"/>
      <c r="K231"/>
      <c r="L231"/>
      <c r="M231"/>
      <c r="N231"/>
      <c r="O231"/>
      <c r="P231" s="207"/>
      <c r="Q231" s="207"/>
      <c r="R231" s="207"/>
      <c r="S231" s="208"/>
      <c r="T231" s="208"/>
      <c r="U231" s="208"/>
      <c r="V231" s="207"/>
      <c r="W231" s="207"/>
      <c r="X231" s="207"/>
      <c r="Y231" s="209"/>
      <c r="Z231" s="210"/>
      <c r="AA231" s="210"/>
      <c r="AB231" s="210"/>
      <c r="AC231" s="210"/>
      <c r="AD231" s="210"/>
      <c r="AE231" s="207"/>
      <c r="AF231" s="209"/>
      <c r="AG231" s="211"/>
      <c r="AH231"/>
      <c r="AI231"/>
    </row>
    <row r="232" spans="1:35" x14ac:dyDescent="0.3">
      <c r="A232"/>
      <c r="B232"/>
      <c r="C232"/>
      <c r="D232"/>
      <c r="E232"/>
      <c r="F232"/>
      <c r="G232"/>
      <c r="H232"/>
      <c r="I232"/>
      <c r="J232"/>
      <c r="K232"/>
      <c r="L232"/>
      <c r="M232"/>
      <c r="N232"/>
      <c r="O232"/>
      <c r="P232" s="207"/>
      <c r="Q232" s="207"/>
      <c r="R232" s="207"/>
      <c r="S232" s="208"/>
      <c r="T232" s="208"/>
      <c r="U232" s="208"/>
      <c r="V232" s="207"/>
      <c r="W232" s="207"/>
      <c r="X232" s="207"/>
      <c r="Y232" s="209"/>
      <c r="Z232" s="210"/>
      <c r="AA232" s="210"/>
      <c r="AB232" s="210"/>
      <c r="AC232" s="210"/>
      <c r="AD232" s="210"/>
      <c r="AE232" s="207"/>
      <c r="AF232" s="209"/>
      <c r="AG232" s="211"/>
      <c r="AH232"/>
      <c r="AI232"/>
    </row>
    <row r="233" spans="1:35" x14ac:dyDescent="0.3">
      <c r="A233"/>
      <c r="B233"/>
      <c r="C233"/>
      <c r="D233"/>
      <c r="E233"/>
      <c r="F233"/>
      <c r="G233"/>
      <c r="H233"/>
      <c r="I233"/>
      <c r="J233"/>
      <c r="K233"/>
      <c r="L233"/>
      <c r="M233"/>
      <c r="N233"/>
      <c r="O233"/>
      <c r="P233" s="207"/>
      <c r="Q233" s="207"/>
      <c r="R233" s="207"/>
      <c r="S233" s="208"/>
      <c r="T233" s="208"/>
      <c r="U233" s="208"/>
      <c r="V233" s="207"/>
      <c r="W233" s="207"/>
      <c r="X233" s="207"/>
      <c r="Y233" s="209"/>
      <c r="Z233" s="210"/>
      <c r="AA233" s="210"/>
      <c r="AB233" s="210"/>
      <c r="AC233" s="210"/>
      <c r="AD233" s="210"/>
      <c r="AE233" s="207"/>
      <c r="AF233" s="209"/>
      <c r="AG233" s="211"/>
      <c r="AH233"/>
      <c r="AI233"/>
    </row>
    <row r="234" spans="1:35" x14ac:dyDescent="0.3">
      <c r="A234"/>
      <c r="B234"/>
      <c r="C234"/>
      <c r="D234"/>
      <c r="E234"/>
      <c r="F234"/>
      <c r="G234"/>
      <c r="H234"/>
      <c r="I234"/>
      <c r="J234"/>
      <c r="K234"/>
      <c r="L234"/>
      <c r="M234"/>
      <c r="N234"/>
      <c r="O234"/>
      <c r="P234" s="207"/>
      <c r="Q234" s="207"/>
      <c r="R234" s="207"/>
      <c r="S234" s="208"/>
      <c r="T234" s="208"/>
      <c r="U234" s="208"/>
      <c r="V234" s="207"/>
      <c r="W234" s="207"/>
      <c r="X234" s="207"/>
      <c r="Y234" s="209"/>
      <c r="Z234" s="210"/>
      <c r="AA234" s="210"/>
      <c r="AB234" s="210"/>
      <c r="AC234" s="210"/>
      <c r="AD234" s="210"/>
      <c r="AE234" s="207"/>
      <c r="AF234" s="209"/>
      <c r="AG234" s="211"/>
      <c r="AH234"/>
      <c r="AI234"/>
    </row>
    <row r="235" spans="1:35" x14ac:dyDescent="0.3">
      <c r="A235"/>
      <c r="B235"/>
      <c r="C235"/>
      <c r="D235"/>
      <c r="E235"/>
      <c r="F235"/>
      <c r="G235"/>
      <c r="H235"/>
      <c r="I235"/>
      <c r="J235"/>
      <c r="K235"/>
      <c r="L235"/>
      <c r="M235"/>
      <c r="N235"/>
      <c r="O235"/>
      <c r="P235" s="207"/>
      <c r="Q235" s="207"/>
      <c r="R235" s="207"/>
      <c r="S235" s="208"/>
      <c r="T235" s="208"/>
      <c r="U235" s="208"/>
      <c r="V235" s="207"/>
      <c r="W235" s="207"/>
      <c r="X235" s="207"/>
      <c r="Y235" s="209"/>
      <c r="Z235" s="210"/>
      <c r="AA235" s="210"/>
      <c r="AB235" s="210"/>
      <c r="AC235" s="210"/>
      <c r="AD235" s="210"/>
      <c r="AE235" s="207"/>
      <c r="AF235" s="209"/>
      <c r="AG235" s="211"/>
      <c r="AH235"/>
      <c r="AI235"/>
    </row>
    <row r="236" spans="1:35" x14ac:dyDescent="0.3">
      <c r="A236"/>
      <c r="B236"/>
      <c r="C236"/>
      <c r="D236"/>
      <c r="E236"/>
      <c r="F236"/>
      <c r="G236"/>
      <c r="H236"/>
      <c r="I236"/>
      <c r="J236"/>
      <c r="K236"/>
      <c r="L236"/>
      <c r="M236"/>
      <c r="N236"/>
      <c r="O236"/>
      <c r="P236" s="207"/>
      <c r="Q236" s="207"/>
      <c r="R236" s="207"/>
      <c r="S236" s="208"/>
      <c r="T236" s="208"/>
      <c r="U236" s="208"/>
      <c r="V236" s="207"/>
      <c r="W236" s="207"/>
      <c r="X236" s="207"/>
      <c r="Y236" s="209"/>
      <c r="Z236" s="210"/>
      <c r="AA236" s="210"/>
      <c r="AB236" s="210"/>
      <c r="AC236" s="210"/>
      <c r="AD236" s="210"/>
      <c r="AE236" s="207"/>
      <c r="AF236" s="209"/>
      <c r="AG236" s="211"/>
      <c r="AH236"/>
      <c r="AI236"/>
    </row>
    <row r="237" spans="1:35" x14ac:dyDescent="0.3">
      <c r="A237"/>
      <c r="B237"/>
      <c r="C237"/>
      <c r="D237"/>
      <c r="E237"/>
      <c r="F237"/>
      <c r="G237"/>
      <c r="H237"/>
      <c r="I237"/>
      <c r="J237"/>
      <c r="K237"/>
      <c r="L237"/>
      <c r="M237"/>
      <c r="N237"/>
      <c r="O237"/>
      <c r="P237" s="207"/>
      <c r="Q237" s="207"/>
      <c r="R237" s="207"/>
      <c r="S237" s="208"/>
      <c r="T237" s="208"/>
      <c r="U237" s="208"/>
      <c r="V237" s="207"/>
      <c r="W237" s="207"/>
      <c r="X237" s="207"/>
      <c r="Y237" s="209"/>
      <c r="Z237" s="210"/>
      <c r="AA237" s="210"/>
      <c r="AB237" s="210"/>
      <c r="AC237" s="210"/>
      <c r="AD237" s="210"/>
      <c r="AE237" s="207"/>
      <c r="AF237" s="209"/>
      <c r="AG237" s="211"/>
      <c r="AH237"/>
      <c r="AI237"/>
    </row>
    <row r="238" spans="1:35" x14ac:dyDescent="0.3">
      <c r="A238"/>
      <c r="B238"/>
      <c r="C238"/>
      <c r="D238"/>
      <c r="E238"/>
      <c r="F238"/>
      <c r="G238"/>
      <c r="H238"/>
      <c r="I238"/>
      <c r="J238"/>
      <c r="K238"/>
      <c r="L238"/>
      <c r="M238"/>
      <c r="N238"/>
      <c r="O238"/>
      <c r="P238" s="207"/>
      <c r="Q238" s="207"/>
      <c r="R238" s="207"/>
      <c r="S238" s="208"/>
      <c r="T238" s="208"/>
      <c r="U238" s="208"/>
      <c r="V238" s="207"/>
      <c r="W238" s="207"/>
      <c r="X238" s="207"/>
      <c r="Y238" s="209"/>
      <c r="Z238" s="210"/>
      <c r="AA238" s="210"/>
      <c r="AB238" s="210"/>
      <c r="AC238" s="210"/>
      <c r="AD238" s="210"/>
      <c r="AE238" s="207"/>
      <c r="AF238" s="209"/>
      <c r="AG238" s="211"/>
      <c r="AH238"/>
      <c r="AI238"/>
    </row>
    <row r="239" spans="1:35" x14ac:dyDescent="0.3">
      <c r="A239"/>
      <c r="B239"/>
      <c r="C239"/>
      <c r="D239"/>
      <c r="E239"/>
      <c r="F239"/>
      <c r="G239"/>
      <c r="H239"/>
      <c r="I239"/>
      <c r="J239"/>
      <c r="K239"/>
      <c r="L239"/>
      <c r="M239"/>
      <c r="N239"/>
      <c r="O239"/>
      <c r="P239" s="207"/>
      <c r="Q239" s="207"/>
      <c r="R239" s="207"/>
      <c r="S239" s="208"/>
      <c r="T239" s="208"/>
      <c r="U239" s="208"/>
      <c r="V239" s="207"/>
      <c r="W239" s="207"/>
      <c r="X239" s="207"/>
      <c r="Y239" s="209"/>
      <c r="Z239" s="210"/>
      <c r="AA239" s="210"/>
      <c r="AB239" s="210"/>
      <c r="AC239" s="210"/>
      <c r="AD239" s="210"/>
      <c r="AE239" s="207"/>
      <c r="AF239" s="209"/>
      <c r="AG239" s="211"/>
      <c r="AH239"/>
      <c r="AI239"/>
    </row>
    <row r="240" spans="1:35" x14ac:dyDescent="0.3">
      <c r="A240"/>
      <c r="B240"/>
      <c r="C240"/>
      <c r="D240"/>
      <c r="E240"/>
      <c r="F240"/>
      <c r="G240"/>
      <c r="H240"/>
      <c r="I240"/>
      <c r="J240"/>
      <c r="K240"/>
      <c r="L240"/>
      <c r="M240"/>
      <c r="N240"/>
      <c r="O240"/>
      <c r="P240" s="207"/>
      <c r="Q240" s="207"/>
      <c r="R240" s="207"/>
      <c r="S240" s="208"/>
      <c r="T240" s="208"/>
      <c r="U240" s="208"/>
      <c r="V240" s="207"/>
      <c r="W240" s="207"/>
      <c r="X240" s="207"/>
      <c r="Y240" s="209"/>
      <c r="Z240" s="210"/>
      <c r="AA240" s="210"/>
      <c r="AB240" s="210"/>
      <c r="AC240" s="210"/>
      <c r="AD240" s="210"/>
      <c r="AE240" s="207"/>
      <c r="AF240" s="209"/>
      <c r="AG240" s="211"/>
      <c r="AH240"/>
      <c r="AI240"/>
    </row>
    <row r="241" spans="1:35" x14ac:dyDescent="0.3">
      <c r="A241"/>
      <c r="B241"/>
      <c r="C241"/>
      <c r="D241"/>
      <c r="E241"/>
      <c r="F241"/>
      <c r="G241"/>
      <c r="H241"/>
      <c r="I241"/>
      <c r="J241"/>
      <c r="K241"/>
      <c r="L241"/>
      <c r="M241"/>
      <c r="N241"/>
      <c r="O241"/>
      <c r="P241" s="207"/>
      <c r="Q241" s="207"/>
      <c r="R241" s="207"/>
      <c r="S241" s="208"/>
      <c r="T241" s="208"/>
      <c r="U241" s="208"/>
      <c r="V241" s="207"/>
      <c r="W241" s="207"/>
      <c r="X241" s="207"/>
      <c r="Y241" s="209"/>
      <c r="Z241" s="210"/>
      <c r="AA241" s="210"/>
      <c r="AB241" s="210"/>
      <c r="AC241" s="210"/>
      <c r="AD241" s="210"/>
      <c r="AE241" s="207"/>
      <c r="AF241" s="209"/>
      <c r="AG241" s="211"/>
      <c r="AH241"/>
      <c r="AI241"/>
    </row>
    <row r="242" spans="1:35" x14ac:dyDescent="0.3">
      <c r="A242"/>
      <c r="B242"/>
      <c r="C242"/>
      <c r="D242"/>
      <c r="E242"/>
      <c r="F242"/>
      <c r="G242"/>
      <c r="H242"/>
      <c r="I242"/>
      <c r="J242"/>
      <c r="K242"/>
      <c r="L242"/>
      <c r="M242"/>
      <c r="N242"/>
      <c r="O242"/>
      <c r="P242" s="207"/>
      <c r="Q242" s="207"/>
      <c r="R242" s="207"/>
      <c r="S242" s="208"/>
      <c r="T242" s="208"/>
      <c r="U242" s="208"/>
      <c r="V242" s="207"/>
      <c r="W242" s="207"/>
      <c r="X242" s="207"/>
      <c r="Y242" s="209"/>
      <c r="Z242" s="210"/>
      <c r="AA242" s="210"/>
      <c r="AB242" s="210"/>
      <c r="AC242" s="210"/>
      <c r="AD242" s="210"/>
      <c r="AE242" s="207"/>
      <c r="AF242" s="209"/>
      <c r="AG242" s="211"/>
      <c r="AH242"/>
      <c r="AI242"/>
    </row>
    <row r="243" spans="1:35" x14ac:dyDescent="0.3">
      <c r="A243"/>
      <c r="B243"/>
      <c r="C243"/>
      <c r="D243"/>
      <c r="E243"/>
      <c r="F243"/>
      <c r="G243"/>
      <c r="H243"/>
      <c r="I243"/>
      <c r="J243"/>
      <c r="K243"/>
      <c r="L243"/>
      <c r="M243"/>
      <c r="N243"/>
      <c r="O243"/>
      <c r="P243" s="207"/>
      <c r="Q243" s="207"/>
      <c r="R243" s="207"/>
      <c r="S243" s="208"/>
      <c r="T243" s="208"/>
      <c r="U243" s="208"/>
      <c r="V243" s="207"/>
      <c r="W243" s="207"/>
      <c r="X243" s="207"/>
      <c r="Y243" s="209"/>
      <c r="Z243" s="210"/>
      <c r="AA243" s="210"/>
      <c r="AB243" s="210"/>
      <c r="AC243" s="210"/>
      <c r="AD243" s="210"/>
      <c r="AE243" s="207"/>
      <c r="AF243" s="209"/>
      <c r="AG243" s="211"/>
      <c r="AH243"/>
      <c r="AI243"/>
    </row>
    <row r="244" spans="1:35" x14ac:dyDescent="0.3">
      <c r="A244"/>
      <c r="B244"/>
      <c r="C244"/>
      <c r="D244"/>
      <c r="E244"/>
      <c r="F244"/>
      <c r="G244"/>
      <c r="H244"/>
      <c r="I244"/>
      <c r="J244"/>
      <c r="K244"/>
      <c r="L244"/>
      <c r="M244"/>
      <c r="N244"/>
      <c r="O244"/>
      <c r="P244" s="207"/>
      <c r="Q244" s="207"/>
      <c r="R244" s="207"/>
      <c r="S244" s="208"/>
      <c r="T244" s="208"/>
      <c r="U244" s="208"/>
      <c r="V244" s="207"/>
      <c r="W244" s="207"/>
      <c r="X244" s="207"/>
      <c r="Y244" s="209"/>
      <c r="Z244" s="210"/>
      <c r="AA244" s="210"/>
      <c r="AB244" s="210"/>
      <c r="AC244" s="210"/>
      <c r="AD244" s="210"/>
      <c r="AE244" s="207"/>
      <c r="AF244" s="209"/>
      <c r="AG244" s="211"/>
      <c r="AH244"/>
      <c r="AI244"/>
    </row>
    <row r="245" spans="1:35" x14ac:dyDescent="0.3">
      <c r="A245"/>
      <c r="B245"/>
      <c r="C245"/>
      <c r="D245"/>
      <c r="E245"/>
      <c r="F245"/>
      <c r="G245"/>
      <c r="H245"/>
      <c r="I245"/>
      <c r="J245"/>
      <c r="K245"/>
      <c r="L245"/>
      <c r="M245"/>
      <c r="N245"/>
      <c r="O245"/>
      <c r="P245" s="207"/>
      <c r="Q245" s="207"/>
      <c r="R245" s="207"/>
      <c r="S245" s="208"/>
      <c r="T245" s="208"/>
      <c r="U245" s="208"/>
      <c r="V245" s="207"/>
      <c r="W245" s="207"/>
      <c r="X245" s="207"/>
      <c r="Y245" s="209"/>
      <c r="Z245" s="210"/>
      <c r="AA245" s="210"/>
      <c r="AB245" s="210"/>
      <c r="AC245" s="210"/>
      <c r="AD245" s="210"/>
      <c r="AE245" s="207"/>
      <c r="AF245" s="209"/>
      <c r="AG245" s="211"/>
      <c r="AH245"/>
      <c r="AI245"/>
    </row>
    <row r="246" spans="1:35" x14ac:dyDescent="0.3">
      <c r="A246"/>
      <c r="B246"/>
      <c r="C246"/>
      <c r="D246"/>
      <c r="E246"/>
      <c r="F246"/>
      <c r="G246"/>
      <c r="H246"/>
      <c r="I246"/>
      <c r="J246"/>
      <c r="K246"/>
      <c r="L246"/>
      <c r="M246"/>
      <c r="N246"/>
      <c r="O246"/>
      <c r="P246" s="207"/>
      <c r="Q246" s="207"/>
      <c r="R246" s="207"/>
      <c r="S246" s="208"/>
      <c r="T246" s="208"/>
      <c r="U246" s="208"/>
      <c r="V246" s="207"/>
      <c r="W246" s="207"/>
      <c r="X246" s="207"/>
      <c r="Y246" s="209"/>
      <c r="Z246" s="210"/>
      <c r="AA246" s="210"/>
      <c r="AB246" s="210"/>
      <c r="AC246" s="210"/>
      <c r="AD246" s="210"/>
      <c r="AE246" s="207"/>
      <c r="AF246" s="209"/>
      <c r="AG246" s="211"/>
      <c r="AH246"/>
      <c r="AI246"/>
    </row>
    <row r="247" spans="1:35" x14ac:dyDescent="0.3">
      <c r="A247"/>
      <c r="B247"/>
      <c r="C247"/>
      <c r="D247"/>
      <c r="E247"/>
      <c r="F247"/>
      <c r="G247"/>
      <c r="H247"/>
      <c r="I247"/>
      <c r="J247"/>
      <c r="K247"/>
      <c r="L247"/>
      <c r="M247"/>
      <c r="N247"/>
      <c r="O247"/>
      <c r="P247" s="207"/>
      <c r="Q247" s="207"/>
      <c r="R247" s="207"/>
      <c r="S247" s="208"/>
      <c r="T247" s="208"/>
      <c r="U247" s="208"/>
      <c r="V247" s="207"/>
      <c r="W247" s="207"/>
      <c r="X247" s="207"/>
      <c r="Y247" s="209"/>
      <c r="Z247" s="210"/>
      <c r="AA247" s="210"/>
      <c r="AB247" s="210"/>
      <c r="AC247" s="210"/>
      <c r="AD247" s="210"/>
      <c r="AE247" s="207"/>
      <c r="AF247" s="209"/>
      <c r="AG247" s="211"/>
      <c r="AH247"/>
      <c r="AI247"/>
    </row>
    <row r="248" spans="1:35" x14ac:dyDescent="0.3">
      <c r="A248"/>
      <c r="B248"/>
      <c r="C248"/>
      <c r="D248"/>
      <c r="E248"/>
      <c r="F248"/>
      <c r="G248"/>
      <c r="H248"/>
      <c r="I248"/>
      <c r="J248"/>
      <c r="K248"/>
      <c r="L248"/>
      <c r="M248"/>
      <c r="N248"/>
      <c r="O248"/>
      <c r="P248" s="207"/>
      <c r="Q248" s="207"/>
      <c r="R248" s="207"/>
      <c r="S248" s="208"/>
      <c r="T248" s="208"/>
      <c r="U248" s="208"/>
      <c r="V248" s="207"/>
      <c r="W248" s="207"/>
      <c r="X248" s="207"/>
      <c r="Y248" s="209"/>
      <c r="Z248" s="210"/>
      <c r="AA248" s="210"/>
      <c r="AB248" s="210"/>
      <c r="AC248" s="210"/>
      <c r="AD248" s="210"/>
      <c r="AE248" s="207"/>
      <c r="AF248" s="209"/>
      <c r="AG248" s="211"/>
      <c r="AH248"/>
      <c r="AI248"/>
    </row>
    <row r="249" spans="1:35" x14ac:dyDescent="0.3">
      <c r="A249"/>
      <c r="B249"/>
      <c r="C249"/>
      <c r="D249"/>
      <c r="E249"/>
      <c r="F249"/>
      <c r="G249"/>
      <c r="H249"/>
      <c r="I249"/>
      <c r="J249"/>
      <c r="K249"/>
      <c r="L249"/>
      <c r="M249"/>
      <c r="N249"/>
      <c r="O249"/>
      <c r="P249" s="207"/>
      <c r="Q249" s="207"/>
      <c r="R249" s="207"/>
      <c r="S249" s="208"/>
      <c r="T249" s="208"/>
      <c r="U249" s="208"/>
      <c r="V249" s="207"/>
      <c r="W249" s="207"/>
      <c r="X249" s="207"/>
      <c r="Y249" s="209"/>
      <c r="Z249" s="210"/>
      <c r="AA249" s="210"/>
      <c r="AB249" s="210"/>
      <c r="AC249" s="210"/>
      <c r="AD249" s="210"/>
      <c r="AE249" s="207"/>
      <c r="AF249" s="209"/>
      <c r="AG249" s="211"/>
      <c r="AH249"/>
      <c r="AI249"/>
    </row>
    <row r="250" spans="1:35" x14ac:dyDescent="0.3">
      <c r="A250"/>
      <c r="B250"/>
      <c r="C250"/>
      <c r="D250"/>
      <c r="E250"/>
      <c r="F250"/>
      <c r="G250"/>
      <c r="H250"/>
      <c r="I250"/>
      <c r="J250"/>
      <c r="K250"/>
      <c r="L250"/>
      <c r="M250"/>
      <c r="N250"/>
      <c r="O250"/>
      <c r="P250" s="207"/>
      <c r="Q250" s="207"/>
      <c r="R250" s="207"/>
      <c r="S250" s="208"/>
      <c r="T250" s="208"/>
      <c r="U250" s="208"/>
      <c r="V250" s="207"/>
      <c r="W250" s="207"/>
      <c r="X250" s="207"/>
      <c r="Y250" s="209"/>
      <c r="Z250" s="210"/>
      <c r="AA250" s="210"/>
      <c r="AB250" s="210"/>
      <c r="AC250" s="210"/>
      <c r="AD250" s="210"/>
      <c r="AE250" s="207"/>
      <c r="AF250" s="209"/>
      <c r="AG250" s="211"/>
      <c r="AH250"/>
      <c r="AI250"/>
    </row>
    <row r="251" spans="1:35" x14ac:dyDescent="0.3">
      <c r="A251"/>
      <c r="B251"/>
      <c r="C251"/>
      <c r="D251"/>
      <c r="E251"/>
      <c r="F251"/>
      <c r="G251"/>
      <c r="H251"/>
      <c r="I251"/>
      <c r="J251"/>
      <c r="K251"/>
      <c r="L251"/>
      <c r="M251"/>
      <c r="N251"/>
      <c r="O251"/>
      <c r="P251" s="207"/>
      <c r="Q251" s="207"/>
      <c r="R251" s="207"/>
      <c r="S251" s="208"/>
      <c r="T251" s="208"/>
      <c r="U251" s="208"/>
      <c r="V251" s="207"/>
      <c r="W251" s="207"/>
      <c r="X251" s="207"/>
      <c r="Y251" s="209"/>
      <c r="Z251" s="210"/>
      <c r="AA251" s="210"/>
      <c r="AB251" s="210"/>
      <c r="AC251" s="210"/>
      <c r="AD251" s="210"/>
      <c r="AE251" s="207"/>
      <c r="AF251" s="209"/>
      <c r="AG251" s="211"/>
      <c r="AH251"/>
      <c r="AI251"/>
    </row>
    <row r="252" spans="1:35" x14ac:dyDescent="0.3">
      <c r="A252"/>
      <c r="B252"/>
      <c r="C252"/>
      <c r="D252"/>
      <c r="E252"/>
      <c r="F252"/>
      <c r="G252"/>
      <c r="H252"/>
      <c r="I252"/>
      <c r="J252"/>
      <c r="K252"/>
      <c r="L252"/>
      <c r="M252"/>
      <c r="N252"/>
      <c r="O252"/>
      <c r="P252" s="207"/>
      <c r="Q252" s="207"/>
      <c r="R252" s="207"/>
      <c r="S252" s="208"/>
      <c r="T252" s="208"/>
      <c r="U252" s="208"/>
      <c r="V252" s="207"/>
      <c r="W252" s="207"/>
      <c r="X252" s="207"/>
      <c r="Y252" s="209"/>
      <c r="Z252" s="210"/>
      <c r="AA252" s="210"/>
      <c r="AB252" s="210"/>
      <c r="AC252" s="210"/>
      <c r="AD252" s="210"/>
      <c r="AE252" s="207"/>
      <c r="AF252" s="209"/>
      <c r="AG252" s="211"/>
      <c r="AH252"/>
      <c r="AI252"/>
    </row>
    <row r="253" spans="1:35" x14ac:dyDescent="0.3">
      <c r="A253"/>
      <c r="B253"/>
      <c r="C253"/>
      <c r="D253"/>
      <c r="E253"/>
      <c r="F253"/>
      <c r="G253"/>
      <c r="H253"/>
      <c r="I253"/>
      <c r="J253"/>
      <c r="K253"/>
      <c r="L253"/>
      <c r="M253"/>
      <c r="N253"/>
      <c r="O253"/>
      <c r="P253" s="207"/>
      <c r="Q253" s="207"/>
      <c r="R253" s="207"/>
      <c r="S253" s="208"/>
      <c r="T253" s="208"/>
      <c r="U253" s="208"/>
      <c r="V253" s="207"/>
      <c r="W253" s="207"/>
      <c r="X253" s="207"/>
      <c r="Y253" s="209"/>
      <c r="Z253" s="210"/>
      <c r="AA253" s="210"/>
      <c r="AB253" s="210"/>
      <c r="AC253" s="210"/>
      <c r="AD253" s="210"/>
      <c r="AE253" s="207"/>
      <c r="AF253" s="209"/>
      <c r="AG253" s="211"/>
      <c r="AH253"/>
      <c r="AI253"/>
    </row>
    <row r="254" spans="1:35" x14ac:dyDescent="0.3">
      <c r="A254"/>
      <c r="B254"/>
      <c r="C254"/>
      <c r="D254"/>
      <c r="E254"/>
      <c r="F254"/>
      <c r="G254"/>
      <c r="H254"/>
      <c r="I254"/>
      <c r="J254"/>
      <c r="K254"/>
      <c r="L254"/>
      <c r="M254"/>
      <c r="N254"/>
      <c r="O254"/>
      <c r="P254" s="207"/>
      <c r="Q254" s="207"/>
      <c r="R254" s="207"/>
      <c r="S254" s="208"/>
      <c r="T254" s="208"/>
      <c r="U254" s="208"/>
      <c r="V254" s="207"/>
      <c r="W254" s="207"/>
      <c r="X254" s="207"/>
      <c r="Y254" s="209"/>
      <c r="Z254" s="210"/>
      <c r="AA254" s="210"/>
      <c r="AB254" s="210"/>
      <c r="AC254" s="210"/>
      <c r="AD254" s="210"/>
      <c r="AE254" s="207"/>
      <c r="AF254" s="209"/>
      <c r="AG254" s="211"/>
      <c r="AH254"/>
      <c r="AI254"/>
    </row>
    <row r="255" spans="1:35" x14ac:dyDescent="0.3">
      <c r="A255"/>
      <c r="B255"/>
      <c r="C255"/>
      <c r="D255"/>
      <c r="E255"/>
      <c r="F255"/>
      <c r="G255"/>
      <c r="H255"/>
      <c r="I255"/>
      <c r="J255"/>
      <c r="K255"/>
      <c r="L255"/>
      <c r="M255"/>
      <c r="N255"/>
      <c r="O255"/>
      <c r="P255" s="207"/>
      <c r="Q255" s="207"/>
      <c r="R255" s="207"/>
      <c r="S255" s="208"/>
      <c r="T255" s="208"/>
      <c r="U255" s="208"/>
      <c r="V255" s="207"/>
      <c r="W255" s="207"/>
      <c r="X255" s="207"/>
      <c r="Y255" s="209"/>
      <c r="Z255" s="210"/>
      <c r="AA255" s="210"/>
      <c r="AB255" s="210"/>
      <c r="AC255" s="210"/>
      <c r="AD255" s="210"/>
      <c r="AE255" s="207"/>
      <c r="AF255" s="209"/>
      <c r="AG255" s="211"/>
      <c r="AH255"/>
      <c r="AI255"/>
    </row>
    <row r="256" spans="1:35" x14ac:dyDescent="0.3">
      <c r="A256"/>
      <c r="B256"/>
      <c r="C256"/>
      <c r="D256"/>
      <c r="E256"/>
      <c r="F256"/>
      <c r="G256"/>
      <c r="H256"/>
      <c r="I256"/>
      <c r="J256"/>
      <c r="K256"/>
      <c r="L256"/>
      <c r="M256"/>
      <c r="N256"/>
      <c r="O256"/>
      <c r="P256" s="207"/>
      <c r="Q256" s="207"/>
      <c r="R256" s="207"/>
      <c r="S256" s="208"/>
      <c r="T256" s="208"/>
      <c r="U256" s="208"/>
      <c r="V256" s="207"/>
      <c r="W256" s="207"/>
      <c r="X256" s="207"/>
      <c r="Y256" s="209"/>
      <c r="Z256" s="210"/>
      <c r="AA256" s="210"/>
      <c r="AB256" s="210"/>
      <c r="AC256" s="210"/>
      <c r="AD256" s="210"/>
      <c r="AE256" s="207"/>
      <c r="AF256" s="209"/>
      <c r="AG256" s="211"/>
      <c r="AH256"/>
      <c r="AI256"/>
    </row>
    <row r="257" spans="1:35" x14ac:dyDescent="0.3">
      <c r="A257"/>
      <c r="B257"/>
      <c r="C257"/>
      <c r="D257"/>
      <c r="E257"/>
      <c r="F257"/>
      <c r="G257"/>
      <c r="H257"/>
      <c r="I257"/>
      <c r="J257"/>
      <c r="K257"/>
      <c r="L257"/>
      <c r="M257"/>
      <c r="N257"/>
      <c r="O257"/>
      <c r="P257" s="207"/>
      <c r="Q257" s="207"/>
      <c r="R257" s="207"/>
      <c r="S257" s="208"/>
      <c r="T257" s="208"/>
      <c r="U257" s="208"/>
      <c r="V257" s="207"/>
      <c r="W257" s="207"/>
      <c r="X257" s="207"/>
      <c r="Y257" s="209"/>
      <c r="Z257" s="210"/>
      <c r="AA257" s="210"/>
      <c r="AB257" s="210"/>
      <c r="AC257" s="210"/>
      <c r="AD257" s="210"/>
      <c r="AE257" s="207"/>
      <c r="AF257" s="209"/>
      <c r="AG257" s="211"/>
      <c r="AH257"/>
      <c r="AI257"/>
    </row>
    <row r="258" spans="1:35" x14ac:dyDescent="0.3">
      <c r="A258"/>
      <c r="B258"/>
      <c r="C258"/>
      <c r="D258"/>
      <c r="E258"/>
      <c r="F258"/>
      <c r="G258"/>
      <c r="H258"/>
      <c r="I258"/>
      <c r="J258"/>
      <c r="K258"/>
      <c r="L258"/>
      <c r="M258"/>
      <c r="N258"/>
      <c r="O258"/>
      <c r="P258" s="207"/>
      <c r="Q258" s="207"/>
      <c r="R258" s="207"/>
      <c r="S258" s="208"/>
      <c r="T258" s="208"/>
      <c r="U258" s="208"/>
      <c r="V258" s="207"/>
      <c r="W258" s="207"/>
      <c r="X258" s="207"/>
      <c r="Y258" s="209"/>
      <c r="Z258" s="210"/>
      <c r="AA258" s="210"/>
      <c r="AB258" s="210"/>
      <c r="AC258" s="210"/>
      <c r="AD258" s="210"/>
      <c r="AE258" s="207"/>
      <c r="AF258" s="209"/>
      <c r="AG258" s="211"/>
      <c r="AH258"/>
      <c r="AI258"/>
    </row>
    <row r="259" spans="1:35" x14ac:dyDescent="0.3">
      <c r="A259"/>
      <c r="B259"/>
      <c r="C259"/>
      <c r="D259"/>
      <c r="E259"/>
      <c r="F259"/>
      <c r="G259"/>
      <c r="H259"/>
      <c r="I259"/>
      <c r="J259"/>
      <c r="K259"/>
      <c r="L259"/>
      <c r="M259"/>
      <c r="N259"/>
      <c r="O259"/>
      <c r="P259" s="207"/>
      <c r="Q259" s="207"/>
      <c r="R259" s="207"/>
      <c r="S259" s="208"/>
      <c r="T259" s="208"/>
      <c r="U259" s="208"/>
      <c r="V259" s="207"/>
      <c r="W259" s="207"/>
      <c r="X259" s="207"/>
      <c r="Y259" s="209"/>
      <c r="Z259" s="210"/>
      <c r="AA259" s="210"/>
      <c r="AB259" s="210"/>
      <c r="AC259" s="210"/>
      <c r="AD259" s="210"/>
      <c r="AE259" s="207"/>
      <c r="AF259" s="209"/>
      <c r="AG259" s="211"/>
      <c r="AH259"/>
      <c r="AI259"/>
    </row>
    <row r="260" spans="1:35" x14ac:dyDescent="0.3">
      <c r="A260"/>
      <c r="B260"/>
      <c r="C260"/>
      <c r="D260"/>
      <c r="E260"/>
      <c r="F260"/>
      <c r="G260"/>
      <c r="H260"/>
      <c r="I260"/>
      <c r="J260"/>
      <c r="K260"/>
      <c r="L260"/>
      <c r="M260"/>
      <c r="N260"/>
      <c r="O260"/>
      <c r="P260" s="207"/>
      <c r="Q260" s="207"/>
      <c r="R260" s="207"/>
      <c r="S260" s="208"/>
      <c r="T260" s="208"/>
      <c r="U260" s="208"/>
      <c r="V260" s="207"/>
      <c r="W260" s="207"/>
      <c r="X260" s="207"/>
      <c r="Y260" s="209"/>
      <c r="Z260" s="210"/>
      <c r="AA260" s="210"/>
      <c r="AB260" s="210"/>
      <c r="AC260" s="210"/>
      <c r="AD260" s="210"/>
      <c r="AE260" s="207"/>
      <c r="AF260" s="209"/>
      <c r="AG260" s="211"/>
      <c r="AH260"/>
      <c r="AI260"/>
    </row>
    <row r="261" spans="1:35" x14ac:dyDescent="0.3">
      <c r="A261"/>
      <c r="B261"/>
      <c r="C261"/>
      <c r="D261"/>
      <c r="E261"/>
      <c r="F261"/>
      <c r="G261"/>
      <c r="H261"/>
      <c r="I261"/>
      <c r="J261"/>
      <c r="K261"/>
      <c r="L261"/>
      <c r="M261"/>
      <c r="N261"/>
      <c r="O261"/>
      <c r="P261" s="207"/>
      <c r="Q261" s="207"/>
      <c r="R261" s="207"/>
      <c r="S261" s="208"/>
      <c r="T261" s="208"/>
      <c r="U261" s="208"/>
      <c r="V261" s="207"/>
      <c r="W261" s="207"/>
      <c r="X261" s="207"/>
      <c r="Y261" s="209"/>
      <c r="Z261" s="210"/>
      <c r="AA261" s="210"/>
      <c r="AB261" s="210"/>
      <c r="AC261" s="210"/>
      <c r="AD261" s="210"/>
      <c r="AE261" s="207"/>
      <c r="AF261" s="209"/>
      <c r="AG261" s="211"/>
      <c r="AH261"/>
      <c r="AI261"/>
    </row>
    <row r="262" spans="1:35" x14ac:dyDescent="0.3">
      <c r="A262"/>
      <c r="B262"/>
      <c r="C262"/>
      <c r="D262"/>
      <c r="E262"/>
      <c r="F262"/>
      <c r="G262"/>
      <c r="H262"/>
      <c r="I262"/>
      <c r="J262"/>
      <c r="K262"/>
      <c r="L262"/>
      <c r="M262"/>
      <c r="N262"/>
      <c r="O262"/>
      <c r="P262" s="207"/>
      <c r="Q262" s="207"/>
      <c r="R262" s="207"/>
      <c r="S262" s="208"/>
      <c r="T262" s="208"/>
      <c r="U262" s="208"/>
      <c r="V262" s="207"/>
      <c r="W262" s="207"/>
      <c r="X262" s="207"/>
      <c r="Y262" s="209"/>
      <c r="Z262" s="210"/>
      <c r="AA262" s="210"/>
      <c r="AB262" s="210"/>
      <c r="AC262" s="210"/>
      <c r="AD262" s="210"/>
      <c r="AE262" s="207"/>
      <c r="AF262" s="209"/>
      <c r="AG262" s="211"/>
      <c r="AH262"/>
      <c r="AI262"/>
    </row>
    <row r="263" spans="1:35" x14ac:dyDescent="0.3">
      <c r="A263"/>
      <c r="B263"/>
      <c r="C263"/>
      <c r="D263"/>
      <c r="E263"/>
      <c r="F263"/>
      <c r="G263"/>
      <c r="H263"/>
      <c r="I263"/>
      <c r="J263"/>
      <c r="K263"/>
      <c r="L263"/>
      <c r="M263"/>
      <c r="N263"/>
      <c r="O263"/>
      <c r="P263" s="207"/>
      <c r="Q263" s="207"/>
      <c r="R263" s="207"/>
      <c r="S263" s="208"/>
      <c r="T263" s="208"/>
      <c r="U263" s="208"/>
      <c r="V263" s="207"/>
      <c r="W263" s="207"/>
      <c r="X263" s="207"/>
      <c r="Y263" s="209"/>
      <c r="Z263" s="210"/>
      <c r="AA263" s="210"/>
      <c r="AB263" s="210"/>
      <c r="AC263" s="210"/>
      <c r="AD263" s="210"/>
      <c r="AE263" s="207"/>
      <c r="AF263" s="209"/>
      <c r="AG263" s="211"/>
      <c r="AH263"/>
      <c r="AI263"/>
    </row>
    <row r="264" spans="1:35" x14ac:dyDescent="0.3">
      <c r="A264"/>
      <c r="B264"/>
      <c r="C264"/>
      <c r="D264"/>
      <c r="E264"/>
      <c r="F264"/>
      <c r="G264"/>
      <c r="H264"/>
      <c r="I264"/>
      <c r="J264"/>
      <c r="K264"/>
      <c r="L264"/>
      <c r="M264"/>
      <c r="N264"/>
      <c r="O264"/>
      <c r="P264" s="207"/>
      <c r="Q264" s="207"/>
      <c r="R264" s="207"/>
      <c r="S264" s="208"/>
      <c r="T264" s="208"/>
      <c r="U264" s="208"/>
      <c r="V264" s="207"/>
      <c r="W264" s="207"/>
      <c r="X264" s="207"/>
      <c r="Y264" s="209"/>
      <c r="Z264" s="210"/>
      <c r="AA264" s="210"/>
      <c r="AB264" s="210"/>
      <c r="AC264" s="210"/>
      <c r="AD264" s="210"/>
      <c r="AE264" s="207"/>
      <c r="AF264" s="209"/>
      <c r="AG264" s="211"/>
      <c r="AH264"/>
      <c r="AI264"/>
    </row>
    <row r="265" spans="1:35" x14ac:dyDescent="0.3">
      <c r="A265"/>
      <c r="B265"/>
      <c r="C265"/>
      <c r="D265"/>
      <c r="E265"/>
      <c r="F265"/>
      <c r="G265"/>
      <c r="H265"/>
      <c r="I265"/>
      <c r="J265"/>
      <c r="K265"/>
      <c r="L265"/>
      <c r="M265"/>
      <c r="N265"/>
      <c r="O265"/>
      <c r="P265" s="207"/>
      <c r="Q265" s="207"/>
      <c r="R265" s="207"/>
      <c r="S265" s="208"/>
      <c r="T265" s="208"/>
      <c r="U265" s="208"/>
      <c r="V265" s="207"/>
      <c r="W265" s="207"/>
      <c r="X265" s="207"/>
      <c r="Y265" s="209"/>
      <c r="Z265" s="210"/>
      <c r="AA265" s="210"/>
      <c r="AB265" s="210"/>
      <c r="AC265" s="210"/>
      <c r="AD265" s="210"/>
      <c r="AE265" s="207"/>
      <c r="AF265" s="209"/>
      <c r="AG265" s="211"/>
      <c r="AH265"/>
      <c r="AI265"/>
    </row>
    <row r="266" spans="1:35" x14ac:dyDescent="0.3">
      <c r="A266"/>
      <c r="B266"/>
      <c r="C266"/>
      <c r="D266"/>
      <c r="E266"/>
      <c r="F266"/>
      <c r="G266"/>
      <c r="H266"/>
      <c r="I266"/>
      <c r="J266"/>
      <c r="K266"/>
      <c r="L266"/>
      <c r="M266"/>
      <c r="N266"/>
      <c r="O266"/>
      <c r="P266" s="207"/>
      <c r="Q266" s="207"/>
      <c r="R266" s="207"/>
      <c r="S266" s="208"/>
      <c r="T266" s="208"/>
      <c r="U266" s="208"/>
      <c r="V266" s="207"/>
      <c r="W266" s="207"/>
      <c r="X266" s="207"/>
      <c r="Y266" s="209"/>
      <c r="Z266" s="210"/>
      <c r="AA266" s="210"/>
      <c r="AB266" s="210"/>
      <c r="AC266" s="210"/>
      <c r="AD266" s="210"/>
      <c r="AE266" s="207"/>
      <c r="AF266" s="209"/>
      <c r="AG266" s="211"/>
      <c r="AH266"/>
      <c r="AI266"/>
    </row>
    <row r="267" spans="1:35" x14ac:dyDescent="0.3">
      <c r="A267"/>
      <c r="B267"/>
      <c r="C267"/>
      <c r="D267"/>
      <c r="E267"/>
      <c r="F267"/>
      <c r="G267"/>
      <c r="H267"/>
      <c r="I267"/>
      <c r="J267"/>
      <c r="K267"/>
      <c r="L267"/>
      <c r="M267"/>
      <c r="N267"/>
      <c r="O267"/>
      <c r="P267" s="207"/>
      <c r="Q267" s="207"/>
      <c r="R267" s="207"/>
      <c r="S267" s="208"/>
      <c r="T267" s="208"/>
      <c r="U267" s="208"/>
      <c r="V267" s="207"/>
      <c r="W267" s="207"/>
      <c r="X267" s="207"/>
      <c r="Y267" s="209"/>
      <c r="Z267" s="210"/>
      <c r="AA267" s="210"/>
      <c r="AB267" s="210"/>
      <c r="AC267" s="210"/>
      <c r="AD267" s="210"/>
      <c r="AE267" s="207"/>
      <c r="AF267" s="209"/>
      <c r="AG267" s="211"/>
      <c r="AH267"/>
      <c r="AI267"/>
    </row>
    <row r="268" spans="1:35" x14ac:dyDescent="0.3">
      <c r="A268"/>
      <c r="B268"/>
      <c r="C268"/>
      <c r="D268"/>
      <c r="E268"/>
      <c r="F268"/>
      <c r="G268"/>
      <c r="H268"/>
      <c r="I268"/>
      <c r="J268"/>
      <c r="K268"/>
      <c r="L268"/>
      <c r="M268"/>
      <c r="N268"/>
      <c r="O268"/>
      <c r="P268" s="207"/>
      <c r="Q268" s="207"/>
      <c r="R268" s="207"/>
      <c r="S268" s="208"/>
      <c r="T268" s="208"/>
      <c r="U268" s="208"/>
      <c r="V268" s="207"/>
      <c r="W268" s="207"/>
      <c r="X268" s="207"/>
      <c r="Y268" s="209"/>
      <c r="Z268" s="210"/>
      <c r="AA268" s="210"/>
      <c r="AB268" s="210"/>
      <c r="AC268" s="210"/>
      <c r="AD268" s="210"/>
      <c r="AE268" s="207"/>
      <c r="AF268" s="209"/>
      <c r="AG268" s="211"/>
      <c r="AH268"/>
      <c r="AI268"/>
    </row>
    <row r="269" spans="1:35" x14ac:dyDescent="0.3">
      <c r="A269"/>
      <c r="B269"/>
      <c r="C269"/>
      <c r="D269"/>
      <c r="E269"/>
      <c r="F269"/>
      <c r="G269"/>
      <c r="H269"/>
      <c r="I269"/>
      <c r="J269"/>
      <c r="K269"/>
      <c r="L269"/>
      <c r="M269"/>
      <c r="N269"/>
      <c r="O269"/>
      <c r="P269" s="207"/>
      <c r="Q269" s="207"/>
      <c r="R269" s="207"/>
      <c r="S269" s="208"/>
      <c r="T269" s="208"/>
      <c r="U269" s="208"/>
      <c r="V269" s="207"/>
      <c r="W269" s="207"/>
      <c r="X269" s="207"/>
      <c r="Y269" s="209"/>
      <c r="Z269" s="210"/>
      <c r="AA269" s="210"/>
      <c r="AB269" s="210"/>
      <c r="AC269" s="210"/>
      <c r="AD269" s="210"/>
      <c r="AE269" s="207"/>
      <c r="AF269" s="209"/>
      <c r="AG269" s="211"/>
      <c r="AH269"/>
      <c r="AI269"/>
    </row>
    <row r="270" spans="1:35" x14ac:dyDescent="0.3">
      <c r="A270"/>
      <c r="B270"/>
      <c r="C270"/>
      <c r="D270"/>
      <c r="E270"/>
      <c r="F270"/>
      <c r="G270"/>
      <c r="H270"/>
      <c r="I270"/>
      <c r="J270"/>
      <c r="K270"/>
      <c r="L270"/>
      <c r="M270"/>
      <c r="N270"/>
      <c r="O270"/>
      <c r="P270" s="207"/>
      <c r="Q270" s="207"/>
      <c r="R270" s="207"/>
      <c r="S270" s="208"/>
      <c r="T270" s="208"/>
      <c r="U270" s="208"/>
      <c r="V270" s="207"/>
      <c r="W270" s="207"/>
      <c r="X270" s="207"/>
      <c r="Y270" s="209"/>
      <c r="Z270" s="210"/>
      <c r="AA270" s="210"/>
      <c r="AB270" s="210"/>
      <c r="AC270" s="210"/>
      <c r="AD270" s="210"/>
      <c r="AE270" s="207"/>
      <c r="AF270" s="209"/>
      <c r="AG270" s="211"/>
      <c r="AH270"/>
      <c r="AI270"/>
    </row>
    <row r="271" spans="1:35" x14ac:dyDescent="0.3">
      <c r="A271"/>
      <c r="B271"/>
      <c r="C271"/>
      <c r="D271"/>
      <c r="E271"/>
      <c r="F271"/>
      <c r="G271"/>
      <c r="H271"/>
      <c r="I271"/>
      <c r="J271"/>
      <c r="K271"/>
      <c r="L271"/>
      <c r="M271"/>
      <c r="N271"/>
      <c r="O271"/>
      <c r="P271" s="207"/>
      <c r="Q271" s="207"/>
      <c r="R271" s="207"/>
      <c r="S271" s="208"/>
      <c r="T271" s="208"/>
      <c r="U271" s="208"/>
      <c r="V271" s="207"/>
      <c r="W271" s="207"/>
      <c r="X271" s="207"/>
      <c r="Y271" s="209"/>
      <c r="Z271" s="210"/>
      <c r="AA271" s="210"/>
      <c r="AB271" s="210"/>
      <c r="AC271" s="210"/>
      <c r="AD271" s="210"/>
      <c r="AE271" s="207"/>
      <c r="AF271" s="209"/>
      <c r="AG271" s="211"/>
      <c r="AH271"/>
      <c r="AI271"/>
    </row>
    <row r="272" spans="1:35" x14ac:dyDescent="0.3">
      <c r="A272"/>
      <c r="B272"/>
      <c r="C272"/>
      <c r="D272"/>
      <c r="E272"/>
      <c r="F272"/>
      <c r="G272"/>
      <c r="H272"/>
      <c r="I272"/>
      <c r="J272"/>
      <c r="K272"/>
      <c r="L272"/>
      <c r="M272"/>
      <c r="N272"/>
      <c r="O272"/>
      <c r="P272" s="207"/>
      <c r="Q272" s="207"/>
      <c r="R272" s="207"/>
      <c r="S272" s="208"/>
      <c r="T272" s="208"/>
      <c r="U272" s="208"/>
      <c r="V272" s="207"/>
      <c r="W272" s="207"/>
      <c r="X272" s="207"/>
      <c r="Y272" s="209"/>
      <c r="Z272" s="210"/>
      <c r="AA272" s="210"/>
      <c r="AB272" s="210"/>
      <c r="AC272" s="210"/>
      <c r="AD272" s="210"/>
      <c r="AE272" s="207"/>
      <c r="AF272" s="209"/>
      <c r="AG272" s="211"/>
      <c r="AH272"/>
      <c r="AI272"/>
    </row>
    <row r="273" spans="1:35" x14ac:dyDescent="0.3">
      <c r="A273"/>
      <c r="B273"/>
      <c r="C273"/>
      <c r="D273"/>
      <c r="E273"/>
      <c r="F273"/>
      <c r="G273"/>
      <c r="H273"/>
      <c r="I273"/>
      <c r="J273"/>
      <c r="K273"/>
      <c r="L273"/>
      <c r="M273"/>
      <c r="N273"/>
      <c r="O273"/>
      <c r="P273" s="207"/>
      <c r="Q273" s="207"/>
      <c r="R273" s="207"/>
      <c r="S273" s="208"/>
      <c r="T273" s="208"/>
      <c r="U273" s="208"/>
      <c r="V273" s="207"/>
      <c r="W273" s="207"/>
      <c r="X273" s="207"/>
      <c r="Y273" s="209"/>
      <c r="Z273" s="210"/>
      <c r="AA273" s="210"/>
      <c r="AB273" s="210"/>
      <c r="AC273" s="210"/>
      <c r="AD273" s="210"/>
      <c r="AE273" s="207"/>
      <c r="AF273" s="209"/>
      <c r="AG273" s="211"/>
      <c r="AH273"/>
      <c r="AI273"/>
    </row>
    <row r="274" spans="1:35" x14ac:dyDescent="0.3">
      <c r="A274"/>
      <c r="B274"/>
      <c r="C274"/>
      <c r="D274"/>
      <c r="E274"/>
      <c r="F274"/>
      <c r="G274"/>
      <c r="H274"/>
      <c r="I274"/>
      <c r="J274"/>
      <c r="K274"/>
      <c r="L274"/>
      <c r="M274"/>
      <c r="N274"/>
      <c r="O274"/>
      <c r="P274" s="207"/>
      <c r="Q274" s="207"/>
      <c r="R274" s="207"/>
      <c r="S274" s="208"/>
      <c r="T274" s="208"/>
      <c r="U274" s="208"/>
      <c r="V274" s="207"/>
      <c r="W274" s="207"/>
      <c r="X274" s="207"/>
      <c r="Y274" s="209"/>
      <c r="Z274" s="210"/>
      <c r="AA274" s="210"/>
      <c r="AB274" s="210"/>
      <c r="AC274" s="210"/>
      <c r="AD274" s="210"/>
      <c r="AE274" s="207"/>
      <c r="AF274" s="209"/>
      <c r="AG274" s="211"/>
      <c r="AH274"/>
      <c r="AI274"/>
    </row>
    <row r="275" spans="1:35" x14ac:dyDescent="0.3">
      <c r="A275"/>
      <c r="B275"/>
      <c r="C275"/>
      <c r="D275"/>
      <c r="E275"/>
      <c r="F275"/>
      <c r="G275"/>
      <c r="H275"/>
      <c r="I275"/>
      <c r="J275"/>
      <c r="K275"/>
      <c r="L275"/>
      <c r="M275"/>
      <c r="N275"/>
      <c r="O275"/>
      <c r="P275" s="207"/>
      <c r="Q275" s="207"/>
      <c r="R275" s="207"/>
      <c r="S275" s="208"/>
      <c r="T275" s="208"/>
      <c r="U275" s="208"/>
      <c r="V275" s="207"/>
      <c r="W275" s="207"/>
      <c r="X275" s="207"/>
      <c r="Y275" s="209"/>
      <c r="Z275" s="210"/>
      <c r="AA275" s="210"/>
      <c r="AB275" s="210"/>
      <c r="AC275" s="210"/>
      <c r="AD275" s="210"/>
      <c r="AE275" s="207"/>
      <c r="AF275" s="209"/>
      <c r="AG275" s="211"/>
      <c r="AH275"/>
      <c r="AI275"/>
    </row>
    <row r="276" spans="1:35" x14ac:dyDescent="0.3">
      <c r="A276"/>
      <c r="B276"/>
      <c r="C276"/>
      <c r="D276"/>
      <c r="E276"/>
      <c r="F276"/>
      <c r="G276"/>
      <c r="H276"/>
      <c r="I276"/>
      <c r="J276"/>
      <c r="K276"/>
      <c r="L276"/>
      <c r="M276"/>
      <c r="N276"/>
      <c r="O276"/>
      <c r="P276" s="207"/>
      <c r="Q276" s="207"/>
      <c r="R276" s="207"/>
      <c r="S276" s="208"/>
      <c r="T276" s="208"/>
      <c r="U276" s="208"/>
      <c r="V276" s="207"/>
      <c r="W276" s="207"/>
      <c r="X276" s="207"/>
      <c r="Y276" s="209"/>
      <c r="Z276" s="210"/>
      <c r="AA276" s="210"/>
      <c r="AB276" s="210"/>
      <c r="AC276" s="210"/>
      <c r="AD276" s="210"/>
      <c r="AE276" s="207"/>
      <c r="AF276" s="209"/>
      <c r="AG276" s="211"/>
      <c r="AH276"/>
      <c r="AI276"/>
    </row>
    <row r="277" spans="1:35" x14ac:dyDescent="0.3">
      <c r="A277"/>
      <c r="B277"/>
      <c r="C277"/>
      <c r="D277"/>
      <c r="E277"/>
      <c r="F277"/>
      <c r="G277"/>
      <c r="H277"/>
      <c r="I277"/>
      <c r="J277"/>
      <c r="K277"/>
      <c r="L277"/>
      <c r="M277"/>
      <c r="N277"/>
      <c r="O277"/>
      <c r="P277" s="207"/>
      <c r="Q277" s="207"/>
      <c r="R277" s="207"/>
      <c r="S277" s="208"/>
      <c r="T277" s="208"/>
      <c r="U277" s="208"/>
      <c r="V277" s="207"/>
      <c r="W277" s="207"/>
      <c r="X277" s="207"/>
      <c r="Y277" s="209"/>
      <c r="Z277" s="210"/>
      <c r="AA277" s="210"/>
      <c r="AB277" s="210"/>
      <c r="AC277" s="210"/>
      <c r="AD277" s="210"/>
      <c r="AE277" s="207"/>
      <c r="AF277" s="209"/>
      <c r="AG277" s="211"/>
      <c r="AH277"/>
      <c r="AI277"/>
    </row>
    <row r="278" spans="1:35" x14ac:dyDescent="0.3">
      <c r="A278"/>
      <c r="B278"/>
      <c r="C278"/>
      <c r="D278"/>
      <c r="E278"/>
      <c r="F278"/>
      <c r="G278"/>
      <c r="H278"/>
      <c r="I278"/>
      <c r="J278"/>
      <c r="K278"/>
      <c r="L278"/>
      <c r="M278"/>
      <c r="N278"/>
      <c r="O278"/>
      <c r="P278" s="207"/>
      <c r="Q278" s="207"/>
      <c r="R278" s="207"/>
      <c r="S278" s="208"/>
      <c r="T278" s="208"/>
      <c r="U278" s="208"/>
      <c r="V278" s="207"/>
      <c r="W278" s="207"/>
      <c r="X278" s="207"/>
      <c r="Y278" s="209"/>
      <c r="Z278" s="210"/>
      <c r="AA278" s="210"/>
      <c r="AB278" s="210"/>
      <c r="AC278" s="210"/>
      <c r="AD278" s="210"/>
      <c r="AE278" s="207"/>
      <c r="AF278" s="209"/>
      <c r="AG278" s="211"/>
      <c r="AH278"/>
      <c r="AI278"/>
    </row>
    <row r="279" spans="1:35" x14ac:dyDescent="0.3">
      <c r="A279"/>
      <c r="B279"/>
      <c r="C279"/>
      <c r="D279"/>
      <c r="E279"/>
      <c r="F279"/>
      <c r="G279"/>
      <c r="H279"/>
      <c r="I279"/>
      <c r="J279"/>
      <c r="K279"/>
      <c r="L279"/>
      <c r="M279"/>
      <c r="N279"/>
      <c r="O279"/>
      <c r="P279" s="207"/>
      <c r="Q279" s="207"/>
      <c r="R279" s="207"/>
      <c r="S279" s="208"/>
      <c r="T279" s="208"/>
      <c r="U279" s="208"/>
      <c r="V279" s="207"/>
      <c r="W279" s="207"/>
      <c r="X279" s="207"/>
      <c r="Y279" s="209"/>
      <c r="Z279" s="210"/>
      <c r="AA279" s="210"/>
      <c r="AB279" s="210"/>
      <c r="AC279" s="210"/>
      <c r="AD279" s="210"/>
      <c r="AE279" s="207"/>
      <c r="AF279" s="209"/>
      <c r="AG279" s="211"/>
      <c r="AH279"/>
      <c r="AI279"/>
    </row>
    <row r="280" spans="1:35" x14ac:dyDescent="0.3">
      <c r="A280"/>
      <c r="B280"/>
      <c r="C280"/>
      <c r="D280"/>
      <c r="E280"/>
      <c r="F280"/>
      <c r="G280"/>
      <c r="H280"/>
      <c r="I280"/>
      <c r="J280"/>
      <c r="K280"/>
      <c r="L280"/>
      <c r="M280"/>
      <c r="N280"/>
      <c r="O280"/>
      <c r="P280" s="207"/>
      <c r="Q280" s="207"/>
      <c r="R280" s="207"/>
      <c r="S280" s="208"/>
      <c r="T280" s="208"/>
      <c r="U280" s="208"/>
      <c r="V280" s="207"/>
      <c r="W280" s="207"/>
      <c r="X280" s="207"/>
      <c r="Y280" s="209"/>
      <c r="Z280" s="210"/>
      <c r="AA280" s="210"/>
      <c r="AB280" s="210"/>
      <c r="AC280" s="210"/>
      <c r="AD280" s="210"/>
      <c r="AE280" s="207"/>
      <c r="AF280" s="209"/>
      <c r="AG280" s="211"/>
      <c r="AH280"/>
      <c r="AI280"/>
    </row>
    <row r="281" spans="1:35" x14ac:dyDescent="0.3">
      <c r="A281"/>
      <c r="B281"/>
      <c r="C281"/>
      <c r="D281"/>
      <c r="E281"/>
      <c r="F281"/>
      <c r="G281"/>
      <c r="H281"/>
      <c r="I281"/>
      <c r="J281"/>
      <c r="K281"/>
      <c r="L281"/>
      <c r="M281"/>
      <c r="N281"/>
      <c r="O281"/>
      <c r="P281" s="207"/>
      <c r="Q281" s="207"/>
      <c r="R281" s="207"/>
      <c r="S281" s="208"/>
      <c r="T281" s="208"/>
      <c r="U281" s="208"/>
      <c r="V281" s="207"/>
      <c r="W281" s="207"/>
      <c r="X281" s="207"/>
      <c r="Y281" s="209"/>
      <c r="Z281" s="210"/>
      <c r="AA281" s="210"/>
      <c r="AB281" s="210"/>
      <c r="AC281" s="210"/>
      <c r="AD281" s="210"/>
      <c r="AE281" s="207"/>
      <c r="AF281" s="209"/>
      <c r="AG281" s="211"/>
      <c r="AH281"/>
      <c r="AI281"/>
    </row>
    <row r="282" spans="1:35" x14ac:dyDescent="0.3">
      <c r="A282"/>
      <c r="B282"/>
      <c r="C282"/>
      <c r="D282"/>
      <c r="E282"/>
      <c r="F282"/>
      <c r="G282"/>
      <c r="H282"/>
      <c r="I282"/>
      <c r="J282"/>
      <c r="K282"/>
      <c r="L282"/>
      <c r="M282"/>
      <c r="N282"/>
      <c r="O282"/>
      <c r="P282" s="207"/>
      <c r="Q282" s="207"/>
      <c r="R282" s="207"/>
      <c r="S282" s="208"/>
      <c r="T282" s="208"/>
      <c r="U282" s="208"/>
      <c r="V282" s="207"/>
      <c r="W282" s="207"/>
      <c r="X282" s="207"/>
      <c r="Y282" s="209"/>
      <c r="Z282" s="210"/>
      <c r="AA282" s="210"/>
      <c r="AB282" s="210"/>
      <c r="AC282" s="210"/>
      <c r="AD282" s="210"/>
      <c r="AE282" s="207"/>
      <c r="AF282" s="209"/>
      <c r="AG282" s="211"/>
      <c r="AH282"/>
      <c r="AI282"/>
    </row>
    <row r="283" spans="1:35" x14ac:dyDescent="0.3">
      <c r="A283"/>
      <c r="B283"/>
      <c r="C283"/>
      <c r="D283"/>
      <c r="E283"/>
      <c r="F283"/>
      <c r="G283"/>
      <c r="H283"/>
      <c r="I283"/>
      <c r="J283"/>
      <c r="K283"/>
      <c r="L283"/>
      <c r="M283"/>
      <c r="N283"/>
      <c r="O283"/>
      <c r="P283" s="207"/>
      <c r="Q283" s="207"/>
      <c r="R283" s="207"/>
      <c r="S283" s="208"/>
      <c r="T283" s="208"/>
      <c r="U283" s="208"/>
      <c r="V283" s="207"/>
      <c r="W283" s="207"/>
      <c r="X283" s="207"/>
      <c r="Y283" s="209"/>
      <c r="Z283" s="210"/>
      <c r="AA283" s="210"/>
      <c r="AB283" s="210"/>
      <c r="AC283" s="210"/>
      <c r="AD283" s="210"/>
      <c r="AE283" s="207"/>
      <c r="AF283" s="209"/>
      <c r="AG283" s="211"/>
      <c r="AH283"/>
      <c r="AI283"/>
    </row>
    <row r="284" spans="1:35" x14ac:dyDescent="0.3">
      <c r="A284"/>
      <c r="B284"/>
      <c r="C284"/>
      <c r="D284"/>
      <c r="E284"/>
      <c r="F284"/>
      <c r="G284"/>
      <c r="H284"/>
      <c r="I284"/>
      <c r="J284"/>
      <c r="K284"/>
      <c r="L284"/>
      <c r="M284"/>
      <c r="N284"/>
      <c r="O284"/>
      <c r="P284" s="207"/>
      <c r="Q284" s="207"/>
      <c r="R284" s="207"/>
      <c r="S284" s="208"/>
      <c r="T284" s="208"/>
      <c r="U284" s="208"/>
      <c r="V284" s="207"/>
      <c r="W284" s="207"/>
      <c r="X284" s="207"/>
      <c r="Y284" s="209"/>
      <c r="Z284" s="210"/>
      <c r="AA284" s="210"/>
      <c r="AB284" s="210"/>
      <c r="AC284" s="210"/>
      <c r="AD284" s="210"/>
      <c r="AE284" s="207"/>
      <c r="AF284" s="209"/>
      <c r="AG284" s="211"/>
      <c r="AH284"/>
      <c r="AI284"/>
    </row>
    <row r="285" spans="1:35" x14ac:dyDescent="0.3">
      <c r="A285"/>
      <c r="B285"/>
      <c r="C285"/>
      <c r="D285"/>
      <c r="E285"/>
      <c r="F285"/>
      <c r="G285"/>
      <c r="H285"/>
      <c r="I285"/>
      <c r="J285"/>
      <c r="K285"/>
      <c r="L285"/>
      <c r="M285"/>
      <c r="N285"/>
      <c r="O285"/>
      <c r="P285" s="207"/>
      <c r="Q285" s="207"/>
      <c r="R285" s="207"/>
      <c r="S285" s="208"/>
      <c r="T285" s="208"/>
      <c r="U285" s="208"/>
      <c r="V285" s="207"/>
      <c r="W285" s="207"/>
      <c r="X285" s="207"/>
      <c r="Y285" s="209"/>
      <c r="Z285" s="210"/>
      <c r="AA285" s="210"/>
      <c r="AB285" s="210"/>
      <c r="AC285" s="210"/>
      <c r="AD285" s="210"/>
      <c r="AE285" s="207"/>
      <c r="AF285" s="209"/>
      <c r="AG285" s="211"/>
      <c r="AH285"/>
      <c r="AI285"/>
    </row>
    <row r="286" spans="1:35" x14ac:dyDescent="0.3">
      <c r="A286"/>
      <c r="B286"/>
      <c r="C286"/>
      <c r="D286"/>
      <c r="E286"/>
      <c r="F286"/>
      <c r="G286"/>
      <c r="H286"/>
      <c r="I286"/>
      <c r="J286"/>
      <c r="K286"/>
      <c r="L286"/>
      <c r="M286"/>
      <c r="N286"/>
      <c r="O286"/>
      <c r="P286" s="207"/>
      <c r="Q286" s="207"/>
      <c r="R286" s="207"/>
      <c r="S286" s="208"/>
      <c r="T286" s="208"/>
      <c r="U286" s="208"/>
      <c r="V286" s="207"/>
      <c r="W286" s="207"/>
      <c r="X286" s="207"/>
      <c r="Y286" s="209"/>
      <c r="Z286" s="210"/>
      <c r="AA286" s="210"/>
      <c r="AB286" s="210"/>
      <c r="AC286" s="210"/>
      <c r="AD286" s="210"/>
      <c r="AE286" s="207"/>
      <c r="AF286" s="209"/>
      <c r="AG286" s="211"/>
      <c r="AH286"/>
      <c r="AI286"/>
    </row>
    <row r="287" spans="1:35" x14ac:dyDescent="0.3">
      <c r="A287"/>
      <c r="B287"/>
      <c r="C287"/>
      <c r="D287"/>
      <c r="E287"/>
      <c r="F287"/>
      <c r="G287"/>
      <c r="H287"/>
      <c r="I287"/>
      <c r="J287"/>
      <c r="K287"/>
      <c r="L287"/>
      <c r="M287"/>
      <c r="N287"/>
      <c r="O287"/>
      <c r="P287" s="207"/>
      <c r="Q287" s="207"/>
      <c r="R287" s="207"/>
      <c r="S287" s="208"/>
      <c r="T287" s="208"/>
      <c r="U287" s="208"/>
      <c r="V287" s="207"/>
      <c r="W287" s="207"/>
      <c r="X287" s="207"/>
      <c r="Y287" s="209"/>
      <c r="Z287" s="210"/>
      <c r="AA287" s="210"/>
      <c r="AB287" s="210"/>
      <c r="AC287" s="210"/>
      <c r="AD287" s="210"/>
      <c r="AE287" s="207"/>
      <c r="AF287" s="209"/>
      <c r="AG287" s="211"/>
      <c r="AH287"/>
      <c r="AI287"/>
    </row>
    <row r="288" spans="1:35" x14ac:dyDescent="0.3">
      <c r="A288"/>
      <c r="B288"/>
      <c r="C288"/>
      <c r="D288"/>
      <c r="E288"/>
      <c r="F288"/>
      <c r="G288"/>
      <c r="H288"/>
      <c r="I288"/>
      <c r="J288"/>
      <c r="K288"/>
      <c r="L288"/>
      <c r="M288"/>
      <c r="N288"/>
      <c r="O288"/>
      <c r="P288" s="207"/>
      <c r="Q288" s="207"/>
      <c r="R288" s="207"/>
      <c r="S288" s="208"/>
      <c r="T288" s="208"/>
      <c r="U288" s="208"/>
      <c r="V288" s="207"/>
      <c r="W288" s="207"/>
      <c r="X288" s="207"/>
      <c r="Y288" s="209"/>
      <c r="Z288" s="210"/>
      <c r="AA288" s="210"/>
      <c r="AB288" s="210"/>
      <c r="AC288" s="210"/>
      <c r="AD288" s="210"/>
      <c r="AE288" s="207"/>
      <c r="AF288" s="209"/>
      <c r="AG288" s="211"/>
      <c r="AH288"/>
      <c r="AI288"/>
    </row>
    <row r="289" spans="1:35" x14ac:dyDescent="0.3">
      <c r="A289"/>
      <c r="B289"/>
      <c r="C289"/>
      <c r="D289"/>
      <c r="E289"/>
      <c r="F289"/>
      <c r="G289"/>
      <c r="H289"/>
      <c r="I289"/>
      <c r="J289"/>
      <c r="K289"/>
      <c r="L289"/>
      <c r="M289"/>
      <c r="N289"/>
      <c r="O289"/>
      <c r="P289" s="207"/>
      <c r="Q289" s="207"/>
      <c r="R289" s="207"/>
      <c r="S289" s="208"/>
      <c r="T289" s="208"/>
      <c r="U289" s="208"/>
      <c r="V289" s="207"/>
      <c r="W289" s="207"/>
      <c r="X289" s="207"/>
      <c r="Y289" s="209"/>
      <c r="Z289" s="210"/>
      <c r="AA289" s="210"/>
      <c r="AB289" s="210"/>
      <c r="AC289" s="210"/>
      <c r="AD289" s="210"/>
      <c r="AE289" s="207"/>
      <c r="AF289" s="209"/>
      <c r="AG289" s="211"/>
      <c r="AH289"/>
      <c r="AI289"/>
    </row>
    <row r="290" spans="1:35" x14ac:dyDescent="0.3">
      <c r="A290"/>
      <c r="B290"/>
      <c r="C290"/>
      <c r="D290"/>
      <c r="E290"/>
      <c r="F290"/>
      <c r="G290"/>
      <c r="H290"/>
      <c r="I290"/>
      <c r="J290"/>
      <c r="K290"/>
      <c r="L290"/>
      <c r="M290"/>
      <c r="N290"/>
      <c r="O290"/>
      <c r="P290" s="207"/>
      <c r="Q290" s="207"/>
      <c r="R290" s="207"/>
      <c r="S290" s="208"/>
      <c r="T290" s="208"/>
      <c r="U290" s="208"/>
      <c r="V290" s="207"/>
      <c r="W290" s="207"/>
      <c r="X290" s="207"/>
      <c r="Y290" s="209"/>
      <c r="Z290" s="210"/>
      <c r="AA290" s="210"/>
      <c r="AB290" s="210"/>
      <c r="AC290" s="210"/>
      <c r="AD290" s="210"/>
      <c r="AE290" s="207"/>
      <c r="AF290" s="209"/>
      <c r="AG290" s="211"/>
      <c r="AH290"/>
      <c r="AI290"/>
    </row>
    <row r="291" spans="1:35" x14ac:dyDescent="0.3">
      <c r="A291"/>
      <c r="B291"/>
      <c r="C291"/>
      <c r="D291"/>
      <c r="E291"/>
      <c r="F291"/>
      <c r="G291"/>
      <c r="H291"/>
      <c r="I291"/>
      <c r="J291"/>
      <c r="K291"/>
      <c r="L291"/>
      <c r="M291"/>
      <c r="N291"/>
      <c r="O291"/>
      <c r="P291" s="207"/>
      <c r="Q291" s="207"/>
      <c r="R291" s="207"/>
      <c r="S291" s="208"/>
      <c r="T291" s="208"/>
      <c r="U291" s="208"/>
      <c r="V291" s="207"/>
      <c r="W291" s="207"/>
      <c r="X291" s="207"/>
      <c r="Y291" s="209"/>
      <c r="Z291" s="210"/>
      <c r="AA291" s="210"/>
      <c r="AB291" s="210"/>
      <c r="AC291" s="210"/>
      <c r="AD291" s="210"/>
      <c r="AE291" s="207"/>
      <c r="AF291" s="209"/>
      <c r="AG291" s="211"/>
      <c r="AH291"/>
      <c r="AI291"/>
    </row>
    <row r="292" spans="1:35" x14ac:dyDescent="0.3">
      <c r="A292"/>
      <c r="B292"/>
      <c r="C292"/>
      <c r="D292"/>
      <c r="E292"/>
      <c r="F292"/>
      <c r="G292"/>
      <c r="H292"/>
      <c r="I292"/>
      <c r="J292"/>
      <c r="K292"/>
      <c r="L292"/>
      <c r="M292"/>
      <c r="N292"/>
      <c r="O292"/>
      <c r="P292" s="207"/>
      <c r="Q292" s="207"/>
      <c r="R292" s="207"/>
      <c r="S292" s="208"/>
      <c r="T292" s="208"/>
      <c r="U292" s="208"/>
      <c r="V292" s="207"/>
      <c r="W292" s="207"/>
      <c r="X292" s="207"/>
      <c r="Y292" s="209"/>
      <c r="Z292" s="210"/>
      <c r="AA292" s="210"/>
      <c r="AB292" s="210"/>
      <c r="AC292" s="210"/>
      <c r="AD292" s="210"/>
      <c r="AE292" s="207"/>
      <c r="AF292" s="209"/>
      <c r="AG292" s="211"/>
      <c r="AH292"/>
      <c r="AI292"/>
    </row>
    <row r="293" spans="1:35" x14ac:dyDescent="0.3">
      <c r="A293"/>
      <c r="B293"/>
      <c r="C293"/>
      <c r="D293"/>
      <c r="E293"/>
      <c r="F293"/>
      <c r="G293"/>
      <c r="H293"/>
      <c r="I293"/>
      <c r="J293"/>
      <c r="K293"/>
      <c r="L293"/>
      <c r="M293"/>
      <c r="N293"/>
      <c r="O293"/>
      <c r="P293" s="207"/>
      <c r="Q293" s="207"/>
      <c r="R293" s="207"/>
      <c r="S293" s="208"/>
      <c r="T293" s="208"/>
      <c r="U293" s="208"/>
      <c r="V293" s="207"/>
      <c r="W293" s="207"/>
      <c r="X293" s="207"/>
      <c r="Y293" s="209"/>
      <c r="Z293" s="210"/>
      <c r="AA293" s="210"/>
      <c r="AB293" s="210"/>
      <c r="AC293" s="210"/>
      <c r="AD293" s="210"/>
      <c r="AE293" s="207"/>
      <c r="AF293" s="209"/>
      <c r="AG293" s="211"/>
      <c r="AH293"/>
      <c r="AI293"/>
    </row>
    <row r="294" spans="1:35" x14ac:dyDescent="0.3">
      <c r="A294"/>
      <c r="B294"/>
      <c r="C294"/>
      <c r="D294"/>
      <c r="E294"/>
      <c r="F294"/>
      <c r="G294"/>
      <c r="H294"/>
      <c r="I294"/>
      <c r="J294"/>
      <c r="K294"/>
      <c r="L294"/>
      <c r="M294"/>
      <c r="N294"/>
      <c r="O294"/>
      <c r="P294" s="207"/>
      <c r="Q294" s="207"/>
      <c r="R294" s="207"/>
      <c r="S294" s="208"/>
      <c r="T294" s="208"/>
      <c r="U294" s="208"/>
      <c r="V294" s="207"/>
      <c r="W294" s="207"/>
      <c r="X294" s="207"/>
      <c r="Y294" s="209"/>
      <c r="Z294" s="210"/>
      <c r="AA294" s="210"/>
      <c r="AB294" s="210"/>
      <c r="AC294" s="210"/>
      <c r="AD294" s="210"/>
      <c r="AE294" s="207"/>
      <c r="AF294" s="209"/>
      <c r="AG294" s="211"/>
      <c r="AH294"/>
      <c r="AI294"/>
    </row>
    <row r="295" spans="1:35" x14ac:dyDescent="0.3">
      <c r="A295"/>
      <c r="B295"/>
      <c r="C295"/>
      <c r="D295"/>
      <c r="E295"/>
      <c r="F295"/>
      <c r="G295"/>
      <c r="H295"/>
      <c r="I295"/>
      <c r="J295"/>
      <c r="K295"/>
      <c r="L295"/>
      <c r="M295"/>
      <c r="N295"/>
      <c r="O295"/>
      <c r="P295" s="207"/>
      <c r="Q295" s="207"/>
      <c r="R295" s="207"/>
      <c r="S295" s="208"/>
      <c r="T295" s="208"/>
      <c r="U295" s="208"/>
      <c r="V295" s="207"/>
      <c r="W295" s="207"/>
      <c r="X295" s="207"/>
      <c r="Y295" s="209"/>
      <c r="Z295" s="210"/>
      <c r="AA295" s="210"/>
      <c r="AB295" s="210"/>
      <c r="AC295" s="210"/>
      <c r="AD295" s="210"/>
      <c r="AE295" s="207"/>
      <c r="AF295" s="209"/>
      <c r="AG295" s="211"/>
      <c r="AH295"/>
      <c r="AI295"/>
    </row>
    <row r="296" spans="1:35" x14ac:dyDescent="0.3">
      <c r="A296"/>
      <c r="B296"/>
      <c r="C296"/>
      <c r="D296"/>
      <c r="E296"/>
      <c r="F296"/>
      <c r="G296"/>
      <c r="H296"/>
      <c r="I296"/>
      <c r="J296"/>
      <c r="K296"/>
      <c r="L296"/>
      <c r="M296"/>
      <c r="N296"/>
      <c r="O296"/>
      <c r="P296" s="207"/>
      <c r="Q296" s="207"/>
      <c r="R296" s="207"/>
      <c r="S296" s="208"/>
      <c r="T296" s="208"/>
      <c r="U296" s="208"/>
      <c r="V296" s="207"/>
      <c r="W296" s="207"/>
      <c r="X296" s="207"/>
      <c r="Y296" s="209"/>
      <c r="Z296" s="210"/>
      <c r="AA296" s="210"/>
      <c r="AB296" s="210"/>
      <c r="AC296" s="210"/>
      <c r="AD296" s="210"/>
      <c r="AE296" s="207"/>
      <c r="AF296" s="209"/>
      <c r="AG296" s="211"/>
      <c r="AH296"/>
      <c r="AI296"/>
    </row>
    <row r="297" spans="1:35" x14ac:dyDescent="0.3">
      <c r="A297"/>
      <c r="B297"/>
      <c r="C297"/>
      <c r="D297"/>
      <c r="E297"/>
      <c r="F297"/>
      <c r="G297"/>
      <c r="H297"/>
      <c r="I297"/>
      <c r="J297"/>
      <c r="K297"/>
      <c r="L297"/>
      <c r="M297"/>
      <c r="N297"/>
      <c r="O297"/>
      <c r="P297" s="207"/>
      <c r="Q297" s="207"/>
      <c r="R297" s="207"/>
      <c r="S297" s="208"/>
      <c r="T297" s="208"/>
      <c r="U297" s="208"/>
      <c r="V297" s="207"/>
      <c r="W297" s="207"/>
      <c r="X297" s="207"/>
      <c r="Y297" s="209"/>
      <c r="Z297" s="210"/>
      <c r="AA297" s="210"/>
      <c r="AB297" s="210"/>
      <c r="AC297" s="210"/>
      <c r="AD297" s="210"/>
      <c r="AE297" s="207"/>
      <c r="AF297" s="209"/>
      <c r="AG297" s="211"/>
      <c r="AH297"/>
      <c r="AI297"/>
    </row>
    <row r="298" spans="1:35" x14ac:dyDescent="0.3">
      <c r="A298"/>
      <c r="B298"/>
      <c r="C298"/>
      <c r="D298"/>
      <c r="E298"/>
      <c r="F298"/>
      <c r="G298"/>
      <c r="H298"/>
      <c r="I298"/>
      <c r="J298"/>
      <c r="K298"/>
      <c r="L298"/>
      <c r="M298"/>
      <c r="N298"/>
      <c r="O298"/>
      <c r="P298" s="207"/>
      <c r="Q298" s="207"/>
      <c r="R298" s="207"/>
      <c r="S298" s="208"/>
      <c r="T298" s="208"/>
      <c r="U298" s="208"/>
      <c r="V298" s="207"/>
      <c r="W298" s="207"/>
      <c r="X298" s="207"/>
      <c r="Y298" s="209"/>
      <c r="Z298" s="210"/>
      <c r="AA298" s="210"/>
      <c r="AB298" s="210"/>
      <c r="AC298" s="210"/>
      <c r="AD298" s="210"/>
      <c r="AE298" s="207"/>
      <c r="AF298" s="209"/>
      <c r="AG298" s="211"/>
      <c r="AH298"/>
      <c r="AI298"/>
    </row>
    <row r="299" spans="1:35" x14ac:dyDescent="0.3">
      <c r="A299"/>
      <c r="B299"/>
      <c r="C299"/>
      <c r="D299"/>
      <c r="E299"/>
      <c r="F299"/>
      <c r="G299"/>
      <c r="H299"/>
      <c r="I299"/>
      <c r="J299"/>
      <c r="K299"/>
      <c r="L299"/>
      <c r="M299"/>
      <c r="N299"/>
      <c r="O299"/>
      <c r="P299" s="207"/>
      <c r="Q299" s="207"/>
      <c r="R299" s="207"/>
      <c r="S299" s="208"/>
      <c r="T299" s="208"/>
      <c r="U299" s="208"/>
      <c r="V299" s="207"/>
      <c r="W299" s="207"/>
      <c r="X299" s="207"/>
      <c r="Y299" s="209"/>
      <c r="Z299" s="210"/>
      <c r="AA299" s="210"/>
      <c r="AB299" s="210"/>
      <c r="AC299" s="210"/>
      <c r="AD299" s="210"/>
      <c r="AE299" s="207"/>
      <c r="AF299" s="209"/>
      <c r="AG299" s="211"/>
      <c r="AH299"/>
      <c r="AI299"/>
    </row>
    <row r="300" spans="1:35" x14ac:dyDescent="0.3">
      <c r="A300"/>
      <c r="B300"/>
      <c r="C300"/>
      <c r="D300"/>
      <c r="E300"/>
      <c r="F300"/>
      <c r="G300"/>
      <c r="H300"/>
      <c r="I300"/>
      <c r="J300"/>
      <c r="K300"/>
      <c r="L300"/>
      <c r="M300"/>
      <c r="N300"/>
      <c r="O300"/>
      <c r="P300" s="207"/>
      <c r="Q300" s="207"/>
      <c r="R300" s="207"/>
      <c r="S300" s="208"/>
      <c r="T300" s="208"/>
      <c r="U300" s="208"/>
      <c r="V300" s="207"/>
      <c r="W300" s="207"/>
      <c r="X300" s="207"/>
      <c r="Y300" s="209"/>
      <c r="Z300" s="210"/>
      <c r="AA300" s="210"/>
      <c r="AB300" s="210"/>
      <c r="AC300" s="210"/>
      <c r="AD300" s="210"/>
      <c r="AE300" s="207"/>
      <c r="AF300" s="209"/>
      <c r="AG300" s="211"/>
      <c r="AH300"/>
      <c r="AI300"/>
    </row>
    <row r="301" spans="1:35" x14ac:dyDescent="0.3">
      <c r="A301"/>
      <c r="B301"/>
      <c r="C301"/>
      <c r="D301"/>
      <c r="E301"/>
      <c r="F301"/>
      <c r="G301"/>
      <c r="H301"/>
      <c r="I301"/>
      <c r="J301"/>
      <c r="K301"/>
      <c r="L301"/>
      <c r="M301"/>
      <c r="N301"/>
      <c r="O301"/>
      <c r="P301" s="207"/>
      <c r="Q301" s="207"/>
      <c r="R301" s="207"/>
      <c r="S301" s="208"/>
      <c r="T301" s="208"/>
      <c r="U301" s="208"/>
      <c r="V301" s="207"/>
      <c r="W301" s="207"/>
      <c r="X301" s="207"/>
      <c r="Y301" s="209"/>
      <c r="Z301" s="210"/>
      <c r="AA301" s="210"/>
      <c r="AB301" s="210"/>
      <c r="AC301" s="210"/>
      <c r="AD301" s="210"/>
      <c r="AE301" s="207"/>
      <c r="AF301" s="209"/>
      <c r="AG301" s="211"/>
      <c r="AH301"/>
      <c r="AI301"/>
    </row>
    <row r="302" spans="1:35" x14ac:dyDescent="0.3">
      <c r="A302"/>
      <c r="B302"/>
      <c r="C302"/>
      <c r="D302"/>
      <c r="E302"/>
      <c r="F302"/>
      <c r="G302"/>
      <c r="H302"/>
      <c r="I302"/>
      <c r="J302"/>
      <c r="K302"/>
      <c r="L302"/>
      <c r="M302"/>
      <c r="N302"/>
      <c r="O302"/>
      <c r="P302" s="207"/>
      <c r="Q302" s="207"/>
      <c r="R302" s="207"/>
      <c r="S302" s="208"/>
      <c r="T302" s="208"/>
      <c r="U302" s="208"/>
      <c r="V302" s="207"/>
      <c r="W302" s="207"/>
      <c r="X302" s="207"/>
      <c r="Y302" s="209"/>
      <c r="Z302" s="210"/>
      <c r="AA302" s="210"/>
      <c r="AB302" s="210"/>
      <c r="AC302" s="210"/>
      <c r="AD302" s="210"/>
      <c r="AE302" s="207"/>
      <c r="AF302" s="209"/>
      <c r="AG302" s="211"/>
      <c r="AH302"/>
      <c r="AI302"/>
    </row>
    <row r="303" spans="1:35" x14ac:dyDescent="0.3">
      <c r="A303"/>
      <c r="B303"/>
      <c r="C303"/>
      <c r="D303"/>
      <c r="E303"/>
      <c r="F303"/>
      <c r="G303"/>
      <c r="H303"/>
      <c r="I303"/>
      <c r="J303"/>
      <c r="K303"/>
      <c r="L303"/>
      <c r="M303"/>
      <c r="N303"/>
      <c r="O303"/>
      <c r="P303" s="207"/>
      <c r="Q303" s="207"/>
      <c r="R303" s="207"/>
      <c r="S303" s="208"/>
      <c r="T303" s="208"/>
      <c r="U303" s="208"/>
      <c r="V303" s="207"/>
      <c r="W303" s="207"/>
      <c r="X303" s="207"/>
      <c r="Y303" s="209"/>
      <c r="Z303" s="210"/>
      <c r="AA303" s="210"/>
      <c r="AB303" s="210"/>
      <c r="AC303" s="210"/>
      <c r="AD303" s="210"/>
      <c r="AE303" s="207"/>
      <c r="AF303" s="209"/>
      <c r="AG303" s="211"/>
      <c r="AH303"/>
      <c r="AI303"/>
    </row>
    <row r="304" spans="1:35" x14ac:dyDescent="0.3">
      <c r="A304"/>
      <c r="B304"/>
      <c r="C304"/>
      <c r="D304"/>
      <c r="E304"/>
      <c r="F304"/>
      <c r="G304"/>
      <c r="H304"/>
      <c r="I304"/>
      <c r="J304"/>
      <c r="K304"/>
      <c r="L304"/>
      <c r="M304"/>
      <c r="N304"/>
      <c r="O304"/>
      <c r="P304" s="207"/>
      <c r="Q304" s="207"/>
      <c r="R304" s="207"/>
      <c r="S304" s="208"/>
      <c r="T304" s="208"/>
      <c r="U304" s="208"/>
      <c r="V304" s="207"/>
      <c r="W304" s="207"/>
      <c r="X304" s="207"/>
      <c r="Y304" s="209"/>
      <c r="Z304" s="210"/>
      <c r="AA304" s="210"/>
      <c r="AB304" s="210"/>
      <c r="AC304" s="210"/>
      <c r="AD304" s="210"/>
      <c r="AE304" s="207"/>
      <c r="AF304" s="209"/>
      <c r="AG304" s="211"/>
      <c r="AH304"/>
      <c r="AI304"/>
    </row>
    <row r="305" spans="1:35" x14ac:dyDescent="0.3">
      <c r="A305"/>
      <c r="B305"/>
      <c r="C305"/>
      <c r="D305"/>
      <c r="E305"/>
      <c r="F305"/>
      <c r="G305"/>
      <c r="H305"/>
      <c r="I305"/>
      <c r="J305"/>
      <c r="K305"/>
      <c r="L305"/>
      <c r="M305"/>
      <c r="N305"/>
      <c r="O305"/>
      <c r="P305" s="207"/>
      <c r="Q305" s="207"/>
      <c r="R305" s="207"/>
      <c r="S305" s="208"/>
      <c r="T305" s="208"/>
      <c r="U305" s="208"/>
      <c r="V305" s="207"/>
      <c r="W305" s="207"/>
      <c r="X305" s="207"/>
      <c r="Y305" s="209"/>
      <c r="Z305" s="210"/>
      <c r="AA305" s="210"/>
      <c r="AB305" s="210"/>
      <c r="AC305" s="210"/>
      <c r="AD305" s="210"/>
      <c r="AE305" s="207"/>
      <c r="AF305" s="209"/>
      <c r="AG305" s="211"/>
      <c r="AH305"/>
      <c r="AI305"/>
    </row>
    <row r="306" spans="1:35" x14ac:dyDescent="0.3">
      <c r="A306"/>
      <c r="B306"/>
      <c r="C306"/>
      <c r="D306"/>
      <c r="E306"/>
      <c r="F306"/>
      <c r="G306"/>
      <c r="H306"/>
      <c r="I306"/>
      <c r="J306"/>
      <c r="K306"/>
      <c r="L306"/>
      <c r="M306"/>
      <c r="N306"/>
      <c r="O306"/>
      <c r="P306" s="207"/>
      <c r="Q306" s="207"/>
      <c r="R306" s="207"/>
      <c r="S306" s="208"/>
      <c r="T306" s="208"/>
      <c r="U306" s="208"/>
      <c r="V306" s="207"/>
      <c r="W306" s="207"/>
      <c r="X306" s="207"/>
      <c r="Y306" s="209"/>
      <c r="Z306" s="210"/>
      <c r="AA306" s="210"/>
      <c r="AB306" s="210"/>
      <c r="AC306" s="210"/>
      <c r="AD306" s="210"/>
      <c r="AE306" s="207"/>
      <c r="AF306" s="209"/>
      <c r="AG306" s="211"/>
      <c r="AH306"/>
      <c r="AI306"/>
    </row>
    <row r="307" spans="1:35" x14ac:dyDescent="0.3">
      <c r="A307"/>
      <c r="B307"/>
      <c r="C307"/>
      <c r="D307"/>
      <c r="E307"/>
      <c r="F307"/>
      <c r="G307"/>
      <c r="H307"/>
      <c r="I307"/>
      <c r="J307"/>
      <c r="K307"/>
      <c r="L307"/>
      <c r="M307"/>
      <c r="N307"/>
      <c r="O307"/>
      <c r="P307" s="207"/>
      <c r="Q307" s="207"/>
      <c r="R307" s="207"/>
      <c r="S307" s="208"/>
      <c r="T307" s="208"/>
      <c r="U307" s="208"/>
      <c r="V307" s="207"/>
      <c r="W307" s="207"/>
      <c r="X307" s="207"/>
      <c r="Y307" s="209"/>
      <c r="Z307" s="210"/>
      <c r="AA307" s="210"/>
      <c r="AB307" s="210"/>
      <c r="AC307" s="210"/>
      <c r="AD307" s="210"/>
      <c r="AE307" s="207"/>
      <c r="AF307" s="209"/>
      <c r="AG307" s="211"/>
      <c r="AH307"/>
      <c r="AI307"/>
    </row>
    <row r="308" spans="1:35" x14ac:dyDescent="0.3">
      <c r="A308"/>
      <c r="B308"/>
      <c r="C308"/>
      <c r="D308"/>
      <c r="E308"/>
      <c r="F308"/>
      <c r="G308"/>
      <c r="H308"/>
      <c r="I308"/>
      <c r="J308"/>
      <c r="K308"/>
      <c r="L308"/>
      <c r="M308"/>
      <c r="N308"/>
      <c r="O308"/>
      <c r="P308" s="207"/>
      <c r="Q308" s="207"/>
      <c r="R308" s="207"/>
      <c r="S308" s="208"/>
      <c r="T308" s="208"/>
      <c r="U308" s="208"/>
      <c r="V308" s="207"/>
      <c r="W308" s="207"/>
      <c r="X308" s="207"/>
      <c r="Y308" s="209"/>
      <c r="Z308" s="210"/>
      <c r="AA308" s="210"/>
      <c r="AB308" s="210"/>
      <c r="AC308" s="210"/>
      <c r="AD308" s="210"/>
      <c r="AE308" s="207"/>
      <c r="AF308" s="209"/>
      <c r="AG308" s="211"/>
      <c r="AH308"/>
      <c r="AI308"/>
    </row>
    <row r="309" spans="1:35" x14ac:dyDescent="0.3">
      <c r="A309"/>
      <c r="B309"/>
      <c r="C309"/>
      <c r="D309"/>
      <c r="E309"/>
      <c r="F309"/>
      <c r="G309"/>
      <c r="H309"/>
      <c r="I309"/>
      <c r="J309"/>
      <c r="K309"/>
      <c r="L309"/>
      <c r="M309"/>
      <c r="N309"/>
      <c r="O309"/>
      <c r="P309" s="207"/>
      <c r="Q309" s="207"/>
      <c r="R309" s="207"/>
      <c r="S309" s="208"/>
      <c r="T309" s="208"/>
      <c r="U309" s="208"/>
      <c r="V309" s="207"/>
      <c r="W309" s="207"/>
      <c r="X309" s="207"/>
      <c r="Y309" s="209"/>
      <c r="Z309" s="210"/>
      <c r="AA309" s="210"/>
      <c r="AB309" s="210"/>
      <c r="AC309" s="210"/>
      <c r="AD309" s="210"/>
      <c r="AE309" s="207"/>
      <c r="AF309" s="209"/>
      <c r="AG309" s="211"/>
      <c r="AH309"/>
      <c r="AI309"/>
    </row>
    <row r="310" spans="1:35" x14ac:dyDescent="0.3">
      <c r="A310"/>
      <c r="B310"/>
      <c r="C310"/>
      <c r="D310"/>
      <c r="E310"/>
      <c r="F310"/>
      <c r="G310"/>
      <c r="H310"/>
      <c r="I310"/>
      <c r="J310"/>
      <c r="K310"/>
      <c r="L310"/>
      <c r="M310"/>
      <c r="N310"/>
      <c r="O310"/>
      <c r="P310" s="207"/>
      <c r="Q310" s="207"/>
      <c r="R310" s="207"/>
      <c r="S310" s="208"/>
      <c r="T310" s="208"/>
      <c r="U310" s="208"/>
      <c r="V310" s="207"/>
      <c r="W310" s="207"/>
      <c r="X310" s="207"/>
      <c r="Y310" s="209"/>
      <c r="Z310" s="210"/>
      <c r="AA310" s="210"/>
      <c r="AB310" s="210"/>
      <c r="AC310" s="210"/>
      <c r="AD310" s="210"/>
      <c r="AE310" s="207"/>
      <c r="AF310" s="209"/>
      <c r="AG310" s="211"/>
      <c r="AH310"/>
      <c r="AI310"/>
    </row>
    <row r="311" spans="1:35" x14ac:dyDescent="0.3">
      <c r="A311"/>
      <c r="B311"/>
      <c r="C311"/>
      <c r="D311"/>
      <c r="E311"/>
      <c r="F311"/>
      <c r="G311"/>
      <c r="H311"/>
      <c r="I311"/>
      <c r="J311"/>
      <c r="K311"/>
      <c r="L311"/>
      <c r="M311"/>
      <c r="N311"/>
      <c r="O311"/>
      <c r="P311" s="207"/>
      <c r="Q311" s="207"/>
      <c r="R311" s="207"/>
      <c r="S311" s="208"/>
      <c r="T311" s="208"/>
      <c r="U311" s="208"/>
      <c r="V311" s="207"/>
      <c r="W311" s="207"/>
      <c r="X311" s="207"/>
      <c r="Y311" s="209"/>
      <c r="Z311" s="210"/>
      <c r="AA311" s="210"/>
      <c r="AB311" s="210"/>
      <c r="AC311" s="210"/>
      <c r="AD311" s="210"/>
      <c r="AE311" s="207"/>
      <c r="AF311" s="209"/>
      <c r="AG311" s="211"/>
      <c r="AH311"/>
      <c r="AI311"/>
    </row>
    <row r="312" spans="1:35" x14ac:dyDescent="0.3">
      <c r="A312"/>
      <c r="B312"/>
      <c r="C312"/>
      <c r="D312"/>
      <c r="E312"/>
      <c r="F312"/>
      <c r="G312"/>
      <c r="H312"/>
      <c r="I312"/>
      <c r="J312"/>
      <c r="K312"/>
      <c r="L312"/>
      <c r="M312"/>
      <c r="N312"/>
      <c r="O312"/>
      <c r="P312" s="207"/>
      <c r="Q312" s="207"/>
      <c r="R312" s="207"/>
      <c r="S312" s="208"/>
      <c r="T312" s="208"/>
      <c r="U312" s="208"/>
      <c r="V312" s="207"/>
      <c r="W312" s="207"/>
      <c r="X312" s="207"/>
      <c r="Y312" s="209"/>
      <c r="Z312" s="210"/>
      <c r="AA312" s="210"/>
      <c r="AB312" s="210"/>
      <c r="AC312" s="210"/>
      <c r="AD312" s="210"/>
      <c r="AE312" s="207"/>
      <c r="AF312" s="209"/>
      <c r="AG312" s="211"/>
      <c r="AH312"/>
      <c r="AI312"/>
    </row>
    <row r="313" spans="1:35" x14ac:dyDescent="0.3">
      <c r="A313"/>
      <c r="B313"/>
      <c r="C313"/>
      <c r="D313"/>
      <c r="E313"/>
      <c r="F313"/>
      <c r="G313"/>
      <c r="H313"/>
      <c r="I313"/>
      <c r="J313"/>
      <c r="K313"/>
      <c r="L313"/>
      <c r="M313"/>
      <c r="N313"/>
      <c r="O313"/>
      <c r="P313" s="207"/>
      <c r="Q313" s="207"/>
      <c r="R313" s="207"/>
      <c r="S313" s="208"/>
      <c r="T313" s="208"/>
      <c r="U313" s="208"/>
      <c r="V313" s="207"/>
      <c r="W313" s="207"/>
      <c r="X313" s="207"/>
      <c r="Y313" s="209"/>
      <c r="Z313" s="210"/>
      <c r="AA313" s="210"/>
      <c r="AB313" s="210"/>
      <c r="AC313" s="210"/>
      <c r="AD313" s="210"/>
      <c r="AE313" s="207"/>
      <c r="AF313" s="209"/>
      <c r="AG313" s="211"/>
      <c r="AH313"/>
      <c r="AI313"/>
    </row>
    <row r="314" spans="1:35" x14ac:dyDescent="0.3">
      <c r="A314"/>
      <c r="B314"/>
      <c r="C314"/>
      <c r="D314"/>
      <c r="E314"/>
      <c r="F314"/>
      <c r="G314"/>
      <c r="H314"/>
      <c r="I314"/>
      <c r="J314"/>
      <c r="K314"/>
      <c r="L314"/>
      <c r="M314"/>
      <c r="N314"/>
      <c r="O314"/>
      <c r="P314" s="207"/>
      <c r="Q314" s="207"/>
      <c r="R314" s="207"/>
      <c r="S314" s="208"/>
      <c r="T314" s="208"/>
      <c r="U314" s="208"/>
      <c r="V314" s="207"/>
      <c r="W314" s="207"/>
      <c r="X314" s="207"/>
      <c r="Y314" s="209"/>
      <c r="Z314" s="210"/>
      <c r="AA314" s="210"/>
      <c r="AB314" s="210"/>
      <c r="AC314" s="210"/>
      <c r="AD314" s="210"/>
      <c r="AE314" s="207"/>
      <c r="AF314" s="209"/>
      <c r="AG314" s="211"/>
      <c r="AH314"/>
      <c r="AI314"/>
    </row>
    <row r="315" spans="1:35" x14ac:dyDescent="0.3">
      <c r="A315"/>
      <c r="B315"/>
      <c r="C315"/>
      <c r="D315"/>
      <c r="E315"/>
      <c r="F315"/>
      <c r="G315"/>
      <c r="H315"/>
      <c r="I315"/>
      <c r="J315"/>
      <c r="K315"/>
      <c r="L315"/>
      <c r="M315"/>
      <c r="N315"/>
      <c r="O315"/>
      <c r="P315" s="207"/>
      <c r="Q315" s="207"/>
      <c r="R315" s="207"/>
      <c r="S315" s="208"/>
      <c r="T315" s="208"/>
      <c r="U315" s="208"/>
      <c r="V315" s="207"/>
      <c r="W315" s="207"/>
      <c r="X315" s="207"/>
      <c r="Y315" s="209"/>
      <c r="Z315" s="210"/>
      <c r="AA315" s="210"/>
      <c r="AB315" s="210"/>
      <c r="AC315" s="210"/>
      <c r="AD315" s="210"/>
      <c r="AE315" s="207"/>
      <c r="AF315" s="209"/>
      <c r="AG315" s="211"/>
      <c r="AH315"/>
      <c r="AI315"/>
    </row>
    <row r="316" spans="1:35" x14ac:dyDescent="0.3">
      <c r="A316"/>
      <c r="B316"/>
      <c r="C316"/>
      <c r="D316"/>
      <c r="E316"/>
      <c r="F316"/>
      <c r="G316"/>
      <c r="H316"/>
      <c r="I316"/>
      <c r="J316"/>
      <c r="K316"/>
      <c r="L316"/>
      <c r="M316"/>
      <c r="N316"/>
      <c r="O316"/>
      <c r="P316" s="207"/>
      <c r="Q316" s="207"/>
      <c r="R316" s="207"/>
      <c r="S316" s="208"/>
      <c r="T316" s="208"/>
      <c r="U316" s="208"/>
      <c r="V316" s="207"/>
      <c r="W316" s="207"/>
      <c r="X316" s="207"/>
      <c r="Y316" s="209"/>
      <c r="Z316" s="210"/>
      <c r="AA316" s="210"/>
      <c r="AB316" s="210"/>
      <c r="AC316" s="210"/>
      <c r="AD316" s="210"/>
      <c r="AE316" s="207"/>
      <c r="AF316" s="209"/>
      <c r="AG316" s="211"/>
      <c r="AH316"/>
      <c r="AI316"/>
    </row>
    <row r="317" spans="1:35" x14ac:dyDescent="0.3">
      <c r="A317"/>
      <c r="B317"/>
      <c r="C317"/>
      <c r="D317"/>
      <c r="E317"/>
      <c r="F317"/>
      <c r="G317"/>
      <c r="H317"/>
      <c r="I317"/>
      <c r="J317"/>
      <c r="K317"/>
      <c r="L317"/>
      <c r="M317"/>
      <c r="N317"/>
      <c r="O317"/>
      <c r="P317" s="207"/>
      <c r="Q317" s="207"/>
      <c r="R317" s="207"/>
      <c r="S317" s="208"/>
      <c r="T317" s="208"/>
      <c r="U317" s="208"/>
      <c r="V317" s="207"/>
      <c r="W317" s="207"/>
      <c r="X317" s="207"/>
      <c r="Y317" s="209"/>
      <c r="Z317" s="210"/>
      <c r="AA317" s="210"/>
      <c r="AB317" s="210"/>
      <c r="AC317" s="210"/>
      <c r="AD317" s="210"/>
      <c r="AE317" s="207"/>
      <c r="AF317" s="209"/>
      <c r="AG317" s="211"/>
      <c r="AH317"/>
      <c r="AI317"/>
    </row>
    <row r="318" spans="1:35" x14ac:dyDescent="0.3">
      <c r="A318"/>
      <c r="B318"/>
      <c r="C318"/>
      <c r="D318"/>
      <c r="E318"/>
      <c r="F318"/>
      <c r="G318"/>
      <c r="H318"/>
      <c r="I318"/>
      <c r="J318"/>
      <c r="K318"/>
      <c r="L318"/>
      <c r="M318"/>
      <c r="N318"/>
      <c r="O318"/>
      <c r="P318" s="207"/>
      <c r="Q318" s="207"/>
      <c r="R318" s="207"/>
      <c r="S318" s="208"/>
      <c r="T318" s="208"/>
      <c r="U318" s="208"/>
      <c r="V318" s="207"/>
      <c r="W318" s="207"/>
      <c r="X318" s="207"/>
      <c r="Y318" s="209"/>
      <c r="Z318" s="210"/>
      <c r="AA318" s="210"/>
      <c r="AB318" s="210"/>
      <c r="AC318" s="210"/>
      <c r="AD318" s="210"/>
      <c r="AE318" s="207"/>
      <c r="AF318" s="209"/>
      <c r="AG318" s="211"/>
      <c r="AH318"/>
      <c r="AI318"/>
    </row>
    <row r="319" spans="1:35" x14ac:dyDescent="0.3">
      <c r="A319"/>
      <c r="B319"/>
      <c r="C319"/>
      <c r="D319"/>
      <c r="E319"/>
      <c r="F319"/>
      <c r="G319"/>
      <c r="H319"/>
      <c r="I319"/>
      <c r="J319"/>
      <c r="K319"/>
      <c r="L319"/>
      <c r="M319"/>
      <c r="N319"/>
      <c r="O319"/>
      <c r="P319" s="207"/>
      <c r="Q319" s="207"/>
      <c r="R319" s="207"/>
      <c r="S319" s="208"/>
      <c r="T319" s="208"/>
      <c r="U319" s="208"/>
      <c r="V319" s="207"/>
      <c r="W319" s="207"/>
      <c r="X319" s="207"/>
      <c r="Y319" s="209"/>
      <c r="Z319" s="210"/>
      <c r="AA319" s="210"/>
      <c r="AB319" s="210"/>
      <c r="AC319" s="210"/>
      <c r="AD319" s="210"/>
      <c r="AE319" s="207"/>
      <c r="AF319" s="209"/>
      <c r="AG319" s="211"/>
      <c r="AH319"/>
      <c r="AI319"/>
    </row>
    <row r="320" spans="1:35" x14ac:dyDescent="0.3">
      <c r="A320"/>
      <c r="B320"/>
      <c r="C320"/>
      <c r="D320"/>
      <c r="E320"/>
      <c r="F320"/>
      <c r="G320"/>
      <c r="H320"/>
      <c r="I320"/>
      <c r="J320"/>
      <c r="K320"/>
      <c r="L320"/>
      <c r="M320"/>
      <c r="N320"/>
      <c r="O320"/>
      <c r="P320" s="207"/>
      <c r="Q320" s="207"/>
      <c r="R320" s="207"/>
      <c r="S320" s="208"/>
      <c r="T320" s="208"/>
      <c r="U320" s="208"/>
      <c r="V320" s="207"/>
      <c r="W320" s="207"/>
      <c r="X320" s="207"/>
      <c r="Y320" s="209"/>
      <c r="Z320" s="210"/>
      <c r="AA320" s="210"/>
      <c r="AB320" s="210"/>
      <c r="AC320" s="210"/>
      <c r="AD320" s="210"/>
      <c r="AE320" s="207"/>
      <c r="AF320" s="209"/>
      <c r="AG320" s="211"/>
      <c r="AH320"/>
      <c r="AI320"/>
    </row>
    <row r="321" spans="1:35" x14ac:dyDescent="0.3">
      <c r="A321"/>
      <c r="B321"/>
      <c r="C321"/>
      <c r="D321"/>
      <c r="E321"/>
      <c r="F321"/>
      <c r="G321"/>
      <c r="H321"/>
      <c r="I321"/>
      <c r="J321"/>
      <c r="K321"/>
      <c r="L321"/>
      <c r="M321"/>
      <c r="N321"/>
      <c r="O321"/>
      <c r="P321" s="207"/>
      <c r="Q321" s="207"/>
      <c r="R321" s="207"/>
      <c r="S321" s="208"/>
      <c r="T321" s="208"/>
      <c r="U321" s="208"/>
      <c r="V321" s="207"/>
      <c r="W321" s="207"/>
      <c r="X321" s="207"/>
      <c r="Y321" s="209"/>
      <c r="Z321" s="210"/>
      <c r="AA321" s="210"/>
      <c r="AB321" s="210"/>
      <c r="AC321" s="210"/>
      <c r="AD321" s="210"/>
      <c r="AE321" s="207"/>
      <c r="AF321" s="209"/>
      <c r="AG321" s="211"/>
      <c r="AH321"/>
      <c r="AI321"/>
    </row>
    <row r="322" spans="1:35" x14ac:dyDescent="0.3">
      <c r="A322"/>
      <c r="B322"/>
      <c r="C322"/>
      <c r="D322"/>
      <c r="E322"/>
      <c r="F322"/>
      <c r="G322"/>
      <c r="H322"/>
      <c r="I322"/>
      <c r="J322"/>
      <c r="K322"/>
      <c r="L322"/>
      <c r="M322"/>
      <c r="N322"/>
      <c r="O322"/>
      <c r="P322" s="207"/>
      <c r="Q322" s="207"/>
      <c r="R322" s="207"/>
      <c r="S322" s="208"/>
      <c r="T322" s="208"/>
      <c r="U322" s="208"/>
      <c r="V322" s="207"/>
      <c r="W322" s="207"/>
      <c r="X322" s="207"/>
      <c r="Y322" s="209"/>
      <c r="Z322" s="210"/>
      <c r="AA322" s="210"/>
      <c r="AB322" s="210"/>
      <c r="AC322" s="210"/>
      <c r="AD322" s="210"/>
      <c r="AE322" s="207"/>
      <c r="AF322" s="209"/>
      <c r="AG322" s="211"/>
      <c r="AH322"/>
      <c r="AI322"/>
    </row>
    <row r="323" spans="1:35" x14ac:dyDescent="0.3">
      <c r="A323"/>
      <c r="B323"/>
      <c r="C323"/>
      <c r="D323"/>
      <c r="E323"/>
      <c r="F323"/>
      <c r="G323"/>
      <c r="H323"/>
      <c r="I323"/>
      <c r="J323"/>
      <c r="K323"/>
      <c r="L323"/>
      <c r="M323"/>
      <c r="N323"/>
      <c r="O323"/>
      <c r="P323" s="207"/>
      <c r="Q323" s="207"/>
      <c r="R323" s="207"/>
      <c r="S323" s="208"/>
      <c r="T323" s="208"/>
      <c r="U323" s="208"/>
      <c r="V323" s="207"/>
      <c r="W323" s="207"/>
      <c r="X323" s="207"/>
      <c r="Y323" s="209"/>
      <c r="Z323" s="210"/>
      <c r="AA323" s="210"/>
      <c r="AB323" s="210"/>
      <c r="AC323" s="210"/>
      <c r="AD323" s="210"/>
      <c r="AE323" s="207"/>
      <c r="AF323" s="209"/>
      <c r="AG323" s="211"/>
      <c r="AH323"/>
      <c r="AI323"/>
    </row>
    <row r="324" spans="1:35" x14ac:dyDescent="0.3">
      <c r="A324"/>
      <c r="B324"/>
      <c r="C324"/>
      <c r="D324"/>
      <c r="E324"/>
      <c r="F324"/>
      <c r="G324"/>
      <c r="H324"/>
      <c r="I324"/>
      <c r="J324"/>
      <c r="K324"/>
      <c r="L324"/>
      <c r="M324"/>
      <c r="N324"/>
      <c r="O324"/>
      <c r="P324" s="207"/>
      <c r="Q324" s="207"/>
      <c r="R324" s="207"/>
      <c r="S324" s="208"/>
      <c r="T324" s="208"/>
      <c r="U324" s="208"/>
      <c r="V324" s="207"/>
      <c r="W324" s="207"/>
      <c r="X324" s="207"/>
      <c r="Y324" s="209"/>
      <c r="Z324" s="210"/>
      <c r="AA324" s="210"/>
      <c r="AB324" s="210"/>
      <c r="AC324" s="210"/>
      <c r="AD324" s="210"/>
      <c r="AE324" s="207"/>
      <c r="AF324" s="209"/>
      <c r="AG324" s="211"/>
      <c r="AH324"/>
      <c r="AI324"/>
    </row>
    <row r="325" spans="1:35" x14ac:dyDescent="0.3">
      <c r="A325"/>
      <c r="B325"/>
      <c r="C325"/>
      <c r="D325"/>
      <c r="E325"/>
      <c r="F325"/>
      <c r="G325"/>
      <c r="H325"/>
      <c r="I325"/>
      <c r="J325"/>
      <c r="K325"/>
      <c r="L325"/>
      <c r="M325"/>
      <c r="N325"/>
      <c r="O325"/>
      <c r="P325" s="207"/>
      <c r="Q325" s="207"/>
      <c r="R325" s="207"/>
      <c r="S325" s="208"/>
      <c r="T325" s="208"/>
      <c r="U325" s="208"/>
      <c r="V325" s="207"/>
      <c r="W325" s="207"/>
      <c r="X325" s="207"/>
      <c r="Y325" s="209"/>
      <c r="Z325" s="210"/>
      <c r="AA325" s="210"/>
      <c r="AB325" s="210"/>
      <c r="AC325" s="210"/>
      <c r="AD325" s="210"/>
      <c r="AE325" s="207"/>
      <c r="AF325" s="209"/>
      <c r="AG325" s="211"/>
      <c r="AH325"/>
      <c r="AI325"/>
    </row>
    <row r="326" spans="1:35" x14ac:dyDescent="0.3">
      <c r="A326"/>
      <c r="B326"/>
      <c r="C326"/>
      <c r="D326"/>
      <c r="E326"/>
      <c r="F326"/>
      <c r="G326"/>
      <c r="H326"/>
      <c r="I326"/>
      <c r="J326"/>
      <c r="K326"/>
      <c r="L326"/>
      <c r="M326"/>
      <c r="N326"/>
      <c r="O326"/>
      <c r="P326" s="207"/>
      <c r="Q326" s="207"/>
      <c r="R326" s="207"/>
      <c r="S326" s="208"/>
      <c r="T326" s="208"/>
      <c r="U326" s="208"/>
      <c r="V326" s="207"/>
      <c r="W326" s="207"/>
      <c r="X326" s="207"/>
      <c r="Y326" s="209"/>
      <c r="Z326" s="210"/>
      <c r="AA326" s="210"/>
      <c r="AB326" s="210"/>
      <c r="AC326" s="210"/>
      <c r="AD326" s="210"/>
      <c r="AE326" s="207"/>
      <c r="AF326" s="209"/>
      <c r="AG326" s="211"/>
      <c r="AH326"/>
      <c r="AI326"/>
    </row>
    <row r="327" spans="1:35" x14ac:dyDescent="0.3">
      <c r="A327"/>
      <c r="B327"/>
      <c r="C327"/>
      <c r="D327"/>
      <c r="E327"/>
      <c r="F327"/>
      <c r="G327"/>
      <c r="H327"/>
      <c r="I327"/>
      <c r="J327"/>
      <c r="K327"/>
      <c r="L327"/>
      <c r="M327"/>
      <c r="N327"/>
      <c r="O327"/>
      <c r="P327" s="207"/>
      <c r="Q327" s="207"/>
      <c r="R327" s="207"/>
      <c r="S327" s="208"/>
      <c r="T327" s="208"/>
      <c r="U327" s="208"/>
      <c r="V327" s="207"/>
      <c r="W327" s="207"/>
      <c r="X327" s="207"/>
      <c r="Y327" s="209"/>
      <c r="Z327" s="210"/>
      <c r="AA327" s="210"/>
      <c r="AB327" s="210"/>
      <c r="AC327" s="210"/>
      <c r="AD327" s="210"/>
      <c r="AE327" s="207"/>
      <c r="AF327" s="209"/>
      <c r="AG327" s="211"/>
      <c r="AH327"/>
      <c r="AI327"/>
    </row>
    <row r="328" spans="1:35" x14ac:dyDescent="0.3">
      <c r="A328"/>
      <c r="B328"/>
      <c r="C328"/>
      <c r="D328"/>
      <c r="E328"/>
      <c r="F328"/>
      <c r="G328"/>
      <c r="H328"/>
      <c r="I328"/>
      <c r="J328"/>
      <c r="K328"/>
      <c r="L328"/>
      <c r="M328"/>
      <c r="N328"/>
      <c r="O328"/>
      <c r="P328" s="207"/>
      <c r="Q328" s="207"/>
      <c r="R328" s="207"/>
      <c r="S328" s="208"/>
      <c r="T328" s="208"/>
      <c r="U328" s="208"/>
      <c r="V328" s="207"/>
      <c r="W328" s="207"/>
      <c r="X328" s="207"/>
      <c r="Y328" s="209"/>
      <c r="Z328" s="210"/>
      <c r="AA328" s="210"/>
      <c r="AB328" s="210"/>
      <c r="AC328" s="210"/>
      <c r="AD328" s="210"/>
      <c r="AE328" s="207"/>
      <c r="AF328" s="209"/>
      <c r="AG328" s="211"/>
      <c r="AH328"/>
      <c r="AI328"/>
    </row>
    <row r="329" spans="1:35" x14ac:dyDescent="0.3">
      <c r="A329"/>
      <c r="B329"/>
      <c r="C329"/>
      <c r="D329"/>
      <c r="E329"/>
      <c r="F329"/>
      <c r="G329"/>
      <c r="H329"/>
      <c r="I329"/>
      <c r="J329"/>
      <c r="K329"/>
      <c r="L329"/>
      <c r="M329"/>
      <c r="N329"/>
      <c r="O329"/>
      <c r="P329" s="207"/>
      <c r="Q329" s="207"/>
      <c r="R329" s="207"/>
      <c r="S329" s="208"/>
      <c r="T329" s="208"/>
      <c r="U329" s="208"/>
      <c r="V329" s="207"/>
      <c r="W329" s="207"/>
      <c r="X329" s="207"/>
      <c r="Y329" s="209"/>
      <c r="Z329" s="210"/>
      <c r="AA329" s="210"/>
      <c r="AB329" s="210"/>
      <c r="AC329" s="210"/>
      <c r="AD329" s="210"/>
      <c r="AE329" s="207"/>
      <c r="AF329" s="209"/>
      <c r="AG329" s="211"/>
      <c r="AH329"/>
      <c r="AI329"/>
    </row>
    <row r="330" spans="1:35" x14ac:dyDescent="0.3">
      <c r="A330"/>
      <c r="B330"/>
      <c r="C330"/>
      <c r="D330"/>
      <c r="E330"/>
      <c r="F330"/>
      <c r="G330"/>
      <c r="H330"/>
      <c r="I330"/>
      <c r="J330"/>
      <c r="K330"/>
      <c r="L330"/>
      <c r="M330"/>
      <c r="N330"/>
      <c r="O330"/>
      <c r="P330" s="207"/>
      <c r="Q330" s="207"/>
      <c r="R330" s="207"/>
      <c r="S330" s="208"/>
      <c r="T330" s="208"/>
      <c r="U330" s="208"/>
      <c r="V330" s="207"/>
      <c r="W330" s="207"/>
      <c r="X330" s="207"/>
      <c r="Y330" s="209"/>
      <c r="Z330" s="210"/>
      <c r="AA330" s="210"/>
      <c r="AB330" s="210"/>
      <c r="AC330" s="210"/>
      <c r="AD330" s="210"/>
      <c r="AE330" s="207"/>
      <c r="AF330" s="209"/>
      <c r="AG330" s="211"/>
      <c r="AH330"/>
      <c r="AI330"/>
    </row>
    <row r="331" spans="1:35" x14ac:dyDescent="0.3">
      <c r="A331"/>
      <c r="B331"/>
      <c r="C331"/>
      <c r="D331"/>
      <c r="E331"/>
      <c r="F331"/>
      <c r="G331"/>
      <c r="H331"/>
      <c r="I331"/>
      <c r="J331"/>
      <c r="K331"/>
      <c r="L331"/>
      <c r="M331"/>
      <c r="N331"/>
      <c r="O331"/>
      <c r="P331" s="207"/>
      <c r="Q331" s="207"/>
      <c r="R331" s="207"/>
      <c r="S331" s="208"/>
      <c r="T331" s="208"/>
      <c r="U331" s="208"/>
      <c r="V331" s="207"/>
      <c r="W331" s="207"/>
      <c r="X331" s="207"/>
      <c r="Y331" s="209"/>
      <c r="Z331" s="210"/>
      <c r="AA331" s="210"/>
      <c r="AB331" s="210"/>
      <c r="AC331" s="210"/>
      <c r="AD331" s="210"/>
      <c r="AE331" s="207"/>
      <c r="AF331" s="209"/>
      <c r="AG331" s="211"/>
      <c r="AH331"/>
      <c r="AI331"/>
    </row>
    <row r="332" spans="1:35" x14ac:dyDescent="0.3">
      <c r="A332"/>
      <c r="B332"/>
      <c r="C332"/>
      <c r="D332"/>
      <c r="E332"/>
      <c r="F332"/>
      <c r="G332"/>
      <c r="H332"/>
      <c r="I332"/>
      <c r="J332"/>
      <c r="K332"/>
      <c r="L332"/>
      <c r="M332"/>
      <c r="N332"/>
      <c r="O332"/>
      <c r="P332" s="207"/>
      <c r="Q332" s="207"/>
      <c r="R332" s="207"/>
      <c r="S332" s="208"/>
      <c r="T332" s="208"/>
      <c r="U332" s="208"/>
      <c r="V332" s="207"/>
      <c r="W332" s="207"/>
      <c r="X332" s="207"/>
      <c r="Y332" s="209"/>
      <c r="Z332" s="210"/>
      <c r="AA332" s="210"/>
      <c r="AB332" s="210"/>
      <c r="AC332" s="210"/>
      <c r="AD332" s="210"/>
      <c r="AE332" s="207"/>
      <c r="AF332" s="209"/>
      <c r="AG332" s="211"/>
      <c r="AH332"/>
      <c r="AI332"/>
    </row>
    <row r="333" spans="1:35" x14ac:dyDescent="0.3">
      <c r="A333"/>
      <c r="B333"/>
      <c r="C333"/>
      <c r="D333"/>
      <c r="E333"/>
      <c r="F333"/>
      <c r="G333"/>
      <c r="H333"/>
      <c r="I333"/>
      <c r="J333"/>
      <c r="K333"/>
      <c r="L333"/>
      <c r="M333"/>
      <c r="N333"/>
      <c r="O333"/>
      <c r="P333" s="207"/>
      <c r="Q333" s="207"/>
      <c r="R333" s="207"/>
      <c r="S333" s="208"/>
      <c r="T333" s="208"/>
      <c r="U333" s="208"/>
      <c r="V333" s="207"/>
      <c r="W333" s="207"/>
      <c r="X333" s="207"/>
      <c r="Y333" s="209"/>
      <c r="Z333" s="210"/>
      <c r="AA333" s="210"/>
      <c r="AB333" s="210"/>
      <c r="AC333" s="210"/>
      <c r="AD333" s="210"/>
      <c r="AE333" s="207"/>
      <c r="AF333" s="209"/>
      <c r="AG333" s="211"/>
      <c r="AH333"/>
      <c r="AI333"/>
    </row>
    <row r="334" spans="1:35" x14ac:dyDescent="0.3">
      <c r="A334"/>
      <c r="B334"/>
      <c r="C334"/>
      <c r="D334"/>
      <c r="E334"/>
      <c r="F334"/>
      <c r="G334"/>
      <c r="H334"/>
      <c r="I334"/>
      <c r="J334"/>
      <c r="K334"/>
      <c r="L334"/>
      <c r="M334"/>
      <c r="N334"/>
      <c r="O334"/>
      <c r="P334" s="207"/>
      <c r="Q334" s="207"/>
      <c r="R334" s="207"/>
      <c r="S334" s="208"/>
      <c r="T334" s="208"/>
      <c r="U334" s="208"/>
      <c r="V334" s="207"/>
      <c r="W334" s="207"/>
      <c r="X334" s="207"/>
      <c r="Y334" s="209"/>
      <c r="Z334" s="210"/>
      <c r="AA334" s="210"/>
      <c r="AB334" s="210"/>
      <c r="AC334" s="210"/>
      <c r="AD334" s="210"/>
      <c r="AE334" s="207"/>
      <c r="AF334" s="209"/>
      <c r="AG334" s="211"/>
      <c r="AH334"/>
      <c r="AI334"/>
    </row>
    <row r="335" spans="1:35" x14ac:dyDescent="0.3">
      <c r="A335"/>
      <c r="B335"/>
      <c r="C335"/>
      <c r="D335"/>
      <c r="E335"/>
      <c r="F335"/>
      <c r="G335"/>
      <c r="H335"/>
      <c r="I335"/>
      <c r="J335"/>
      <c r="K335"/>
      <c r="L335"/>
      <c r="M335"/>
      <c r="N335"/>
      <c r="O335"/>
      <c r="P335" s="207"/>
      <c r="Q335" s="207"/>
      <c r="R335" s="207"/>
      <c r="S335" s="208"/>
      <c r="T335" s="208"/>
      <c r="U335" s="208"/>
      <c r="V335" s="207"/>
      <c r="W335" s="207"/>
      <c r="X335" s="207"/>
      <c r="Y335" s="209"/>
      <c r="Z335" s="210"/>
      <c r="AA335" s="210"/>
      <c r="AB335" s="210"/>
      <c r="AC335" s="210"/>
      <c r="AD335" s="210"/>
      <c r="AE335" s="207"/>
      <c r="AF335" s="209"/>
      <c r="AG335" s="211"/>
      <c r="AH335"/>
      <c r="AI335"/>
    </row>
    <row r="336" spans="1:35" x14ac:dyDescent="0.3">
      <c r="A336"/>
      <c r="B336"/>
      <c r="C336"/>
      <c r="D336"/>
      <c r="E336"/>
      <c r="F336"/>
      <c r="G336"/>
      <c r="H336"/>
      <c r="I336"/>
      <c r="J336"/>
      <c r="K336"/>
      <c r="L336"/>
      <c r="M336"/>
      <c r="N336"/>
      <c r="O336"/>
      <c r="P336" s="207"/>
      <c r="Q336" s="207"/>
      <c r="R336" s="207"/>
      <c r="S336" s="208"/>
      <c r="T336" s="208"/>
      <c r="U336" s="208"/>
      <c r="V336" s="207"/>
      <c r="W336" s="207"/>
      <c r="X336" s="207"/>
      <c r="Y336" s="209"/>
      <c r="Z336" s="210"/>
      <c r="AA336" s="210"/>
      <c r="AB336" s="210"/>
      <c r="AC336" s="210"/>
      <c r="AD336" s="210"/>
      <c r="AE336" s="207"/>
      <c r="AF336" s="209"/>
      <c r="AG336" s="211"/>
      <c r="AH336"/>
      <c r="AI336"/>
    </row>
    <row r="337" spans="1:35" x14ac:dyDescent="0.3">
      <c r="A337"/>
      <c r="B337"/>
      <c r="C337"/>
      <c r="D337"/>
      <c r="E337"/>
      <c r="F337"/>
      <c r="G337"/>
      <c r="H337"/>
      <c r="I337"/>
      <c r="J337"/>
      <c r="K337"/>
      <c r="L337"/>
      <c r="M337"/>
      <c r="N337"/>
      <c r="O337"/>
      <c r="P337" s="207"/>
      <c r="Q337" s="207"/>
      <c r="R337" s="207"/>
      <c r="S337" s="208"/>
      <c r="T337" s="208"/>
      <c r="U337" s="208"/>
      <c r="V337" s="207"/>
      <c r="W337" s="207"/>
      <c r="X337" s="207"/>
      <c r="Y337" s="209"/>
      <c r="Z337" s="210"/>
      <c r="AA337" s="210"/>
      <c r="AB337" s="210"/>
      <c r="AC337" s="210"/>
      <c r="AD337" s="210"/>
      <c r="AE337" s="207"/>
      <c r="AF337" s="209"/>
      <c r="AG337" s="211"/>
      <c r="AH337"/>
      <c r="AI337"/>
    </row>
    <row r="338" spans="1:35" x14ac:dyDescent="0.3">
      <c r="A338"/>
      <c r="B338"/>
      <c r="C338"/>
      <c r="D338"/>
      <c r="E338"/>
      <c r="F338"/>
      <c r="G338"/>
      <c r="H338"/>
      <c r="I338"/>
      <c r="J338"/>
      <c r="K338"/>
      <c r="L338"/>
      <c r="M338"/>
      <c r="N338"/>
      <c r="O338"/>
      <c r="P338" s="207"/>
      <c r="Q338" s="207"/>
      <c r="R338" s="207"/>
      <c r="S338" s="208"/>
      <c r="T338" s="208"/>
      <c r="U338" s="208"/>
      <c r="V338" s="207"/>
      <c r="W338" s="207"/>
      <c r="X338" s="207"/>
      <c r="Y338" s="209"/>
      <c r="Z338" s="210"/>
      <c r="AA338" s="210"/>
      <c r="AB338" s="210"/>
      <c r="AC338" s="210"/>
      <c r="AD338" s="210"/>
      <c r="AE338" s="207"/>
      <c r="AF338" s="209"/>
      <c r="AG338" s="211"/>
      <c r="AH338"/>
      <c r="AI338"/>
    </row>
    <row r="339" spans="1:35" x14ac:dyDescent="0.3">
      <c r="A339"/>
      <c r="B339"/>
      <c r="C339"/>
      <c r="D339"/>
      <c r="E339"/>
      <c r="F339"/>
      <c r="G339"/>
      <c r="H339"/>
      <c r="I339"/>
      <c r="J339"/>
      <c r="K339"/>
      <c r="L339"/>
      <c r="M339"/>
      <c r="N339"/>
      <c r="O339"/>
      <c r="P339" s="207"/>
      <c r="Q339" s="207"/>
      <c r="R339" s="207"/>
      <c r="S339" s="208"/>
      <c r="T339" s="208"/>
      <c r="U339" s="208"/>
      <c r="V339" s="207"/>
      <c r="W339" s="207"/>
      <c r="X339" s="207"/>
      <c r="Y339" s="209"/>
      <c r="Z339" s="210"/>
      <c r="AA339" s="210"/>
      <c r="AB339" s="210"/>
      <c r="AC339" s="210"/>
      <c r="AD339" s="210"/>
      <c r="AE339" s="207"/>
      <c r="AF339" s="209"/>
      <c r="AG339" s="211"/>
      <c r="AH339"/>
      <c r="AI339"/>
    </row>
    <row r="340" spans="1:35" x14ac:dyDescent="0.3">
      <c r="A340"/>
      <c r="B340"/>
      <c r="C340"/>
      <c r="D340"/>
      <c r="E340"/>
      <c r="F340"/>
      <c r="G340"/>
      <c r="H340"/>
      <c r="I340"/>
      <c r="J340"/>
      <c r="K340"/>
      <c r="L340"/>
      <c r="M340"/>
      <c r="N340"/>
      <c r="O340"/>
      <c r="P340" s="207"/>
      <c r="Q340" s="207"/>
      <c r="R340" s="207"/>
      <c r="S340" s="208"/>
      <c r="T340" s="208"/>
      <c r="U340" s="208"/>
      <c r="V340" s="207"/>
      <c r="W340" s="207"/>
      <c r="X340" s="207"/>
      <c r="Y340" s="209"/>
      <c r="Z340" s="210"/>
      <c r="AA340" s="210"/>
      <c r="AB340" s="210"/>
      <c r="AC340" s="210"/>
      <c r="AD340" s="210"/>
      <c r="AE340" s="207"/>
      <c r="AF340" s="209"/>
      <c r="AG340" s="211"/>
      <c r="AH340"/>
      <c r="AI340"/>
    </row>
    <row r="341" spans="1:35" x14ac:dyDescent="0.3">
      <c r="A341"/>
      <c r="B341"/>
      <c r="C341"/>
      <c r="D341"/>
      <c r="E341"/>
      <c r="F341"/>
      <c r="G341"/>
      <c r="H341"/>
      <c r="I341"/>
      <c r="J341"/>
      <c r="K341"/>
      <c r="L341"/>
      <c r="M341"/>
      <c r="N341"/>
      <c r="O341"/>
      <c r="P341" s="207"/>
      <c r="Q341" s="207"/>
      <c r="R341" s="207"/>
      <c r="S341" s="208"/>
      <c r="T341" s="208"/>
      <c r="U341" s="208"/>
      <c r="V341" s="207"/>
      <c r="W341" s="207"/>
      <c r="X341" s="207"/>
      <c r="Y341" s="209"/>
      <c r="Z341" s="210"/>
      <c r="AA341" s="210"/>
      <c r="AB341" s="210"/>
      <c r="AC341" s="210"/>
      <c r="AD341" s="210"/>
      <c r="AE341" s="207"/>
      <c r="AF341" s="209"/>
      <c r="AG341" s="211"/>
      <c r="AH341"/>
      <c r="AI341"/>
    </row>
    <row r="342" spans="1:35" x14ac:dyDescent="0.3">
      <c r="A342"/>
      <c r="B342"/>
      <c r="C342"/>
      <c r="D342"/>
      <c r="E342"/>
      <c r="F342"/>
      <c r="G342"/>
      <c r="H342"/>
      <c r="I342"/>
      <c r="J342"/>
      <c r="K342"/>
      <c r="L342"/>
      <c r="M342"/>
      <c r="N342"/>
      <c r="O342"/>
      <c r="P342" s="207"/>
      <c r="Q342" s="207"/>
      <c r="R342" s="207"/>
      <c r="S342" s="208"/>
      <c r="T342" s="208"/>
      <c r="U342" s="208"/>
      <c r="V342" s="207"/>
      <c r="W342" s="207"/>
      <c r="X342" s="207"/>
      <c r="Y342" s="209"/>
      <c r="Z342" s="210"/>
      <c r="AA342" s="210"/>
      <c r="AB342" s="210"/>
      <c r="AC342" s="210"/>
      <c r="AD342" s="210"/>
      <c r="AE342" s="207"/>
      <c r="AF342" s="209"/>
      <c r="AG342" s="211"/>
      <c r="AH342"/>
      <c r="AI342"/>
    </row>
    <row r="343" spans="1:35" x14ac:dyDescent="0.3">
      <c r="A343"/>
      <c r="B343"/>
      <c r="C343"/>
      <c r="D343"/>
      <c r="E343"/>
      <c r="F343"/>
      <c r="G343"/>
      <c r="H343"/>
      <c r="I343"/>
      <c r="J343"/>
      <c r="K343"/>
      <c r="L343"/>
      <c r="M343"/>
      <c r="N343"/>
      <c r="O343"/>
      <c r="P343" s="207"/>
      <c r="Q343" s="207"/>
      <c r="R343" s="207"/>
      <c r="S343" s="208"/>
      <c r="T343" s="208"/>
      <c r="U343" s="208"/>
      <c r="V343" s="207"/>
      <c r="W343" s="207"/>
      <c r="X343" s="207"/>
      <c r="Y343" s="209"/>
      <c r="Z343" s="210"/>
      <c r="AA343" s="210"/>
      <c r="AB343" s="210"/>
      <c r="AC343" s="210"/>
      <c r="AD343" s="210"/>
      <c r="AE343" s="207"/>
      <c r="AF343" s="209"/>
      <c r="AG343" s="211"/>
      <c r="AH343"/>
      <c r="AI343"/>
    </row>
    <row r="344" spans="1:35" x14ac:dyDescent="0.3">
      <c r="A344"/>
      <c r="B344"/>
      <c r="C344"/>
      <c r="D344"/>
      <c r="E344"/>
      <c r="F344"/>
      <c r="G344"/>
      <c r="H344"/>
      <c r="I344"/>
      <c r="J344"/>
      <c r="K344"/>
      <c r="L344"/>
      <c r="M344"/>
      <c r="N344"/>
      <c r="O344"/>
      <c r="P344" s="207"/>
      <c r="Q344" s="207"/>
      <c r="R344" s="207"/>
      <c r="S344" s="208"/>
      <c r="T344" s="208"/>
      <c r="U344" s="208"/>
      <c r="V344" s="207"/>
      <c r="W344" s="207"/>
      <c r="X344" s="207"/>
      <c r="Y344" s="209"/>
      <c r="Z344" s="210"/>
      <c r="AA344" s="210"/>
      <c r="AB344" s="210"/>
      <c r="AC344" s="210"/>
      <c r="AD344" s="210"/>
      <c r="AE344" s="207"/>
      <c r="AF344" s="209"/>
      <c r="AG344" s="211"/>
      <c r="AH344"/>
      <c r="AI344"/>
    </row>
    <row r="345" spans="1:35" x14ac:dyDescent="0.3">
      <c r="A345"/>
      <c r="B345"/>
      <c r="C345"/>
      <c r="D345"/>
      <c r="E345"/>
      <c r="F345"/>
      <c r="G345"/>
      <c r="H345"/>
      <c r="I345"/>
      <c r="J345"/>
      <c r="K345"/>
      <c r="L345"/>
      <c r="M345"/>
      <c r="N345"/>
      <c r="O345"/>
      <c r="P345" s="207"/>
      <c r="Q345" s="207"/>
      <c r="R345" s="207"/>
      <c r="S345" s="208"/>
      <c r="T345" s="208"/>
      <c r="U345" s="208"/>
      <c r="V345" s="207"/>
      <c r="W345" s="207"/>
      <c r="X345" s="207"/>
      <c r="Y345" s="209"/>
      <c r="Z345" s="210"/>
      <c r="AA345" s="210"/>
      <c r="AB345" s="210"/>
      <c r="AC345" s="210"/>
      <c r="AD345" s="210"/>
      <c r="AE345" s="207"/>
      <c r="AF345" s="209"/>
      <c r="AG345" s="211"/>
      <c r="AH345"/>
      <c r="AI345"/>
    </row>
    <row r="346" spans="1:35" x14ac:dyDescent="0.3">
      <c r="A346"/>
      <c r="B346"/>
      <c r="C346"/>
      <c r="D346"/>
      <c r="E346"/>
      <c r="F346"/>
      <c r="G346"/>
      <c r="H346"/>
      <c r="I346"/>
      <c r="J346"/>
      <c r="K346"/>
      <c r="L346"/>
      <c r="M346"/>
      <c r="N346"/>
      <c r="O346"/>
      <c r="P346" s="207"/>
      <c r="Q346" s="207"/>
      <c r="R346" s="207"/>
      <c r="S346" s="208"/>
      <c r="T346" s="208"/>
      <c r="U346" s="208"/>
      <c r="V346" s="207"/>
      <c r="W346" s="207"/>
      <c r="X346" s="207"/>
      <c r="Y346" s="209"/>
      <c r="Z346" s="210"/>
      <c r="AA346" s="210"/>
      <c r="AB346" s="210"/>
      <c r="AC346" s="210"/>
      <c r="AD346" s="210"/>
      <c r="AE346" s="207"/>
      <c r="AF346" s="209"/>
      <c r="AG346" s="211"/>
      <c r="AH346"/>
      <c r="AI346"/>
    </row>
    <row r="347" spans="1:35" x14ac:dyDescent="0.3">
      <c r="A347"/>
      <c r="B347"/>
      <c r="C347"/>
      <c r="D347"/>
      <c r="E347"/>
      <c r="F347"/>
      <c r="G347"/>
      <c r="H347"/>
      <c r="I347"/>
      <c r="J347"/>
      <c r="K347"/>
      <c r="L347"/>
      <c r="M347"/>
      <c r="N347"/>
      <c r="O347"/>
      <c r="P347" s="207"/>
      <c r="Q347" s="207"/>
      <c r="R347" s="207"/>
      <c r="S347" s="208"/>
      <c r="T347" s="208"/>
      <c r="U347" s="208"/>
      <c r="V347" s="207"/>
      <c r="W347" s="207"/>
      <c r="X347" s="207"/>
      <c r="Y347" s="209"/>
      <c r="Z347" s="210"/>
      <c r="AA347" s="210"/>
      <c r="AB347" s="210"/>
      <c r="AC347" s="210"/>
      <c r="AD347" s="210"/>
      <c r="AE347" s="207"/>
      <c r="AF347" s="209"/>
      <c r="AG347" s="211"/>
      <c r="AH347"/>
      <c r="AI347"/>
    </row>
    <row r="348" spans="1:35" x14ac:dyDescent="0.3">
      <c r="A348"/>
      <c r="B348"/>
      <c r="C348"/>
      <c r="D348"/>
      <c r="E348"/>
      <c r="F348"/>
      <c r="G348"/>
      <c r="H348"/>
      <c r="I348"/>
      <c r="J348"/>
      <c r="K348"/>
      <c r="L348"/>
      <c r="M348"/>
      <c r="N348"/>
      <c r="O348"/>
      <c r="P348" s="207"/>
      <c r="Q348" s="207"/>
      <c r="R348" s="207"/>
      <c r="S348" s="208"/>
      <c r="T348" s="208"/>
      <c r="U348" s="208"/>
      <c r="V348" s="207"/>
      <c r="W348" s="207"/>
      <c r="X348" s="207"/>
      <c r="Y348" s="209"/>
      <c r="Z348" s="210"/>
      <c r="AA348" s="210"/>
      <c r="AB348" s="210"/>
      <c r="AC348" s="210"/>
      <c r="AD348" s="210"/>
      <c r="AE348" s="207"/>
      <c r="AF348" s="209"/>
      <c r="AG348" s="211"/>
      <c r="AH348"/>
      <c r="AI348"/>
    </row>
    <row r="349" spans="1:35" x14ac:dyDescent="0.3">
      <c r="A349"/>
      <c r="B349"/>
      <c r="C349"/>
      <c r="D349"/>
      <c r="E349"/>
      <c r="F349"/>
      <c r="G349"/>
      <c r="H349"/>
      <c r="I349"/>
      <c r="J349"/>
      <c r="K349"/>
      <c r="L349"/>
      <c r="M349"/>
      <c r="N349"/>
      <c r="O349"/>
      <c r="P349" s="207"/>
      <c r="Q349" s="207"/>
      <c r="R349" s="207"/>
      <c r="S349" s="208"/>
      <c r="T349" s="208"/>
      <c r="U349" s="208"/>
      <c r="V349" s="207"/>
      <c r="W349" s="207"/>
      <c r="X349" s="207"/>
      <c r="Y349" s="209"/>
      <c r="Z349" s="210"/>
      <c r="AA349" s="210"/>
      <c r="AB349" s="210"/>
      <c r="AC349" s="210"/>
      <c r="AD349" s="210"/>
      <c r="AE349" s="207"/>
      <c r="AF349" s="209"/>
      <c r="AG349" s="211"/>
      <c r="AH349"/>
      <c r="AI349"/>
    </row>
    <row r="350" spans="1:35" x14ac:dyDescent="0.3">
      <c r="A350"/>
      <c r="B350"/>
      <c r="C350"/>
      <c r="D350"/>
      <c r="E350"/>
      <c r="F350"/>
      <c r="G350"/>
      <c r="H350"/>
      <c r="I350"/>
      <c r="J350"/>
      <c r="K350"/>
      <c r="L350"/>
      <c r="M350"/>
      <c r="N350"/>
      <c r="O350"/>
      <c r="P350" s="207"/>
      <c r="Q350" s="207"/>
      <c r="R350" s="207"/>
      <c r="S350" s="208"/>
      <c r="T350" s="208"/>
      <c r="U350" s="208"/>
      <c r="V350" s="207"/>
      <c r="W350" s="207"/>
      <c r="X350" s="207"/>
      <c r="Y350" s="209"/>
      <c r="Z350" s="210"/>
      <c r="AA350" s="210"/>
      <c r="AB350" s="210"/>
      <c r="AC350" s="210"/>
      <c r="AD350" s="210"/>
      <c r="AE350" s="207"/>
      <c r="AF350" s="209"/>
      <c r="AG350" s="211"/>
      <c r="AH350"/>
      <c r="AI350"/>
    </row>
    <row r="351" spans="1:35" x14ac:dyDescent="0.3">
      <c r="A351"/>
      <c r="B351"/>
      <c r="C351"/>
      <c r="D351"/>
      <c r="E351"/>
      <c r="F351"/>
      <c r="G351"/>
      <c r="H351"/>
      <c r="I351"/>
      <c r="J351"/>
      <c r="K351"/>
      <c r="L351"/>
      <c r="M351"/>
      <c r="N351"/>
      <c r="O351"/>
      <c r="P351" s="207"/>
      <c r="Q351" s="207"/>
      <c r="R351" s="207"/>
      <c r="S351" s="208"/>
      <c r="T351" s="208"/>
      <c r="U351" s="208"/>
      <c r="V351" s="207"/>
      <c r="W351" s="207"/>
      <c r="X351" s="207"/>
      <c r="Y351" s="209"/>
      <c r="Z351" s="210"/>
      <c r="AA351" s="210"/>
      <c r="AB351" s="210"/>
      <c r="AC351" s="210"/>
      <c r="AD351" s="210"/>
      <c r="AE351" s="207"/>
      <c r="AF351" s="209"/>
      <c r="AG351" s="211"/>
      <c r="AH351"/>
      <c r="AI351"/>
    </row>
    <row r="352" spans="1:35" x14ac:dyDescent="0.3">
      <c r="A352"/>
      <c r="B352"/>
      <c r="C352"/>
      <c r="D352"/>
      <c r="E352"/>
      <c r="F352"/>
      <c r="G352"/>
      <c r="H352"/>
      <c r="I352"/>
      <c r="J352"/>
      <c r="K352"/>
      <c r="L352"/>
      <c r="M352"/>
      <c r="N352"/>
      <c r="O352"/>
      <c r="P352" s="207"/>
      <c r="Q352" s="207"/>
      <c r="R352" s="207"/>
      <c r="S352" s="208"/>
      <c r="T352" s="208"/>
      <c r="U352" s="208"/>
      <c r="V352" s="207"/>
      <c r="W352" s="207"/>
      <c r="X352" s="207"/>
      <c r="Y352" s="209"/>
      <c r="Z352" s="210"/>
      <c r="AA352" s="210"/>
      <c r="AB352" s="210"/>
      <c r="AC352" s="210"/>
      <c r="AD352" s="210"/>
      <c r="AE352" s="207"/>
      <c r="AF352" s="209"/>
      <c r="AG352" s="211"/>
      <c r="AH352"/>
      <c r="AI352"/>
    </row>
    <row r="353" spans="1:35" x14ac:dyDescent="0.3">
      <c r="A353"/>
      <c r="B353"/>
      <c r="C353"/>
      <c r="D353"/>
      <c r="E353"/>
      <c r="F353"/>
      <c r="G353"/>
      <c r="H353"/>
      <c r="I353"/>
      <c r="J353"/>
      <c r="K353"/>
      <c r="L353"/>
      <c r="M353"/>
      <c r="N353"/>
      <c r="O353"/>
      <c r="P353" s="207"/>
      <c r="Q353" s="207"/>
      <c r="R353" s="207"/>
      <c r="S353" s="208"/>
      <c r="T353" s="208"/>
      <c r="U353" s="208"/>
      <c r="V353" s="207"/>
      <c r="W353" s="207"/>
      <c r="X353" s="207"/>
      <c r="Y353" s="209"/>
      <c r="Z353" s="210"/>
      <c r="AA353" s="210"/>
      <c r="AB353" s="210"/>
      <c r="AC353" s="210"/>
      <c r="AD353" s="210"/>
      <c r="AE353" s="207"/>
      <c r="AF353" s="209"/>
      <c r="AG353" s="211"/>
      <c r="AH353"/>
      <c r="AI353"/>
    </row>
    <row r="354" spans="1:35" x14ac:dyDescent="0.3">
      <c r="A354"/>
      <c r="B354"/>
      <c r="C354"/>
      <c r="D354"/>
      <c r="E354"/>
      <c r="F354"/>
      <c r="G354"/>
      <c r="H354"/>
      <c r="I354"/>
      <c r="J354"/>
      <c r="K354"/>
      <c r="L354"/>
      <c r="M354"/>
      <c r="N354"/>
      <c r="O354"/>
      <c r="P354" s="207"/>
      <c r="Q354" s="207"/>
      <c r="R354" s="207"/>
      <c r="S354" s="208"/>
      <c r="T354" s="208"/>
      <c r="U354" s="208"/>
      <c r="V354" s="207"/>
      <c r="W354" s="207"/>
      <c r="X354" s="207"/>
      <c r="Y354" s="209"/>
      <c r="Z354" s="210"/>
      <c r="AA354" s="210"/>
      <c r="AB354" s="210"/>
      <c r="AC354" s="210"/>
      <c r="AD354" s="210"/>
      <c r="AE354" s="207"/>
      <c r="AF354" s="209"/>
      <c r="AG354" s="211"/>
      <c r="AH354"/>
      <c r="AI354"/>
    </row>
    <row r="355" spans="1:35" x14ac:dyDescent="0.3">
      <c r="A355"/>
      <c r="B355"/>
      <c r="C355"/>
      <c r="D355"/>
      <c r="E355"/>
      <c r="F355"/>
      <c r="G355"/>
      <c r="H355"/>
      <c r="I355"/>
      <c r="J355"/>
      <c r="K355"/>
      <c r="L355"/>
      <c r="M355"/>
      <c r="N355"/>
      <c r="O355"/>
      <c r="P355" s="207"/>
      <c r="Q355" s="207"/>
      <c r="R355" s="207"/>
      <c r="S355" s="208"/>
      <c r="T355" s="208"/>
      <c r="U355" s="208"/>
      <c r="V355" s="207"/>
      <c r="W355" s="207"/>
      <c r="X355" s="207"/>
      <c r="Y355" s="209"/>
      <c r="Z355" s="210"/>
      <c r="AA355" s="210"/>
      <c r="AB355" s="210"/>
      <c r="AC355" s="210"/>
      <c r="AD355" s="210"/>
      <c r="AE355" s="207"/>
      <c r="AF355" s="209"/>
      <c r="AG355" s="211"/>
      <c r="AH355"/>
      <c r="AI355"/>
    </row>
    <row r="356" spans="1:35" x14ac:dyDescent="0.3">
      <c r="A356"/>
      <c r="B356"/>
      <c r="C356"/>
      <c r="D356"/>
      <c r="E356"/>
      <c r="F356"/>
      <c r="G356"/>
      <c r="H356"/>
      <c r="I356"/>
      <c r="J356"/>
      <c r="K356"/>
      <c r="L356"/>
      <c r="M356"/>
      <c r="N356"/>
      <c r="O356"/>
      <c r="P356" s="207"/>
      <c r="Q356" s="207"/>
      <c r="R356" s="207"/>
      <c r="S356" s="208"/>
      <c r="T356" s="208"/>
      <c r="U356" s="208"/>
      <c r="V356" s="207"/>
      <c r="W356" s="207"/>
      <c r="X356" s="207"/>
      <c r="Y356" s="209"/>
      <c r="Z356" s="210"/>
      <c r="AA356" s="210"/>
      <c r="AB356" s="210"/>
      <c r="AC356" s="210"/>
      <c r="AD356" s="210"/>
      <c r="AE356" s="207"/>
      <c r="AF356" s="209"/>
      <c r="AG356" s="211"/>
      <c r="AH356"/>
      <c r="AI356"/>
    </row>
    <row r="357" spans="1:35" x14ac:dyDescent="0.3">
      <c r="A357"/>
      <c r="B357"/>
      <c r="C357"/>
      <c r="D357"/>
      <c r="E357"/>
      <c r="F357"/>
      <c r="G357"/>
      <c r="H357"/>
      <c r="I357"/>
      <c r="J357"/>
      <c r="K357"/>
      <c r="L357"/>
      <c r="M357"/>
      <c r="N357"/>
      <c r="O357"/>
      <c r="P357" s="207"/>
      <c r="Q357" s="207"/>
      <c r="R357" s="207"/>
      <c r="S357" s="208"/>
      <c r="T357" s="208"/>
      <c r="U357" s="208"/>
      <c r="V357" s="207"/>
      <c r="W357" s="207"/>
      <c r="X357" s="207"/>
      <c r="Y357" s="209"/>
      <c r="Z357" s="210"/>
      <c r="AA357" s="210"/>
      <c r="AB357" s="210"/>
      <c r="AC357" s="210"/>
      <c r="AD357" s="210"/>
      <c r="AE357" s="207"/>
      <c r="AF357" s="209"/>
      <c r="AG357" s="211"/>
      <c r="AH357"/>
      <c r="AI357"/>
    </row>
    <row r="358" spans="1:35" x14ac:dyDescent="0.3">
      <c r="A358"/>
      <c r="B358"/>
      <c r="C358"/>
      <c r="D358"/>
      <c r="E358"/>
      <c r="F358"/>
      <c r="G358"/>
      <c r="H358"/>
      <c r="I358"/>
      <c r="J358"/>
      <c r="K358"/>
      <c r="L358"/>
      <c r="M358"/>
      <c r="N358"/>
      <c r="O358"/>
      <c r="P358" s="207"/>
      <c r="Q358" s="207"/>
      <c r="R358" s="207"/>
      <c r="S358" s="208"/>
      <c r="T358" s="208"/>
      <c r="U358" s="208"/>
      <c r="V358" s="207"/>
      <c r="W358" s="207"/>
      <c r="X358" s="207"/>
      <c r="Y358" s="209"/>
      <c r="Z358" s="210"/>
      <c r="AA358" s="210"/>
      <c r="AB358" s="210"/>
      <c r="AC358" s="210"/>
      <c r="AD358" s="210"/>
      <c r="AE358" s="207"/>
      <c r="AF358" s="209"/>
      <c r="AG358" s="211"/>
      <c r="AH358"/>
      <c r="AI358"/>
    </row>
    <row r="359" spans="1:35" x14ac:dyDescent="0.3">
      <c r="A359"/>
      <c r="B359"/>
      <c r="C359"/>
      <c r="D359"/>
      <c r="E359"/>
      <c r="F359"/>
      <c r="G359"/>
      <c r="H359"/>
      <c r="I359"/>
      <c r="J359"/>
      <c r="K359"/>
      <c r="L359"/>
      <c r="M359"/>
      <c r="N359"/>
      <c r="O359"/>
      <c r="P359" s="207"/>
      <c r="Q359" s="207"/>
      <c r="R359" s="207"/>
      <c r="S359" s="208"/>
      <c r="T359" s="208"/>
      <c r="U359" s="208"/>
      <c r="V359" s="207"/>
      <c r="W359" s="207"/>
      <c r="X359" s="207"/>
      <c r="Y359" s="209"/>
      <c r="Z359" s="210"/>
      <c r="AA359" s="210"/>
      <c r="AB359" s="210"/>
      <c r="AC359" s="210"/>
      <c r="AD359" s="210"/>
      <c r="AE359" s="207"/>
      <c r="AF359" s="209"/>
      <c r="AG359" s="211"/>
      <c r="AH359"/>
      <c r="AI359"/>
    </row>
    <row r="360" spans="1:35" x14ac:dyDescent="0.3">
      <c r="A360"/>
      <c r="B360"/>
      <c r="C360"/>
      <c r="D360"/>
      <c r="E360"/>
      <c r="F360"/>
      <c r="G360"/>
      <c r="H360"/>
      <c r="I360"/>
      <c r="J360"/>
      <c r="K360"/>
      <c r="L360"/>
      <c r="M360"/>
      <c r="N360"/>
      <c r="O360"/>
      <c r="P360" s="207"/>
      <c r="Q360" s="207"/>
      <c r="R360" s="207"/>
      <c r="S360" s="208"/>
      <c r="T360" s="208"/>
      <c r="U360" s="208"/>
      <c r="V360" s="207"/>
      <c r="W360" s="207"/>
      <c r="X360" s="207"/>
      <c r="Y360" s="209"/>
      <c r="Z360" s="210"/>
      <c r="AA360" s="210"/>
      <c r="AB360" s="210"/>
      <c r="AC360" s="210"/>
      <c r="AD360" s="210"/>
      <c r="AE360" s="207"/>
      <c r="AF360" s="209"/>
      <c r="AG360" s="211"/>
      <c r="AH360"/>
      <c r="AI360"/>
    </row>
    <row r="361" spans="1:35" x14ac:dyDescent="0.3">
      <c r="A361"/>
      <c r="B361"/>
      <c r="C361"/>
      <c r="D361"/>
      <c r="E361"/>
      <c r="F361"/>
      <c r="G361"/>
      <c r="H361"/>
      <c r="I361"/>
      <c r="J361"/>
      <c r="K361"/>
      <c r="L361"/>
      <c r="M361"/>
      <c r="N361"/>
      <c r="O361"/>
      <c r="P361" s="207"/>
      <c r="Q361" s="207"/>
      <c r="R361" s="207"/>
      <c r="S361" s="208"/>
      <c r="T361" s="208"/>
      <c r="U361" s="208"/>
      <c r="V361" s="207"/>
      <c r="W361" s="207"/>
      <c r="X361" s="207"/>
      <c r="Y361" s="209"/>
      <c r="Z361" s="210"/>
      <c r="AA361" s="210"/>
      <c r="AB361" s="210"/>
      <c r="AC361" s="210"/>
      <c r="AD361" s="210"/>
      <c r="AE361" s="207"/>
      <c r="AF361" s="209"/>
      <c r="AG361" s="211"/>
      <c r="AH361"/>
      <c r="AI361"/>
    </row>
    <row r="362" spans="1:35" x14ac:dyDescent="0.3">
      <c r="A362"/>
      <c r="B362"/>
      <c r="C362"/>
      <c r="D362"/>
      <c r="E362"/>
      <c r="F362"/>
      <c r="G362"/>
      <c r="H362"/>
      <c r="I362"/>
      <c r="J362"/>
      <c r="K362"/>
      <c r="L362"/>
      <c r="M362"/>
      <c r="N362"/>
      <c r="O362"/>
      <c r="P362" s="207"/>
      <c r="Q362" s="207"/>
      <c r="R362" s="207"/>
      <c r="S362" s="208"/>
      <c r="T362" s="208"/>
      <c r="U362" s="208"/>
      <c r="V362" s="207"/>
      <c r="W362" s="207"/>
      <c r="X362" s="207"/>
      <c r="Y362" s="209"/>
      <c r="Z362" s="210"/>
      <c r="AA362" s="210"/>
      <c r="AB362" s="210"/>
      <c r="AC362" s="210"/>
      <c r="AD362" s="210"/>
      <c r="AE362" s="207"/>
      <c r="AF362" s="209"/>
      <c r="AG362" s="211"/>
      <c r="AH362"/>
      <c r="AI362"/>
    </row>
    <row r="363" spans="1:35" x14ac:dyDescent="0.3">
      <c r="A363"/>
      <c r="B363"/>
      <c r="C363"/>
      <c r="D363"/>
      <c r="E363"/>
      <c r="F363"/>
      <c r="G363"/>
      <c r="H363"/>
      <c r="I363"/>
      <c r="J363"/>
      <c r="K363"/>
      <c r="L363"/>
      <c r="M363"/>
      <c r="N363"/>
      <c r="O363"/>
      <c r="P363" s="207"/>
      <c r="Q363" s="207"/>
      <c r="R363" s="207"/>
      <c r="S363" s="208"/>
      <c r="T363" s="208"/>
      <c r="U363" s="208"/>
      <c r="V363" s="207"/>
      <c r="W363" s="207"/>
      <c r="X363" s="207"/>
      <c r="Y363" s="209"/>
      <c r="Z363" s="210"/>
      <c r="AA363" s="210"/>
      <c r="AB363" s="210"/>
      <c r="AC363" s="210"/>
      <c r="AD363" s="210"/>
      <c r="AE363" s="207"/>
      <c r="AF363" s="209"/>
      <c r="AG363" s="211"/>
      <c r="AH363"/>
      <c r="AI363"/>
    </row>
    <row r="364" spans="1:35" x14ac:dyDescent="0.3">
      <c r="A364"/>
      <c r="B364"/>
      <c r="C364"/>
      <c r="D364"/>
      <c r="E364"/>
      <c r="F364"/>
      <c r="G364"/>
      <c r="H364"/>
      <c r="I364"/>
      <c r="J364"/>
      <c r="K364"/>
      <c r="L364"/>
      <c r="M364"/>
      <c r="N364"/>
      <c r="O364"/>
      <c r="P364" s="207"/>
      <c r="Q364" s="207"/>
      <c r="R364" s="207"/>
      <c r="S364" s="208"/>
      <c r="T364" s="208"/>
      <c r="U364" s="208"/>
      <c r="V364" s="207"/>
      <c r="W364" s="207"/>
      <c r="X364" s="207"/>
      <c r="Y364" s="209"/>
      <c r="Z364" s="210"/>
      <c r="AA364" s="210"/>
      <c r="AB364" s="210"/>
      <c r="AC364" s="210"/>
      <c r="AD364" s="210"/>
      <c r="AE364" s="207"/>
      <c r="AF364" s="209"/>
      <c r="AG364" s="211"/>
      <c r="AH364"/>
      <c r="AI364"/>
    </row>
    <row r="365" spans="1:35" x14ac:dyDescent="0.3">
      <c r="A365"/>
      <c r="B365"/>
      <c r="C365"/>
      <c r="D365"/>
      <c r="E365"/>
      <c r="F365"/>
      <c r="G365"/>
      <c r="H365"/>
      <c r="I365"/>
      <c r="J365"/>
      <c r="K365"/>
      <c r="L365"/>
      <c r="M365"/>
      <c r="N365"/>
      <c r="O365"/>
      <c r="P365" s="207"/>
      <c r="Q365" s="207"/>
      <c r="R365" s="207"/>
      <c r="S365" s="208"/>
      <c r="T365" s="208"/>
      <c r="U365" s="208"/>
      <c r="V365" s="207"/>
      <c r="W365" s="207"/>
      <c r="X365" s="207"/>
      <c r="Y365" s="209"/>
      <c r="Z365" s="210"/>
      <c r="AA365" s="210"/>
      <c r="AB365" s="210"/>
      <c r="AC365" s="210"/>
      <c r="AD365" s="210"/>
      <c r="AE365" s="207"/>
      <c r="AF365" s="209"/>
      <c r="AG365" s="211"/>
      <c r="AH365"/>
      <c r="AI365"/>
    </row>
    <row r="366" spans="1:35" x14ac:dyDescent="0.3">
      <c r="A366"/>
      <c r="B366"/>
      <c r="C366"/>
      <c r="D366"/>
      <c r="E366"/>
      <c r="F366"/>
      <c r="G366"/>
      <c r="H366"/>
      <c r="I366"/>
      <c r="J366"/>
      <c r="K366"/>
      <c r="L366"/>
      <c r="M366"/>
      <c r="N366"/>
      <c r="O366"/>
      <c r="P366" s="207"/>
      <c r="Q366" s="207"/>
      <c r="R366" s="207"/>
      <c r="S366" s="208"/>
      <c r="T366" s="208"/>
      <c r="U366" s="208"/>
      <c r="V366" s="207"/>
      <c r="W366" s="207"/>
      <c r="X366" s="207"/>
      <c r="Y366" s="209"/>
      <c r="Z366" s="210"/>
      <c r="AA366" s="210"/>
      <c r="AB366" s="210"/>
      <c r="AC366" s="210"/>
      <c r="AD366" s="210"/>
      <c r="AE366" s="207"/>
      <c r="AF366" s="209"/>
      <c r="AG366" s="211"/>
      <c r="AH366"/>
      <c r="AI366"/>
    </row>
    <row r="367" spans="1:35" x14ac:dyDescent="0.3">
      <c r="A367"/>
      <c r="B367"/>
      <c r="C367"/>
      <c r="D367"/>
      <c r="E367"/>
      <c r="F367"/>
      <c r="G367"/>
      <c r="H367"/>
      <c r="I367"/>
      <c r="J367"/>
      <c r="K367"/>
      <c r="L367"/>
      <c r="M367"/>
      <c r="N367"/>
      <c r="O367"/>
      <c r="P367" s="207"/>
      <c r="Q367" s="207"/>
      <c r="R367" s="207"/>
      <c r="S367" s="208"/>
      <c r="T367" s="208"/>
      <c r="U367" s="208"/>
      <c r="V367" s="207"/>
      <c r="W367" s="207"/>
      <c r="X367" s="207"/>
      <c r="Y367" s="209"/>
      <c r="Z367" s="210"/>
      <c r="AA367" s="210"/>
      <c r="AB367" s="210"/>
      <c r="AC367" s="210"/>
      <c r="AD367" s="210"/>
      <c r="AE367" s="207"/>
      <c r="AF367" s="209"/>
      <c r="AG367" s="211"/>
      <c r="AH367"/>
      <c r="AI367"/>
    </row>
    <row r="368" spans="1:35" x14ac:dyDescent="0.3">
      <c r="A368"/>
      <c r="B368"/>
      <c r="C368"/>
      <c r="D368"/>
      <c r="E368"/>
      <c r="F368"/>
      <c r="G368"/>
      <c r="H368"/>
      <c r="I368"/>
      <c r="J368"/>
      <c r="K368"/>
      <c r="L368"/>
      <c r="M368"/>
      <c r="N368"/>
      <c r="O368"/>
      <c r="P368" s="207"/>
      <c r="Q368" s="207"/>
      <c r="R368" s="207"/>
      <c r="S368" s="208"/>
      <c r="T368" s="208"/>
      <c r="U368" s="208"/>
      <c r="V368" s="207"/>
      <c r="W368" s="207"/>
      <c r="X368" s="207"/>
      <c r="Y368" s="209"/>
      <c r="Z368" s="210"/>
      <c r="AA368" s="210"/>
      <c r="AB368" s="210"/>
      <c r="AC368" s="210"/>
      <c r="AD368" s="210"/>
      <c r="AE368" s="207"/>
      <c r="AF368" s="209"/>
      <c r="AG368" s="211"/>
      <c r="AH368"/>
      <c r="AI368"/>
    </row>
    <row r="369" spans="1:35" x14ac:dyDescent="0.3">
      <c r="A369"/>
      <c r="B369"/>
      <c r="C369"/>
      <c r="D369"/>
      <c r="E369"/>
      <c r="F369"/>
      <c r="G369"/>
      <c r="H369"/>
      <c r="I369"/>
      <c r="J369"/>
      <c r="K369"/>
      <c r="L369"/>
      <c r="M369"/>
      <c r="N369"/>
      <c r="O369"/>
      <c r="P369" s="207"/>
      <c r="Q369" s="207"/>
      <c r="R369" s="207"/>
      <c r="S369" s="208"/>
      <c r="T369" s="208"/>
      <c r="U369" s="208"/>
      <c r="V369" s="207"/>
      <c r="W369" s="207"/>
      <c r="X369" s="207"/>
      <c r="Y369" s="209"/>
      <c r="Z369" s="210"/>
      <c r="AA369" s="210"/>
      <c r="AB369" s="210"/>
      <c r="AC369" s="210"/>
      <c r="AD369" s="210"/>
      <c r="AE369" s="207"/>
      <c r="AF369" s="209"/>
      <c r="AG369" s="211"/>
      <c r="AH369"/>
      <c r="AI369"/>
    </row>
    <row r="370" spans="1:35" x14ac:dyDescent="0.3">
      <c r="A370"/>
      <c r="B370"/>
      <c r="C370"/>
      <c r="D370"/>
      <c r="E370"/>
      <c r="F370"/>
      <c r="G370"/>
      <c r="H370"/>
      <c r="I370"/>
      <c r="J370"/>
      <c r="K370"/>
      <c r="L370"/>
      <c r="M370"/>
      <c r="N370"/>
      <c r="O370"/>
      <c r="P370" s="207"/>
      <c r="Q370" s="207"/>
      <c r="R370" s="207"/>
      <c r="S370" s="208"/>
      <c r="T370" s="208"/>
      <c r="U370" s="208"/>
      <c r="V370" s="207"/>
      <c r="W370" s="207"/>
      <c r="X370" s="207"/>
      <c r="Y370" s="209"/>
      <c r="Z370" s="210"/>
      <c r="AA370" s="210"/>
      <c r="AB370" s="210"/>
      <c r="AC370" s="210"/>
      <c r="AD370" s="210"/>
      <c r="AE370" s="207"/>
      <c r="AF370" s="209"/>
      <c r="AG370" s="211"/>
      <c r="AH370"/>
      <c r="AI370"/>
    </row>
    <row r="371" spans="1:35" x14ac:dyDescent="0.3">
      <c r="A371"/>
      <c r="B371"/>
      <c r="C371"/>
      <c r="D371"/>
      <c r="E371"/>
      <c r="F371"/>
      <c r="G371"/>
      <c r="H371"/>
      <c r="I371"/>
      <c r="J371"/>
      <c r="K371"/>
      <c r="L371"/>
      <c r="M371"/>
      <c r="N371"/>
      <c r="O371"/>
      <c r="P371" s="207"/>
      <c r="Q371" s="207"/>
      <c r="R371" s="207"/>
      <c r="S371" s="208"/>
      <c r="T371" s="208"/>
      <c r="U371" s="208"/>
      <c r="V371" s="207"/>
      <c r="W371" s="207"/>
      <c r="X371" s="207"/>
      <c r="Y371" s="209"/>
      <c r="Z371" s="210"/>
      <c r="AA371" s="210"/>
      <c r="AB371" s="210"/>
      <c r="AC371" s="210"/>
      <c r="AD371" s="210"/>
      <c r="AE371" s="207"/>
      <c r="AF371" s="209"/>
      <c r="AG371" s="211"/>
      <c r="AH371"/>
      <c r="AI371"/>
    </row>
    <row r="372" spans="1:35" x14ac:dyDescent="0.3">
      <c r="A372"/>
      <c r="B372"/>
      <c r="C372"/>
      <c r="D372"/>
      <c r="E372"/>
      <c r="F372"/>
      <c r="G372"/>
      <c r="H372"/>
      <c r="I372"/>
      <c r="J372"/>
      <c r="K372"/>
      <c r="L372"/>
      <c r="M372"/>
      <c r="N372"/>
      <c r="O372"/>
      <c r="P372" s="207"/>
      <c r="Q372" s="207"/>
      <c r="R372" s="207"/>
      <c r="S372" s="208"/>
      <c r="T372" s="208"/>
      <c r="U372" s="208"/>
      <c r="V372" s="207"/>
      <c r="W372" s="207"/>
      <c r="X372" s="207"/>
      <c r="Y372" s="209"/>
      <c r="Z372" s="210"/>
      <c r="AA372" s="210"/>
      <c r="AB372" s="210"/>
      <c r="AC372" s="210"/>
      <c r="AD372" s="210"/>
      <c r="AE372" s="207"/>
      <c r="AF372" s="209"/>
      <c r="AG372" s="211"/>
      <c r="AH372"/>
      <c r="AI372"/>
    </row>
    <row r="373" spans="1:35" x14ac:dyDescent="0.3">
      <c r="A373"/>
      <c r="B373"/>
      <c r="C373"/>
      <c r="D373"/>
      <c r="E373"/>
      <c r="F373"/>
      <c r="G373"/>
      <c r="H373"/>
      <c r="I373"/>
      <c r="J373"/>
      <c r="K373"/>
      <c r="L373"/>
      <c r="M373"/>
      <c r="N373"/>
      <c r="O373"/>
      <c r="P373" s="207"/>
      <c r="Q373" s="207"/>
      <c r="R373" s="207"/>
      <c r="S373" s="208"/>
      <c r="T373" s="208"/>
      <c r="U373" s="208"/>
      <c r="V373" s="207"/>
      <c r="W373" s="207"/>
      <c r="X373" s="207"/>
      <c r="Y373" s="209"/>
      <c r="Z373" s="210"/>
      <c r="AA373" s="210"/>
      <c r="AB373" s="210"/>
      <c r="AC373" s="210"/>
      <c r="AD373" s="210"/>
      <c r="AE373" s="207"/>
      <c r="AF373" s="209"/>
      <c r="AG373" s="211"/>
      <c r="AH373"/>
      <c r="AI373"/>
    </row>
    <row r="374" spans="1:35" x14ac:dyDescent="0.3">
      <c r="A374"/>
      <c r="B374"/>
      <c r="C374"/>
      <c r="D374"/>
      <c r="E374"/>
      <c r="F374"/>
      <c r="G374"/>
      <c r="H374"/>
      <c r="I374"/>
      <c r="J374"/>
      <c r="K374"/>
      <c r="L374"/>
      <c r="M374"/>
      <c r="N374"/>
      <c r="O374"/>
      <c r="P374" s="207"/>
      <c r="Q374" s="207"/>
      <c r="R374" s="207"/>
      <c r="S374" s="208"/>
      <c r="T374" s="208"/>
      <c r="U374" s="208"/>
      <c r="V374" s="207"/>
      <c r="W374" s="207"/>
      <c r="X374" s="207"/>
      <c r="Y374" s="209"/>
      <c r="Z374" s="210"/>
      <c r="AA374" s="210"/>
      <c r="AB374" s="210"/>
      <c r="AC374" s="210"/>
      <c r="AD374" s="210"/>
      <c r="AE374" s="207"/>
      <c r="AF374" s="209"/>
      <c r="AG374" s="211"/>
      <c r="AH374"/>
      <c r="AI374"/>
    </row>
    <row r="375" spans="1:35" x14ac:dyDescent="0.3">
      <c r="A375"/>
      <c r="B375"/>
      <c r="C375"/>
      <c r="D375"/>
      <c r="E375"/>
      <c r="F375"/>
      <c r="G375"/>
      <c r="H375"/>
      <c r="I375"/>
      <c r="J375"/>
      <c r="K375"/>
      <c r="L375"/>
      <c r="M375"/>
      <c r="N375"/>
      <c r="O375"/>
      <c r="P375" s="207"/>
      <c r="Q375" s="207"/>
      <c r="R375" s="207"/>
      <c r="S375" s="208"/>
      <c r="T375" s="208"/>
      <c r="U375" s="208"/>
      <c r="V375" s="207"/>
      <c r="W375" s="207"/>
      <c r="X375" s="207"/>
      <c r="Y375" s="209"/>
      <c r="Z375" s="210"/>
      <c r="AA375" s="210"/>
      <c r="AB375" s="210"/>
      <c r="AC375" s="210"/>
      <c r="AD375" s="210"/>
      <c r="AE375" s="207"/>
      <c r="AF375" s="209"/>
      <c r="AG375" s="211"/>
      <c r="AH375"/>
      <c r="AI375"/>
    </row>
    <row r="376" spans="1:35" x14ac:dyDescent="0.3">
      <c r="A376"/>
      <c r="B376"/>
      <c r="C376"/>
      <c r="D376"/>
      <c r="E376"/>
      <c r="F376"/>
      <c r="G376"/>
      <c r="H376"/>
      <c r="I376"/>
      <c r="J376"/>
      <c r="K376"/>
      <c r="L376"/>
      <c r="M376"/>
      <c r="N376"/>
      <c r="O376"/>
      <c r="P376" s="207"/>
      <c r="Q376" s="207"/>
      <c r="R376" s="207"/>
      <c r="S376" s="208"/>
      <c r="T376" s="208"/>
      <c r="U376" s="208"/>
      <c r="V376" s="207"/>
      <c r="W376" s="207"/>
      <c r="X376" s="207"/>
      <c r="Y376" s="209"/>
      <c r="Z376" s="210"/>
      <c r="AA376" s="210"/>
      <c r="AB376" s="210"/>
      <c r="AC376" s="210"/>
      <c r="AD376" s="210"/>
      <c r="AE376" s="207"/>
      <c r="AF376" s="209"/>
      <c r="AG376" s="211"/>
      <c r="AH376"/>
      <c r="AI376"/>
    </row>
    <row r="377" spans="1:35" x14ac:dyDescent="0.3">
      <c r="A377"/>
      <c r="B377"/>
      <c r="C377"/>
      <c r="D377"/>
      <c r="E377"/>
      <c r="F377"/>
      <c r="G377"/>
      <c r="H377"/>
      <c r="I377"/>
      <c r="J377"/>
      <c r="K377"/>
      <c r="L377"/>
      <c r="M377"/>
      <c r="N377"/>
      <c r="O377"/>
      <c r="P377" s="207"/>
      <c r="Q377" s="207"/>
      <c r="R377" s="207"/>
      <c r="S377" s="208"/>
      <c r="T377" s="208"/>
      <c r="U377" s="208"/>
      <c r="V377" s="207"/>
      <c r="W377" s="207"/>
      <c r="X377" s="207"/>
      <c r="Y377" s="209"/>
      <c r="Z377" s="210"/>
      <c r="AA377" s="210"/>
      <c r="AB377" s="210"/>
      <c r="AC377" s="210"/>
      <c r="AD377" s="210"/>
      <c r="AE377" s="207"/>
      <c r="AF377" s="209"/>
      <c r="AG377" s="211"/>
      <c r="AH377"/>
      <c r="AI377"/>
    </row>
    <row r="378" spans="1:35" x14ac:dyDescent="0.3">
      <c r="A378"/>
      <c r="B378"/>
      <c r="C378"/>
      <c r="D378"/>
      <c r="E378"/>
      <c r="F378"/>
      <c r="G378"/>
      <c r="H378"/>
      <c r="I378"/>
      <c r="J378"/>
      <c r="K378"/>
      <c r="L378"/>
      <c r="M378"/>
      <c r="N378"/>
      <c r="O378"/>
      <c r="P378" s="207"/>
      <c r="Q378" s="207"/>
      <c r="R378" s="207"/>
      <c r="S378" s="208"/>
      <c r="T378" s="208"/>
      <c r="U378" s="208"/>
      <c r="V378" s="207"/>
      <c r="W378" s="207"/>
      <c r="X378" s="207"/>
      <c r="Y378" s="209"/>
      <c r="Z378" s="210"/>
      <c r="AA378" s="210"/>
      <c r="AB378" s="210"/>
      <c r="AC378" s="210"/>
      <c r="AD378" s="210"/>
      <c r="AE378" s="207"/>
      <c r="AF378" s="209"/>
      <c r="AG378" s="211"/>
      <c r="AH378"/>
      <c r="AI378"/>
    </row>
    <row r="379" spans="1:35" x14ac:dyDescent="0.3">
      <c r="A379"/>
      <c r="B379"/>
      <c r="C379"/>
      <c r="D379"/>
      <c r="E379"/>
      <c r="F379"/>
      <c r="G379"/>
      <c r="H379"/>
      <c r="I379"/>
      <c r="J379"/>
      <c r="K379"/>
      <c r="L379"/>
      <c r="M379"/>
      <c r="N379"/>
      <c r="O379"/>
      <c r="P379" s="207"/>
      <c r="Q379" s="207"/>
      <c r="R379" s="207"/>
      <c r="S379" s="208"/>
      <c r="T379" s="208"/>
      <c r="U379" s="208"/>
      <c r="V379" s="207"/>
      <c r="W379" s="207"/>
      <c r="X379" s="207"/>
      <c r="Y379" s="209"/>
      <c r="Z379" s="210"/>
      <c r="AA379" s="210"/>
      <c r="AB379" s="210"/>
      <c r="AC379" s="210"/>
      <c r="AD379" s="210"/>
      <c r="AE379" s="207"/>
      <c r="AF379" s="209"/>
      <c r="AG379" s="211"/>
      <c r="AH379"/>
      <c r="AI379"/>
    </row>
    <row r="380" spans="1:35" x14ac:dyDescent="0.3">
      <c r="A380"/>
      <c r="B380"/>
      <c r="C380"/>
      <c r="D380"/>
      <c r="E380"/>
      <c r="F380"/>
      <c r="G380"/>
      <c r="H380"/>
      <c r="I380"/>
      <c r="J380"/>
      <c r="K380"/>
      <c r="L380"/>
      <c r="M380"/>
      <c r="N380"/>
      <c r="O380"/>
      <c r="P380" s="207"/>
      <c r="Q380" s="207"/>
      <c r="R380" s="207"/>
      <c r="S380" s="208"/>
      <c r="T380" s="208"/>
      <c r="U380" s="208"/>
      <c r="V380" s="207"/>
      <c r="W380" s="207"/>
      <c r="X380" s="207"/>
      <c r="Y380" s="209"/>
      <c r="Z380" s="210"/>
      <c r="AA380" s="210"/>
      <c r="AB380" s="210"/>
      <c r="AC380" s="210"/>
      <c r="AD380" s="210"/>
      <c r="AE380" s="207"/>
      <c r="AF380" s="209"/>
      <c r="AG380" s="211"/>
      <c r="AH380"/>
      <c r="AI380"/>
    </row>
    <row r="381" spans="1:35" x14ac:dyDescent="0.3">
      <c r="A381"/>
      <c r="B381"/>
      <c r="C381"/>
      <c r="D381"/>
      <c r="E381"/>
      <c r="F381"/>
      <c r="G381"/>
      <c r="H381"/>
      <c r="I381"/>
      <c r="J381"/>
      <c r="K381"/>
      <c r="L381"/>
      <c r="M381"/>
      <c r="N381"/>
      <c r="O381"/>
      <c r="P381" s="207"/>
      <c r="Q381" s="207"/>
      <c r="R381" s="207"/>
      <c r="S381" s="208"/>
      <c r="T381" s="208"/>
      <c r="U381" s="208"/>
      <c r="V381" s="207"/>
      <c r="W381" s="207"/>
      <c r="X381" s="207"/>
      <c r="Y381" s="209"/>
      <c r="Z381" s="210"/>
      <c r="AA381" s="210"/>
      <c r="AB381" s="210"/>
      <c r="AC381" s="210"/>
      <c r="AD381" s="210"/>
      <c r="AE381" s="207"/>
      <c r="AF381" s="209"/>
      <c r="AG381" s="211"/>
      <c r="AH381"/>
      <c r="AI381"/>
    </row>
    <row r="382" spans="1:35" x14ac:dyDescent="0.3">
      <c r="A382"/>
      <c r="B382"/>
      <c r="C382"/>
      <c r="D382"/>
      <c r="E382"/>
      <c r="F382"/>
      <c r="G382"/>
      <c r="H382"/>
      <c r="I382"/>
      <c r="J382"/>
      <c r="K382"/>
      <c r="L382"/>
      <c r="M382"/>
      <c r="N382"/>
      <c r="O382"/>
      <c r="P382" s="207"/>
      <c r="Q382" s="207"/>
      <c r="R382" s="207"/>
      <c r="S382" s="208"/>
      <c r="T382" s="208"/>
      <c r="U382" s="208"/>
      <c r="V382" s="207"/>
      <c r="W382" s="207"/>
      <c r="X382" s="207"/>
      <c r="Y382" s="209"/>
      <c r="Z382" s="210"/>
      <c r="AA382" s="210"/>
      <c r="AB382" s="210"/>
      <c r="AC382" s="210"/>
      <c r="AD382" s="210"/>
      <c r="AE382" s="207"/>
      <c r="AF382" s="209"/>
      <c r="AG382" s="211"/>
      <c r="AH382"/>
      <c r="AI382"/>
    </row>
    <row r="383" spans="1:35" x14ac:dyDescent="0.3">
      <c r="A383"/>
      <c r="B383"/>
      <c r="C383"/>
      <c r="D383"/>
      <c r="E383"/>
      <c r="F383"/>
      <c r="G383"/>
      <c r="H383"/>
      <c r="I383"/>
      <c r="J383"/>
      <c r="K383"/>
      <c r="L383"/>
      <c r="M383"/>
      <c r="N383"/>
      <c r="O383"/>
      <c r="P383" s="207"/>
      <c r="Q383" s="207"/>
      <c r="R383" s="207"/>
      <c r="S383" s="208"/>
      <c r="T383" s="208"/>
      <c r="U383" s="208"/>
      <c r="V383" s="207"/>
      <c r="W383" s="207"/>
      <c r="X383" s="207"/>
      <c r="Y383" s="209"/>
      <c r="Z383" s="210"/>
      <c r="AA383" s="210"/>
      <c r="AB383" s="210"/>
      <c r="AC383" s="210"/>
      <c r="AD383" s="210"/>
      <c r="AE383" s="207"/>
      <c r="AF383" s="209"/>
      <c r="AG383" s="211"/>
      <c r="AH383"/>
      <c r="AI383"/>
    </row>
    <row r="384" spans="1:35" x14ac:dyDescent="0.3">
      <c r="A384"/>
      <c r="B384"/>
      <c r="C384"/>
      <c r="D384"/>
      <c r="E384"/>
      <c r="F384"/>
      <c r="G384"/>
      <c r="H384"/>
      <c r="I384"/>
      <c r="J384"/>
      <c r="K384"/>
      <c r="L384"/>
      <c r="M384"/>
      <c r="N384"/>
      <c r="O384"/>
      <c r="P384" s="207"/>
      <c r="Q384" s="207"/>
      <c r="R384" s="207"/>
      <c r="S384" s="208"/>
      <c r="T384" s="208"/>
      <c r="U384" s="208"/>
      <c r="V384" s="207"/>
      <c r="W384" s="207"/>
      <c r="X384" s="207"/>
      <c r="Y384" s="209"/>
      <c r="Z384" s="210"/>
      <c r="AA384" s="210"/>
      <c r="AB384" s="210"/>
      <c r="AC384" s="210"/>
      <c r="AD384" s="210"/>
      <c r="AE384" s="207"/>
      <c r="AF384" s="209"/>
      <c r="AG384" s="211"/>
      <c r="AH384"/>
      <c r="AI384"/>
    </row>
    <row r="385" spans="1:35" x14ac:dyDescent="0.3">
      <c r="A385"/>
      <c r="B385"/>
      <c r="C385"/>
      <c r="D385"/>
      <c r="E385"/>
      <c r="F385"/>
      <c r="G385"/>
      <c r="H385"/>
      <c r="I385"/>
      <c r="J385"/>
      <c r="K385"/>
      <c r="L385"/>
      <c r="M385"/>
      <c r="N385"/>
      <c r="O385"/>
      <c r="P385" s="207"/>
      <c r="Q385" s="207"/>
      <c r="R385" s="207"/>
      <c r="S385" s="208"/>
      <c r="T385" s="208"/>
      <c r="U385" s="208"/>
      <c r="V385" s="207"/>
      <c r="W385" s="207"/>
      <c r="X385" s="207"/>
      <c r="Y385" s="209"/>
      <c r="Z385" s="210"/>
      <c r="AA385" s="210"/>
      <c r="AB385" s="210"/>
      <c r="AC385" s="210"/>
      <c r="AD385" s="210"/>
      <c r="AE385" s="207"/>
      <c r="AF385" s="209"/>
      <c r="AG385" s="211"/>
      <c r="AH385"/>
      <c r="AI385"/>
    </row>
    <row r="386" spans="1:35" x14ac:dyDescent="0.3">
      <c r="A386"/>
      <c r="B386"/>
      <c r="C386"/>
      <c r="D386"/>
      <c r="E386"/>
      <c r="F386"/>
      <c r="G386"/>
      <c r="H386"/>
      <c r="I386"/>
      <c r="J386"/>
      <c r="K386"/>
      <c r="L386"/>
      <c r="M386"/>
      <c r="N386"/>
      <c r="O386"/>
      <c r="P386" s="207"/>
      <c r="Q386" s="207"/>
      <c r="R386" s="207"/>
      <c r="S386" s="208"/>
      <c r="T386" s="208"/>
      <c r="U386" s="208"/>
      <c r="V386" s="207"/>
      <c r="W386" s="207"/>
      <c r="X386" s="207"/>
      <c r="Y386" s="209"/>
      <c r="Z386" s="210"/>
      <c r="AA386" s="210"/>
      <c r="AB386" s="210"/>
      <c r="AC386" s="210"/>
      <c r="AD386" s="210"/>
      <c r="AE386" s="207"/>
      <c r="AF386" s="209"/>
      <c r="AG386" s="211"/>
      <c r="AH386"/>
      <c r="AI386"/>
    </row>
    <row r="387" spans="1:35" x14ac:dyDescent="0.3">
      <c r="A387"/>
      <c r="B387"/>
      <c r="C387"/>
      <c r="D387"/>
      <c r="E387"/>
      <c r="F387"/>
      <c r="G387"/>
      <c r="H387"/>
      <c r="I387"/>
      <c r="J387"/>
      <c r="K387"/>
      <c r="L387"/>
      <c r="M387"/>
      <c r="N387"/>
      <c r="O387"/>
      <c r="P387" s="207"/>
      <c r="Q387" s="207"/>
      <c r="R387" s="207"/>
      <c r="S387" s="208"/>
      <c r="T387" s="208"/>
      <c r="U387" s="208"/>
      <c r="V387" s="207"/>
      <c r="W387" s="207"/>
      <c r="X387" s="207"/>
      <c r="Y387" s="209"/>
      <c r="Z387" s="210"/>
      <c r="AA387" s="210"/>
      <c r="AB387" s="210"/>
      <c r="AC387" s="210"/>
      <c r="AD387" s="210"/>
      <c r="AE387" s="207"/>
      <c r="AF387" s="209"/>
      <c r="AG387" s="211"/>
      <c r="AH387"/>
      <c r="AI387"/>
    </row>
    <row r="388" spans="1:35" x14ac:dyDescent="0.3">
      <c r="A388"/>
      <c r="B388"/>
      <c r="C388"/>
      <c r="D388"/>
      <c r="E388"/>
      <c r="F388"/>
      <c r="G388"/>
      <c r="H388"/>
      <c r="I388"/>
      <c r="J388"/>
      <c r="K388"/>
      <c r="L388"/>
      <c r="M388"/>
      <c r="N388"/>
      <c r="O388"/>
      <c r="P388" s="207"/>
      <c r="Q388" s="207"/>
      <c r="R388" s="207"/>
      <c r="S388" s="208"/>
      <c r="T388" s="208"/>
      <c r="U388" s="208"/>
      <c r="V388" s="207"/>
      <c r="W388" s="207"/>
      <c r="X388" s="207"/>
      <c r="Y388" s="209"/>
      <c r="Z388" s="210"/>
      <c r="AA388" s="210"/>
      <c r="AB388" s="210"/>
      <c r="AC388" s="210"/>
      <c r="AD388" s="210"/>
      <c r="AE388" s="207"/>
      <c r="AF388" s="209"/>
      <c r="AG388" s="211"/>
      <c r="AH388"/>
      <c r="AI388"/>
    </row>
    <row r="389" spans="1:35" x14ac:dyDescent="0.3">
      <c r="A389"/>
      <c r="B389"/>
      <c r="C389"/>
      <c r="D389"/>
      <c r="E389"/>
      <c r="F389"/>
      <c r="G389"/>
      <c r="H389"/>
      <c r="I389"/>
      <c r="J389"/>
      <c r="K389"/>
      <c r="L389"/>
      <c r="M389"/>
      <c r="N389"/>
      <c r="O389"/>
      <c r="P389" s="207"/>
      <c r="Q389" s="207"/>
      <c r="R389" s="207"/>
      <c r="S389" s="208"/>
      <c r="T389" s="208"/>
      <c r="U389" s="208"/>
      <c r="V389" s="207"/>
      <c r="W389" s="207"/>
      <c r="X389" s="207"/>
      <c r="Y389" s="209"/>
      <c r="Z389" s="210"/>
      <c r="AA389" s="210"/>
      <c r="AB389" s="210"/>
      <c r="AC389" s="210"/>
      <c r="AD389" s="210"/>
      <c r="AE389" s="207"/>
      <c r="AF389" s="209"/>
      <c r="AG389" s="211"/>
      <c r="AH389"/>
      <c r="AI389"/>
    </row>
    <row r="390" spans="1:35" x14ac:dyDescent="0.3">
      <c r="A390"/>
      <c r="B390"/>
      <c r="C390"/>
      <c r="D390"/>
      <c r="E390"/>
      <c r="F390"/>
      <c r="G390"/>
      <c r="H390"/>
      <c r="I390"/>
      <c r="J390"/>
      <c r="K390"/>
      <c r="L390"/>
      <c r="M390"/>
      <c r="N390"/>
      <c r="O390"/>
      <c r="P390" s="207"/>
      <c r="Q390" s="207"/>
      <c r="R390" s="207"/>
      <c r="S390" s="208"/>
      <c r="T390" s="208"/>
      <c r="U390" s="208"/>
      <c r="V390" s="207"/>
      <c r="W390" s="207"/>
      <c r="X390" s="207"/>
      <c r="Y390" s="209"/>
      <c r="Z390" s="210"/>
      <c r="AA390" s="210"/>
      <c r="AB390" s="210"/>
      <c r="AC390" s="210"/>
      <c r="AD390" s="210"/>
      <c r="AE390" s="207"/>
      <c r="AF390" s="209"/>
      <c r="AG390" s="211"/>
      <c r="AH390"/>
      <c r="AI390"/>
    </row>
    <row r="391" spans="1:35" x14ac:dyDescent="0.3">
      <c r="A391"/>
      <c r="B391"/>
      <c r="C391"/>
      <c r="D391"/>
      <c r="E391"/>
      <c r="F391"/>
      <c r="G391"/>
      <c r="H391"/>
      <c r="I391"/>
      <c r="J391"/>
      <c r="K391"/>
      <c r="L391"/>
      <c r="M391"/>
      <c r="N391"/>
      <c r="O391"/>
      <c r="P391" s="207"/>
      <c r="Q391" s="207"/>
      <c r="R391" s="207"/>
      <c r="S391" s="208"/>
      <c r="T391" s="208"/>
      <c r="U391" s="208"/>
      <c r="V391" s="207"/>
      <c r="W391" s="207"/>
      <c r="X391" s="207"/>
      <c r="Y391" s="209"/>
      <c r="Z391" s="210"/>
      <c r="AA391" s="210"/>
      <c r="AB391" s="210"/>
      <c r="AC391" s="210"/>
      <c r="AD391" s="210"/>
      <c r="AE391" s="207"/>
      <c r="AF391" s="209"/>
      <c r="AG391" s="211"/>
      <c r="AH391"/>
      <c r="AI391"/>
    </row>
    <row r="392" spans="1:35" x14ac:dyDescent="0.3">
      <c r="A392"/>
      <c r="B392"/>
      <c r="C392"/>
      <c r="D392"/>
      <c r="E392"/>
      <c r="F392"/>
      <c r="G392"/>
      <c r="H392"/>
      <c r="I392"/>
      <c r="J392"/>
      <c r="K392"/>
      <c r="L392"/>
      <c r="M392"/>
      <c r="N392"/>
      <c r="O392"/>
      <c r="P392" s="207"/>
      <c r="Q392" s="207"/>
      <c r="R392" s="207"/>
      <c r="S392" s="208"/>
      <c r="T392" s="208"/>
      <c r="U392" s="208"/>
      <c r="V392" s="207"/>
      <c r="W392" s="207"/>
      <c r="X392" s="207"/>
      <c r="Y392" s="209"/>
      <c r="Z392" s="210"/>
      <c r="AA392" s="210"/>
      <c r="AB392" s="210"/>
      <c r="AC392" s="210"/>
      <c r="AD392" s="210"/>
      <c r="AE392" s="207"/>
      <c r="AF392" s="209"/>
      <c r="AG392" s="211"/>
      <c r="AH392"/>
      <c r="AI392"/>
    </row>
    <row r="393" spans="1:35" x14ac:dyDescent="0.3">
      <c r="A393"/>
      <c r="B393"/>
      <c r="C393"/>
      <c r="D393"/>
      <c r="E393"/>
      <c r="F393"/>
      <c r="G393"/>
      <c r="H393"/>
      <c r="I393"/>
      <c r="J393"/>
      <c r="K393"/>
      <c r="L393"/>
      <c r="M393"/>
      <c r="N393"/>
      <c r="O393"/>
      <c r="P393" s="207"/>
      <c r="Q393" s="207"/>
      <c r="R393" s="207"/>
      <c r="S393" s="208"/>
      <c r="T393" s="208"/>
      <c r="U393" s="208"/>
      <c r="V393" s="207"/>
      <c r="W393" s="207"/>
      <c r="X393" s="207"/>
      <c r="Y393" s="209"/>
      <c r="Z393" s="210"/>
      <c r="AA393" s="210"/>
      <c r="AB393" s="210"/>
      <c r="AC393" s="210"/>
      <c r="AD393" s="210"/>
      <c r="AE393" s="207"/>
      <c r="AF393" s="209"/>
      <c r="AG393" s="211"/>
      <c r="AH393"/>
      <c r="AI393"/>
    </row>
    <row r="394" spans="1:35" x14ac:dyDescent="0.3">
      <c r="A394"/>
      <c r="B394"/>
      <c r="C394"/>
      <c r="D394"/>
      <c r="E394"/>
      <c r="F394"/>
      <c r="G394"/>
      <c r="H394"/>
      <c r="I394"/>
      <c r="J394"/>
      <c r="K394"/>
      <c r="L394"/>
      <c r="M394"/>
      <c r="N394"/>
      <c r="O394"/>
      <c r="P394" s="207"/>
      <c r="Q394" s="207"/>
      <c r="R394" s="207"/>
      <c r="S394" s="208"/>
      <c r="T394" s="208"/>
      <c r="U394" s="208"/>
      <c r="V394" s="207"/>
      <c r="W394" s="207"/>
      <c r="X394" s="207"/>
      <c r="Y394" s="209"/>
      <c r="Z394" s="210"/>
      <c r="AA394" s="210"/>
      <c r="AB394" s="210"/>
      <c r="AC394" s="210"/>
      <c r="AD394" s="210"/>
      <c r="AE394" s="207"/>
      <c r="AF394" s="209"/>
      <c r="AG394" s="211"/>
      <c r="AH394"/>
      <c r="AI394"/>
    </row>
    <row r="395" spans="1:35" x14ac:dyDescent="0.3">
      <c r="A395"/>
      <c r="B395"/>
      <c r="C395"/>
      <c r="D395"/>
      <c r="E395"/>
      <c r="F395"/>
      <c r="G395"/>
      <c r="H395"/>
      <c r="I395"/>
      <c r="J395"/>
      <c r="K395"/>
      <c r="L395"/>
      <c r="M395"/>
      <c r="N395"/>
      <c r="O395"/>
      <c r="P395" s="207"/>
      <c r="Q395" s="207"/>
      <c r="R395" s="207"/>
      <c r="S395" s="208"/>
      <c r="T395" s="208"/>
      <c r="U395" s="208"/>
      <c r="V395" s="207"/>
      <c r="W395" s="207"/>
      <c r="X395" s="207"/>
      <c r="Y395" s="209"/>
      <c r="Z395" s="210"/>
      <c r="AA395" s="210"/>
      <c r="AB395" s="210"/>
      <c r="AC395" s="210"/>
      <c r="AD395" s="210"/>
      <c r="AE395" s="207"/>
      <c r="AF395" s="209"/>
      <c r="AG395" s="211"/>
      <c r="AH395"/>
      <c r="AI395"/>
    </row>
    <row r="396" spans="1:35" x14ac:dyDescent="0.3">
      <c r="A396"/>
      <c r="B396"/>
      <c r="C396"/>
      <c r="D396"/>
      <c r="E396"/>
      <c r="F396"/>
      <c r="G396"/>
      <c r="H396"/>
      <c r="I396"/>
      <c r="J396"/>
      <c r="K396"/>
      <c r="L396"/>
      <c r="M396"/>
      <c r="N396"/>
      <c r="O396"/>
      <c r="P396" s="207"/>
      <c r="Q396" s="207"/>
      <c r="R396" s="207"/>
      <c r="S396" s="208"/>
      <c r="T396" s="208"/>
      <c r="U396" s="208"/>
      <c r="V396" s="207"/>
      <c r="W396" s="207"/>
      <c r="X396" s="207"/>
      <c r="Y396" s="209"/>
      <c r="Z396" s="210"/>
      <c r="AA396" s="210"/>
      <c r="AB396" s="210"/>
      <c r="AC396" s="210"/>
      <c r="AD396" s="210"/>
      <c r="AE396" s="207"/>
      <c r="AF396" s="209"/>
      <c r="AG396" s="211"/>
      <c r="AH396"/>
      <c r="AI396"/>
    </row>
    <row r="397" spans="1:35" x14ac:dyDescent="0.3">
      <c r="A397"/>
      <c r="B397"/>
      <c r="C397"/>
      <c r="D397"/>
      <c r="E397"/>
      <c r="F397"/>
      <c r="G397"/>
      <c r="H397"/>
      <c r="I397"/>
      <c r="J397"/>
      <c r="K397"/>
      <c r="L397"/>
      <c r="M397"/>
      <c r="N397"/>
      <c r="O397"/>
      <c r="P397" s="207"/>
      <c r="Q397" s="207"/>
      <c r="R397" s="207"/>
      <c r="S397" s="208"/>
      <c r="T397" s="208"/>
      <c r="U397" s="208"/>
      <c r="V397" s="207"/>
      <c r="W397" s="207"/>
      <c r="X397" s="207"/>
      <c r="Y397" s="209"/>
      <c r="Z397" s="210"/>
      <c r="AA397" s="210"/>
      <c r="AB397" s="210"/>
      <c r="AC397" s="210"/>
      <c r="AD397" s="210"/>
      <c r="AE397" s="207"/>
      <c r="AF397" s="209"/>
      <c r="AG397" s="211"/>
      <c r="AH397"/>
      <c r="AI397"/>
    </row>
    <row r="398" spans="1:35" x14ac:dyDescent="0.3">
      <c r="A398"/>
      <c r="B398"/>
      <c r="C398"/>
      <c r="D398"/>
      <c r="E398"/>
      <c r="F398"/>
      <c r="G398"/>
      <c r="H398"/>
      <c r="I398"/>
      <c r="J398"/>
      <c r="K398"/>
      <c r="L398"/>
      <c r="M398"/>
      <c r="N398"/>
      <c r="O398"/>
      <c r="P398" s="207"/>
      <c r="Q398" s="207"/>
      <c r="R398" s="207"/>
      <c r="S398" s="208"/>
      <c r="T398" s="208"/>
      <c r="U398" s="208"/>
      <c r="V398" s="207"/>
      <c r="W398" s="207"/>
      <c r="X398" s="207"/>
      <c r="Y398" s="209"/>
      <c r="Z398" s="210"/>
      <c r="AA398" s="210"/>
      <c r="AB398" s="210"/>
      <c r="AC398" s="210"/>
      <c r="AD398" s="210"/>
      <c r="AE398" s="207"/>
      <c r="AF398" s="209"/>
      <c r="AG398" s="211"/>
      <c r="AH398"/>
      <c r="AI398"/>
    </row>
    <row r="399" spans="1:35" x14ac:dyDescent="0.3">
      <c r="A399"/>
      <c r="B399"/>
      <c r="C399"/>
      <c r="D399"/>
      <c r="E399"/>
      <c r="F399"/>
      <c r="G399"/>
      <c r="H399"/>
      <c r="I399"/>
      <c r="J399"/>
      <c r="K399"/>
      <c r="L399"/>
      <c r="M399"/>
      <c r="N399"/>
      <c r="O399"/>
      <c r="P399" s="207"/>
      <c r="Q399" s="207"/>
      <c r="R399" s="207"/>
      <c r="S399" s="208"/>
      <c r="T399" s="208"/>
      <c r="U399" s="208"/>
      <c r="V399" s="207"/>
      <c r="W399" s="207"/>
      <c r="X399" s="207"/>
      <c r="Y399" s="209"/>
      <c r="Z399" s="210"/>
      <c r="AA399" s="210"/>
      <c r="AB399" s="210"/>
      <c r="AC399" s="210"/>
      <c r="AD399" s="210"/>
      <c r="AE399" s="207"/>
      <c r="AF399" s="209"/>
      <c r="AG399" s="211"/>
      <c r="AH399"/>
      <c r="AI399"/>
    </row>
    <row r="400" spans="1:35" x14ac:dyDescent="0.3">
      <c r="A400"/>
      <c r="B400"/>
      <c r="C400"/>
      <c r="D400"/>
      <c r="E400"/>
      <c r="F400"/>
      <c r="G400"/>
      <c r="H400"/>
      <c r="I400"/>
      <c r="J400"/>
      <c r="K400"/>
      <c r="L400"/>
      <c r="M400"/>
      <c r="N400"/>
      <c r="O400"/>
      <c r="P400" s="207"/>
      <c r="Q400" s="207"/>
      <c r="R400" s="207"/>
      <c r="S400" s="208"/>
      <c r="T400" s="208"/>
      <c r="U400" s="208"/>
      <c r="V400" s="207"/>
      <c r="W400" s="207"/>
      <c r="X400" s="207"/>
      <c r="Y400" s="209"/>
      <c r="Z400" s="210"/>
      <c r="AA400" s="210"/>
      <c r="AB400" s="210"/>
      <c r="AC400" s="210"/>
      <c r="AD400" s="210"/>
      <c r="AE400" s="207"/>
      <c r="AF400" s="209"/>
      <c r="AG400" s="211"/>
      <c r="AH400"/>
      <c r="AI400"/>
    </row>
    <row r="401" spans="1:35" x14ac:dyDescent="0.3">
      <c r="A401"/>
      <c r="B401"/>
      <c r="C401"/>
      <c r="D401"/>
      <c r="E401"/>
      <c r="F401"/>
      <c r="G401"/>
      <c r="H401"/>
      <c r="I401"/>
      <c r="J401"/>
      <c r="K401"/>
      <c r="L401"/>
      <c r="M401"/>
      <c r="N401"/>
      <c r="O401"/>
      <c r="P401" s="207"/>
      <c r="Q401" s="207"/>
      <c r="R401" s="207"/>
      <c r="S401" s="208"/>
      <c r="T401" s="208"/>
      <c r="U401" s="208"/>
      <c r="V401" s="207"/>
      <c r="W401" s="207"/>
      <c r="X401" s="207"/>
      <c r="Y401" s="209"/>
      <c r="Z401" s="210"/>
      <c r="AA401" s="210"/>
      <c r="AB401" s="210"/>
      <c r="AC401" s="210"/>
      <c r="AD401" s="210"/>
      <c r="AE401" s="207"/>
      <c r="AF401" s="209"/>
      <c r="AG401" s="211"/>
      <c r="AH401"/>
      <c r="AI401"/>
    </row>
    <row r="402" spans="1:35" x14ac:dyDescent="0.3">
      <c r="A402"/>
      <c r="B402"/>
      <c r="C402"/>
      <c r="D402"/>
      <c r="E402"/>
      <c r="F402"/>
      <c r="G402"/>
      <c r="H402"/>
      <c r="I402"/>
      <c r="J402"/>
      <c r="K402"/>
      <c r="L402"/>
      <c r="M402"/>
      <c r="N402"/>
      <c r="O402"/>
      <c r="P402" s="207"/>
      <c r="Q402" s="207"/>
      <c r="R402" s="207"/>
      <c r="S402" s="208"/>
      <c r="T402" s="208"/>
      <c r="U402" s="208"/>
      <c r="V402" s="207"/>
      <c r="W402" s="207"/>
      <c r="X402" s="207"/>
      <c r="Y402" s="209"/>
      <c r="Z402" s="210"/>
      <c r="AA402" s="210"/>
      <c r="AB402" s="210"/>
      <c r="AC402" s="210"/>
      <c r="AD402" s="210"/>
      <c r="AE402" s="207"/>
      <c r="AF402" s="209"/>
      <c r="AG402" s="211"/>
      <c r="AH402"/>
      <c r="AI402"/>
    </row>
    <row r="403" spans="1:35" x14ac:dyDescent="0.3">
      <c r="A403"/>
      <c r="B403"/>
      <c r="C403"/>
      <c r="D403"/>
      <c r="E403"/>
      <c r="F403"/>
      <c r="G403"/>
      <c r="H403"/>
      <c r="I403"/>
      <c r="J403"/>
      <c r="K403"/>
      <c r="L403"/>
      <c r="M403"/>
      <c r="N403"/>
      <c r="O403"/>
      <c r="P403" s="207"/>
      <c r="Q403" s="207"/>
      <c r="R403" s="207"/>
      <c r="S403" s="208"/>
      <c r="T403" s="208"/>
      <c r="U403" s="208"/>
      <c r="V403" s="207"/>
      <c r="W403" s="207"/>
      <c r="X403" s="207"/>
      <c r="Y403" s="209"/>
      <c r="Z403" s="210"/>
      <c r="AA403" s="210"/>
      <c r="AB403" s="210"/>
      <c r="AC403" s="210"/>
      <c r="AD403" s="210"/>
      <c r="AE403" s="207"/>
      <c r="AF403" s="209"/>
      <c r="AG403" s="211"/>
      <c r="AH403"/>
      <c r="AI403"/>
    </row>
    <row r="404" spans="1:35" x14ac:dyDescent="0.3">
      <c r="A404"/>
      <c r="B404"/>
      <c r="C404"/>
      <c r="D404"/>
      <c r="E404"/>
      <c r="F404"/>
      <c r="G404"/>
      <c r="H404"/>
      <c r="I404"/>
      <c r="J404"/>
      <c r="K404"/>
      <c r="L404"/>
      <c r="M404"/>
      <c r="N404"/>
      <c r="O404"/>
      <c r="P404" s="207"/>
      <c r="Q404" s="207"/>
      <c r="R404" s="207"/>
      <c r="S404" s="208"/>
      <c r="T404" s="208"/>
      <c r="U404" s="208"/>
      <c r="V404" s="207"/>
      <c r="W404" s="207"/>
      <c r="X404" s="207"/>
      <c r="Y404" s="209"/>
      <c r="Z404" s="210"/>
      <c r="AA404" s="210"/>
      <c r="AB404" s="210"/>
      <c r="AC404" s="210"/>
      <c r="AD404" s="210"/>
      <c r="AE404" s="207"/>
      <c r="AF404" s="209"/>
      <c r="AG404" s="211"/>
      <c r="AH404"/>
      <c r="AI404"/>
    </row>
    <row r="405" spans="1:35" x14ac:dyDescent="0.3">
      <c r="A405"/>
      <c r="B405"/>
      <c r="C405"/>
      <c r="D405"/>
      <c r="E405"/>
      <c r="F405"/>
      <c r="G405"/>
      <c r="H405"/>
      <c r="I405"/>
      <c r="J405"/>
      <c r="K405"/>
      <c r="L405"/>
      <c r="M405"/>
      <c r="N405"/>
      <c r="O405"/>
      <c r="P405" s="207"/>
      <c r="Q405" s="207"/>
      <c r="R405" s="207"/>
      <c r="S405" s="208"/>
      <c r="T405" s="208"/>
      <c r="U405" s="208"/>
      <c r="V405" s="207"/>
      <c r="W405" s="207"/>
      <c r="X405" s="207"/>
      <c r="Y405" s="209"/>
      <c r="Z405" s="210"/>
      <c r="AA405" s="210"/>
      <c r="AB405" s="210"/>
      <c r="AC405" s="210"/>
      <c r="AD405" s="210"/>
      <c r="AE405" s="207"/>
      <c r="AF405" s="209"/>
      <c r="AG405" s="211"/>
      <c r="AH405"/>
      <c r="AI405"/>
    </row>
    <row r="406" spans="1:35" x14ac:dyDescent="0.3">
      <c r="A406"/>
      <c r="B406"/>
      <c r="C406"/>
      <c r="D406"/>
      <c r="E406"/>
      <c r="F406"/>
      <c r="G406"/>
      <c r="H406"/>
      <c r="I406"/>
      <c r="J406"/>
      <c r="K406"/>
      <c r="L406"/>
      <c r="M406"/>
      <c r="N406"/>
      <c r="O406"/>
      <c r="P406" s="207"/>
      <c r="Q406" s="207"/>
      <c r="R406" s="207"/>
      <c r="S406" s="208"/>
      <c r="T406" s="208"/>
      <c r="U406" s="208"/>
      <c r="V406" s="207"/>
      <c r="W406" s="207"/>
      <c r="X406" s="207"/>
      <c r="Y406" s="209"/>
      <c r="Z406" s="210"/>
      <c r="AA406" s="210"/>
      <c r="AB406" s="210"/>
      <c r="AC406" s="210"/>
      <c r="AD406" s="210"/>
      <c r="AE406" s="207"/>
      <c r="AF406" s="209"/>
      <c r="AG406" s="211"/>
      <c r="AH406"/>
      <c r="AI406"/>
    </row>
    <row r="407" spans="1:35" x14ac:dyDescent="0.3">
      <c r="A407"/>
      <c r="B407"/>
      <c r="C407"/>
      <c r="D407"/>
      <c r="E407"/>
      <c r="F407"/>
      <c r="G407"/>
      <c r="H407"/>
      <c r="I407"/>
      <c r="J407"/>
      <c r="K407"/>
      <c r="L407"/>
      <c r="M407"/>
      <c r="N407"/>
      <c r="O407"/>
      <c r="P407" s="207"/>
      <c r="Q407" s="207"/>
      <c r="R407" s="207"/>
      <c r="S407" s="208"/>
      <c r="T407" s="208"/>
      <c r="U407" s="208"/>
      <c r="V407" s="207"/>
      <c r="W407" s="207"/>
      <c r="X407" s="207"/>
      <c r="Y407" s="209"/>
      <c r="Z407" s="210"/>
      <c r="AA407" s="210"/>
      <c r="AB407" s="210"/>
      <c r="AC407" s="210"/>
      <c r="AD407" s="210"/>
      <c r="AE407" s="207"/>
      <c r="AF407" s="209"/>
      <c r="AG407" s="211"/>
      <c r="AH407"/>
      <c r="AI407"/>
    </row>
    <row r="408" spans="1:35" x14ac:dyDescent="0.3">
      <c r="A408"/>
      <c r="B408"/>
      <c r="C408"/>
      <c r="D408"/>
      <c r="E408"/>
      <c r="F408"/>
      <c r="G408"/>
      <c r="H408"/>
      <c r="I408"/>
      <c r="J408"/>
      <c r="K408"/>
      <c r="L408"/>
      <c r="M408"/>
      <c r="N408"/>
      <c r="O408"/>
      <c r="P408" s="207"/>
      <c r="Q408" s="207"/>
      <c r="R408" s="207"/>
      <c r="S408" s="208"/>
      <c r="T408" s="208"/>
      <c r="U408" s="208"/>
      <c r="V408" s="207"/>
      <c r="W408" s="207"/>
      <c r="X408" s="207"/>
      <c r="Y408" s="209"/>
      <c r="Z408" s="210"/>
      <c r="AA408" s="210"/>
      <c r="AB408" s="210"/>
      <c r="AC408" s="210"/>
      <c r="AD408" s="210"/>
      <c r="AE408" s="207"/>
      <c r="AF408" s="209"/>
      <c r="AG408" s="211"/>
      <c r="AH408"/>
      <c r="AI408"/>
    </row>
    <row r="409" spans="1:35" x14ac:dyDescent="0.3">
      <c r="A409"/>
      <c r="B409"/>
      <c r="C409"/>
      <c r="D409"/>
      <c r="E409"/>
      <c r="F409"/>
      <c r="G409"/>
      <c r="H409"/>
      <c r="I409"/>
      <c r="J409"/>
      <c r="K409"/>
      <c r="L409"/>
      <c r="M409"/>
      <c r="N409"/>
      <c r="O409"/>
      <c r="P409" s="207"/>
      <c r="Q409" s="207"/>
      <c r="R409" s="207"/>
      <c r="S409" s="208"/>
      <c r="T409" s="208"/>
      <c r="U409" s="208"/>
      <c r="V409" s="207"/>
      <c r="W409" s="207"/>
      <c r="X409" s="207"/>
      <c r="Y409" s="209"/>
      <c r="Z409" s="210"/>
      <c r="AA409" s="210"/>
      <c r="AB409" s="210"/>
      <c r="AC409" s="210"/>
      <c r="AD409" s="210"/>
      <c r="AE409" s="207"/>
      <c r="AF409" s="209"/>
      <c r="AG409" s="211"/>
      <c r="AH409"/>
      <c r="AI409"/>
    </row>
    <row r="410" spans="1:35" x14ac:dyDescent="0.3">
      <c r="A410"/>
      <c r="B410"/>
      <c r="C410"/>
      <c r="D410"/>
      <c r="E410"/>
      <c r="F410"/>
      <c r="G410"/>
      <c r="H410"/>
      <c r="I410"/>
      <c r="J410"/>
      <c r="K410"/>
      <c r="L410"/>
      <c r="M410"/>
      <c r="N410"/>
      <c r="O410"/>
      <c r="P410" s="207"/>
      <c r="Q410" s="207"/>
      <c r="R410" s="207"/>
      <c r="S410" s="208"/>
      <c r="T410" s="208"/>
      <c r="U410" s="208"/>
      <c r="V410" s="207"/>
      <c r="W410" s="207"/>
      <c r="X410" s="207"/>
      <c r="Y410" s="209"/>
      <c r="Z410" s="210"/>
      <c r="AA410" s="210"/>
      <c r="AB410" s="210"/>
      <c r="AC410" s="210"/>
      <c r="AD410" s="210"/>
      <c r="AE410" s="207"/>
      <c r="AF410" s="209"/>
      <c r="AG410" s="211"/>
      <c r="AH410"/>
      <c r="AI410"/>
    </row>
    <row r="411" spans="1:35" x14ac:dyDescent="0.3">
      <c r="A411"/>
      <c r="B411"/>
      <c r="C411"/>
      <c r="D411"/>
      <c r="E411"/>
      <c r="F411"/>
      <c r="G411"/>
      <c r="H411"/>
      <c r="I411"/>
      <c r="J411"/>
      <c r="K411"/>
      <c r="L411"/>
      <c r="M411"/>
      <c r="N411"/>
      <c r="O411"/>
      <c r="P411" s="207"/>
      <c r="Q411" s="207"/>
      <c r="R411" s="207"/>
      <c r="S411" s="208"/>
      <c r="T411" s="208"/>
      <c r="U411" s="208"/>
      <c r="V411" s="207"/>
      <c r="W411" s="207"/>
      <c r="X411" s="207"/>
      <c r="Y411" s="209"/>
      <c r="Z411" s="210"/>
      <c r="AA411" s="210"/>
      <c r="AB411" s="210"/>
      <c r="AC411" s="210"/>
      <c r="AD411" s="210"/>
      <c r="AE411" s="207"/>
      <c r="AF411" s="209"/>
      <c r="AG411" s="211"/>
      <c r="AH411"/>
      <c r="AI411"/>
    </row>
    <row r="412" spans="1:35" x14ac:dyDescent="0.3">
      <c r="A412"/>
      <c r="B412"/>
      <c r="C412"/>
      <c r="D412"/>
      <c r="E412"/>
      <c r="F412"/>
      <c r="G412"/>
      <c r="H412"/>
      <c r="I412"/>
      <c r="J412"/>
      <c r="K412"/>
      <c r="L412"/>
      <c r="M412"/>
      <c r="N412"/>
      <c r="O412"/>
      <c r="P412" s="207"/>
      <c r="Q412" s="207"/>
      <c r="R412" s="207"/>
      <c r="S412" s="208"/>
      <c r="T412" s="208"/>
      <c r="U412" s="208"/>
      <c r="V412" s="207"/>
      <c r="W412" s="207"/>
      <c r="X412" s="207"/>
      <c r="Y412" s="209"/>
      <c r="Z412" s="210"/>
      <c r="AA412" s="210"/>
      <c r="AB412" s="210"/>
      <c r="AC412" s="210"/>
      <c r="AD412" s="210"/>
      <c r="AE412" s="207"/>
      <c r="AF412" s="209"/>
      <c r="AG412" s="211"/>
      <c r="AH412"/>
      <c r="AI412"/>
    </row>
    <row r="413" spans="1:35" x14ac:dyDescent="0.3">
      <c r="A413"/>
      <c r="B413"/>
      <c r="C413"/>
      <c r="D413"/>
      <c r="E413"/>
      <c r="F413"/>
      <c r="G413"/>
      <c r="H413"/>
      <c r="I413"/>
      <c r="J413"/>
      <c r="K413"/>
      <c r="L413"/>
      <c r="M413"/>
      <c r="N413"/>
      <c r="O413"/>
      <c r="P413" s="207"/>
      <c r="Q413" s="207"/>
      <c r="R413" s="207"/>
      <c r="S413" s="208"/>
      <c r="T413" s="208"/>
      <c r="U413" s="208"/>
      <c r="V413" s="207"/>
      <c r="W413" s="207"/>
      <c r="X413" s="207"/>
      <c r="Y413" s="209"/>
      <c r="Z413" s="210"/>
      <c r="AA413" s="210"/>
      <c r="AB413" s="210"/>
      <c r="AC413" s="210"/>
      <c r="AD413" s="210"/>
      <c r="AE413" s="207"/>
      <c r="AF413" s="209"/>
      <c r="AG413" s="211"/>
      <c r="AH413"/>
      <c r="AI413"/>
    </row>
    <row r="414" spans="1:35" x14ac:dyDescent="0.3">
      <c r="A414"/>
      <c r="B414"/>
      <c r="C414"/>
      <c r="D414"/>
      <c r="E414"/>
      <c r="F414"/>
      <c r="G414"/>
      <c r="H414"/>
      <c r="I414"/>
      <c r="J414"/>
      <c r="K414"/>
      <c r="L414"/>
      <c r="M414"/>
      <c r="N414"/>
      <c r="O414"/>
      <c r="P414" s="207"/>
      <c r="Q414" s="207"/>
      <c r="R414" s="207"/>
      <c r="S414" s="208"/>
      <c r="T414" s="208"/>
      <c r="U414" s="208"/>
      <c r="V414" s="207"/>
      <c r="W414" s="207"/>
      <c r="X414" s="207"/>
      <c r="Y414" s="209"/>
      <c r="Z414" s="210"/>
      <c r="AA414" s="210"/>
      <c r="AB414" s="210"/>
      <c r="AC414" s="210"/>
      <c r="AD414" s="210"/>
      <c r="AE414" s="207"/>
      <c r="AF414" s="209"/>
      <c r="AG414" s="211"/>
      <c r="AH414"/>
      <c r="AI414"/>
    </row>
    <row r="415" spans="1:35" x14ac:dyDescent="0.3">
      <c r="A415"/>
      <c r="B415"/>
      <c r="C415"/>
      <c r="D415"/>
      <c r="E415"/>
      <c r="F415"/>
      <c r="G415"/>
      <c r="H415"/>
      <c r="I415"/>
      <c r="J415"/>
      <c r="K415"/>
      <c r="L415"/>
      <c r="M415"/>
      <c r="N415"/>
      <c r="O415"/>
      <c r="P415" s="207"/>
      <c r="Q415" s="207"/>
      <c r="R415" s="207"/>
      <c r="S415" s="208"/>
      <c r="T415" s="208"/>
      <c r="U415" s="208"/>
      <c r="V415" s="207"/>
      <c r="W415" s="207"/>
      <c r="X415" s="207"/>
      <c r="Y415" s="209"/>
      <c r="Z415" s="210"/>
      <c r="AA415" s="210"/>
      <c r="AB415" s="210"/>
      <c r="AC415" s="210"/>
      <c r="AD415" s="210"/>
      <c r="AE415" s="207"/>
      <c r="AF415" s="209"/>
      <c r="AG415" s="211"/>
      <c r="AH415"/>
      <c r="AI415"/>
    </row>
    <row r="416" spans="1:35" x14ac:dyDescent="0.3">
      <c r="A416"/>
      <c r="B416"/>
      <c r="C416"/>
      <c r="D416"/>
      <c r="E416"/>
      <c r="F416"/>
      <c r="G416"/>
      <c r="H416"/>
      <c r="I416"/>
      <c r="J416"/>
      <c r="K416"/>
      <c r="L416"/>
      <c r="M416"/>
      <c r="N416"/>
      <c r="O416"/>
      <c r="P416" s="207"/>
      <c r="Q416" s="207"/>
      <c r="R416" s="207"/>
      <c r="S416" s="208"/>
      <c r="T416" s="208"/>
      <c r="U416" s="208"/>
      <c r="V416" s="207"/>
      <c r="W416" s="207"/>
      <c r="X416" s="207"/>
      <c r="Y416" s="209"/>
      <c r="Z416" s="210"/>
      <c r="AA416" s="210"/>
      <c r="AB416" s="210"/>
      <c r="AC416" s="210"/>
      <c r="AD416" s="210"/>
      <c r="AE416" s="207"/>
      <c r="AF416" s="209"/>
      <c r="AG416" s="211"/>
      <c r="AH416"/>
      <c r="AI416"/>
    </row>
    <row r="417" spans="1:35" x14ac:dyDescent="0.3">
      <c r="A417"/>
      <c r="B417"/>
      <c r="C417"/>
      <c r="D417"/>
      <c r="E417"/>
      <c r="F417"/>
      <c r="G417"/>
      <c r="H417"/>
      <c r="I417"/>
      <c r="J417"/>
      <c r="K417"/>
      <c r="L417"/>
      <c r="M417"/>
      <c r="N417"/>
      <c r="O417"/>
      <c r="P417" s="207"/>
      <c r="Q417" s="207"/>
      <c r="R417" s="207"/>
      <c r="S417" s="208"/>
      <c r="T417" s="208"/>
      <c r="U417" s="208"/>
      <c r="V417" s="207"/>
      <c r="W417" s="207"/>
      <c r="X417" s="207"/>
      <c r="Y417" s="209"/>
      <c r="Z417" s="210"/>
      <c r="AA417" s="210"/>
      <c r="AB417" s="210"/>
      <c r="AC417" s="210"/>
      <c r="AD417" s="210"/>
      <c r="AE417" s="207"/>
      <c r="AF417" s="209"/>
      <c r="AG417" s="211"/>
      <c r="AH417"/>
      <c r="AI417"/>
    </row>
    <row r="418" spans="1:35" x14ac:dyDescent="0.3">
      <c r="A418"/>
      <c r="B418"/>
      <c r="C418"/>
      <c r="D418"/>
      <c r="E418"/>
      <c r="F418"/>
      <c r="G418"/>
      <c r="H418"/>
      <c r="I418"/>
      <c r="J418"/>
      <c r="K418"/>
      <c r="L418"/>
      <c r="M418"/>
      <c r="N418"/>
      <c r="O418"/>
      <c r="P418" s="207"/>
      <c r="Q418" s="207"/>
      <c r="R418" s="207"/>
      <c r="S418" s="208"/>
      <c r="T418" s="208"/>
      <c r="U418" s="208"/>
      <c r="V418" s="207"/>
      <c r="W418" s="207"/>
      <c r="X418" s="207"/>
      <c r="Y418" s="209"/>
      <c r="Z418" s="210"/>
      <c r="AA418" s="210"/>
      <c r="AB418" s="210"/>
      <c r="AC418" s="210"/>
      <c r="AD418" s="210"/>
      <c r="AE418" s="207"/>
      <c r="AF418" s="209"/>
      <c r="AG418" s="211"/>
      <c r="AH418"/>
      <c r="AI418"/>
    </row>
    <row r="419" spans="1:35" x14ac:dyDescent="0.3">
      <c r="A419"/>
      <c r="B419"/>
      <c r="C419"/>
      <c r="D419"/>
      <c r="E419"/>
      <c r="F419"/>
      <c r="G419"/>
      <c r="H419"/>
      <c r="I419"/>
      <c r="J419"/>
      <c r="K419"/>
      <c r="L419"/>
      <c r="M419"/>
      <c r="N419"/>
      <c r="O419"/>
      <c r="P419" s="207"/>
      <c r="Q419" s="207"/>
      <c r="R419" s="207"/>
      <c r="S419" s="208"/>
      <c r="T419" s="208"/>
      <c r="U419" s="208"/>
      <c r="V419" s="207"/>
      <c r="W419" s="207"/>
      <c r="X419" s="207"/>
      <c r="Y419" s="209"/>
      <c r="Z419" s="210"/>
      <c r="AA419" s="210"/>
      <c r="AB419" s="210"/>
      <c r="AC419" s="210"/>
      <c r="AD419" s="210"/>
      <c r="AE419" s="207"/>
      <c r="AF419" s="209"/>
      <c r="AG419" s="211"/>
      <c r="AH419"/>
      <c r="AI419"/>
    </row>
    <row r="420" spans="1:35" x14ac:dyDescent="0.3">
      <c r="A420"/>
      <c r="B420"/>
      <c r="C420"/>
      <c r="D420"/>
      <c r="E420"/>
      <c r="F420"/>
      <c r="G420"/>
      <c r="H420"/>
      <c r="I420"/>
      <c r="J420"/>
      <c r="K420"/>
      <c r="L420"/>
      <c r="M420"/>
      <c r="N420"/>
      <c r="O420"/>
      <c r="P420" s="207"/>
      <c r="Q420" s="207"/>
      <c r="R420" s="207"/>
      <c r="S420" s="208"/>
      <c r="T420" s="208"/>
      <c r="U420" s="208"/>
      <c r="V420" s="207"/>
      <c r="W420" s="207"/>
      <c r="X420" s="207"/>
      <c r="Y420" s="209"/>
      <c r="Z420" s="210"/>
      <c r="AA420" s="210"/>
      <c r="AB420" s="210"/>
      <c r="AC420" s="210"/>
      <c r="AD420" s="210"/>
      <c r="AE420" s="207"/>
      <c r="AF420" s="209"/>
      <c r="AG420" s="211"/>
      <c r="AH420"/>
      <c r="AI420"/>
    </row>
    <row r="421" spans="1:35" x14ac:dyDescent="0.3">
      <c r="A421"/>
      <c r="B421"/>
      <c r="C421"/>
      <c r="D421"/>
      <c r="E421"/>
      <c r="F421"/>
      <c r="G421"/>
      <c r="H421"/>
      <c r="I421"/>
      <c r="J421"/>
      <c r="K421"/>
      <c r="L421"/>
      <c r="M421"/>
      <c r="N421"/>
      <c r="O421"/>
      <c r="P421" s="207"/>
      <c r="Q421" s="207"/>
      <c r="R421" s="207"/>
      <c r="S421" s="208"/>
      <c r="T421" s="208"/>
      <c r="U421" s="208"/>
      <c r="V421" s="207"/>
      <c r="W421" s="207"/>
      <c r="X421" s="207"/>
      <c r="Y421" s="209"/>
      <c r="Z421" s="210"/>
      <c r="AA421" s="210"/>
      <c r="AB421" s="210"/>
      <c r="AC421" s="210"/>
      <c r="AD421" s="210"/>
      <c r="AE421" s="207"/>
      <c r="AF421" s="209"/>
      <c r="AG421" s="211"/>
      <c r="AH421"/>
      <c r="AI421"/>
    </row>
    <row r="422" spans="1:35" x14ac:dyDescent="0.3">
      <c r="A422"/>
      <c r="B422"/>
      <c r="C422"/>
      <c r="D422"/>
      <c r="E422"/>
      <c r="F422"/>
      <c r="G422"/>
      <c r="H422"/>
      <c r="I422"/>
      <c r="J422"/>
      <c r="K422"/>
      <c r="L422"/>
      <c r="M422"/>
      <c r="N422"/>
      <c r="O422"/>
      <c r="P422" s="207"/>
      <c r="Q422" s="207"/>
      <c r="R422" s="207"/>
      <c r="S422" s="208"/>
      <c r="T422" s="208"/>
      <c r="U422" s="208"/>
      <c r="V422" s="207"/>
      <c r="W422" s="207"/>
      <c r="X422" s="207"/>
      <c r="Y422" s="209"/>
      <c r="Z422" s="210"/>
      <c r="AA422" s="210"/>
      <c r="AB422" s="210"/>
      <c r="AC422" s="210"/>
      <c r="AD422" s="210"/>
      <c r="AE422" s="207"/>
      <c r="AF422" s="209"/>
      <c r="AG422" s="211"/>
      <c r="AH422"/>
      <c r="AI422"/>
    </row>
    <row r="423" spans="1:35" x14ac:dyDescent="0.3">
      <c r="A423"/>
      <c r="B423"/>
      <c r="C423"/>
      <c r="D423"/>
      <c r="E423"/>
      <c r="F423"/>
      <c r="G423"/>
      <c r="H423"/>
      <c r="I423"/>
      <c r="J423"/>
      <c r="K423"/>
      <c r="L423"/>
      <c r="M423"/>
      <c r="N423"/>
      <c r="O423"/>
      <c r="P423" s="207"/>
      <c r="Q423" s="207"/>
      <c r="R423" s="207"/>
      <c r="S423" s="208"/>
      <c r="T423" s="208"/>
      <c r="U423" s="208"/>
      <c r="V423" s="207"/>
      <c r="W423" s="207"/>
      <c r="X423" s="207"/>
      <c r="Y423" s="209"/>
      <c r="Z423" s="210"/>
      <c r="AA423" s="210"/>
      <c r="AB423" s="210"/>
      <c r="AC423" s="210"/>
      <c r="AD423" s="210"/>
      <c r="AE423" s="207"/>
      <c r="AF423" s="209"/>
      <c r="AG423" s="211"/>
      <c r="AH423"/>
      <c r="AI423"/>
    </row>
    <row r="424" spans="1:35" x14ac:dyDescent="0.3">
      <c r="A424"/>
      <c r="B424"/>
      <c r="C424"/>
      <c r="D424"/>
      <c r="E424"/>
      <c r="F424"/>
      <c r="G424"/>
      <c r="H424"/>
      <c r="I424"/>
      <c r="J424"/>
      <c r="K424"/>
      <c r="L424"/>
      <c r="M424"/>
      <c r="N424"/>
      <c r="O424"/>
      <c r="P424" s="207"/>
      <c r="Q424" s="207"/>
      <c r="R424" s="207"/>
      <c r="S424" s="208"/>
      <c r="T424" s="208"/>
      <c r="U424" s="208"/>
      <c r="V424" s="207"/>
      <c r="W424" s="207"/>
      <c r="X424" s="207"/>
      <c r="Y424" s="209"/>
      <c r="Z424" s="210"/>
      <c r="AA424" s="210"/>
      <c r="AB424" s="210"/>
      <c r="AC424" s="210"/>
      <c r="AD424" s="210"/>
      <c r="AE424" s="207"/>
      <c r="AF424" s="209"/>
      <c r="AG424" s="211"/>
      <c r="AH424"/>
      <c r="AI424"/>
    </row>
    <row r="425" spans="1:35" x14ac:dyDescent="0.3">
      <c r="A425"/>
      <c r="B425"/>
      <c r="C425"/>
      <c r="D425"/>
      <c r="E425"/>
      <c r="F425"/>
      <c r="G425"/>
      <c r="H425"/>
      <c r="I425"/>
      <c r="J425"/>
      <c r="K425"/>
      <c r="L425"/>
      <c r="M425"/>
      <c r="N425"/>
      <c r="O425"/>
      <c r="P425" s="207"/>
      <c r="Q425" s="207"/>
      <c r="R425" s="207"/>
      <c r="S425" s="208"/>
      <c r="T425" s="208"/>
      <c r="U425" s="208"/>
      <c r="V425" s="207"/>
      <c r="W425" s="207"/>
      <c r="X425" s="207"/>
      <c r="Y425" s="209"/>
      <c r="Z425" s="210"/>
      <c r="AA425" s="210"/>
      <c r="AB425" s="210"/>
      <c r="AC425" s="210"/>
      <c r="AD425" s="210"/>
      <c r="AE425" s="207"/>
      <c r="AF425" s="209"/>
      <c r="AG425" s="211"/>
      <c r="AH425"/>
      <c r="AI425"/>
    </row>
    <row r="426" spans="1:35" x14ac:dyDescent="0.3">
      <c r="A426"/>
      <c r="B426"/>
      <c r="C426"/>
      <c r="D426"/>
      <c r="E426"/>
      <c r="F426"/>
      <c r="G426"/>
      <c r="H426"/>
      <c r="I426"/>
      <c r="J426"/>
      <c r="K426"/>
      <c r="L426"/>
      <c r="M426"/>
      <c r="N426"/>
      <c r="O426"/>
      <c r="P426" s="207"/>
      <c r="Q426" s="207"/>
      <c r="R426" s="207"/>
      <c r="S426" s="208"/>
      <c r="T426" s="208"/>
      <c r="U426" s="208"/>
      <c r="V426" s="207"/>
      <c r="W426" s="207"/>
      <c r="X426" s="207"/>
      <c r="Y426" s="209"/>
      <c r="Z426" s="210"/>
      <c r="AA426" s="210"/>
      <c r="AB426" s="210"/>
      <c r="AC426" s="210"/>
      <c r="AD426" s="210"/>
      <c r="AE426" s="207"/>
      <c r="AF426" s="209"/>
      <c r="AG426" s="211"/>
      <c r="AH426"/>
      <c r="AI426"/>
    </row>
    <row r="427" spans="1:35" x14ac:dyDescent="0.3">
      <c r="A427"/>
      <c r="B427"/>
      <c r="C427"/>
      <c r="D427"/>
      <c r="E427"/>
      <c r="F427"/>
      <c r="G427"/>
      <c r="H427"/>
      <c r="I427"/>
      <c r="J427"/>
      <c r="K427"/>
      <c r="L427"/>
      <c r="M427"/>
      <c r="N427"/>
      <c r="O427"/>
      <c r="P427" s="207"/>
      <c r="Q427" s="207"/>
      <c r="R427" s="207"/>
      <c r="S427" s="208"/>
      <c r="T427" s="208"/>
      <c r="U427" s="208"/>
      <c r="V427" s="207"/>
      <c r="W427" s="207"/>
      <c r="X427" s="207"/>
      <c r="Y427" s="209"/>
      <c r="Z427" s="210"/>
      <c r="AA427" s="210"/>
      <c r="AB427" s="210"/>
      <c r="AC427" s="210"/>
      <c r="AD427" s="210"/>
      <c r="AE427" s="207"/>
      <c r="AF427" s="209"/>
      <c r="AG427" s="211"/>
      <c r="AH427"/>
      <c r="AI427"/>
    </row>
    <row r="428" spans="1:35" x14ac:dyDescent="0.3">
      <c r="A428"/>
      <c r="B428"/>
      <c r="C428"/>
      <c r="D428"/>
      <c r="E428"/>
      <c r="F428"/>
      <c r="G428"/>
      <c r="H428"/>
      <c r="I428"/>
      <c r="J428"/>
      <c r="K428"/>
      <c r="L428"/>
      <c r="M428"/>
      <c r="N428"/>
      <c r="O428"/>
      <c r="P428" s="207"/>
      <c r="Q428" s="207"/>
      <c r="R428" s="207"/>
      <c r="S428" s="208"/>
      <c r="T428" s="208"/>
      <c r="U428" s="208"/>
      <c r="V428" s="207"/>
      <c r="W428" s="207"/>
      <c r="X428" s="207"/>
      <c r="Y428" s="209"/>
      <c r="Z428" s="210"/>
      <c r="AA428" s="210"/>
      <c r="AB428" s="210"/>
      <c r="AC428" s="210"/>
      <c r="AD428" s="210"/>
      <c r="AE428" s="207"/>
      <c r="AF428" s="209"/>
      <c r="AG428" s="211"/>
      <c r="AH428"/>
      <c r="AI428"/>
    </row>
    <row r="429" spans="1:35" x14ac:dyDescent="0.3">
      <c r="A429"/>
      <c r="B429"/>
      <c r="C429"/>
      <c r="D429"/>
      <c r="E429"/>
      <c r="F429"/>
      <c r="G429"/>
      <c r="H429"/>
      <c r="I429"/>
      <c r="J429"/>
      <c r="K429"/>
      <c r="L429"/>
      <c r="M429"/>
      <c r="N429"/>
      <c r="O429"/>
      <c r="P429" s="207"/>
      <c r="Q429" s="207"/>
      <c r="R429" s="207"/>
      <c r="S429" s="208"/>
      <c r="T429" s="208"/>
      <c r="U429" s="208"/>
      <c r="V429" s="207"/>
      <c r="W429" s="207"/>
      <c r="X429" s="207"/>
      <c r="Y429" s="209"/>
      <c r="Z429" s="210"/>
      <c r="AA429" s="210"/>
      <c r="AB429" s="210"/>
      <c r="AC429" s="210"/>
      <c r="AD429" s="210"/>
      <c r="AE429" s="207"/>
      <c r="AF429" s="209"/>
      <c r="AG429" s="211"/>
      <c r="AH429"/>
      <c r="AI429"/>
    </row>
    <row r="430" spans="1:35" x14ac:dyDescent="0.3">
      <c r="A430"/>
      <c r="B430"/>
      <c r="C430"/>
      <c r="D430"/>
      <c r="E430"/>
      <c r="F430"/>
      <c r="G430"/>
      <c r="H430"/>
      <c r="I430"/>
      <c r="J430"/>
      <c r="K430"/>
      <c r="L430"/>
      <c r="M430"/>
      <c r="N430"/>
      <c r="O430"/>
      <c r="P430" s="207"/>
      <c r="Q430" s="207"/>
      <c r="R430" s="207"/>
      <c r="S430" s="208"/>
      <c r="T430" s="208"/>
      <c r="U430" s="208"/>
      <c r="V430" s="207"/>
      <c r="W430" s="207"/>
      <c r="X430" s="207"/>
      <c r="Y430" s="209"/>
      <c r="Z430" s="210"/>
      <c r="AA430" s="210"/>
      <c r="AB430" s="210"/>
      <c r="AC430" s="210"/>
      <c r="AD430" s="210"/>
      <c r="AE430" s="207"/>
      <c r="AF430" s="209"/>
      <c r="AG430" s="211"/>
      <c r="AH430"/>
      <c r="AI430"/>
    </row>
    <row r="431" spans="1:35" x14ac:dyDescent="0.3">
      <c r="A431"/>
      <c r="B431"/>
      <c r="C431"/>
      <c r="D431"/>
      <c r="E431"/>
      <c r="F431"/>
      <c r="G431"/>
      <c r="H431"/>
      <c r="I431"/>
      <c r="J431"/>
      <c r="K431"/>
      <c r="L431"/>
      <c r="M431"/>
      <c r="N431"/>
      <c r="O431"/>
      <c r="P431" s="207"/>
      <c r="Q431" s="207"/>
      <c r="R431" s="207"/>
      <c r="S431" s="208"/>
      <c r="T431" s="208"/>
      <c r="U431" s="208"/>
      <c r="V431" s="207"/>
      <c r="W431" s="207"/>
      <c r="X431" s="207"/>
      <c r="Y431" s="209"/>
      <c r="Z431" s="210"/>
      <c r="AA431" s="210"/>
      <c r="AB431" s="210"/>
      <c r="AC431" s="210"/>
      <c r="AD431" s="210"/>
      <c r="AE431" s="207"/>
      <c r="AF431" s="209"/>
      <c r="AG431" s="211"/>
      <c r="AH431"/>
      <c r="AI431"/>
    </row>
    <row r="432" spans="1:35" x14ac:dyDescent="0.3">
      <c r="A432"/>
      <c r="B432"/>
      <c r="C432"/>
      <c r="D432"/>
      <c r="E432"/>
      <c r="F432"/>
      <c r="G432"/>
      <c r="H432"/>
      <c r="I432"/>
      <c r="J432"/>
      <c r="K432"/>
      <c r="L432"/>
      <c r="M432"/>
      <c r="N432"/>
      <c r="O432"/>
      <c r="P432" s="207"/>
      <c r="Q432" s="207"/>
      <c r="R432" s="207"/>
      <c r="S432" s="208"/>
      <c r="T432" s="208"/>
      <c r="U432" s="208"/>
      <c r="V432" s="207"/>
      <c r="W432" s="207"/>
      <c r="X432" s="207"/>
      <c r="Y432" s="209"/>
      <c r="Z432" s="210"/>
      <c r="AA432" s="210"/>
      <c r="AB432" s="210"/>
      <c r="AC432" s="210"/>
      <c r="AD432" s="210"/>
      <c r="AE432" s="207"/>
      <c r="AF432" s="209"/>
      <c r="AG432" s="211"/>
      <c r="AH432"/>
      <c r="AI432"/>
    </row>
    <row r="433" spans="1:35" x14ac:dyDescent="0.3">
      <c r="A433"/>
      <c r="B433"/>
      <c r="C433"/>
      <c r="D433"/>
      <c r="E433"/>
      <c r="F433"/>
      <c r="G433"/>
      <c r="H433"/>
      <c r="I433"/>
      <c r="J433"/>
      <c r="K433"/>
      <c r="L433"/>
      <c r="M433"/>
      <c r="N433"/>
      <c r="O433"/>
      <c r="P433" s="207"/>
      <c r="Q433" s="207"/>
      <c r="R433" s="207"/>
      <c r="S433" s="208"/>
      <c r="T433" s="208"/>
      <c r="U433" s="208"/>
      <c r="V433" s="207"/>
      <c r="W433" s="207"/>
      <c r="X433" s="207"/>
      <c r="Y433" s="209"/>
      <c r="Z433" s="210"/>
      <c r="AA433" s="210"/>
      <c r="AB433" s="210"/>
      <c r="AC433" s="210"/>
      <c r="AD433" s="210"/>
      <c r="AE433" s="207"/>
      <c r="AF433" s="209"/>
      <c r="AG433" s="211"/>
      <c r="AH433"/>
      <c r="AI433"/>
    </row>
    <row r="434" spans="1:35" x14ac:dyDescent="0.3">
      <c r="A434"/>
      <c r="B434"/>
      <c r="C434"/>
      <c r="D434"/>
      <c r="E434"/>
      <c r="F434"/>
      <c r="G434"/>
      <c r="H434"/>
      <c r="I434"/>
      <c r="J434"/>
      <c r="K434"/>
      <c r="L434"/>
      <c r="M434"/>
      <c r="N434"/>
      <c r="O434"/>
      <c r="P434" s="207"/>
      <c r="Q434" s="207"/>
      <c r="R434" s="207"/>
      <c r="S434" s="208"/>
      <c r="T434" s="208"/>
      <c r="U434" s="208"/>
      <c r="V434" s="207"/>
      <c r="W434" s="207"/>
      <c r="X434" s="207"/>
      <c r="Y434" s="209"/>
      <c r="Z434" s="210"/>
      <c r="AA434" s="210"/>
      <c r="AB434" s="210"/>
      <c r="AC434" s="210"/>
      <c r="AD434" s="210"/>
      <c r="AE434" s="207"/>
      <c r="AF434" s="209"/>
      <c r="AG434" s="211"/>
      <c r="AH434"/>
      <c r="AI434"/>
    </row>
    <row r="435" spans="1:35" x14ac:dyDescent="0.3">
      <c r="A435"/>
      <c r="B435"/>
      <c r="C435"/>
      <c r="D435"/>
      <c r="E435"/>
      <c r="F435"/>
      <c r="G435"/>
      <c r="H435"/>
      <c r="I435"/>
      <c r="J435"/>
      <c r="K435"/>
      <c r="L435"/>
      <c r="M435"/>
      <c r="N435"/>
      <c r="O435"/>
      <c r="P435" s="207"/>
      <c r="Q435" s="207"/>
      <c r="R435" s="207"/>
      <c r="S435" s="208"/>
      <c r="T435" s="208"/>
      <c r="U435" s="208"/>
      <c r="V435" s="207"/>
      <c r="W435" s="207"/>
      <c r="X435" s="207"/>
      <c r="Y435" s="209"/>
      <c r="Z435" s="210"/>
      <c r="AA435" s="210"/>
      <c r="AB435" s="210"/>
      <c r="AC435" s="210"/>
      <c r="AD435" s="210"/>
      <c r="AE435" s="207"/>
      <c r="AF435" s="209"/>
      <c r="AG435" s="211"/>
      <c r="AH435"/>
      <c r="AI435"/>
    </row>
    <row r="436" spans="1:35" x14ac:dyDescent="0.3">
      <c r="A436"/>
      <c r="B436"/>
      <c r="C436"/>
      <c r="D436"/>
      <c r="E436"/>
      <c r="F436"/>
      <c r="G436"/>
      <c r="H436"/>
      <c r="I436"/>
      <c r="J436"/>
      <c r="K436"/>
      <c r="L436"/>
      <c r="M436"/>
      <c r="N436"/>
      <c r="O436"/>
      <c r="P436" s="207"/>
      <c r="Q436" s="207"/>
      <c r="R436" s="207"/>
      <c r="S436" s="208"/>
      <c r="T436" s="208"/>
      <c r="U436" s="208"/>
      <c r="V436" s="207"/>
      <c r="W436" s="207"/>
      <c r="X436" s="207"/>
      <c r="Y436" s="209"/>
      <c r="Z436" s="210"/>
      <c r="AA436" s="210"/>
      <c r="AB436" s="210"/>
      <c r="AC436" s="210"/>
      <c r="AD436" s="210"/>
      <c r="AE436" s="207"/>
      <c r="AF436" s="209"/>
      <c r="AG436" s="211"/>
      <c r="AH436"/>
      <c r="AI436"/>
    </row>
    <row r="437" spans="1:35" x14ac:dyDescent="0.3">
      <c r="A437"/>
      <c r="B437"/>
      <c r="C437"/>
      <c r="D437"/>
      <c r="E437"/>
      <c r="F437"/>
      <c r="G437"/>
      <c r="H437"/>
      <c r="I437"/>
      <c r="J437"/>
      <c r="K437"/>
      <c r="L437"/>
      <c r="M437"/>
      <c r="N437"/>
      <c r="O437"/>
      <c r="P437" s="207"/>
      <c r="Q437" s="207"/>
      <c r="R437" s="207"/>
      <c r="S437" s="208"/>
      <c r="T437" s="208"/>
      <c r="U437" s="208"/>
      <c r="V437" s="207"/>
      <c r="W437" s="207"/>
      <c r="X437" s="207"/>
      <c r="Y437" s="209"/>
      <c r="Z437" s="210"/>
      <c r="AA437" s="210"/>
      <c r="AB437" s="210"/>
      <c r="AC437" s="210"/>
      <c r="AD437" s="210"/>
      <c r="AE437" s="207"/>
      <c r="AF437" s="209"/>
      <c r="AG437" s="211"/>
      <c r="AH437"/>
      <c r="AI437"/>
    </row>
    <row r="438" spans="1:35" x14ac:dyDescent="0.3">
      <c r="A438"/>
      <c r="B438"/>
      <c r="C438"/>
      <c r="D438"/>
      <c r="E438"/>
      <c r="F438"/>
      <c r="G438"/>
      <c r="H438"/>
      <c r="I438"/>
      <c r="J438"/>
      <c r="K438"/>
      <c r="L438"/>
      <c r="M438"/>
      <c r="N438"/>
      <c r="O438"/>
      <c r="P438" s="207"/>
      <c r="Q438" s="207"/>
      <c r="R438" s="207"/>
      <c r="S438" s="208"/>
      <c r="T438" s="208"/>
      <c r="U438" s="208"/>
      <c r="V438" s="207"/>
      <c r="W438" s="207"/>
      <c r="X438" s="207"/>
      <c r="Y438" s="209"/>
      <c r="Z438" s="210"/>
      <c r="AA438" s="210"/>
      <c r="AB438" s="210"/>
      <c r="AC438" s="210"/>
      <c r="AD438" s="210"/>
      <c r="AE438" s="207"/>
      <c r="AF438" s="209"/>
      <c r="AG438" s="211"/>
      <c r="AH438"/>
      <c r="AI438"/>
    </row>
    <row r="439" spans="1:35" x14ac:dyDescent="0.3">
      <c r="A439"/>
      <c r="B439"/>
      <c r="C439"/>
      <c r="D439"/>
      <c r="E439"/>
      <c r="F439"/>
      <c r="G439"/>
      <c r="H439"/>
      <c r="I439"/>
      <c r="J439"/>
      <c r="K439"/>
      <c r="L439"/>
      <c r="M439"/>
      <c r="N439"/>
      <c r="O439"/>
      <c r="P439" s="207"/>
      <c r="Q439" s="207"/>
      <c r="R439" s="207"/>
      <c r="S439" s="208"/>
      <c r="T439" s="208"/>
      <c r="U439" s="208"/>
      <c r="V439" s="207"/>
      <c r="W439" s="207"/>
      <c r="X439" s="207"/>
      <c r="Y439" s="209"/>
      <c r="Z439" s="210"/>
      <c r="AA439" s="210"/>
      <c r="AB439" s="210"/>
      <c r="AC439" s="210"/>
      <c r="AD439" s="210"/>
      <c r="AE439" s="207"/>
      <c r="AF439" s="209"/>
      <c r="AG439" s="211"/>
      <c r="AH439"/>
      <c r="AI439"/>
    </row>
    <row r="440" spans="1:35" x14ac:dyDescent="0.3">
      <c r="A440"/>
      <c r="B440"/>
      <c r="C440"/>
      <c r="D440"/>
      <c r="E440"/>
      <c r="F440"/>
      <c r="G440"/>
      <c r="H440"/>
      <c r="I440"/>
      <c r="J440"/>
      <c r="K440"/>
      <c r="L440"/>
      <c r="M440"/>
      <c r="N440"/>
      <c r="O440"/>
      <c r="P440" s="207"/>
      <c r="Q440" s="207"/>
      <c r="R440" s="207"/>
      <c r="S440" s="208"/>
      <c r="T440" s="208"/>
      <c r="U440" s="208"/>
      <c r="V440" s="207"/>
      <c r="W440" s="207"/>
      <c r="X440" s="207"/>
      <c r="Y440" s="209"/>
      <c r="Z440" s="210"/>
      <c r="AA440" s="210"/>
      <c r="AB440" s="210"/>
      <c r="AC440" s="210"/>
      <c r="AD440" s="210"/>
      <c r="AE440" s="207"/>
      <c r="AF440" s="209"/>
      <c r="AG440" s="211"/>
      <c r="AH440"/>
      <c r="AI440"/>
    </row>
    <row r="441" spans="1:35" x14ac:dyDescent="0.3">
      <c r="A441"/>
      <c r="B441"/>
      <c r="C441"/>
      <c r="D441"/>
      <c r="E441"/>
      <c r="F441"/>
      <c r="G441"/>
      <c r="H441"/>
      <c r="I441"/>
      <c r="J441"/>
      <c r="K441"/>
      <c r="L441"/>
      <c r="M441"/>
      <c r="N441"/>
      <c r="O441"/>
      <c r="P441" s="207"/>
      <c r="Q441" s="207"/>
      <c r="R441" s="207"/>
      <c r="S441" s="208"/>
      <c r="T441" s="208"/>
      <c r="U441" s="208"/>
      <c r="V441" s="207"/>
      <c r="W441" s="207"/>
      <c r="X441" s="207"/>
      <c r="Y441" s="209"/>
      <c r="Z441" s="210"/>
      <c r="AA441" s="210"/>
      <c r="AB441" s="210"/>
      <c r="AC441" s="210"/>
      <c r="AD441" s="210"/>
      <c r="AE441" s="207"/>
      <c r="AF441" s="209"/>
      <c r="AG441" s="211"/>
      <c r="AH441"/>
      <c r="AI441"/>
    </row>
    <row r="442" spans="1:35" x14ac:dyDescent="0.3">
      <c r="A442"/>
      <c r="B442"/>
      <c r="C442"/>
      <c r="D442"/>
      <c r="E442"/>
      <c r="F442"/>
      <c r="G442"/>
      <c r="H442"/>
      <c r="I442"/>
      <c r="J442"/>
      <c r="K442"/>
      <c r="L442"/>
      <c r="M442"/>
      <c r="N442"/>
      <c r="O442"/>
      <c r="P442" s="207"/>
      <c r="Q442" s="207"/>
      <c r="R442" s="207"/>
      <c r="S442" s="208"/>
      <c r="T442" s="208"/>
      <c r="U442" s="208"/>
      <c r="V442" s="207"/>
      <c r="W442" s="207"/>
      <c r="X442" s="207"/>
      <c r="Y442" s="209"/>
      <c r="Z442" s="210"/>
      <c r="AA442" s="210"/>
      <c r="AB442" s="210"/>
      <c r="AC442" s="210"/>
      <c r="AD442" s="210"/>
      <c r="AE442" s="207"/>
      <c r="AF442" s="209"/>
      <c r="AG442" s="211"/>
      <c r="AH442"/>
      <c r="AI442"/>
    </row>
    <row r="443" spans="1:35" x14ac:dyDescent="0.3">
      <c r="A443"/>
      <c r="B443"/>
      <c r="C443"/>
      <c r="D443"/>
      <c r="E443"/>
      <c r="F443"/>
      <c r="G443"/>
      <c r="H443"/>
      <c r="I443"/>
      <c r="J443"/>
      <c r="K443"/>
      <c r="L443"/>
      <c r="M443"/>
      <c r="N443"/>
      <c r="O443"/>
      <c r="P443" s="207"/>
      <c r="Q443" s="207"/>
      <c r="R443" s="207"/>
      <c r="S443" s="208"/>
      <c r="T443" s="208"/>
      <c r="U443" s="208"/>
      <c r="V443" s="207"/>
      <c r="W443" s="207"/>
      <c r="X443" s="207"/>
      <c r="Y443" s="209"/>
      <c r="Z443" s="210"/>
      <c r="AA443" s="210"/>
      <c r="AB443" s="210"/>
      <c r="AC443" s="210"/>
      <c r="AD443" s="210"/>
      <c r="AE443" s="207"/>
      <c r="AF443" s="209"/>
      <c r="AG443" s="211"/>
      <c r="AH443"/>
      <c r="AI443"/>
    </row>
    <row r="444" spans="1:35" x14ac:dyDescent="0.3">
      <c r="A444"/>
      <c r="B444"/>
      <c r="C444"/>
      <c r="D444"/>
      <c r="E444"/>
      <c r="F444"/>
      <c r="G444"/>
      <c r="H444"/>
      <c r="I444"/>
      <c r="J444"/>
      <c r="K444"/>
      <c r="L444"/>
      <c r="M444"/>
      <c r="N444"/>
      <c r="O444"/>
      <c r="P444" s="207"/>
      <c r="Q444" s="207"/>
      <c r="R444" s="207"/>
      <c r="S444" s="208"/>
      <c r="T444" s="208"/>
      <c r="U444" s="208"/>
      <c r="V444" s="207"/>
      <c r="W444" s="207"/>
      <c r="X444" s="207"/>
      <c r="Y444" s="209"/>
      <c r="Z444" s="210"/>
      <c r="AA444" s="210"/>
      <c r="AB444" s="210"/>
      <c r="AC444" s="210"/>
      <c r="AD444" s="210"/>
      <c r="AE444" s="207"/>
      <c r="AF444" s="209"/>
      <c r="AG444" s="211"/>
      <c r="AH444"/>
      <c r="AI444"/>
    </row>
    <row r="445" spans="1:35" x14ac:dyDescent="0.3">
      <c r="A445"/>
      <c r="B445"/>
      <c r="C445"/>
      <c r="D445"/>
      <c r="E445"/>
      <c r="F445"/>
      <c r="G445"/>
      <c r="H445"/>
      <c r="I445"/>
      <c r="J445"/>
      <c r="K445"/>
      <c r="L445"/>
      <c r="M445"/>
      <c r="N445"/>
      <c r="O445"/>
      <c r="P445" s="207"/>
      <c r="Q445" s="207"/>
      <c r="R445" s="207"/>
      <c r="S445" s="208"/>
      <c r="T445" s="208"/>
      <c r="U445" s="208"/>
      <c r="V445" s="207"/>
      <c r="W445" s="207"/>
      <c r="X445" s="207"/>
      <c r="Y445" s="209"/>
      <c r="Z445" s="210"/>
      <c r="AA445" s="210"/>
      <c r="AB445" s="210"/>
      <c r="AC445" s="210"/>
      <c r="AD445" s="210"/>
      <c r="AE445" s="207"/>
      <c r="AF445" s="209"/>
      <c r="AG445" s="211"/>
      <c r="AH445"/>
      <c r="AI445"/>
    </row>
    <row r="446" spans="1:35" x14ac:dyDescent="0.3">
      <c r="A446"/>
      <c r="B446"/>
      <c r="C446"/>
      <c r="D446"/>
      <c r="E446"/>
      <c r="F446"/>
      <c r="G446"/>
      <c r="H446"/>
      <c r="I446"/>
      <c r="J446"/>
      <c r="K446"/>
      <c r="L446"/>
      <c r="M446"/>
      <c r="N446"/>
      <c r="O446"/>
      <c r="P446" s="207"/>
      <c r="Q446" s="207"/>
      <c r="R446" s="207"/>
      <c r="S446" s="208"/>
      <c r="T446" s="208"/>
      <c r="U446" s="208"/>
      <c r="V446" s="207"/>
      <c r="W446" s="207"/>
      <c r="X446" s="207"/>
      <c r="Y446" s="209"/>
      <c r="Z446" s="210"/>
      <c r="AA446" s="210"/>
      <c r="AB446" s="210"/>
      <c r="AC446" s="210"/>
      <c r="AD446" s="210"/>
      <c r="AE446" s="207"/>
      <c r="AF446" s="209"/>
      <c r="AG446" s="211"/>
      <c r="AH446"/>
      <c r="AI446"/>
    </row>
    <row r="447" spans="1:35" x14ac:dyDescent="0.3">
      <c r="A447"/>
      <c r="B447"/>
      <c r="C447"/>
      <c r="D447"/>
      <c r="E447"/>
      <c r="F447"/>
      <c r="G447"/>
      <c r="H447"/>
      <c r="I447"/>
      <c r="J447"/>
      <c r="K447"/>
      <c r="L447"/>
      <c r="M447"/>
      <c r="N447"/>
      <c r="O447"/>
      <c r="P447" s="207"/>
      <c r="Q447" s="207"/>
      <c r="R447" s="207"/>
      <c r="S447" s="208"/>
      <c r="T447" s="208"/>
      <c r="U447" s="208"/>
      <c r="V447" s="207"/>
      <c r="W447" s="207"/>
      <c r="X447" s="207"/>
      <c r="Y447" s="209"/>
      <c r="Z447" s="210"/>
      <c r="AA447" s="210"/>
      <c r="AB447" s="210"/>
      <c r="AC447" s="210"/>
      <c r="AD447" s="210"/>
      <c r="AE447" s="207"/>
      <c r="AF447" s="209"/>
      <c r="AG447" s="211"/>
      <c r="AH447"/>
      <c r="AI447"/>
    </row>
    <row r="448" spans="1:35" x14ac:dyDescent="0.3">
      <c r="A448"/>
      <c r="B448"/>
      <c r="C448"/>
      <c r="D448"/>
      <c r="E448"/>
      <c r="F448"/>
      <c r="G448"/>
      <c r="H448"/>
      <c r="I448"/>
      <c r="J448"/>
      <c r="K448"/>
      <c r="L448"/>
      <c r="M448"/>
      <c r="N448"/>
      <c r="O448"/>
      <c r="P448" s="207"/>
      <c r="Q448" s="207"/>
      <c r="R448" s="207"/>
      <c r="S448" s="208"/>
      <c r="T448" s="208"/>
      <c r="U448" s="208"/>
      <c r="V448" s="207"/>
      <c r="W448" s="207"/>
      <c r="X448" s="207"/>
      <c r="Y448" s="209"/>
      <c r="Z448" s="210"/>
      <c r="AA448" s="210"/>
      <c r="AB448" s="210"/>
      <c r="AC448" s="210"/>
      <c r="AD448" s="210"/>
      <c r="AE448" s="207"/>
      <c r="AF448" s="209"/>
      <c r="AG448" s="211"/>
      <c r="AH448"/>
      <c r="AI448"/>
    </row>
    <row r="449" spans="1:35" x14ac:dyDescent="0.3">
      <c r="A449"/>
      <c r="B449"/>
      <c r="C449"/>
      <c r="D449"/>
      <c r="E449"/>
      <c r="F449"/>
      <c r="G449"/>
      <c r="H449"/>
      <c r="I449"/>
      <c r="J449"/>
      <c r="K449"/>
      <c r="L449"/>
      <c r="M449"/>
      <c r="N449"/>
      <c r="O449"/>
      <c r="P449" s="207"/>
      <c r="Q449" s="207"/>
      <c r="R449" s="207"/>
      <c r="S449" s="208"/>
      <c r="T449" s="208"/>
      <c r="U449" s="208"/>
      <c r="V449" s="207"/>
      <c r="W449" s="207"/>
      <c r="X449" s="207"/>
      <c r="Y449" s="209"/>
      <c r="Z449" s="210"/>
      <c r="AA449" s="210"/>
      <c r="AB449" s="210"/>
      <c r="AC449" s="210"/>
      <c r="AD449" s="210"/>
      <c r="AE449" s="207"/>
      <c r="AF449" s="209"/>
      <c r="AG449" s="211"/>
      <c r="AH449"/>
      <c r="AI449"/>
    </row>
    <row r="450" spans="1:35" x14ac:dyDescent="0.3">
      <c r="A450"/>
      <c r="B450"/>
      <c r="C450"/>
      <c r="D450"/>
      <c r="E450"/>
      <c r="F450"/>
      <c r="G450"/>
      <c r="H450"/>
      <c r="I450"/>
      <c r="J450"/>
      <c r="K450"/>
      <c r="L450"/>
      <c r="M450"/>
      <c r="N450"/>
      <c r="O450"/>
      <c r="P450" s="207"/>
      <c r="Q450" s="207"/>
      <c r="R450" s="207"/>
      <c r="S450" s="208"/>
      <c r="T450" s="208"/>
      <c r="U450" s="208"/>
      <c r="V450" s="207"/>
      <c r="W450" s="207"/>
      <c r="X450" s="207"/>
      <c r="Y450" s="209"/>
      <c r="Z450" s="210"/>
      <c r="AA450" s="210"/>
      <c r="AB450" s="210"/>
      <c r="AC450" s="210"/>
      <c r="AD450" s="210"/>
      <c r="AE450" s="207"/>
      <c r="AF450" s="209"/>
      <c r="AG450" s="211"/>
      <c r="AH450"/>
      <c r="AI450"/>
    </row>
    <row r="451" spans="1:35" x14ac:dyDescent="0.3">
      <c r="A451"/>
      <c r="B451"/>
      <c r="C451"/>
      <c r="D451"/>
      <c r="E451"/>
      <c r="F451"/>
      <c r="G451"/>
      <c r="H451"/>
      <c r="I451"/>
      <c r="J451"/>
      <c r="K451"/>
      <c r="L451"/>
      <c r="M451"/>
      <c r="N451"/>
      <c r="O451"/>
      <c r="P451" s="207"/>
      <c r="Q451" s="207"/>
      <c r="R451" s="207"/>
      <c r="S451" s="208"/>
      <c r="T451" s="208"/>
      <c r="U451" s="208"/>
      <c r="V451" s="207"/>
      <c r="W451" s="207"/>
      <c r="X451" s="207"/>
      <c r="Y451" s="209"/>
      <c r="Z451" s="210"/>
      <c r="AA451" s="210"/>
      <c r="AB451" s="210"/>
      <c r="AC451" s="210"/>
      <c r="AD451" s="210"/>
      <c r="AE451" s="207"/>
      <c r="AF451" s="209"/>
      <c r="AG451" s="211"/>
      <c r="AH451"/>
      <c r="AI451"/>
    </row>
    <row r="452" spans="1:35" x14ac:dyDescent="0.3">
      <c r="A452"/>
      <c r="B452"/>
      <c r="C452"/>
      <c r="D452"/>
      <c r="E452"/>
      <c r="F452"/>
      <c r="G452"/>
      <c r="H452"/>
      <c r="I452"/>
      <c r="J452"/>
      <c r="K452"/>
      <c r="L452"/>
      <c r="M452"/>
      <c r="N452"/>
      <c r="O452"/>
      <c r="P452" s="207"/>
      <c r="Q452" s="207"/>
      <c r="R452" s="207"/>
      <c r="S452" s="208"/>
      <c r="T452" s="208"/>
      <c r="U452" s="208"/>
      <c r="V452" s="207"/>
      <c r="W452" s="207"/>
      <c r="X452" s="207"/>
      <c r="Y452" s="209"/>
      <c r="Z452" s="210"/>
      <c r="AA452" s="210"/>
      <c r="AB452" s="210"/>
      <c r="AC452" s="210"/>
      <c r="AD452" s="210"/>
      <c r="AE452" s="207"/>
      <c r="AF452" s="209"/>
      <c r="AG452" s="211"/>
      <c r="AH452"/>
      <c r="AI452"/>
    </row>
    <row r="453" spans="1:35" x14ac:dyDescent="0.3">
      <c r="A453"/>
      <c r="B453"/>
      <c r="C453"/>
      <c r="D453"/>
      <c r="E453"/>
      <c r="F453"/>
      <c r="G453"/>
      <c r="H453"/>
      <c r="I453"/>
      <c r="J453"/>
      <c r="K453"/>
      <c r="L453"/>
      <c r="M453"/>
      <c r="N453"/>
      <c r="O453"/>
      <c r="P453" s="207"/>
      <c r="Q453" s="207"/>
      <c r="R453" s="207"/>
      <c r="S453" s="208"/>
      <c r="T453" s="208"/>
      <c r="U453" s="208"/>
      <c r="V453" s="207"/>
      <c r="W453" s="207"/>
      <c r="X453" s="207"/>
      <c r="Y453" s="209"/>
      <c r="Z453" s="210"/>
      <c r="AA453" s="210"/>
      <c r="AB453" s="210"/>
      <c r="AC453" s="210"/>
      <c r="AD453" s="210"/>
      <c r="AE453" s="207"/>
      <c r="AF453" s="209"/>
      <c r="AG453" s="211"/>
      <c r="AH453"/>
      <c r="AI453"/>
    </row>
    <row r="454" spans="1:35" x14ac:dyDescent="0.3">
      <c r="A454"/>
      <c r="B454"/>
      <c r="C454"/>
      <c r="D454"/>
      <c r="E454"/>
      <c r="F454"/>
      <c r="G454"/>
      <c r="H454"/>
      <c r="I454"/>
      <c r="J454"/>
      <c r="K454"/>
      <c r="L454"/>
      <c r="M454"/>
      <c r="N454"/>
      <c r="O454"/>
      <c r="P454" s="207"/>
      <c r="Q454" s="207"/>
      <c r="R454" s="207"/>
      <c r="S454" s="208"/>
      <c r="T454" s="208"/>
      <c r="U454" s="208"/>
      <c r="V454" s="207"/>
      <c r="W454" s="207"/>
      <c r="X454" s="207"/>
      <c r="Y454" s="209"/>
      <c r="Z454" s="210"/>
      <c r="AA454" s="210"/>
      <c r="AB454" s="210"/>
      <c r="AC454" s="210"/>
      <c r="AD454" s="210"/>
      <c r="AE454" s="207"/>
      <c r="AF454" s="209"/>
      <c r="AG454" s="211"/>
      <c r="AH454"/>
      <c r="AI454"/>
    </row>
    <row r="455" spans="1:35" x14ac:dyDescent="0.3">
      <c r="A455"/>
      <c r="B455"/>
      <c r="C455"/>
      <c r="D455"/>
      <c r="E455"/>
      <c r="F455"/>
      <c r="G455"/>
      <c r="H455"/>
      <c r="I455"/>
      <c r="J455"/>
      <c r="K455"/>
      <c r="L455"/>
      <c r="M455"/>
      <c r="N455"/>
      <c r="O455"/>
      <c r="P455" s="207"/>
      <c r="Q455" s="207"/>
      <c r="R455" s="207"/>
      <c r="S455" s="208"/>
      <c r="T455" s="208"/>
      <c r="U455" s="208"/>
      <c r="V455" s="207"/>
      <c r="W455" s="207"/>
      <c r="X455" s="207"/>
      <c r="Y455" s="209"/>
      <c r="Z455" s="210"/>
      <c r="AA455" s="210"/>
      <c r="AB455" s="210"/>
      <c r="AC455" s="210"/>
      <c r="AD455" s="210"/>
      <c r="AE455" s="207"/>
      <c r="AF455" s="209"/>
      <c r="AG455" s="211"/>
      <c r="AH455"/>
      <c r="AI455"/>
    </row>
    <row r="456" spans="1:35" x14ac:dyDescent="0.3">
      <c r="A456"/>
      <c r="B456"/>
      <c r="C456"/>
      <c r="D456"/>
      <c r="E456"/>
      <c r="F456"/>
      <c r="G456"/>
      <c r="H456"/>
      <c r="I456"/>
      <c r="J456"/>
      <c r="K456"/>
      <c r="L456"/>
      <c r="M456"/>
      <c r="N456"/>
      <c r="O456"/>
      <c r="P456" s="207"/>
      <c r="Q456" s="207"/>
      <c r="R456" s="207"/>
      <c r="S456" s="208"/>
      <c r="T456" s="208"/>
      <c r="U456" s="208"/>
      <c r="V456" s="207"/>
      <c r="W456" s="207"/>
      <c r="X456" s="207"/>
      <c r="Y456" s="209"/>
      <c r="Z456" s="210"/>
      <c r="AA456" s="210"/>
      <c r="AB456" s="210"/>
      <c r="AC456" s="210"/>
      <c r="AD456" s="210"/>
      <c r="AE456" s="207"/>
      <c r="AF456" s="209"/>
      <c r="AG456" s="211"/>
      <c r="AH456"/>
      <c r="AI456"/>
    </row>
    <row r="457" spans="1:35" x14ac:dyDescent="0.3">
      <c r="A457"/>
      <c r="B457"/>
      <c r="C457"/>
      <c r="D457"/>
      <c r="E457"/>
      <c r="F457"/>
      <c r="G457"/>
      <c r="H457"/>
      <c r="I457"/>
      <c r="J457"/>
      <c r="K457"/>
      <c r="L457"/>
      <c r="M457"/>
      <c r="N457"/>
      <c r="O457"/>
      <c r="P457" s="207"/>
      <c r="Q457" s="207"/>
      <c r="R457" s="207"/>
      <c r="S457" s="208"/>
      <c r="T457" s="208"/>
      <c r="U457" s="208"/>
      <c r="V457" s="207"/>
      <c r="W457" s="207"/>
      <c r="X457" s="207"/>
      <c r="Y457" s="209"/>
      <c r="Z457" s="210"/>
      <c r="AA457" s="210"/>
      <c r="AB457" s="210"/>
      <c r="AC457" s="210"/>
      <c r="AD457" s="210"/>
      <c r="AE457" s="207"/>
      <c r="AF457" s="209"/>
      <c r="AG457" s="211"/>
      <c r="AH457"/>
      <c r="AI457"/>
    </row>
    <row r="458" spans="1:35" x14ac:dyDescent="0.3">
      <c r="A458"/>
      <c r="B458"/>
      <c r="C458"/>
      <c r="D458"/>
      <c r="E458"/>
      <c r="F458"/>
      <c r="G458"/>
      <c r="H458"/>
      <c r="I458"/>
      <c r="J458"/>
      <c r="K458"/>
      <c r="L458"/>
      <c r="M458"/>
      <c r="N458"/>
      <c r="O458"/>
      <c r="P458" s="207"/>
      <c r="Q458" s="207"/>
      <c r="R458" s="207"/>
      <c r="S458" s="208"/>
      <c r="T458" s="208"/>
      <c r="U458" s="208"/>
      <c r="V458" s="207"/>
      <c r="W458" s="207"/>
      <c r="X458" s="207"/>
      <c r="Y458" s="209"/>
      <c r="Z458" s="210"/>
      <c r="AA458" s="210"/>
      <c r="AB458" s="210"/>
      <c r="AC458" s="210"/>
      <c r="AD458" s="210"/>
      <c r="AE458" s="207"/>
      <c r="AF458" s="209"/>
      <c r="AG458" s="211"/>
      <c r="AH458"/>
      <c r="AI458"/>
    </row>
    <row r="459" spans="1:35" x14ac:dyDescent="0.3">
      <c r="A459"/>
      <c r="B459"/>
      <c r="C459"/>
      <c r="D459"/>
      <c r="E459"/>
      <c r="F459"/>
      <c r="G459"/>
      <c r="H459"/>
      <c r="I459"/>
      <c r="J459"/>
      <c r="K459"/>
      <c r="L459"/>
      <c r="M459"/>
      <c r="N459"/>
      <c r="O459"/>
      <c r="P459" s="207"/>
      <c r="Q459" s="207"/>
      <c r="R459" s="207"/>
      <c r="S459" s="208"/>
      <c r="T459" s="208"/>
      <c r="U459" s="208"/>
      <c r="V459" s="207"/>
      <c r="W459" s="207"/>
      <c r="X459" s="207"/>
      <c r="Y459" s="209"/>
      <c r="Z459" s="210"/>
      <c r="AA459" s="210"/>
      <c r="AB459" s="210"/>
      <c r="AC459" s="210"/>
      <c r="AD459" s="210"/>
      <c r="AE459" s="207"/>
      <c r="AF459" s="209"/>
      <c r="AG459" s="211"/>
      <c r="AH459"/>
      <c r="AI459"/>
    </row>
    <row r="460" spans="1:35" x14ac:dyDescent="0.3">
      <c r="A460"/>
      <c r="B460"/>
      <c r="C460"/>
      <c r="D460"/>
      <c r="E460"/>
      <c r="F460"/>
      <c r="G460"/>
      <c r="H460"/>
      <c r="I460"/>
      <c r="J460"/>
      <c r="K460"/>
      <c r="L460"/>
      <c r="M460"/>
      <c r="N460"/>
      <c r="O460"/>
      <c r="P460" s="207"/>
      <c r="Q460" s="207"/>
      <c r="R460" s="207"/>
      <c r="S460" s="208"/>
      <c r="T460" s="208"/>
      <c r="U460" s="208"/>
      <c r="V460" s="207"/>
      <c r="W460" s="207"/>
      <c r="X460" s="207"/>
      <c r="Y460" s="209"/>
      <c r="Z460" s="210"/>
      <c r="AA460" s="210"/>
      <c r="AB460" s="210"/>
      <c r="AC460" s="210"/>
      <c r="AD460" s="210"/>
      <c r="AE460" s="207"/>
      <c r="AF460" s="209"/>
      <c r="AG460" s="211"/>
      <c r="AH460"/>
      <c r="AI460"/>
    </row>
    <row r="461" spans="1:35" x14ac:dyDescent="0.3">
      <c r="A461"/>
      <c r="B461"/>
      <c r="C461"/>
      <c r="D461"/>
      <c r="E461"/>
      <c r="F461"/>
      <c r="G461"/>
      <c r="H461"/>
      <c r="I461"/>
      <c r="J461"/>
      <c r="K461"/>
      <c r="L461"/>
      <c r="M461"/>
      <c r="N461"/>
      <c r="O461"/>
      <c r="P461" s="207"/>
      <c r="Q461" s="207"/>
      <c r="R461" s="207"/>
      <c r="S461" s="208"/>
      <c r="T461" s="208"/>
      <c r="U461" s="208"/>
      <c r="V461" s="207"/>
      <c r="W461" s="207"/>
      <c r="X461" s="207"/>
      <c r="Y461" s="209"/>
      <c r="Z461" s="210"/>
      <c r="AA461" s="210"/>
      <c r="AB461" s="210"/>
      <c r="AC461" s="210"/>
      <c r="AD461" s="210"/>
      <c r="AE461" s="207"/>
      <c r="AF461" s="209"/>
      <c r="AG461" s="211"/>
      <c r="AH461"/>
      <c r="AI461"/>
    </row>
    <row r="462" spans="1:35" x14ac:dyDescent="0.3">
      <c r="A462"/>
      <c r="B462"/>
      <c r="C462"/>
      <c r="D462"/>
      <c r="E462"/>
      <c r="F462"/>
      <c r="G462"/>
      <c r="H462"/>
      <c r="I462"/>
      <c r="J462"/>
      <c r="K462"/>
      <c r="L462"/>
      <c r="M462"/>
      <c r="N462"/>
      <c r="O462"/>
      <c r="P462" s="207"/>
      <c r="Q462" s="207"/>
      <c r="R462" s="207"/>
      <c r="S462" s="208"/>
      <c r="T462" s="208"/>
      <c r="U462" s="208"/>
      <c r="V462" s="207"/>
      <c r="W462" s="207"/>
      <c r="X462" s="207"/>
      <c r="Y462" s="209"/>
      <c r="Z462" s="210"/>
      <c r="AA462" s="210"/>
      <c r="AB462" s="210"/>
      <c r="AC462" s="210"/>
      <c r="AD462" s="210"/>
      <c r="AE462" s="207"/>
      <c r="AF462" s="209"/>
      <c r="AG462" s="211"/>
      <c r="AH462"/>
      <c r="AI462"/>
    </row>
    <row r="463" spans="1:35" x14ac:dyDescent="0.3">
      <c r="A463"/>
      <c r="B463"/>
      <c r="C463"/>
      <c r="D463"/>
      <c r="E463"/>
      <c r="F463"/>
      <c r="G463"/>
      <c r="H463"/>
      <c r="I463"/>
      <c r="J463"/>
      <c r="K463"/>
      <c r="L463"/>
      <c r="M463"/>
      <c r="N463"/>
      <c r="O463"/>
      <c r="P463" s="207"/>
      <c r="Q463" s="207"/>
      <c r="R463" s="207"/>
      <c r="S463" s="208"/>
      <c r="T463" s="208"/>
      <c r="U463" s="208"/>
      <c r="V463" s="207"/>
      <c r="W463" s="207"/>
      <c r="X463" s="207"/>
      <c r="Y463" s="209"/>
      <c r="Z463" s="210"/>
      <c r="AA463" s="210"/>
      <c r="AB463" s="210"/>
      <c r="AC463" s="210"/>
      <c r="AD463" s="210"/>
      <c r="AE463" s="207"/>
      <c r="AF463" s="209"/>
      <c r="AG463" s="211"/>
      <c r="AH463"/>
      <c r="AI463"/>
    </row>
    <row r="464" spans="1:35" x14ac:dyDescent="0.3">
      <c r="A464"/>
      <c r="B464"/>
      <c r="C464"/>
      <c r="D464"/>
      <c r="E464"/>
      <c r="F464"/>
      <c r="G464"/>
      <c r="H464"/>
      <c r="I464"/>
      <c r="J464"/>
      <c r="K464"/>
      <c r="L464"/>
      <c r="M464"/>
      <c r="N464"/>
      <c r="O464"/>
      <c r="P464" s="207"/>
      <c r="Q464" s="207"/>
      <c r="R464" s="207"/>
      <c r="S464" s="208"/>
      <c r="T464" s="208"/>
      <c r="U464" s="208"/>
      <c r="V464" s="207"/>
      <c r="W464" s="207"/>
      <c r="X464" s="207"/>
      <c r="Y464" s="209"/>
      <c r="Z464" s="210"/>
      <c r="AA464" s="210"/>
      <c r="AB464" s="210"/>
      <c r="AC464" s="210"/>
      <c r="AD464" s="210"/>
      <c r="AE464" s="207"/>
      <c r="AF464" s="209"/>
      <c r="AG464" s="211"/>
      <c r="AH464"/>
      <c r="AI464"/>
    </row>
    <row r="465" spans="1:35" x14ac:dyDescent="0.3">
      <c r="A465"/>
      <c r="B465"/>
      <c r="C465"/>
      <c r="D465"/>
      <c r="E465"/>
      <c r="F465"/>
      <c r="G465"/>
      <c r="H465"/>
      <c r="I465"/>
      <c r="J465"/>
      <c r="K465"/>
      <c r="L465"/>
      <c r="M465"/>
      <c r="N465"/>
      <c r="O465"/>
      <c r="P465" s="207"/>
      <c r="Q465" s="207"/>
      <c r="R465" s="207"/>
      <c r="S465" s="208"/>
      <c r="T465" s="208"/>
      <c r="U465" s="208"/>
      <c r="V465" s="207"/>
      <c r="W465" s="207"/>
      <c r="X465" s="207"/>
      <c r="Y465" s="209"/>
      <c r="Z465" s="210"/>
      <c r="AA465" s="210"/>
      <c r="AB465" s="210"/>
      <c r="AC465" s="210"/>
      <c r="AD465" s="210"/>
      <c r="AE465" s="207"/>
      <c r="AF465" s="209"/>
      <c r="AG465" s="211"/>
      <c r="AH465"/>
      <c r="AI465"/>
    </row>
    <row r="466" spans="1:35" x14ac:dyDescent="0.3">
      <c r="A466"/>
      <c r="B466"/>
      <c r="C466"/>
      <c r="D466"/>
      <c r="E466"/>
      <c r="F466"/>
      <c r="G466"/>
      <c r="H466"/>
      <c r="I466"/>
      <c r="J466"/>
      <c r="K466"/>
      <c r="L466"/>
      <c r="M466"/>
      <c r="N466"/>
      <c r="O466"/>
      <c r="P466" s="207"/>
      <c r="Q466" s="207"/>
      <c r="R466" s="207"/>
      <c r="S466" s="208"/>
      <c r="T466" s="208"/>
      <c r="U466" s="208"/>
      <c r="V466" s="207"/>
      <c r="W466" s="207"/>
      <c r="X466" s="207"/>
      <c r="Y466" s="209"/>
      <c r="Z466" s="210"/>
      <c r="AA466" s="210"/>
      <c r="AB466" s="210"/>
      <c r="AC466" s="210"/>
      <c r="AD466" s="210"/>
      <c r="AE466" s="207"/>
      <c r="AF466" s="209"/>
      <c r="AG466" s="211"/>
      <c r="AH466"/>
      <c r="AI466"/>
    </row>
    <row r="467" spans="1:35" x14ac:dyDescent="0.3">
      <c r="A467"/>
      <c r="B467"/>
      <c r="C467"/>
      <c r="D467"/>
      <c r="E467"/>
      <c r="F467"/>
      <c r="G467"/>
      <c r="H467"/>
      <c r="I467"/>
      <c r="J467"/>
      <c r="K467"/>
      <c r="L467"/>
      <c r="M467"/>
      <c r="N467"/>
      <c r="O467"/>
      <c r="P467" s="207"/>
      <c r="Q467" s="207"/>
      <c r="R467" s="207"/>
      <c r="S467" s="208"/>
      <c r="T467" s="208"/>
      <c r="U467" s="208"/>
      <c r="V467" s="207"/>
      <c r="W467" s="207"/>
      <c r="X467" s="207"/>
      <c r="Y467" s="209"/>
      <c r="Z467" s="210"/>
      <c r="AA467" s="210"/>
      <c r="AB467" s="210"/>
      <c r="AC467" s="210"/>
      <c r="AD467" s="210"/>
      <c r="AE467" s="207"/>
      <c r="AF467" s="209"/>
      <c r="AG467" s="211"/>
      <c r="AH467"/>
      <c r="AI467"/>
    </row>
    <row r="468" spans="1:35" x14ac:dyDescent="0.3">
      <c r="A468"/>
      <c r="B468"/>
      <c r="C468"/>
      <c r="D468"/>
      <c r="E468"/>
      <c r="F468"/>
      <c r="G468"/>
      <c r="H468"/>
      <c r="I468"/>
      <c r="J468"/>
      <c r="K468"/>
      <c r="L468"/>
      <c r="M468"/>
      <c r="N468"/>
      <c r="O468"/>
      <c r="P468" s="207"/>
      <c r="Q468" s="207"/>
      <c r="R468" s="207"/>
      <c r="S468" s="208"/>
      <c r="T468" s="208"/>
      <c r="U468" s="208"/>
      <c r="V468" s="207"/>
      <c r="W468" s="207"/>
      <c r="X468" s="207"/>
      <c r="Y468" s="209"/>
      <c r="Z468" s="210"/>
      <c r="AA468" s="210"/>
      <c r="AB468" s="210"/>
      <c r="AC468" s="210"/>
      <c r="AD468" s="210"/>
      <c r="AE468" s="207"/>
      <c r="AF468" s="209"/>
      <c r="AG468" s="211"/>
      <c r="AH468"/>
      <c r="AI468"/>
    </row>
    <row r="469" spans="1:35" x14ac:dyDescent="0.3">
      <c r="A469"/>
      <c r="B469"/>
      <c r="C469"/>
      <c r="D469"/>
      <c r="E469"/>
      <c r="F469"/>
      <c r="G469"/>
      <c r="H469"/>
      <c r="I469"/>
      <c r="J469"/>
      <c r="K469"/>
      <c r="L469"/>
      <c r="M469"/>
      <c r="N469"/>
      <c r="O469"/>
      <c r="P469" s="207"/>
      <c r="Q469" s="207"/>
      <c r="R469" s="207"/>
      <c r="S469" s="208"/>
      <c r="T469" s="208"/>
      <c r="U469" s="208"/>
      <c r="V469" s="207"/>
      <c r="W469" s="207"/>
      <c r="X469" s="207"/>
      <c r="Y469" s="209"/>
      <c r="Z469" s="210"/>
      <c r="AA469" s="210"/>
      <c r="AB469" s="210"/>
      <c r="AC469" s="210"/>
      <c r="AD469" s="210"/>
      <c r="AE469" s="207"/>
      <c r="AF469" s="209"/>
      <c r="AG469" s="211"/>
      <c r="AH469"/>
      <c r="AI469"/>
    </row>
    <row r="470" spans="1:35" x14ac:dyDescent="0.3">
      <c r="A470"/>
      <c r="B470"/>
      <c r="C470"/>
      <c r="D470"/>
      <c r="E470"/>
      <c r="F470"/>
      <c r="G470"/>
      <c r="H470"/>
      <c r="I470"/>
      <c r="J470"/>
      <c r="K470"/>
      <c r="L470"/>
      <c r="M470"/>
      <c r="N470"/>
      <c r="O470"/>
      <c r="P470" s="207"/>
      <c r="Q470" s="207"/>
      <c r="R470" s="207"/>
      <c r="S470" s="208"/>
      <c r="T470" s="208"/>
      <c r="U470" s="208"/>
      <c r="V470" s="207"/>
      <c r="W470" s="207"/>
      <c r="X470" s="207"/>
      <c r="Y470" s="209"/>
      <c r="Z470" s="210"/>
      <c r="AA470" s="210"/>
      <c r="AB470" s="210"/>
      <c r="AC470" s="210"/>
      <c r="AD470" s="210"/>
      <c r="AE470" s="207"/>
      <c r="AF470" s="209"/>
      <c r="AG470" s="211"/>
      <c r="AH470"/>
      <c r="AI470"/>
    </row>
    <row r="471" spans="1:35" x14ac:dyDescent="0.3">
      <c r="A471"/>
      <c r="B471"/>
      <c r="C471"/>
      <c r="D471"/>
      <c r="E471"/>
      <c r="F471"/>
      <c r="G471"/>
      <c r="H471"/>
      <c r="I471"/>
      <c r="J471"/>
      <c r="K471"/>
      <c r="L471"/>
      <c r="M471"/>
      <c r="N471"/>
      <c r="O471"/>
      <c r="P471" s="207"/>
      <c r="Q471" s="207"/>
      <c r="R471" s="207"/>
      <c r="S471" s="208"/>
      <c r="T471" s="208"/>
      <c r="U471" s="208"/>
      <c r="V471" s="207"/>
      <c r="W471" s="207"/>
      <c r="X471" s="207"/>
      <c r="Y471" s="209"/>
      <c r="Z471" s="210"/>
      <c r="AA471" s="210"/>
      <c r="AB471" s="210"/>
      <c r="AC471" s="210"/>
      <c r="AD471" s="210"/>
      <c r="AE471" s="207"/>
      <c r="AF471" s="209"/>
      <c r="AG471" s="211"/>
      <c r="AH471"/>
      <c r="AI471"/>
    </row>
    <row r="472" spans="1:35" x14ac:dyDescent="0.3">
      <c r="A472"/>
      <c r="B472"/>
      <c r="C472"/>
      <c r="D472"/>
      <c r="E472"/>
      <c r="F472"/>
      <c r="G472"/>
      <c r="H472"/>
      <c r="I472"/>
      <c r="J472"/>
      <c r="K472"/>
      <c r="L472"/>
      <c r="M472"/>
      <c r="N472"/>
      <c r="O472"/>
      <c r="P472" s="207"/>
      <c r="Q472" s="207"/>
      <c r="R472" s="207"/>
      <c r="S472" s="208"/>
      <c r="T472" s="208"/>
      <c r="U472" s="208"/>
      <c r="V472" s="207"/>
      <c r="W472" s="207"/>
      <c r="X472" s="207"/>
      <c r="Y472" s="209"/>
      <c r="Z472" s="210"/>
      <c r="AA472" s="210"/>
      <c r="AB472" s="210"/>
      <c r="AC472" s="210"/>
      <c r="AD472" s="210"/>
      <c r="AE472" s="207"/>
      <c r="AF472" s="209"/>
      <c r="AG472" s="211"/>
      <c r="AH472"/>
      <c r="AI472"/>
    </row>
    <row r="473" spans="1:35" x14ac:dyDescent="0.3">
      <c r="A473"/>
      <c r="B473"/>
      <c r="C473"/>
      <c r="D473"/>
      <c r="E473"/>
      <c r="F473"/>
      <c r="G473"/>
      <c r="H473"/>
      <c r="I473"/>
      <c r="J473"/>
      <c r="K473"/>
      <c r="L473"/>
      <c r="M473"/>
      <c r="N473"/>
      <c r="O473"/>
      <c r="P473" s="207"/>
      <c r="Q473" s="207"/>
      <c r="R473" s="207"/>
      <c r="S473" s="208"/>
      <c r="T473" s="208"/>
      <c r="U473" s="208"/>
      <c r="V473" s="207"/>
      <c r="W473" s="207"/>
      <c r="X473" s="207"/>
      <c r="Y473" s="209"/>
      <c r="Z473" s="210"/>
      <c r="AA473" s="210"/>
      <c r="AB473" s="210"/>
      <c r="AC473" s="210"/>
      <c r="AD473" s="210"/>
      <c r="AE473" s="207"/>
      <c r="AF473" s="209"/>
      <c r="AG473" s="211"/>
      <c r="AH473"/>
      <c r="AI473"/>
    </row>
    <row r="474" spans="1:35" x14ac:dyDescent="0.3">
      <c r="A474"/>
      <c r="B474"/>
      <c r="C474"/>
      <c r="D474"/>
      <c r="E474"/>
      <c r="F474"/>
      <c r="G474"/>
      <c r="H474"/>
      <c r="I474"/>
      <c r="J474"/>
      <c r="K474"/>
      <c r="L474"/>
      <c r="M474"/>
      <c r="N474"/>
      <c r="O474"/>
      <c r="P474" s="207"/>
      <c r="Q474" s="207"/>
      <c r="R474" s="207"/>
      <c r="S474" s="208"/>
      <c r="T474" s="208"/>
      <c r="U474" s="208"/>
      <c r="V474" s="207"/>
      <c r="W474" s="207"/>
      <c r="X474" s="207"/>
      <c r="Y474" s="209"/>
      <c r="Z474" s="210"/>
      <c r="AA474" s="210"/>
      <c r="AB474" s="210"/>
      <c r="AC474" s="210"/>
      <c r="AD474" s="210"/>
      <c r="AE474" s="207"/>
      <c r="AF474" s="209"/>
      <c r="AG474" s="211"/>
      <c r="AH474"/>
      <c r="AI474"/>
    </row>
    <row r="475" spans="1:35" x14ac:dyDescent="0.3">
      <c r="A475"/>
      <c r="B475"/>
      <c r="C475"/>
      <c r="D475"/>
      <c r="E475"/>
      <c r="F475"/>
      <c r="G475"/>
      <c r="H475"/>
      <c r="I475"/>
      <c r="J475"/>
      <c r="K475"/>
      <c r="L475"/>
      <c r="M475"/>
      <c r="N475"/>
      <c r="O475"/>
      <c r="P475" s="207"/>
      <c r="Q475" s="207"/>
      <c r="R475" s="207"/>
      <c r="S475" s="208"/>
      <c r="T475" s="208"/>
      <c r="U475" s="208"/>
      <c r="V475" s="207"/>
      <c r="W475" s="207"/>
      <c r="X475" s="207"/>
      <c r="Y475" s="209"/>
      <c r="Z475" s="210"/>
      <c r="AA475" s="210"/>
      <c r="AB475" s="210"/>
      <c r="AC475" s="210"/>
      <c r="AD475" s="210"/>
      <c r="AE475" s="207"/>
      <c r="AF475" s="209"/>
      <c r="AG475" s="211"/>
      <c r="AH475"/>
      <c r="AI475"/>
    </row>
    <row r="476" spans="1:35" x14ac:dyDescent="0.3">
      <c r="A476"/>
      <c r="B476"/>
      <c r="C476"/>
      <c r="D476"/>
      <c r="E476"/>
      <c r="F476"/>
      <c r="G476"/>
      <c r="H476"/>
      <c r="I476"/>
      <c r="J476"/>
      <c r="K476"/>
      <c r="L476"/>
      <c r="M476"/>
      <c r="N476"/>
      <c r="O476"/>
      <c r="P476" s="207"/>
      <c r="Q476" s="207"/>
      <c r="R476" s="207"/>
      <c r="S476" s="208"/>
      <c r="T476" s="208"/>
      <c r="U476" s="208"/>
      <c r="V476" s="207"/>
      <c r="W476" s="207"/>
      <c r="X476" s="207"/>
      <c r="Y476" s="209"/>
      <c r="Z476" s="210"/>
      <c r="AA476" s="210"/>
      <c r="AB476" s="210"/>
      <c r="AC476" s="210"/>
      <c r="AD476" s="210"/>
      <c r="AE476" s="207"/>
      <c r="AF476" s="209"/>
      <c r="AG476" s="211"/>
      <c r="AH476"/>
      <c r="AI476"/>
    </row>
    <row r="477" spans="1:35" x14ac:dyDescent="0.3">
      <c r="A477"/>
      <c r="B477"/>
      <c r="C477"/>
      <c r="D477"/>
      <c r="E477"/>
      <c r="F477"/>
      <c r="G477"/>
      <c r="H477"/>
      <c r="I477"/>
      <c r="J477"/>
      <c r="K477"/>
      <c r="L477"/>
      <c r="M477"/>
      <c r="N477"/>
      <c r="O477"/>
      <c r="P477" s="207"/>
      <c r="Q477" s="207"/>
      <c r="R477" s="207"/>
      <c r="S477" s="208"/>
      <c r="T477" s="208"/>
      <c r="U477" s="208"/>
      <c r="V477" s="207"/>
      <c r="W477" s="207"/>
      <c r="X477" s="207"/>
      <c r="Y477" s="209"/>
      <c r="Z477" s="210"/>
      <c r="AA477" s="210"/>
      <c r="AB477" s="210"/>
      <c r="AC477" s="210"/>
      <c r="AD477" s="210"/>
      <c r="AE477" s="207"/>
      <c r="AF477" s="209"/>
      <c r="AG477" s="211"/>
      <c r="AH477"/>
      <c r="AI477"/>
    </row>
    <row r="478" spans="1:35" x14ac:dyDescent="0.3">
      <c r="A478"/>
      <c r="B478"/>
      <c r="C478"/>
      <c r="D478"/>
      <c r="E478"/>
      <c r="F478"/>
      <c r="G478"/>
      <c r="H478"/>
      <c r="I478"/>
      <c r="J478"/>
      <c r="K478"/>
      <c r="L478"/>
      <c r="M478"/>
      <c r="N478"/>
      <c r="O478"/>
      <c r="P478" s="207"/>
      <c r="Q478" s="207"/>
      <c r="R478" s="207"/>
      <c r="S478" s="208"/>
      <c r="T478" s="208"/>
      <c r="U478" s="208"/>
      <c r="V478" s="207"/>
      <c r="W478" s="207"/>
      <c r="X478" s="207"/>
      <c r="Y478" s="209"/>
      <c r="Z478" s="210"/>
      <c r="AA478" s="210"/>
      <c r="AB478" s="210"/>
      <c r="AC478" s="210"/>
      <c r="AD478" s="210"/>
      <c r="AE478" s="207"/>
      <c r="AF478" s="209"/>
      <c r="AG478" s="211"/>
      <c r="AH478"/>
      <c r="AI478"/>
    </row>
    <row r="479" spans="1:35" x14ac:dyDescent="0.3">
      <c r="A479"/>
      <c r="B479"/>
      <c r="C479"/>
      <c r="D479"/>
      <c r="E479"/>
      <c r="F479"/>
      <c r="G479"/>
      <c r="H479"/>
      <c r="I479"/>
      <c r="J479"/>
      <c r="K479"/>
      <c r="L479"/>
      <c r="M479"/>
      <c r="N479"/>
      <c r="O479"/>
      <c r="P479" s="207"/>
      <c r="Q479" s="207"/>
      <c r="R479" s="207"/>
      <c r="S479" s="208"/>
      <c r="T479" s="208"/>
      <c r="U479" s="208"/>
      <c r="V479" s="207"/>
      <c r="W479" s="207"/>
      <c r="X479" s="207"/>
      <c r="Y479" s="209"/>
      <c r="Z479" s="210"/>
      <c r="AA479" s="210"/>
      <c r="AB479" s="210"/>
      <c r="AC479" s="210"/>
      <c r="AD479" s="210"/>
      <c r="AE479" s="207"/>
      <c r="AF479" s="209"/>
      <c r="AG479" s="211"/>
      <c r="AH479"/>
      <c r="AI479"/>
    </row>
    <row r="480" spans="1:35" x14ac:dyDescent="0.3">
      <c r="A480"/>
      <c r="B480"/>
      <c r="C480"/>
      <c r="D480"/>
      <c r="E480"/>
      <c r="F480"/>
      <c r="G480"/>
      <c r="H480"/>
      <c r="I480"/>
      <c r="J480"/>
      <c r="K480"/>
      <c r="L480"/>
      <c r="M480"/>
      <c r="N480"/>
      <c r="O480"/>
      <c r="P480" s="207"/>
      <c r="Q480" s="207"/>
      <c r="R480" s="207"/>
      <c r="S480" s="208"/>
      <c r="T480" s="208"/>
      <c r="U480" s="208"/>
      <c r="V480" s="207"/>
      <c r="W480" s="207"/>
      <c r="X480" s="207"/>
      <c r="Y480" s="209"/>
      <c r="Z480" s="210"/>
      <c r="AA480" s="210"/>
      <c r="AB480" s="210"/>
      <c r="AC480" s="210"/>
      <c r="AD480" s="210"/>
      <c r="AE480" s="207"/>
      <c r="AF480" s="209"/>
      <c r="AG480" s="211"/>
      <c r="AH480"/>
      <c r="AI480"/>
    </row>
    <row r="481" spans="1:35" x14ac:dyDescent="0.3">
      <c r="A481"/>
      <c r="B481"/>
      <c r="C481"/>
      <c r="D481"/>
      <c r="E481"/>
      <c r="F481"/>
      <c r="G481"/>
      <c r="H481"/>
      <c r="I481"/>
      <c r="J481"/>
      <c r="K481"/>
      <c r="L481"/>
      <c r="M481"/>
      <c r="N481"/>
      <c r="O481"/>
      <c r="P481" s="207"/>
      <c r="Q481" s="207"/>
      <c r="R481" s="207"/>
      <c r="S481" s="208"/>
      <c r="T481" s="208"/>
      <c r="U481" s="208"/>
      <c r="V481" s="207"/>
      <c r="W481" s="207"/>
      <c r="X481" s="207"/>
      <c r="Y481" s="209"/>
      <c r="Z481" s="210"/>
      <c r="AA481" s="210"/>
      <c r="AB481" s="210"/>
      <c r="AC481" s="210"/>
      <c r="AD481" s="210"/>
      <c r="AE481" s="207"/>
      <c r="AF481" s="209"/>
      <c r="AG481" s="211"/>
      <c r="AH481"/>
      <c r="AI481"/>
    </row>
    <row r="482" spans="1:35" x14ac:dyDescent="0.3">
      <c r="A482"/>
      <c r="B482"/>
      <c r="C482"/>
      <c r="D482"/>
      <c r="E482"/>
      <c r="F482"/>
      <c r="G482"/>
      <c r="H482"/>
      <c r="I482"/>
      <c r="J482"/>
      <c r="K482"/>
      <c r="L482"/>
      <c r="M482"/>
      <c r="N482"/>
      <c r="O482"/>
      <c r="P482" s="207"/>
      <c r="Q482" s="207"/>
      <c r="R482" s="207"/>
      <c r="S482" s="208"/>
      <c r="T482" s="208"/>
      <c r="U482" s="208"/>
      <c r="V482" s="207"/>
      <c r="W482" s="207"/>
      <c r="X482" s="207"/>
      <c r="Y482" s="209"/>
      <c r="Z482" s="210"/>
      <c r="AA482" s="210"/>
      <c r="AB482" s="210"/>
      <c r="AC482" s="210"/>
      <c r="AD482" s="210"/>
      <c r="AE482" s="207"/>
      <c r="AF482" s="209"/>
      <c r="AG482" s="211"/>
      <c r="AH482"/>
      <c r="AI482"/>
    </row>
    <row r="483" spans="1:35" x14ac:dyDescent="0.3">
      <c r="A483"/>
      <c r="B483"/>
      <c r="C483"/>
      <c r="D483"/>
      <c r="E483"/>
      <c r="F483"/>
      <c r="G483"/>
      <c r="H483"/>
      <c r="I483"/>
      <c r="J483"/>
      <c r="K483"/>
      <c r="L483"/>
      <c r="M483"/>
      <c r="N483"/>
      <c r="O483"/>
      <c r="P483" s="207"/>
      <c r="Q483" s="207"/>
      <c r="R483" s="207"/>
      <c r="S483" s="208"/>
      <c r="T483" s="208"/>
      <c r="U483" s="208"/>
      <c r="V483" s="207"/>
      <c r="W483" s="207"/>
      <c r="X483" s="207"/>
      <c r="Y483" s="209"/>
      <c r="Z483" s="210"/>
      <c r="AA483" s="210"/>
      <c r="AB483" s="210"/>
      <c r="AC483" s="210"/>
      <c r="AD483" s="210"/>
      <c r="AE483" s="207"/>
      <c r="AF483" s="209"/>
      <c r="AG483" s="211"/>
      <c r="AH483"/>
      <c r="AI483"/>
    </row>
    <row r="484" spans="1:35" x14ac:dyDescent="0.3">
      <c r="A484"/>
      <c r="B484"/>
      <c r="C484"/>
      <c r="D484"/>
      <c r="E484"/>
      <c r="F484"/>
      <c r="G484"/>
      <c r="H484"/>
      <c r="I484"/>
      <c r="J484"/>
      <c r="K484"/>
      <c r="L484"/>
      <c r="M484"/>
      <c r="N484"/>
      <c r="O484"/>
      <c r="P484" s="207"/>
      <c r="Q484" s="207"/>
      <c r="R484" s="207"/>
      <c r="S484" s="208"/>
      <c r="T484" s="208"/>
      <c r="U484" s="208"/>
      <c r="V484" s="207"/>
      <c r="W484" s="207"/>
      <c r="X484" s="207"/>
      <c r="Y484" s="209"/>
      <c r="Z484" s="210"/>
      <c r="AA484" s="210"/>
      <c r="AB484" s="210"/>
      <c r="AC484" s="210"/>
      <c r="AD484" s="210"/>
      <c r="AE484" s="207"/>
      <c r="AF484" s="209"/>
      <c r="AG484" s="211"/>
      <c r="AH484"/>
      <c r="AI484"/>
    </row>
    <row r="485" spans="1:35" x14ac:dyDescent="0.3">
      <c r="A485"/>
      <c r="B485"/>
      <c r="C485"/>
      <c r="D485"/>
      <c r="E485"/>
      <c r="F485"/>
      <c r="G485"/>
      <c r="H485"/>
      <c r="I485"/>
      <c r="J485"/>
      <c r="K485"/>
      <c r="L485"/>
      <c r="M485"/>
      <c r="N485"/>
      <c r="O485"/>
      <c r="P485" s="207"/>
      <c r="Q485" s="207"/>
      <c r="R485" s="207"/>
      <c r="S485" s="208"/>
      <c r="T485" s="208"/>
      <c r="U485" s="208"/>
      <c r="V485" s="207"/>
      <c r="W485" s="207"/>
      <c r="X485" s="207"/>
      <c r="Y485" s="209"/>
      <c r="Z485" s="210"/>
      <c r="AA485" s="210"/>
      <c r="AB485" s="210"/>
      <c r="AC485" s="210"/>
      <c r="AD485" s="210"/>
      <c r="AE485" s="207"/>
      <c r="AF485" s="209"/>
      <c r="AG485" s="211"/>
      <c r="AH485"/>
      <c r="AI485"/>
    </row>
    <row r="486" spans="1:35" x14ac:dyDescent="0.3">
      <c r="A486"/>
      <c r="B486"/>
      <c r="C486"/>
      <c r="D486"/>
      <c r="E486"/>
      <c r="F486"/>
      <c r="G486"/>
      <c r="H486"/>
      <c r="I486"/>
      <c r="J486"/>
      <c r="K486"/>
      <c r="L486"/>
      <c r="M486"/>
      <c r="N486"/>
      <c r="O486"/>
      <c r="P486" s="207"/>
      <c r="Q486" s="207"/>
      <c r="R486" s="207"/>
      <c r="S486" s="208"/>
      <c r="T486" s="208"/>
      <c r="U486" s="208"/>
      <c r="V486" s="207"/>
      <c r="W486" s="207"/>
      <c r="X486" s="207"/>
      <c r="Y486" s="209"/>
      <c r="Z486" s="210"/>
      <c r="AA486" s="210"/>
      <c r="AB486" s="210"/>
      <c r="AC486" s="210"/>
      <c r="AD486" s="210"/>
      <c r="AE486" s="207"/>
      <c r="AF486" s="209"/>
      <c r="AG486" s="211"/>
      <c r="AH486"/>
      <c r="AI486"/>
    </row>
    <row r="487" spans="1:35" x14ac:dyDescent="0.3">
      <c r="A487"/>
      <c r="B487"/>
      <c r="C487"/>
      <c r="D487"/>
      <c r="E487"/>
      <c r="F487"/>
      <c r="G487"/>
      <c r="H487"/>
      <c r="I487"/>
      <c r="J487"/>
      <c r="K487"/>
      <c r="L487"/>
      <c r="M487"/>
      <c r="N487"/>
      <c r="O487"/>
      <c r="P487" s="207"/>
      <c r="Q487" s="207"/>
      <c r="R487" s="207"/>
      <c r="S487" s="208"/>
      <c r="T487" s="208"/>
      <c r="U487" s="208"/>
      <c r="V487" s="207"/>
      <c r="W487" s="207"/>
      <c r="X487" s="207"/>
      <c r="Y487" s="209"/>
      <c r="Z487" s="210"/>
      <c r="AA487" s="210"/>
      <c r="AB487" s="210"/>
      <c r="AC487" s="210"/>
      <c r="AD487" s="210"/>
      <c r="AE487" s="207"/>
      <c r="AF487" s="209"/>
      <c r="AG487" s="211"/>
      <c r="AH487"/>
      <c r="AI487"/>
    </row>
    <row r="488" spans="1:35" x14ac:dyDescent="0.3">
      <c r="A488"/>
      <c r="B488"/>
      <c r="C488"/>
      <c r="D488"/>
      <c r="E488"/>
      <c r="F488"/>
      <c r="G488"/>
      <c r="H488"/>
      <c r="I488"/>
      <c r="J488"/>
      <c r="K488"/>
      <c r="L488"/>
      <c r="M488"/>
      <c r="N488"/>
      <c r="O488"/>
      <c r="P488" s="207"/>
      <c r="Q488" s="207"/>
      <c r="R488" s="207"/>
      <c r="S488" s="208"/>
      <c r="T488" s="208"/>
      <c r="U488" s="208"/>
      <c r="V488" s="207"/>
      <c r="W488" s="207"/>
      <c r="X488" s="207"/>
      <c r="Y488" s="209"/>
      <c r="Z488" s="210"/>
      <c r="AA488" s="210"/>
      <c r="AB488" s="210"/>
      <c r="AC488" s="210"/>
      <c r="AD488" s="210"/>
      <c r="AE488" s="207"/>
      <c r="AF488" s="209"/>
      <c r="AG488" s="211"/>
      <c r="AH488"/>
      <c r="AI488"/>
    </row>
    <row r="489" spans="1:35" x14ac:dyDescent="0.3">
      <c r="A489"/>
      <c r="B489"/>
      <c r="C489"/>
      <c r="D489"/>
      <c r="E489"/>
      <c r="F489"/>
      <c r="G489"/>
      <c r="H489"/>
      <c r="I489"/>
      <c r="J489"/>
      <c r="K489"/>
      <c r="L489"/>
      <c r="M489"/>
      <c r="N489"/>
      <c r="O489"/>
      <c r="P489" s="207"/>
      <c r="Q489" s="207"/>
      <c r="R489" s="207"/>
      <c r="S489" s="208"/>
      <c r="T489" s="208"/>
      <c r="U489" s="208"/>
      <c r="V489" s="207"/>
      <c r="W489" s="207"/>
      <c r="X489" s="207"/>
      <c r="Y489" s="209"/>
      <c r="Z489" s="210"/>
      <c r="AA489" s="210"/>
      <c r="AB489" s="210"/>
      <c r="AC489" s="210"/>
      <c r="AD489" s="210"/>
      <c r="AE489" s="207"/>
      <c r="AF489" s="209"/>
      <c r="AG489" s="211"/>
      <c r="AH489"/>
      <c r="AI489"/>
    </row>
    <row r="490" spans="1:35" x14ac:dyDescent="0.3">
      <c r="A490"/>
      <c r="B490"/>
      <c r="C490"/>
      <c r="D490"/>
      <c r="E490"/>
      <c r="F490"/>
      <c r="G490"/>
      <c r="H490"/>
      <c r="I490"/>
      <c r="J490"/>
      <c r="K490"/>
      <c r="L490"/>
      <c r="M490"/>
      <c r="N490"/>
      <c r="O490"/>
      <c r="P490" s="207"/>
      <c r="Q490" s="207"/>
      <c r="R490" s="207"/>
      <c r="S490" s="208"/>
      <c r="T490" s="208"/>
      <c r="U490" s="208"/>
      <c r="V490" s="207"/>
      <c r="W490" s="207"/>
      <c r="X490" s="207"/>
      <c r="Y490" s="209"/>
      <c r="Z490" s="210"/>
      <c r="AA490" s="210"/>
      <c r="AB490" s="210"/>
      <c r="AC490" s="210"/>
      <c r="AD490" s="210"/>
      <c r="AE490" s="207"/>
      <c r="AF490" s="209"/>
      <c r="AG490" s="211"/>
      <c r="AH490"/>
      <c r="AI490"/>
    </row>
    <row r="491" spans="1:35" x14ac:dyDescent="0.3">
      <c r="A491"/>
      <c r="B491"/>
      <c r="C491"/>
      <c r="D491"/>
      <c r="E491"/>
      <c r="F491"/>
      <c r="G491"/>
      <c r="H491"/>
      <c r="I491"/>
      <c r="J491"/>
      <c r="K491"/>
      <c r="L491"/>
      <c r="M491"/>
      <c r="N491"/>
      <c r="O491"/>
      <c r="P491" s="207"/>
      <c r="Q491" s="207"/>
      <c r="R491" s="207"/>
      <c r="S491" s="208"/>
      <c r="T491" s="208"/>
      <c r="U491" s="208"/>
      <c r="V491" s="207"/>
      <c r="W491" s="207"/>
      <c r="X491" s="207"/>
      <c r="Y491" s="209"/>
      <c r="Z491" s="210"/>
      <c r="AA491" s="210"/>
      <c r="AB491" s="210"/>
      <c r="AC491" s="210"/>
      <c r="AD491" s="210"/>
      <c r="AE491" s="207"/>
      <c r="AF491" s="209"/>
      <c r="AG491" s="211"/>
      <c r="AH491"/>
      <c r="AI491"/>
    </row>
    <row r="492" spans="1:35" x14ac:dyDescent="0.3">
      <c r="A492"/>
      <c r="B492"/>
      <c r="C492"/>
      <c r="D492"/>
      <c r="E492"/>
      <c r="F492"/>
      <c r="G492"/>
      <c r="H492"/>
      <c r="I492"/>
      <c r="J492"/>
      <c r="K492"/>
      <c r="L492"/>
      <c r="M492"/>
      <c r="N492"/>
      <c r="O492"/>
      <c r="P492" s="207"/>
      <c r="Q492" s="207"/>
      <c r="R492" s="207"/>
      <c r="S492" s="208"/>
      <c r="T492" s="208"/>
      <c r="U492" s="208"/>
      <c r="V492" s="207"/>
      <c r="W492" s="207"/>
      <c r="X492" s="207"/>
      <c r="Y492" s="209"/>
      <c r="Z492" s="210"/>
      <c r="AA492" s="210"/>
      <c r="AB492" s="210"/>
      <c r="AC492" s="210"/>
      <c r="AD492" s="210"/>
      <c r="AE492" s="207"/>
      <c r="AF492" s="209"/>
      <c r="AG492" s="211"/>
      <c r="AH492"/>
      <c r="AI492"/>
    </row>
    <row r="493" spans="1:35" x14ac:dyDescent="0.3">
      <c r="A493"/>
      <c r="B493"/>
      <c r="C493"/>
      <c r="D493"/>
      <c r="E493"/>
      <c r="F493"/>
      <c r="G493"/>
      <c r="H493"/>
      <c r="I493"/>
      <c r="J493"/>
      <c r="K493"/>
      <c r="L493"/>
      <c r="M493"/>
      <c r="N493"/>
      <c r="O493"/>
      <c r="P493" s="207"/>
      <c r="Q493" s="207"/>
      <c r="R493" s="207"/>
      <c r="S493" s="208"/>
      <c r="T493" s="208"/>
      <c r="U493" s="208"/>
      <c r="V493" s="207"/>
      <c r="W493" s="207"/>
      <c r="X493" s="207"/>
      <c r="Y493" s="209"/>
      <c r="Z493" s="210"/>
      <c r="AA493" s="210"/>
      <c r="AB493" s="210"/>
      <c r="AC493" s="210"/>
      <c r="AD493" s="210"/>
      <c r="AE493" s="207"/>
      <c r="AF493" s="209"/>
      <c r="AG493" s="211"/>
      <c r="AH493"/>
      <c r="AI493"/>
    </row>
    <row r="494" spans="1:35" x14ac:dyDescent="0.3">
      <c r="A494"/>
      <c r="B494"/>
      <c r="C494"/>
      <c r="D494"/>
      <c r="E494"/>
      <c r="F494"/>
      <c r="G494"/>
      <c r="H494"/>
      <c r="I494"/>
      <c r="J494"/>
      <c r="K494"/>
      <c r="L494"/>
      <c r="M494"/>
      <c r="N494"/>
      <c r="O494"/>
      <c r="P494" s="207"/>
      <c r="Q494" s="207"/>
      <c r="R494" s="207"/>
      <c r="S494" s="208"/>
      <c r="T494" s="208"/>
      <c r="U494" s="208"/>
      <c r="V494" s="207"/>
      <c r="W494" s="207"/>
      <c r="X494" s="207"/>
      <c r="Y494" s="209"/>
      <c r="Z494" s="210"/>
      <c r="AA494" s="210"/>
      <c r="AB494" s="210"/>
      <c r="AC494" s="210"/>
      <c r="AD494" s="210"/>
      <c r="AE494" s="207"/>
      <c r="AF494" s="209"/>
      <c r="AG494" s="211"/>
      <c r="AH494"/>
      <c r="AI494"/>
    </row>
    <row r="495" spans="1:35" x14ac:dyDescent="0.3">
      <c r="A495"/>
      <c r="B495"/>
      <c r="C495"/>
      <c r="D495"/>
      <c r="E495"/>
      <c r="F495"/>
      <c r="G495"/>
      <c r="H495"/>
      <c r="I495"/>
      <c r="J495"/>
      <c r="K495"/>
      <c r="L495"/>
      <c r="M495"/>
      <c r="N495"/>
      <c r="O495"/>
      <c r="P495" s="207"/>
      <c r="Q495" s="207"/>
      <c r="R495" s="207"/>
      <c r="S495" s="208"/>
      <c r="T495" s="208"/>
      <c r="U495" s="208"/>
      <c r="V495" s="207"/>
      <c r="W495" s="207"/>
      <c r="X495" s="207"/>
      <c r="Y495" s="209"/>
      <c r="Z495" s="210"/>
      <c r="AA495" s="210"/>
      <c r="AB495" s="210"/>
      <c r="AC495" s="210"/>
      <c r="AD495" s="210"/>
      <c r="AE495" s="207"/>
      <c r="AF495" s="209"/>
      <c r="AG495" s="211"/>
      <c r="AH495"/>
      <c r="AI495"/>
    </row>
    <row r="496" spans="1:35" x14ac:dyDescent="0.3">
      <c r="A496"/>
      <c r="B496"/>
      <c r="C496"/>
      <c r="D496"/>
      <c r="E496"/>
      <c r="F496"/>
      <c r="G496"/>
      <c r="H496"/>
      <c r="I496"/>
      <c r="J496"/>
      <c r="K496"/>
      <c r="L496"/>
      <c r="M496"/>
      <c r="N496"/>
      <c r="O496"/>
      <c r="P496" s="207"/>
      <c r="Q496" s="207"/>
      <c r="R496" s="207"/>
      <c r="S496" s="208"/>
      <c r="T496" s="208"/>
      <c r="U496" s="208"/>
      <c r="V496" s="207"/>
      <c r="W496" s="207"/>
      <c r="X496" s="207"/>
      <c r="Y496" s="209"/>
      <c r="Z496" s="210"/>
      <c r="AA496" s="210"/>
      <c r="AB496" s="210"/>
      <c r="AC496" s="210"/>
      <c r="AD496" s="210"/>
      <c r="AE496" s="207"/>
      <c r="AF496" s="209"/>
      <c r="AG496" s="211"/>
      <c r="AH496"/>
      <c r="AI496"/>
    </row>
    <row r="497" spans="1:35" x14ac:dyDescent="0.3">
      <c r="A497"/>
      <c r="B497"/>
      <c r="C497"/>
      <c r="D497"/>
      <c r="E497"/>
      <c r="F497"/>
      <c r="G497"/>
      <c r="H497"/>
      <c r="I497"/>
      <c r="J497"/>
      <c r="K497"/>
      <c r="L497"/>
      <c r="M497"/>
      <c r="N497"/>
      <c r="O497"/>
      <c r="P497" s="207"/>
      <c r="Q497" s="207"/>
      <c r="R497" s="207"/>
      <c r="S497" s="208"/>
      <c r="T497" s="208"/>
      <c r="U497" s="208"/>
      <c r="V497" s="207"/>
      <c r="W497" s="207"/>
      <c r="X497" s="207"/>
      <c r="Y497" s="209"/>
      <c r="Z497" s="210"/>
      <c r="AA497" s="210"/>
      <c r="AB497" s="210"/>
      <c r="AC497" s="210"/>
      <c r="AD497" s="210"/>
      <c r="AE497" s="207"/>
      <c r="AF497" s="209"/>
      <c r="AG497" s="211"/>
      <c r="AH497"/>
      <c r="AI497"/>
    </row>
    <row r="498" spans="1:35" x14ac:dyDescent="0.3">
      <c r="A498"/>
      <c r="B498"/>
      <c r="C498"/>
      <c r="D498"/>
      <c r="E498"/>
      <c r="F498"/>
      <c r="G498"/>
      <c r="H498"/>
      <c r="I498"/>
      <c r="J498"/>
      <c r="K498"/>
      <c r="L498"/>
      <c r="M498"/>
      <c r="N498"/>
      <c r="O498"/>
      <c r="P498" s="207"/>
      <c r="Q498" s="207"/>
      <c r="R498" s="207"/>
      <c r="S498" s="208"/>
      <c r="T498" s="208"/>
      <c r="U498" s="208"/>
      <c r="V498" s="207"/>
      <c r="W498" s="207"/>
      <c r="X498" s="207"/>
      <c r="Y498" s="209"/>
      <c r="Z498" s="210"/>
      <c r="AA498" s="210"/>
      <c r="AB498" s="210"/>
      <c r="AC498" s="210"/>
      <c r="AD498" s="210"/>
      <c r="AE498" s="207"/>
      <c r="AF498" s="209"/>
      <c r="AG498" s="211"/>
      <c r="AH498"/>
      <c r="AI498"/>
    </row>
    <row r="499" spans="1:35" x14ac:dyDescent="0.3">
      <c r="A499"/>
      <c r="B499"/>
      <c r="C499"/>
      <c r="D499"/>
      <c r="E499"/>
      <c r="F499"/>
      <c r="G499"/>
      <c r="H499"/>
      <c r="I499"/>
      <c r="J499"/>
      <c r="K499"/>
      <c r="L499"/>
      <c r="M499"/>
      <c r="N499"/>
      <c r="O499"/>
      <c r="P499" s="207"/>
      <c r="Q499" s="207"/>
      <c r="R499" s="207"/>
      <c r="S499" s="208"/>
      <c r="T499" s="208"/>
      <c r="U499" s="208"/>
      <c r="V499" s="207"/>
      <c r="W499" s="207"/>
      <c r="X499" s="207"/>
      <c r="Y499" s="209"/>
      <c r="Z499" s="210"/>
      <c r="AA499" s="210"/>
      <c r="AB499" s="210"/>
      <c r="AC499" s="210"/>
      <c r="AD499" s="210"/>
      <c r="AE499" s="207"/>
      <c r="AF499" s="209"/>
      <c r="AG499" s="211"/>
      <c r="AH499"/>
      <c r="AI499"/>
    </row>
    <row r="500" spans="1:35" x14ac:dyDescent="0.3">
      <c r="A500"/>
      <c r="B500"/>
      <c r="C500"/>
      <c r="D500"/>
      <c r="E500"/>
      <c r="F500"/>
      <c r="G500"/>
      <c r="H500"/>
      <c r="I500"/>
      <c r="J500"/>
      <c r="K500"/>
      <c r="L500"/>
      <c r="M500"/>
      <c r="N500"/>
      <c r="O500"/>
      <c r="P500" s="207"/>
      <c r="Q500" s="207"/>
      <c r="R500" s="207"/>
      <c r="S500" s="208"/>
      <c r="T500" s="208"/>
      <c r="U500" s="208"/>
      <c r="V500" s="207"/>
      <c r="W500" s="207"/>
      <c r="X500" s="207"/>
      <c r="Y500" s="209"/>
      <c r="Z500" s="210"/>
      <c r="AA500" s="210"/>
      <c r="AB500" s="210"/>
      <c r="AC500" s="210"/>
      <c r="AD500" s="210"/>
      <c r="AE500" s="207"/>
      <c r="AF500" s="209"/>
      <c r="AG500" s="211"/>
      <c r="AH500"/>
      <c r="AI500"/>
    </row>
    <row r="501" spans="1:35" x14ac:dyDescent="0.3">
      <c r="A501"/>
      <c r="B501"/>
      <c r="C501"/>
      <c r="D501"/>
      <c r="E501"/>
      <c r="F501"/>
      <c r="G501"/>
      <c r="H501"/>
      <c r="I501"/>
      <c r="J501"/>
      <c r="K501"/>
      <c r="L501"/>
      <c r="M501"/>
      <c r="N501"/>
      <c r="O501"/>
      <c r="P501" s="207"/>
      <c r="Q501" s="207"/>
      <c r="R501" s="207"/>
      <c r="S501" s="208"/>
      <c r="T501" s="208"/>
      <c r="U501" s="208"/>
      <c r="V501" s="207"/>
      <c r="W501" s="207"/>
      <c r="X501" s="207"/>
      <c r="Y501" s="209"/>
      <c r="Z501" s="210"/>
      <c r="AA501" s="210"/>
      <c r="AB501" s="210"/>
      <c r="AC501" s="210"/>
      <c r="AD501" s="210"/>
      <c r="AE501" s="207"/>
      <c r="AF501" s="209"/>
      <c r="AG501" s="211"/>
      <c r="AH501"/>
      <c r="AI501"/>
    </row>
    <row r="502" spans="1:35" x14ac:dyDescent="0.3">
      <c r="A502"/>
      <c r="B502"/>
      <c r="C502"/>
      <c r="D502"/>
      <c r="E502"/>
      <c r="F502"/>
      <c r="G502"/>
      <c r="H502"/>
      <c r="I502"/>
      <c r="J502"/>
      <c r="K502"/>
      <c r="L502"/>
      <c r="M502"/>
      <c r="N502"/>
      <c r="O502"/>
      <c r="P502" s="207"/>
      <c r="Q502" s="207"/>
      <c r="R502" s="207"/>
      <c r="S502" s="208"/>
      <c r="T502" s="208"/>
      <c r="U502" s="208"/>
      <c r="V502" s="207"/>
      <c r="W502" s="207"/>
      <c r="X502" s="207"/>
      <c r="Y502" s="209"/>
      <c r="Z502" s="210"/>
      <c r="AA502" s="210"/>
      <c r="AB502" s="210"/>
      <c r="AC502" s="210"/>
      <c r="AD502" s="210"/>
      <c r="AE502" s="207"/>
      <c r="AF502" s="209"/>
      <c r="AG502" s="211"/>
      <c r="AH502"/>
      <c r="AI502"/>
    </row>
    <row r="503" spans="1:35" x14ac:dyDescent="0.3">
      <c r="A503"/>
      <c r="B503"/>
      <c r="C503"/>
      <c r="D503"/>
      <c r="E503"/>
      <c r="F503"/>
      <c r="G503"/>
      <c r="H503"/>
      <c r="I503"/>
      <c r="J503"/>
      <c r="K503"/>
      <c r="L503"/>
      <c r="M503"/>
      <c r="N503"/>
      <c r="O503"/>
      <c r="P503" s="207"/>
      <c r="Q503" s="207"/>
      <c r="R503" s="207"/>
      <c r="S503" s="208"/>
      <c r="T503" s="208"/>
      <c r="U503" s="208"/>
      <c r="V503" s="207"/>
      <c r="W503" s="207"/>
      <c r="X503" s="207"/>
      <c r="Y503" s="209"/>
      <c r="Z503" s="210"/>
      <c r="AA503" s="210"/>
      <c r="AB503" s="210"/>
      <c r="AC503" s="210"/>
      <c r="AD503" s="210"/>
      <c r="AE503" s="207"/>
      <c r="AF503" s="209"/>
      <c r="AG503" s="211"/>
      <c r="AH503"/>
      <c r="AI503"/>
    </row>
    <row r="504" spans="1:35" x14ac:dyDescent="0.3">
      <c r="A504"/>
      <c r="B504"/>
      <c r="C504"/>
      <c r="D504"/>
      <c r="E504"/>
      <c r="F504"/>
      <c r="G504"/>
      <c r="H504"/>
      <c r="I504"/>
      <c r="J504"/>
      <c r="K504"/>
      <c r="L504"/>
      <c r="M504"/>
      <c r="N504"/>
      <c r="O504"/>
      <c r="P504" s="207"/>
      <c r="Q504" s="207"/>
      <c r="R504" s="207"/>
      <c r="S504" s="208"/>
      <c r="T504" s="208"/>
      <c r="U504" s="208"/>
      <c r="V504" s="207"/>
      <c r="W504" s="207"/>
      <c r="X504" s="207"/>
      <c r="Y504" s="209"/>
      <c r="Z504" s="210"/>
      <c r="AA504" s="210"/>
      <c r="AB504" s="210"/>
      <c r="AC504" s="210"/>
      <c r="AD504" s="210"/>
      <c r="AE504" s="207"/>
      <c r="AF504" s="209"/>
      <c r="AG504" s="211"/>
      <c r="AH504"/>
      <c r="AI504"/>
    </row>
    <row r="505" spans="1:35" x14ac:dyDescent="0.3">
      <c r="A505"/>
      <c r="B505"/>
      <c r="C505"/>
      <c r="D505"/>
      <c r="E505"/>
      <c r="F505"/>
      <c r="G505"/>
      <c r="H505"/>
      <c r="I505"/>
      <c r="J505"/>
      <c r="K505"/>
      <c r="L505"/>
      <c r="M505"/>
      <c r="N505"/>
      <c r="O505"/>
      <c r="P505" s="207"/>
      <c r="Q505" s="207"/>
      <c r="R505" s="207"/>
      <c r="S505" s="208"/>
      <c r="T505" s="208"/>
      <c r="U505" s="208"/>
      <c r="V505" s="207"/>
      <c r="W505" s="207"/>
      <c r="X505" s="207"/>
      <c r="Y505" s="209"/>
      <c r="Z505" s="210"/>
      <c r="AA505" s="210"/>
      <c r="AB505" s="210"/>
      <c r="AC505" s="210"/>
      <c r="AD505" s="210"/>
      <c r="AE505" s="207"/>
      <c r="AF505" s="209"/>
      <c r="AG505" s="211"/>
      <c r="AH505"/>
      <c r="AI505"/>
    </row>
    <row r="506" spans="1:35" x14ac:dyDescent="0.3">
      <c r="A506"/>
      <c r="B506"/>
      <c r="C506"/>
      <c r="D506"/>
      <c r="E506"/>
      <c r="F506"/>
      <c r="G506"/>
      <c r="H506"/>
      <c r="I506"/>
      <c r="J506"/>
      <c r="K506"/>
      <c r="L506"/>
      <c r="M506"/>
      <c r="N506"/>
      <c r="O506"/>
      <c r="P506" s="207"/>
      <c r="Q506" s="207"/>
      <c r="R506" s="207"/>
      <c r="S506" s="208"/>
      <c r="T506" s="208"/>
      <c r="U506" s="208"/>
      <c r="V506" s="207"/>
      <c r="W506" s="207"/>
      <c r="X506" s="207"/>
      <c r="Y506" s="209"/>
      <c r="Z506" s="210"/>
      <c r="AA506" s="210"/>
      <c r="AB506" s="210"/>
      <c r="AC506" s="210"/>
      <c r="AD506" s="210"/>
      <c r="AE506" s="207"/>
      <c r="AF506" s="209"/>
      <c r="AG506" s="211"/>
      <c r="AH506"/>
      <c r="AI506"/>
    </row>
    <row r="507" spans="1:35" x14ac:dyDescent="0.3">
      <c r="A507"/>
      <c r="B507"/>
      <c r="C507"/>
      <c r="D507"/>
      <c r="E507"/>
      <c r="F507"/>
      <c r="G507"/>
      <c r="H507"/>
      <c r="I507"/>
      <c r="J507"/>
      <c r="K507"/>
      <c r="L507"/>
      <c r="M507"/>
      <c r="N507"/>
      <c r="O507"/>
      <c r="P507" s="207"/>
      <c r="Q507" s="207"/>
      <c r="R507" s="207"/>
      <c r="S507" s="208"/>
      <c r="T507" s="208"/>
      <c r="U507" s="208"/>
      <c r="V507" s="207"/>
      <c r="W507" s="207"/>
      <c r="X507" s="207"/>
      <c r="Y507" s="209"/>
      <c r="Z507" s="210"/>
      <c r="AA507" s="210"/>
      <c r="AB507" s="210"/>
      <c r="AC507" s="210"/>
      <c r="AD507" s="210"/>
      <c r="AE507" s="207"/>
      <c r="AF507" s="209"/>
      <c r="AG507" s="211"/>
      <c r="AH507"/>
      <c r="AI507"/>
    </row>
    <row r="508" spans="1:35" x14ac:dyDescent="0.3">
      <c r="A508"/>
      <c r="B508"/>
      <c r="C508"/>
      <c r="D508"/>
      <c r="E508"/>
      <c r="F508"/>
      <c r="G508"/>
      <c r="H508"/>
      <c r="I508"/>
      <c r="J508"/>
      <c r="K508"/>
      <c r="L508"/>
      <c r="M508"/>
      <c r="N508"/>
      <c r="O508"/>
      <c r="P508" s="207"/>
      <c r="Q508" s="207"/>
      <c r="R508" s="207"/>
      <c r="S508" s="208"/>
      <c r="T508" s="208"/>
      <c r="U508" s="208"/>
      <c r="V508" s="207"/>
      <c r="W508" s="207"/>
      <c r="X508" s="207"/>
      <c r="Y508" s="209"/>
      <c r="Z508" s="210"/>
      <c r="AA508" s="210"/>
      <c r="AB508" s="210"/>
      <c r="AC508" s="210"/>
      <c r="AD508" s="210"/>
      <c r="AE508" s="207"/>
      <c r="AF508" s="209"/>
      <c r="AG508" s="211"/>
      <c r="AH508"/>
      <c r="AI508"/>
    </row>
    <row r="509" spans="1:35" x14ac:dyDescent="0.3">
      <c r="A509"/>
      <c r="B509"/>
      <c r="C509"/>
      <c r="D509"/>
      <c r="E509"/>
      <c r="F509"/>
      <c r="G509"/>
      <c r="H509"/>
      <c r="I509"/>
      <c r="J509"/>
      <c r="K509"/>
      <c r="L509"/>
      <c r="M509"/>
      <c r="N509"/>
      <c r="O509"/>
      <c r="P509" s="207"/>
      <c r="Q509" s="207"/>
      <c r="R509" s="207"/>
      <c r="S509" s="208"/>
      <c r="T509" s="208"/>
      <c r="U509" s="208"/>
      <c r="V509" s="207"/>
      <c r="W509" s="207"/>
      <c r="X509" s="207"/>
      <c r="Y509" s="209"/>
      <c r="Z509" s="210"/>
      <c r="AA509" s="210"/>
      <c r="AB509" s="210"/>
      <c r="AC509" s="210"/>
      <c r="AD509" s="210"/>
      <c r="AE509" s="207"/>
      <c r="AF509" s="209"/>
      <c r="AG509" s="211"/>
      <c r="AH509"/>
      <c r="AI509"/>
    </row>
    <row r="510" spans="1:35" x14ac:dyDescent="0.3">
      <c r="A510"/>
      <c r="B510"/>
      <c r="C510"/>
      <c r="D510"/>
      <c r="E510"/>
      <c r="F510"/>
      <c r="G510"/>
      <c r="H510"/>
      <c r="I510"/>
      <c r="J510"/>
      <c r="K510"/>
      <c r="L510"/>
      <c r="M510"/>
      <c r="N510"/>
      <c r="O510"/>
      <c r="P510" s="207"/>
      <c r="Q510" s="207"/>
      <c r="R510" s="207"/>
      <c r="S510" s="208"/>
      <c r="T510" s="208"/>
      <c r="U510" s="208"/>
      <c r="V510" s="207"/>
      <c r="W510" s="207"/>
      <c r="X510" s="207"/>
      <c r="Y510" s="209"/>
      <c r="Z510" s="210"/>
      <c r="AA510" s="210"/>
      <c r="AB510" s="210"/>
      <c r="AC510" s="210"/>
      <c r="AD510" s="210"/>
      <c r="AE510" s="207"/>
      <c r="AF510" s="209"/>
      <c r="AG510" s="211"/>
      <c r="AH510"/>
      <c r="AI510"/>
    </row>
    <row r="511" spans="1:35" x14ac:dyDescent="0.3">
      <c r="A511"/>
      <c r="B511"/>
      <c r="C511"/>
      <c r="D511"/>
      <c r="E511"/>
      <c r="F511"/>
      <c r="G511"/>
      <c r="H511"/>
      <c r="I511"/>
      <c r="J511"/>
      <c r="K511"/>
      <c r="L511"/>
      <c r="M511"/>
      <c r="N511"/>
      <c r="O511"/>
      <c r="P511" s="207"/>
      <c r="Q511" s="207"/>
      <c r="R511" s="207"/>
      <c r="S511" s="208"/>
      <c r="T511" s="208"/>
      <c r="U511" s="208"/>
      <c r="V511" s="207"/>
      <c r="W511" s="207"/>
      <c r="X511" s="207"/>
      <c r="Y511" s="209"/>
      <c r="Z511" s="210"/>
      <c r="AA511" s="210"/>
      <c r="AB511" s="210"/>
      <c r="AC511" s="210"/>
      <c r="AD511" s="210"/>
      <c r="AE511" s="207"/>
      <c r="AF511" s="209"/>
      <c r="AG511" s="211"/>
      <c r="AH511"/>
      <c r="AI511"/>
    </row>
    <row r="512" spans="1:35" x14ac:dyDescent="0.3">
      <c r="A512"/>
      <c r="B512"/>
      <c r="C512"/>
      <c r="D512"/>
      <c r="E512"/>
      <c r="F512"/>
      <c r="G512"/>
      <c r="H512"/>
      <c r="I512"/>
      <c r="J512"/>
      <c r="K512"/>
      <c r="L512"/>
      <c r="M512"/>
      <c r="N512"/>
      <c r="O512"/>
      <c r="P512" s="207"/>
      <c r="Q512" s="207"/>
      <c r="R512" s="207"/>
      <c r="S512" s="208"/>
      <c r="T512" s="208"/>
      <c r="U512" s="208"/>
      <c r="V512" s="207"/>
      <c r="W512" s="207"/>
      <c r="X512" s="207"/>
      <c r="Y512" s="209"/>
      <c r="Z512" s="210"/>
      <c r="AA512" s="210"/>
      <c r="AB512" s="210"/>
      <c r="AC512" s="210"/>
      <c r="AD512" s="210"/>
      <c r="AE512" s="207"/>
      <c r="AF512" s="209"/>
      <c r="AG512" s="211"/>
      <c r="AH512"/>
      <c r="AI512"/>
    </row>
    <row r="513" spans="1:35" x14ac:dyDescent="0.3">
      <c r="A513"/>
      <c r="B513"/>
      <c r="C513"/>
      <c r="D513"/>
      <c r="E513"/>
      <c r="F513"/>
      <c r="G513"/>
      <c r="H513"/>
      <c r="I513"/>
      <c r="J513"/>
      <c r="K513"/>
      <c r="L513"/>
      <c r="M513"/>
      <c r="N513"/>
      <c r="O513"/>
      <c r="P513" s="207"/>
      <c r="Q513" s="207"/>
      <c r="R513" s="207"/>
      <c r="S513" s="208"/>
      <c r="T513" s="208"/>
      <c r="U513" s="208"/>
      <c r="V513" s="207"/>
      <c r="W513" s="207"/>
      <c r="X513" s="207"/>
      <c r="Y513" s="209"/>
      <c r="Z513" s="210"/>
      <c r="AA513" s="210"/>
      <c r="AB513" s="210"/>
      <c r="AC513" s="210"/>
      <c r="AD513" s="210"/>
      <c r="AE513" s="207"/>
      <c r="AF513" s="209"/>
      <c r="AG513" s="211"/>
      <c r="AH513"/>
      <c r="AI513"/>
    </row>
    <row r="514" spans="1:35" x14ac:dyDescent="0.3">
      <c r="A514"/>
      <c r="B514"/>
      <c r="C514"/>
      <c r="D514"/>
      <c r="E514"/>
      <c r="F514"/>
      <c r="G514"/>
      <c r="H514"/>
      <c r="I514"/>
      <c r="J514"/>
      <c r="K514"/>
      <c r="L514"/>
      <c r="M514"/>
      <c r="N514"/>
      <c r="O514"/>
      <c r="P514" s="207"/>
      <c r="Q514" s="207"/>
      <c r="R514" s="207"/>
      <c r="S514" s="208"/>
      <c r="T514" s="208"/>
      <c r="U514" s="208"/>
      <c r="V514" s="207"/>
      <c r="W514" s="207"/>
      <c r="X514" s="207"/>
      <c r="Y514" s="209"/>
      <c r="Z514" s="210"/>
      <c r="AA514" s="210"/>
      <c r="AB514" s="210"/>
      <c r="AC514" s="210"/>
      <c r="AD514" s="210"/>
      <c r="AE514" s="207"/>
      <c r="AF514" s="209"/>
      <c r="AG514" s="211"/>
      <c r="AH514"/>
      <c r="AI514"/>
    </row>
    <row r="515" spans="1:35" x14ac:dyDescent="0.3">
      <c r="A515"/>
      <c r="B515"/>
      <c r="C515"/>
      <c r="D515"/>
      <c r="E515"/>
      <c r="F515"/>
      <c r="G515"/>
      <c r="H515"/>
      <c r="I515"/>
      <c r="J515"/>
      <c r="K515"/>
      <c r="L515"/>
      <c r="M515"/>
      <c r="N515"/>
      <c r="O515"/>
      <c r="P515" s="207"/>
      <c r="Q515" s="207"/>
      <c r="R515" s="207"/>
      <c r="S515" s="208"/>
      <c r="T515" s="208"/>
      <c r="U515" s="208"/>
      <c r="V515" s="207"/>
      <c r="W515" s="207"/>
      <c r="X515" s="207"/>
      <c r="Y515" s="209"/>
      <c r="Z515" s="210"/>
      <c r="AA515" s="210"/>
      <c r="AB515" s="210"/>
      <c r="AC515" s="210"/>
      <c r="AD515" s="210"/>
      <c r="AE515" s="207"/>
      <c r="AF515" s="209"/>
      <c r="AG515" s="211"/>
      <c r="AH515"/>
      <c r="AI515"/>
    </row>
    <row r="516" spans="1:35" x14ac:dyDescent="0.3">
      <c r="A516"/>
      <c r="B516"/>
      <c r="C516"/>
      <c r="D516"/>
      <c r="E516"/>
      <c r="F516"/>
      <c r="G516"/>
      <c r="H516"/>
      <c r="I516"/>
      <c r="J516"/>
      <c r="K516"/>
      <c r="L516"/>
      <c r="M516"/>
      <c r="N516"/>
      <c r="O516"/>
      <c r="P516" s="207"/>
      <c r="Q516" s="207"/>
      <c r="R516" s="207"/>
      <c r="S516" s="208"/>
      <c r="T516" s="208"/>
      <c r="U516" s="208"/>
      <c r="V516" s="207"/>
      <c r="W516" s="207"/>
      <c r="X516" s="207"/>
      <c r="Y516" s="209"/>
      <c r="Z516" s="210"/>
      <c r="AA516" s="210"/>
      <c r="AB516" s="210"/>
      <c r="AC516" s="210"/>
      <c r="AD516" s="210"/>
      <c r="AE516" s="207"/>
      <c r="AF516" s="209"/>
      <c r="AG516" s="211"/>
      <c r="AH516"/>
      <c r="AI516"/>
    </row>
    <row r="517" spans="1:35" x14ac:dyDescent="0.3">
      <c r="A517"/>
      <c r="B517"/>
      <c r="C517"/>
      <c r="D517"/>
      <c r="E517"/>
      <c r="F517"/>
      <c r="G517"/>
      <c r="H517"/>
      <c r="I517"/>
      <c r="J517"/>
      <c r="K517"/>
      <c r="L517"/>
      <c r="M517"/>
      <c r="N517"/>
      <c r="O517"/>
      <c r="P517" s="207"/>
      <c r="Q517" s="207"/>
      <c r="R517" s="207"/>
      <c r="S517" s="208"/>
      <c r="T517" s="208"/>
      <c r="U517" s="208"/>
      <c r="V517" s="207"/>
      <c r="W517" s="207"/>
      <c r="X517" s="207"/>
      <c r="Y517" s="209"/>
      <c r="Z517" s="210"/>
      <c r="AA517" s="210"/>
      <c r="AB517" s="210"/>
      <c r="AC517" s="210"/>
      <c r="AD517" s="210"/>
      <c r="AE517" s="207"/>
      <c r="AF517" s="209"/>
      <c r="AG517" s="211"/>
      <c r="AH517"/>
      <c r="AI517"/>
    </row>
    <row r="518" spans="1:35" x14ac:dyDescent="0.3">
      <c r="A518"/>
      <c r="B518"/>
      <c r="C518"/>
      <c r="D518"/>
      <c r="E518"/>
      <c r="F518"/>
      <c r="G518"/>
      <c r="H518"/>
      <c r="I518"/>
      <c r="J518"/>
      <c r="K518"/>
      <c r="L518"/>
      <c r="M518"/>
      <c r="N518"/>
      <c r="O518"/>
      <c r="P518" s="207"/>
      <c r="Q518" s="207"/>
      <c r="R518" s="207"/>
      <c r="S518" s="208"/>
      <c r="T518" s="208"/>
      <c r="U518" s="208"/>
      <c r="V518" s="207"/>
      <c r="W518" s="207"/>
      <c r="X518" s="207"/>
      <c r="Y518" s="209"/>
      <c r="Z518" s="210"/>
      <c r="AA518" s="210"/>
      <c r="AB518" s="210"/>
      <c r="AC518" s="210"/>
      <c r="AD518" s="210"/>
      <c r="AE518" s="207"/>
      <c r="AF518" s="209"/>
      <c r="AG518" s="211"/>
      <c r="AH518"/>
      <c r="AI518"/>
    </row>
    <row r="519" spans="1:35" x14ac:dyDescent="0.3">
      <c r="A519"/>
      <c r="B519"/>
      <c r="C519"/>
      <c r="D519"/>
      <c r="E519"/>
      <c r="F519"/>
      <c r="G519"/>
      <c r="H519"/>
      <c r="I519"/>
      <c r="J519"/>
      <c r="K519"/>
      <c r="L519"/>
      <c r="M519"/>
      <c r="N519"/>
      <c r="O519"/>
      <c r="P519" s="207"/>
      <c r="Q519" s="207"/>
      <c r="R519" s="207"/>
      <c r="S519" s="208"/>
      <c r="T519" s="208"/>
      <c r="U519" s="208"/>
      <c r="V519" s="207"/>
      <c r="W519" s="207"/>
      <c r="X519" s="207"/>
      <c r="Y519" s="209"/>
      <c r="Z519" s="210"/>
      <c r="AA519" s="210"/>
      <c r="AB519" s="210"/>
      <c r="AC519" s="210"/>
      <c r="AD519" s="210"/>
      <c r="AE519" s="207"/>
      <c r="AF519" s="209"/>
      <c r="AG519" s="211"/>
      <c r="AH519"/>
      <c r="AI519"/>
    </row>
    <row r="520" spans="1:35" x14ac:dyDescent="0.3">
      <c r="A520"/>
      <c r="B520"/>
      <c r="C520"/>
      <c r="D520"/>
      <c r="E520"/>
      <c r="F520"/>
      <c r="G520"/>
      <c r="H520"/>
      <c r="I520"/>
      <c r="J520"/>
      <c r="K520"/>
      <c r="L520"/>
      <c r="M520"/>
      <c r="N520"/>
      <c r="O520"/>
      <c r="P520" s="207"/>
      <c r="Q520" s="207"/>
      <c r="R520" s="207"/>
      <c r="S520" s="208"/>
      <c r="T520" s="208"/>
      <c r="U520" s="208"/>
      <c r="V520" s="207"/>
      <c r="W520" s="207"/>
      <c r="X520" s="207"/>
      <c r="Y520" s="209"/>
      <c r="Z520" s="210"/>
      <c r="AA520" s="210"/>
      <c r="AB520" s="210"/>
      <c r="AC520" s="210"/>
      <c r="AD520" s="210"/>
      <c r="AE520" s="207"/>
      <c r="AF520" s="209"/>
      <c r="AG520" s="211"/>
      <c r="AH520"/>
      <c r="AI520"/>
    </row>
    <row r="521" spans="1:35" x14ac:dyDescent="0.3">
      <c r="A521"/>
      <c r="B521"/>
      <c r="C521"/>
      <c r="D521"/>
      <c r="E521"/>
      <c r="F521"/>
      <c r="G521"/>
      <c r="H521"/>
      <c r="I521"/>
      <c r="J521"/>
      <c r="K521"/>
      <c r="L521"/>
      <c r="M521"/>
      <c r="N521"/>
      <c r="O521"/>
      <c r="P521" s="207"/>
      <c r="Q521" s="207"/>
      <c r="R521" s="207"/>
      <c r="S521" s="208"/>
      <c r="T521" s="208"/>
      <c r="U521" s="208"/>
      <c r="V521" s="207"/>
      <c r="W521" s="207"/>
      <c r="X521" s="207"/>
      <c r="Y521" s="209"/>
      <c r="Z521" s="210"/>
      <c r="AA521" s="210"/>
      <c r="AB521" s="210"/>
      <c r="AC521" s="210"/>
      <c r="AD521" s="210"/>
      <c r="AE521" s="207"/>
      <c r="AF521" s="209"/>
      <c r="AG521" s="211"/>
      <c r="AH521"/>
      <c r="AI521"/>
    </row>
    <row r="522" spans="1:35" x14ac:dyDescent="0.3">
      <c r="A522"/>
      <c r="B522"/>
      <c r="C522"/>
      <c r="D522"/>
      <c r="E522"/>
      <c r="F522"/>
      <c r="G522"/>
      <c r="H522"/>
      <c r="I522"/>
      <c r="J522"/>
      <c r="K522"/>
      <c r="L522"/>
      <c r="M522"/>
      <c r="N522"/>
      <c r="O522"/>
      <c r="P522" s="207"/>
      <c r="Q522" s="207"/>
      <c r="R522" s="207"/>
      <c r="S522" s="208"/>
      <c r="T522" s="208"/>
      <c r="U522" s="208"/>
      <c r="V522" s="207"/>
      <c r="W522" s="207"/>
      <c r="X522" s="207"/>
      <c r="Y522" s="209"/>
      <c r="Z522" s="210"/>
      <c r="AA522" s="210"/>
      <c r="AB522" s="210"/>
      <c r="AC522" s="210"/>
      <c r="AD522" s="210"/>
      <c r="AE522" s="207"/>
      <c r="AF522" s="209"/>
      <c r="AG522" s="211"/>
      <c r="AH522"/>
      <c r="AI522"/>
    </row>
    <row r="523" spans="1:35" x14ac:dyDescent="0.3">
      <c r="A523"/>
      <c r="B523"/>
      <c r="C523"/>
      <c r="D523"/>
      <c r="E523"/>
      <c r="F523"/>
      <c r="G523"/>
      <c r="H523"/>
      <c r="I523"/>
      <c r="J523"/>
      <c r="K523"/>
      <c r="L523"/>
      <c r="M523"/>
      <c r="N523"/>
      <c r="O523"/>
      <c r="P523" s="207"/>
      <c r="Q523" s="207"/>
      <c r="R523" s="207"/>
      <c r="S523" s="208"/>
      <c r="T523" s="208"/>
      <c r="U523" s="208"/>
      <c r="V523" s="207"/>
      <c r="W523" s="207"/>
      <c r="X523" s="207"/>
      <c r="Y523" s="209"/>
      <c r="Z523" s="210"/>
      <c r="AA523" s="210"/>
      <c r="AB523" s="210"/>
      <c r="AC523" s="210"/>
      <c r="AD523" s="210"/>
      <c r="AE523" s="207"/>
      <c r="AF523" s="209"/>
      <c r="AG523" s="211"/>
      <c r="AH523"/>
      <c r="AI523"/>
    </row>
    <row r="524" spans="1:35" x14ac:dyDescent="0.3">
      <c r="A524"/>
      <c r="B524"/>
      <c r="C524"/>
      <c r="D524"/>
      <c r="E524"/>
      <c r="F524"/>
      <c r="G524"/>
      <c r="H524"/>
      <c r="I524"/>
      <c r="J524"/>
      <c r="K524"/>
      <c r="L524"/>
      <c r="M524"/>
      <c r="N524"/>
      <c r="O524"/>
      <c r="P524" s="207"/>
      <c r="Q524" s="207"/>
      <c r="R524" s="207"/>
      <c r="S524" s="208"/>
      <c r="T524" s="208"/>
      <c r="U524" s="208"/>
      <c r="V524" s="207"/>
      <c r="W524" s="207"/>
      <c r="X524" s="207"/>
      <c r="Y524" s="209"/>
      <c r="Z524" s="210"/>
      <c r="AA524" s="210"/>
      <c r="AB524" s="210"/>
      <c r="AC524" s="210"/>
      <c r="AD524" s="210"/>
      <c r="AE524" s="207"/>
      <c r="AF524" s="209"/>
      <c r="AG524" s="211"/>
      <c r="AH524"/>
      <c r="AI524"/>
    </row>
    <row r="525" spans="1:35" x14ac:dyDescent="0.3">
      <c r="A525"/>
      <c r="B525"/>
      <c r="C525"/>
      <c r="D525"/>
      <c r="E525"/>
      <c r="F525"/>
      <c r="G525"/>
      <c r="H525"/>
      <c r="I525"/>
      <c r="J525"/>
      <c r="K525"/>
      <c r="L525"/>
      <c r="M525"/>
      <c r="N525"/>
      <c r="O525"/>
      <c r="P525" s="207"/>
      <c r="Q525" s="207"/>
      <c r="R525" s="207"/>
      <c r="S525" s="208"/>
      <c r="T525" s="208"/>
      <c r="U525" s="208"/>
      <c r="V525" s="207"/>
      <c r="W525" s="207"/>
      <c r="X525" s="207"/>
      <c r="Y525" s="209"/>
      <c r="Z525" s="210"/>
      <c r="AA525" s="210"/>
      <c r="AB525" s="210"/>
      <c r="AC525" s="210"/>
      <c r="AD525" s="210"/>
      <c r="AE525" s="207"/>
      <c r="AF525" s="209"/>
      <c r="AG525" s="211"/>
      <c r="AH525"/>
      <c r="AI525"/>
    </row>
    <row r="526" spans="1:35" x14ac:dyDescent="0.3">
      <c r="A526"/>
      <c r="B526"/>
      <c r="C526"/>
      <c r="D526"/>
      <c r="E526"/>
      <c r="F526"/>
      <c r="G526"/>
      <c r="H526"/>
      <c r="I526"/>
      <c r="J526"/>
      <c r="K526"/>
      <c r="L526"/>
      <c r="M526"/>
      <c r="N526"/>
      <c r="O526"/>
      <c r="P526" s="207"/>
      <c r="Q526" s="207"/>
      <c r="R526" s="207"/>
      <c r="S526" s="208"/>
      <c r="T526" s="208"/>
      <c r="U526" s="208"/>
      <c r="V526" s="207"/>
      <c r="W526" s="207"/>
      <c r="X526" s="207"/>
      <c r="Y526" s="209"/>
      <c r="Z526" s="210"/>
      <c r="AA526" s="210"/>
      <c r="AB526" s="210"/>
      <c r="AC526" s="210"/>
      <c r="AD526" s="210"/>
      <c r="AE526" s="207"/>
      <c r="AF526" s="209"/>
      <c r="AG526" s="211"/>
      <c r="AH526"/>
      <c r="AI526"/>
    </row>
    <row r="527" spans="1:35" x14ac:dyDescent="0.3">
      <c r="A527"/>
      <c r="B527"/>
      <c r="C527"/>
      <c r="D527"/>
      <c r="E527"/>
      <c r="F527"/>
      <c r="G527"/>
      <c r="H527"/>
      <c r="I527"/>
      <c r="J527"/>
      <c r="K527"/>
      <c r="L527"/>
      <c r="M527"/>
      <c r="N527"/>
      <c r="O527"/>
      <c r="P527" s="207"/>
      <c r="Q527" s="207"/>
      <c r="R527" s="207"/>
      <c r="S527" s="208"/>
      <c r="T527" s="208"/>
      <c r="U527" s="208"/>
      <c r="V527" s="207"/>
      <c r="W527" s="207"/>
      <c r="X527" s="207"/>
      <c r="Y527" s="209"/>
      <c r="Z527" s="210"/>
      <c r="AA527" s="210"/>
      <c r="AB527" s="210"/>
      <c r="AC527" s="210"/>
      <c r="AD527" s="210"/>
      <c r="AE527" s="207"/>
      <c r="AF527" s="209"/>
      <c r="AG527" s="211"/>
      <c r="AH527"/>
      <c r="AI527"/>
    </row>
    <row r="528" spans="1:35" x14ac:dyDescent="0.3">
      <c r="A528"/>
      <c r="B528"/>
      <c r="C528"/>
      <c r="D528"/>
      <c r="E528"/>
      <c r="F528"/>
      <c r="G528"/>
      <c r="H528"/>
      <c r="I528"/>
      <c r="J528"/>
      <c r="K528"/>
      <c r="L528"/>
      <c r="M528"/>
      <c r="N528"/>
      <c r="O528"/>
      <c r="P528" s="207"/>
      <c r="Q528" s="207"/>
      <c r="R528" s="207"/>
      <c r="S528" s="208"/>
      <c r="T528" s="208"/>
      <c r="U528" s="208"/>
      <c r="V528" s="207"/>
      <c r="W528" s="207"/>
      <c r="X528" s="207"/>
      <c r="Y528" s="209"/>
      <c r="Z528" s="210"/>
      <c r="AA528" s="210"/>
      <c r="AB528" s="210"/>
      <c r="AC528" s="210"/>
      <c r="AD528" s="210"/>
      <c r="AE528" s="207"/>
      <c r="AF528" s="209"/>
      <c r="AG528" s="211"/>
      <c r="AH528"/>
      <c r="AI528"/>
    </row>
    <row r="529" spans="1:35" x14ac:dyDescent="0.3">
      <c r="A529"/>
      <c r="B529"/>
      <c r="C529"/>
      <c r="D529"/>
      <c r="E529"/>
      <c r="F529"/>
      <c r="G529"/>
      <c r="H529"/>
      <c r="I529"/>
      <c r="J529"/>
      <c r="K529"/>
      <c r="L529"/>
      <c r="M529"/>
      <c r="N529"/>
      <c r="O529"/>
      <c r="P529" s="207"/>
      <c r="Q529" s="207"/>
      <c r="R529" s="207"/>
      <c r="S529" s="208"/>
      <c r="T529" s="208"/>
      <c r="U529" s="208"/>
      <c r="V529" s="207"/>
      <c r="W529" s="207"/>
      <c r="X529" s="207"/>
      <c r="Y529" s="209"/>
      <c r="Z529" s="210"/>
      <c r="AA529" s="210"/>
      <c r="AB529" s="210"/>
      <c r="AC529" s="210"/>
      <c r="AD529" s="210"/>
      <c r="AE529" s="207"/>
      <c r="AF529" s="209"/>
      <c r="AG529" s="211"/>
      <c r="AH529"/>
      <c r="AI529"/>
    </row>
    <row r="530" spans="1:35" x14ac:dyDescent="0.3">
      <c r="A530"/>
      <c r="B530"/>
      <c r="C530"/>
      <c r="D530"/>
      <c r="E530"/>
      <c r="F530"/>
      <c r="G530"/>
      <c r="H530"/>
      <c r="I530"/>
      <c r="J530"/>
      <c r="K530"/>
      <c r="L530"/>
      <c r="M530"/>
      <c r="N530"/>
      <c r="O530"/>
      <c r="P530" s="207"/>
      <c r="Q530" s="207"/>
      <c r="R530" s="207"/>
      <c r="S530" s="208"/>
      <c r="T530" s="208"/>
      <c r="U530" s="208"/>
      <c r="V530" s="207"/>
      <c r="W530" s="207"/>
      <c r="X530" s="207"/>
      <c r="Y530" s="209"/>
      <c r="Z530" s="210"/>
      <c r="AA530" s="210"/>
      <c r="AB530" s="210"/>
      <c r="AC530" s="210"/>
      <c r="AD530" s="210"/>
      <c r="AE530" s="207"/>
      <c r="AF530" s="209"/>
      <c r="AG530" s="211"/>
      <c r="AH530"/>
      <c r="AI530"/>
    </row>
    <row r="531" spans="1:35" x14ac:dyDescent="0.3">
      <c r="A531"/>
      <c r="B531"/>
      <c r="C531"/>
      <c r="D531"/>
      <c r="E531"/>
      <c r="F531"/>
      <c r="G531"/>
      <c r="H531"/>
      <c r="I531"/>
      <c r="J531"/>
      <c r="K531"/>
      <c r="L531"/>
      <c r="M531"/>
      <c r="N531"/>
      <c r="O531"/>
      <c r="P531" s="207"/>
      <c r="Q531" s="207"/>
      <c r="R531" s="207"/>
      <c r="S531" s="208"/>
      <c r="T531" s="208"/>
      <c r="U531" s="208"/>
      <c r="V531" s="207"/>
      <c r="W531" s="207"/>
      <c r="X531" s="207"/>
      <c r="Y531" s="209"/>
      <c r="Z531" s="210"/>
      <c r="AA531" s="210"/>
      <c r="AB531" s="210"/>
      <c r="AC531" s="210"/>
      <c r="AD531" s="210"/>
      <c r="AE531" s="207"/>
      <c r="AF531" s="209"/>
      <c r="AG531" s="211"/>
      <c r="AH531"/>
      <c r="AI531"/>
    </row>
    <row r="532" spans="1:35" x14ac:dyDescent="0.3">
      <c r="A532"/>
      <c r="B532"/>
      <c r="C532"/>
      <c r="D532"/>
      <c r="E532"/>
      <c r="F532"/>
      <c r="G532"/>
      <c r="H532"/>
      <c r="I532"/>
      <c r="J532"/>
      <c r="K532"/>
      <c r="L532"/>
      <c r="M532"/>
      <c r="N532"/>
      <c r="O532"/>
      <c r="P532" s="207"/>
      <c r="Q532" s="207"/>
      <c r="R532" s="207"/>
      <c r="S532" s="208"/>
      <c r="T532" s="208"/>
      <c r="U532" s="208"/>
      <c r="V532" s="207"/>
      <c r="W532" s="207"/>
      <c r="X532" s="207"/>
      <c r="Y532" s="209"/>
      <c r="Z532" s="210"/>
      <c r="AA532" s="210"/>
      <c r="AB532" s="210"/>
      <c r="AC532" s="210"/>
      <c r="AD532" s="210"/>
      <c r="AE532" s="207"/>
      <c r="AF532" s="209"/>
      <c r="AG532" s="211"/>
      <c r="AH532"/>
      <c r="AI532"/>
    </row>
    <row r="533" spans="1:35" x14ac:dyDescent="0.3">
      <c r="A533"/>
      <c r="B533"/>
      <c r="C533"/>
      <c r="D533"/>
      <c r="E533"/>
      <c r="F533"/>
      <c r="G533"/>
      <c r="H533"/>
      <c r="I533"/>
      <c r="J533"/>
      <c r="K533"/>
      <c r="L533"/>
      <c r="M533"/>
      <c r="N533"/>
      <c r="O533"/>
      <c r="P533" s="207"/>
      <c r="Q533" s="207"/>
      <c r="R533" s="207"/>
      <c r="S533" s="208"/>
      <c r="T533" s="208"/>
      <c r="U533" s="208"/>
      <c r="V533" s="207"/>
      <c r="W533" s="207"/>
      <c r="X533" s="207"/>
      <c r="Y533" s="209"/>
      <c r="Z533" s="210"/>
      <c r="AA533" s="210"/>
      <c r="AB533" s="210"/>
      <c r="AC533" s="210"/>
      <c r="AD533" s="210"/>
      <c r="AE533" s="207"/>
      <c r="AF533" s="209"/>
      <c r="AG533" s="211"/>
      <c r="AH533"/>
      <c r="AI533"/>
    </row>
    <row r="534" spans="1:35" x14ac:dyDescent="0.3">
      <c r="A534"/>
      <c r="B534"/>
      <c r="C534"/>
      <c r="D534"/>
      <c r="E534"/>
      <c r="F534"/>
      <c r="G534"/>
      <c r="H534"/>
      <c r="I534"/>
      <c r="J534"/>
      <c r="K534"/>
      <c r="L534"/>
      <c r="M534"/>
      <c r="N534"/>
      <c r="O534"/>
      <c r="P534" s="207"/>
      <c r="Q534" s="207"/>
      <c r="R534" s="207"/>
      <c r="S534" s="208"/>
      <c r="T534" s="208"/>
      <c r="U534" s="208"/>
      <c r="V534" s="207"/>
      <c r="W534" s="207"/>
      <c r="X534" s="207"/>
      <c r="Y534" s="209"/>
      <c r="Z534" s="210"/>
      <c r="AA534" s="210"/>
      <c r="AB534" s="210"/>
      <c r="AC534" s="210"/>
      <c r="AD534" s="210"/>
      <c r="AE534" s="207"/>
      <c r="AF534" s="209"/>
      <c r="AG534" s="211"/>
      <c r="AH534"/>
      <c r="AI534"/>
    </row>
    <row r="535" spans="1:35" x14ac:dyDescent="0.3">
      <c r="A535"/>
      <c r="B535"/>
      <c r="C535"/>
      <c r="D535"/>
      <c r="E535"/>
      <c r="F535"/>
      <c r="G535"/>
      <c r="H535"/>
      <c r="I535"/>
      <c r="J535"/>
      <c r="K535"/>
      <c r="L535"/>
      <c r="M535"/>
      <c r="N535"/>
      <c r="O535"/>
      <c r="P535" s="207"/>
      <c r="Q535" s="207"/>
      <c r="R535" s="207"/>
      <c r="S535" s="208"/>
      <c r="T535" s="208"/>
      <c r="U535" s="208"/>
      <c r="V535" s="207"/>
      <c r="W535" s="207"/>
      <c r="X535" s="207"/>
      <c r="Y535" s="209"/>
      <c r="Z535" s="210"/>
      <c r="AA535" s="210"/>
      <c r="AB535" s="210"/>
      <c r="AC535" s="210"/>
      <c r="AD535" s="210"/>
      <c r="AE535" s="207"/>
      <c r="AF535" s="209"/>
      <c r="AG535" s="211"/>
      <c r="AH535"/>
      <c r="AI535"/>
    </row>
    <row r="536" spans="1:35" x14ac:dyDescent="0.3">
      <c r="A536"/>
      <c r="B536"/>
      <c r="C536"/>
      <c r="D536"/>
      <c r="E536"/>
      <c r="F536"/>
      <c r="G536"/>
      <c r="H536"/>
      <c r="I536"/>
      <c r="J536"/>
      <c r="K536"/>
      <c r="L536"/>
      <c r="M536"/>
      <c r="N536"/>
      <c r="O536"/>
      <c r="P536" s="207"/>
      <c r="Q536" s="207"/>
      <c r="R536" s="207"/>
      <c r="S536" s="208"/>
      <c r="T536" s="208"/>
      <c r="U536" s="208"/>
      <c r="V536" s="207"/>
      <c r="W536" s="207"/>
      <c r="X536" s="207"/>
      <c r="Y536" s="209"/>
      <c r="Z536" s="210"/>
      <c r="AA536" s="210"/>
      <c r="AB536" s="210"/>
      <c r="AC536" s="210"/>
      <c r="AD536" s="210"/>
      <c r="AE536" s="207"/>
      <c r="AF536" s="209"/>
      <c r="AG536" s="211"/>
      <c r="AH536"/>
      <c r="AI536"/>
    </row>
    <row r="537" spans="1:35" x14ac:dyDescent="0.3">
      <c r="A537"/>
      <c r="B537"/>
      <c r="C537"/>
      <c r="D537"/>
      <c r="E537"/>
      <c r="F537"/>
      <c r="G537"/>
      <c r="H537"/>
      <c r="I537"/>
      <c r="J537"/>
      <c r="K537"/>
      <c r="L537"/>
      <c r="M537"/>
      <c r="N537"/>
      <c r="O537"/>
      <c r="P537" s="207"/>
      <c r="Q537" s="207"/>
      <c r="R537" s="207"/>
      <c r="S537" s="208"/>
      <c r="T537" s="208"/>
      <c r="U537" s="208"/>
      <c r="V537" s="207"/>
      <c r="W537" s="207"/>
      <c r="X537" s="207"/>
      <c r="Y537" s="209"/>
      <c r="Z537" s="210"/>
      <c r="AA537" s="210"/>
      <c r="AB537" s="210"/>
      <c r="AC537" s="210"/>
      <c r="AD537" s="210"/>
      <c r="AE537" s="207"/>
      <c r="AF537" s="209"/>
      <c r="AG537" s="211"/>
      <c r="AH537"/>
      <c r="AI537"/>
    </row>
    <row r="538" spans="1:35" x14ac:dyDescent="0.3">
      <c r="A538"/>
      <c r="B538"/>
      <c r="C538"/>
      <c r="D538"/>
      <c r="E538"/>
      <c r="F538"/>
      <c r="G538"/>
      <c r="H538"/>
      <c r="I538"/>
      <c r="J538"/>
      <c r="K538"/>
      <c r="L538"/>
      <c r="M538"/>
      <c r="N538"/>
      <c r="O538"/>
      <c r="P538" s="207"/>
      <c r="Q538" s="207"/>
      <c r="R538" s="207"/>
      <c r="S538" s="208"/>
      <c r="T538" s="208"/>
      <c r="U538" s="208"/>
      <c r="V538" s="207"/>
      <c r="W538" s="207"/>
      <c r="X538" s="207"/>
      <c r="Y538" s="209"/>
      <c r="Z538" s="210"/>
      <c r="AA538" s="210"/>
      <c r="AB538" s="210"/>
      <c r="AC538" s="210"/>
      <c r="AD538" s="210"/>
      <c r="AE538" s="207"/>
      <c r="AF538" s="209"/>
      <c r="AG538" s="211"/>
      <c r="AH538"/>
      <c r="AI538"/>
    </row>
    <row r="539" spans="1:35" x14ac:dyDescent="0.3">
      <c r="A539"/>
      <c r="B539"/>
      <c r="C539"/>
      <c r="D539"/>
      <c r="E539"/>
      <c r="F539"/>
      <c r="G539"/>
      <c r="H539"/>
      <c r="I539"/>
      <c r="J539"/>
      <c r="K539"/>
      <c r="L539"/>
      <c r="M539"/>
      <c r="N539"/>
      <c r="O539"/>
      <c r="P539" s="207"/>
      <c r="Q539" s="207"/>
      <c r="R539" s="207"/>
      <c r="S539" s="208"/>
      <c r="T539" s="208"/>
      <c r="U539" s="208"/>
      <c r="V539" s="207"/>
      <c r="W539" s="207"/>
      <c r="X539" s="207"/>
      <c r="Y539" s="209"/>
      <c r="Z539" s="210"/>
      <c r="AA539" s="210"/>
      <c r="AB539" s="210"/>
      <c r="AC539" s="210"/>
      <c r="AD539" s="210"/>
      <c r="AE539" s="207"/>
      <c r="AF539" s="209"/>
      <c r="AG539" s="211"/>
      <c r="AH539"/>
      <c r="AI539"/>
    </row>
    <row r="540" spans="1:35" x14ac:dyDescent="0.3">
      <c r="A540"/>
      <c r="B540"/>
      <c r="C540"/>
      <c r="D540"/>
      <c r="E540"/>
      <c r="F540"/>
      <c r="G540"/>
      <c r="H540"/>
      <c r="I540"/>
      <c r="J540"/>
      <c r="K540"/>
      <c r="L540"/>
      <c r="M540"/>
      <c r="N540"/>
      <c r="O540"/>
      <c r="P540" s="207"/>
      <c r="Q540" s="207"/>
      <c r="R540" s="207"/>
      <c r="S540" s="208"/>
      <c r="T540" s="208"/>
      <c r="U540" s="208"/>
      <c r="V540" s="207"/>
      <c r="W540" s="207"/>
      <c r="X540" s="207"/>
      <c r="Y540" s="209"/>
      <c r="Z540" s="210"/>
      <c r="AA540" s="210"/>
      <c r="AB540" s="210"/>
      <c r="AC540" s="210"/>
      <c r="AD540" s="210"/>
      <c r="AE540" s="207"/>
      <c r="AF540" s="209"/>
      <c r="AG540" s="211"/>
      <c r="AH540"/>
      <c r="AI540"/>
    </row>
    <row r="541" spans="1:35" x14ac:dyDescent="0.3">
      <c r="A541"/>
      <c r="B541"/>
      <c r="C541"/>
      <c r="D541"/>
      <c r="E541"/>
      <c r="F541"/>
      <c r="G541"/>
      <c r="H541"/>
      <c r="I541"/>
      <c r="J541"/>
      <c r="K541"/>
      <c r="L541"/>
      <c r="M541"/>
      <c r="N541"/>
      <c r="O541"/>
      <c r="P541" s="207"/>
      <c r="Q541" s="207"/>
      <c r="R541" s="207"/>
      <c r="S541" s="208"/>
      <c r="T541" s="208"/>
      <c r="U541" s="208"/>
      <c r="V541" s="207"/>
      <c r="W541" s="207"/>
      <c r="X541" s="207"/>
      <c r="Y541" s="209"/>
      <c r="Z541" s="210"/>
      <c r="AA541" s="210"/>
      <c r="AB541" s="210"/>
      <c r="AC541" s="210"/>
      <c r="AD541" s="210"/>
      <c r="AE541" s="207"/>
      <c r="AF541" s="209"/>
      <c r="AG541" s="211"/>
      <c r="AH541"/>
      <c r="AI541"/>
    </row>
    <row r="542" spans="1:35" x14ac:dyDescent="0.3">
      <c r="A542"/>
      <c r="B542"/>
      <c r="C542"/>
      <c r="D542"/>
      <c r="E542"/>
      <c r="F542"/>
      <c r="G542"/>
      <c r="H542"/>
      <c r="I542"/>
      <c r="J542"/>
      <c r="K542"/>
      <c r="L542"/>
      <c r="M542"/>
      <c r="N542"/>
      <c r="O542"/>
      <c r="P542" s="207"/>
      <c r="Q542" s="207"/>
      <c r="R542" s="207"/>
      <c r="S542" s="208"/>
      <c r="T542" s="208"/>
      <c r="U542" s="208"/>
      <c r="V542" s="207"/>
      <c r="W542" s="207"/>
      <c r="X542" s="207"/>
      <c r="Y542" s="209"/>
      <c r="Z542" s="210"/>
      <c r="AA542" s="210"/>
      <c r="AB542" s="210"/>
      <c r="AC542" s="210"/>
      <c r="AD542" s="210"/>
      <c r="AE542" s="207"/>
      <c r="AF542" s="209"/>
      <c r="AG542" s="211"/>
      <c r="AH542"/>
      <c r="AI542"/>
    </row>
    <row r="543" spans="1:35" x14ac:dyDescent="0.3">
      <c r="A543"/>
      <c r="B543"/>
      <c r="C543"/>
      <c r="D543"/>
      <c r="E543"/>
      <c r="F543"/>
      <c r="G543"/>
      <c r="H543"/>
      <c r="I543"/>
      <c r="J543"/>
      <c r="K543"/>
      <c r="L543"/>
      <c r="M543"/>
      <c r="N543"/>
      <c r="O543"/>
      <c r="P543" s="207"/>
      <c r="Q543" s="207"/>
      <c r="R543" s="207"/>
      <c r="S543" s="208"/>
      <c r="T543" s="208"/>
      <c r="U543" s="208"/>
      <c r="V543" s="207"/>
      <c r="W543" s="207"/>
      <c r="X543" s="207"/>
      <c r="Y543" s="209"/>
      <c r="Z543" s="210"/>
      <c r="AA543" s="210"/>
      <c r="AB543" s="210"/>
      <c r="AC543" s="210"/>
      <c r="AD543" s="210"/>
      <c r="AE543" s="207"/>
      <c r="AF543" s="209"/>
      <c r="AG543" s="211"/>
      <c r="AH543"/>
      <c r="AI543"/>
    </row>
    <row r="544" spans="1:35" x14ac:dyDescent="0.3">
      <c r="A544"/>
      <c r="B544"/>
      <c r="C544"/>
      <c r="D544"/>
      <c r="E544"/>
      <c r="F544"/>
      <c r="G544"/>
      <c r="H544"/>
      <c r="I544"/>
      <c r="J544"/>
      <c r="K544"/>
      <c r="L544"/>
      <c r="M544"/>
      <c r="N544"/>
      <c r="O544"/>
      <c r="P544" s="207"/>
      <c r="Q544" s="207"/>
      <c r="R544" s="207"/>
      <c r="S544" s="208"/>
      <c r="T544" s="208"/>
      <c r="U544" s="208"/>
      <c r="V544" s="207"/>
      <c r="W544" s="207"/>
      <c r="X544" s="207"/>
      <c r="Y544" s="209"/>
      <c r="Z544" s="210"/>
      <c r="AA544" s="210"/>
      <c r="AB544" s="210"/>
      <c r="AC544" s="210"/>
      <c r="AD544" s="210"/>
      <c r="AE544" s="207"/>
      <c r="AF544" s="209"/>
      <c r="AG544" s="211"/>
      <c r="AH544"/>
      <c r="AI544"/>
    </row>
    <row r="545" spans="1:35" x14ac:dyDescent="0.3">
      <c r="A545"/>
      <c r="B545"/>
      <c r="C545"/>
      <c r="D545"/>
      <c r="E545"/>
      <c r="F545"/>
      <c r="G545"/>
      <c r="H545"/>
      <c r="I545"/>
      <c r="J545"/>
      <c r="K545"/>
      <c r="L545"/>
      <c r="M545"/>
      <c r="N545"/>
      <c r="O545"/>
      <c r="P545" s="207"/>
      <c r="Q545" s="207"/>
      <c r="R545" s="207"/>
      <c r="S545" s="208"/>
      <c r="T545" s="208"/>
      <c r="U545" s="208"/>
      <c r="V545" s="207"/>
      <c r="W545" s="207"/>
      <c r="X545" s="207"/>
      <c r="Y545" s="209"/>
      <c r="Z545" s="210"/>
      <c r="AA545" s="210"/>
      <c r="AB545" s="210"/>
      <c r="AC545" s="210"/>
      <c r="AD545" s="210"/>
      <c r="AE545" s="207"/>
      <c r="AF545" s="209"/>
      <c r="AG545" s="211"/>
      <c r="AH545"/>
      <c r="AI545"/>
    </row>
    <row r="546" spans="1:35" x14ac:dyDescent="0.3">
      <c r="A546"/>
      <c r="B546"/>
      <c r="C546"/>
      <c r="D546"/>
      <c r="E546"/>
      <c r="F546"/>
      <c r="G546"/>
      <c r="H546"/>
      <c r="I546"/>
      <c r="J546"/>
      <c r="K546"/>
      <c r="L546"/>
      <c r="M546"/>
      <c r="N546"/>
      <c r="O546"/>
      <c r="P546" s="207"/>
      <c r="Q546" s="207"/>
      <c r="R546" s="207"/>
      <c r="S546" s="208"/>
      <c r="T546" s="208"/>
      <c r="U546" s="208"/>
      <c r="V546" s="207"/>
      <c r="W546" s="207"/>
      <c r="X546" s="207"/>
      <c r="Y546" s="209"/>
      <c r="Z546" s="210"/>
      <c r="AA546" s="210"/>
      <c r="AB546" s="210"/>
      <c r="AC546" s="210"/>
      <c r="AD546" s="210"/>
      <c r="AE546" s="207"/>
      <c r="AF546" s="209"/>
      <c r="AG546" s="211"/>
      <c r="AH546"/>
      <c r="AI546"/>
    </row>
    <row r="547" spans="1:35" x14ac:dyDescent="0.3">
      <c r="A547"/>
      <c r="B547"/>
      <c r="C547"/>
      <c r="D547"/>
      <c r="E547"/>
      <c r="F547"/>
      <c r="G547"/>
      <c r="H547"/>
      <c r="I547"/>
      <c r="J547"/>
      <c r="K547"/>
      <c r="L547"/>
      <c r="M547"/>
      <c r="N547"/>
      <c r="O547"/>
      <c r="P547" s="207"/>
      <c r="Q547" s="207"/>
      <c r="R547" s="207"/>
      <c r="S547" s="208"/>
      <c r="T547" s="208"/>
      <c r="U547" s="208"/>
      <c r="V547" s="207"/>
      <c r="W547" s="207"/>
      <c r="X547" s="207"/>
      <c r="Y547" s="209"/>
      <c r="Z547" s="210"/>
      <c r="AA547" s="210"/>
      <c r="AB547" s="210"/>
      <c r="AC547" s="210"/>
      <c r="AD547" s="210"/>
      <c r="AE547" s="207"/>
      <c r="AF547" s="209"/>
      <c r="AG547" s="211"/>
      <c r="AH547"/>
      <c r="AI547"/>
    </row>
    <row r="548" spans="1:35" x14ac:dyDescent="0.3">
      <c r="A548"/>
      <c r="B548"/>
      <c r="C548"/>
      <c r="D548"/>
      <c r="E548"/>
      <c r="F548"/>
      <c r="G548"/>
      <c r="H548"/>
      <c r="I548"/>
      <c r="J548"/>
      <c r="K548"/>
      <c r="L548"/>
      <c r="M548"/>
      <c r="N548"/>
      <c r="O548"/>
      <c r="P548" s="207"/>
      <c r="Q548" s="207"/>
      <c r="R548" s="207"/>
      <c r="S548" s="208"/>
      <c r="T548" s="208"/>
      <c r="U548" s="208"/>
      <c r="V548" s="207"/>
      <c r="W548" s="207"/>
      <c r="X548" s="207"/>
      <c r="Y548" s="209"/>
      <c r="Z548" s="210"/>
      <c r="AA548" s="210"/>
      <c r="AB548" s="210"/>
      <c r="AC548" s="210"/>
      <c r="AD548" s="210"/>
      <c r="AE548" s="207"/>
      <c r="AF548" s="209"/>
      <c r="AG548" s="211"/>
      <c r="AH548"/>
      <c r="AI548"/>
    </row>
    <row r="549" spans="1:35" x14ac:dyDescent="0.3">
      <c r="A549"/>
      <c r="B549"/>
      <c r="C549"/>
      <c r="D549"/>
      <c r="E549"/>
      <c r="F549"/>
      <c r="G549"/>
      <c r="H549"/>
      <c r="I549"/>
      <c r="J549"/>
      <c r="K549"/>
      <c r="L549"/>
      <c r="M549"/>
      <c r="N549"/>
      <c r="O549"/>
      <c r="P549" s="207"/>
      <c r="Q549" s="207"/>
      <c r="R549" s="207"/>
      <c r="S549" s="208"/>
      <c r="T549" s="208"/>
      <c r="U549" s="208"/>
      <c r="V549" s="207"/>
      <c r="W549" s="207"/>
      <c r="X549" s="207"/>
      <c r="Y549" s="209"/>
      <c r="Z549" s="210"/>
      <c r="AA549" s="210"/>
      <c r="AB549" s="210"/>
      <c r="AC549" s="210"/>
      <c r="AD549" s="210"/>
      <c r="AE549" s="207"/>
      <c r="AF549" s="209"/>
      <c r="AG549" s="211"/>
      <c r="AH549"/>
      <c r="AI549"/>
    </row>
    <row r="550" spans="1:35" x14ac:dyDescent="0.3">
      <c r="A550"/>
      <c r="B550"/>
      <c r="C550"/>
      <c r="D550"/>
      <c r="E550"/>
      <c r="F550"/>
      <c r="G550"/>
      <c r="H550"/>
      <c r="I550"/>
      <c r="J550"/>
      <c r="K550"/>
      <c r="L550"/>
      <c r="M550"/>
      <c r="N550"/>
      <c r="O550"/>
      <c r="P550" s="207"/>
      <c r="Q550" s="207"/>
      <c r="R550" s="207"/>
      <c r="S550" s="208"/>
      <c r="T550" s="208"/>
      <c r="U550" s="208"/>
      <c r="V550" s="207"/>
      <c r="W550" s="207"/>
      <c r="X550" s="207"/>
      <c r="Y550" s="209"/>
      <c r="Z550" s="210"/>
      <c r="AA550" s="210"/>
      <c r="AB550" s="210"/>
      <c r="AC550" s="210"/>
      <c r="AD550" s="210"/>
      <c r="AE550" s="207"/>
      <c r="AF550" s="209"/>
      <c r="AG550" s="211"/>
      <c r="AH550"/>
      <c r="AI550"/>
    </row>
    <row r="551" spans="1:35" x14ac:dyDescent="0.3">
      <c r="A551"/>
      <c r="B551"/>
      <c r="C551"/>
      <c r="D551"/>
      <c r="E551"/>
      <c r="F551"/>
      <c r="G551"/>
      <c r="H551"/>
      <c r="I551"/>
      <c r="J551"/>
      <c r="K551"/>
      <c r="L551"/>
      <c r="M551"/>
      <c r="N551"/>
      <c r="O551"/>
      <c r="P551" s="207"/>
      <c r="Q551" s="207"/>
      <c r="R551" s="207"/>
      <c r="S551" s="208"/>
      <c r="T551" s="208"/>
      <c r="U551" s="208"/>
      <c r="V551" s="207"/>
      <c r="W551" s="207"/>
      <c r="X551" s="207"/>
      <c r="Y551" s="209"/>
      <c r="Z551" s="210"/>
      <c r="AA551" s="210"/>
      <c r="AB551" s="210"/>
      <c r="AC551" s="210"/>
      <c r="AD551" s="210"/>
      <c r="AE551" s="207"/>
      <c r="AF551" s="209"/>
      <c r="AG551" s="211"/>
      <c r="AH551"/>
      <c r="AI551"/>
    </row>
    <row r="552" spans="1:35" x14ac:dyDescent="0.3">
      <c r="A552"/>
      <c r="B552"/>
      <c r="C552"/>
      <c r="D552"/>
      <c r="E552"/>
      <c r="F552"/>
      <c r="G552"/>
      <c r="H552"/>
      <c r="I552"/>
      <c r="J552"/>
      <c r="K552"/>
      <c r="L552"/>
      <c r="M552"/>
      <c r="N552"/>
      <c r="O552"/>
      <c r="P552" s="207"/>
      <c r="Q552" s="207"/>
      <c r="R552" s="207"/>
      <c r="S552" s="208"/>
      <c r="T552" s="208"/>
      <c r="U552" s="208"/>
      <c r="V552" s="207"/>
      <c r="W552" s="207"/>
      <c r="X552" s="207"/>
      <c r="Y552" s="209"/>
      <c r="Z552" s="210"/>
      <c r="AA552" s="210"/>
      <c r="AB552" s="210"/>
      <c r="AC552" s="210"/>
      <c r="AD552" s="210"/>
      <c r="AE552" s="207"/>
      <c r="AF552" s="209"/>
      <c r="AG552" s="211"/>
      <c r="AH552"/>
      <c r="AI552"/>
    </row>
    <row r="553" spans="1:35" x14ac:dyDescent="0.3">
      <c r="A553"/>
      <c r="B553"/>
      <c r="C553"/>
      <c r="D553"/>
      <c r="E553"/>
      <c r="F553"/>
      <c r="G553"/>
      <c r="H553"/>
      <c r="I553"/>
      <c r="J553"/>
      <c r="K553"/>
      <c r="L553"/>
      <c r="M553"/>
      <c r="N553"/>
      <c r="O553"/>
      <c r="P553" s="207"/>
      <c r="Q553" s="207"/>
      <c r="R553" s="207"/>
      <c r="S553" s="208"/>
      <c r="T553" s="208"/>
      <c r="U553" s="208"/>
      <c r="V553" s="207"/>
      <c r="W553" s="207"/>
      <c r="X553" s="207"/>
      <c r="Y553" s="209"/>
      <c r="Z553" s="210"/>
      <c r="AA553" s="210"/>
      <c r="AB553" s="210"/>
      <c r="AC553" s="210"/>
      <c r="AD553" s="210"/>
      <c r="AE553" s="207"/>
      <c r="AF553" s="209"/>
      <c r="AG553" s="211"/>
      <c r="AH553"/>
      <c r="AI553"/>
    </row>
    <row r="554" spans="1:35" x14ac:dyDescent="0.3">
      <c r="A554"/>
      <c r="B554"/>
      <c r="C554"/>
      <c r="D554"/>
      <c r="E554"/>
      <c r="F554"/>
      <c r="G554"/>
      <c r="H554"/>
      <c r="I554"/>
      <c r="J554"/>
      <c r="K554"/>
      <c r="L554"/>
      <c r="M554"/>
      <c r="N554"/>
      <c r="O554"/>
      <c r="P554" s="207"/>
      <c r="Q554" s="207"/>
      <c r="R554" s="207"/>
      <c r="S554" s="208"/>
      <c r="T554" s="208"/>
      <c r="U554" s="208"/>
      <c r="V554" s="207"/>
      <c r="W554" s="207"/>
      <c r="X554" s="207"/>
      <c r="Y554" s="209"/>
      <c r="Z554" s="210"/>
      <c r="AA554" s="210"/>
      <c r="AB554" s="210"/>
      <c r="AC554" s="210"/>
      <c r="AD554" s="210"/>
      <c r="AE554" s="207"/>
      <c r="AF554" s="209"/>
      <c r="AG554" s="211"/>
      <c r="AH554"/>
      <c r="AI554"/>
    </row>
    <row r="555" spans="1:35" x14ac:dyDescent="0.3">
      <c r="A555"/>
      <c r="B555"/>
      <c r="C555"/>
      <c r="D555"/>
      <c r="E555"/>
      <c r="F555"/>
      <c r="G555"/>
      <c r="H555"/>
      <c r="I555"/>
      <c r="J555"/>
      <c r="K555"/>
      <c r="L555"/>
      <c r="M555"/>
      <c r="N555"/>
      <c r="O555"/>
      <c r="P555" s="207"/>
      <c r="Q555" s="207"/>
      <c r="R555" s="207"/>
      <c r="S555" s="208"/>
      <c r="T555" s="208"/>
      <c r="U555" s="208"/>
      <c r="V555" s="207"/>
      <c r="W555" s="207"/>
      <c r="X555" s="207"/>
      <c r="Y555" s="209"/>
      <c r="Z555" s="210"/>
      <c r="AA555" s="210"/>
      <c r="AB555" s="210"/>
      <c r="AC555" s="210"/>
      <c r="AD555" s="210"/>
      <c r="AE555" s="207"/>
      <c r="AF555" s="209"/>
      <c r="AG555" s="211"/>
      <c r="AH555"/>
      <c r="AI555"/>
    </row>
    <row r="556" spans="1:35" x14ac:dyDescent="0.3">
      <c r="A556"/>
      <c r="B556"/>
      <c r="C556"/>
      <c r="D556"/>
      <c r="E556"/>
      <c r="F556"/>
      <c r="G556"/>
      <c r="H556"/>
      <c r="I556"/>
      <c r="J556"/>
      <c r="K556"/>
      <c r="L556"/>
      <c r="M556"/>
      <c r="N556"/>
      <c r="O556"/>
      <c r="P556" s="207"/>
      <c r="Q556" s="207"/>
      <c r="R556" s="207"/>
      <c r="S556" s="208"/>
      <c r="T556" s="208"/>
      <c r="U556" s="208"/>
      <c r="V556" s="207"/>
      <c r="W556" s="207"/>
      <c r="X556" s="207"/>
      <c r="Y556" s="209"/>
      <c r="Z556" s="210"/>
      <c r="AA556" s="210"/>
      <c r="AB556" s="210"/>
      <c r="AC556" s="210"/>
      <c r="AD556" s="210"/>
      <c r="AE556" s="207"/>
      <c r="AF556" s="209"/>
      <c r="AG556" s="211"/>
      <c r="AH556"/>
      <c r="AI556"/>
    </row>
    <row r="557" spans="1:35" x14ac:dyDescent="0.3">
      <c r="A557"/>
      <c r="B557"/>
      <c r="C557"/>
      <c r="D557"/>
      <c r="E557"/>
      <c r="F557"/>
      <c r="G557"/>
      <c r="H557"/>
      <c r="I557"/>
      <c r="J557"/>
      <c r="K557"/>
      <c r="L557"/>
      <c r="M557"/>
      <c r="N557"/>
      <c r="O557"/>
      <c r="P557" s="207"/>
      <c r="Q557" s="207"/>
      <c r="R557" s="207"/>
      <c r="S557" s="208"/>
      <c r="T557" s="208"/>
      <c r="U557" s="208"/>
      <c r="V557" s="207"/>
      <c r="W557" s="207"/>
      <c r="X557" s="207"/>
      <c r="Y557" s="209"/>
      <c r="Z557" s="210"/>
      <c r="AA557" s="210"/>
      <c r="AB557" s="210"/>
      <c r="AC557" s="210"/>
      <c r="AD557" s="210"/>
      <c r="AE557" s="207"/>
      <c r="AF557" s="209"/>
      <c r="AG557" s="211"/>
      <c r="AH557"/>
      <c r="AI557"/>
    </row>
    <row r="558" spans="1:35" x14ac:dyDescent="0.3">
      <c r="A558"/>
      <c r="B558"/>
      <c r="C558"/>
      <c r="D558"/>
      <c r="E558"/>
      <c r="F558"/>
      <c r="G558"/>
      <c r="H558"/>
      <c r="I558"/>
      <c r="J558"/>
      <c r="K558"/>
      <c r="L558"/>
      <c r="M558"/>
      <c r="N558"/>
      <c r="O558"/>
      <c r="P558" s="207"/>
      <c r="Q558" s="207"/>
      <c r="R558" s="207"/>
      <c r="S558" s="208"/>
      <c r="T558" s="208"/>
      <c r="U558" s="208"/>
      <c r="V558" s="207"/>
      <c r="W558" s="207"/>
      <c r="X558" s="207"/>
      <c r="Y558" s="209"/>
      <c r="Z558" s="210"/>
      <c r="AA558" s="210"/>
      <c r="AB558" s="210"/>
      <c r="AC558" s="210"/>
      <c r="AD558" s="210"/>
      <c r="AE558" s="207"/>
      <c r="AF558" s="209"/>
      <c r="AG558" s="211"/>
      <c r="AH558"/>
      <c r="AI558"/>
    </row>
    <row r="559" spans="1:35" x14ac:dyDescent="0.3">
      <c r="A559"/>
      <c r="B559"/>
      <c r="C559"/>
      <c r="D559"/>
      <c r="E559"/>
      <c r="F559"/>
      <c r="G559"/>
      <c r="H559"/>
      <c r="I559"/>
      <c r="J559"/>
      <c r="K559"/>
      <c r="L559"/>
      <c r="M559"/>
      <c r="N559"/>
      <c r="O559"/>
      <c r="P559" s="207"/>
      <c r="Q559" s="207"/>
      <c r="R559" s="207"/>
      <c r="S559" s="208"/>
      <c r="T559" s="208"/>
      <c r="U559" s="208"/>
      <c r="V559" s="207"/>
      <c r="W559" s="207"/>
      <c r="X559" s="207"/>
      <c r="Y559" s="209"/>
      <c r="Z559" s="210"/>
      <c r="AA559" s="210"/>
      <c r="AB559" s="210"/>
      <c r="AC559" s="210"/>
      <c r="AD559" s="210"/>
      <c r="AE559" s="207"/>
      <c r="AF559" s="209"/>
      <c r="AG559" s="211"/>
      <c r="AH559"/>
      <c r="AI559"/>
    </row>
    <row r="560" spans="1:35" x14ac:dyDescent="0.3">
      <c r="A560"/>
      <c r="B560"/>
      <c r="C560"/>
      <c r="D560"/>
      <c r="E560"/>
      <c r="F560"/>
      <c r="G560"/>
      <c r="H560"/>
      <c r="I560"/>
      <c r="J560"/>
      <c r="K560"/>
      <c r="L560"/>
      <c r="M560"/>
      <c r="N560"/>
      <c r="O560"/>
      <c r="P560" s="207"/>
      <c r="Q560" s="207"/>
      <c r="R560" s="207"/>
      <c r="S560" s="208"/>
      <c r="T560" s="208"/>
      <c r="U560" s="208"/>
      <c r="V560" s="207"/>
      <c r="W560" s="207"/>
      <c r="X560" s="207"/>
      <c r="Y560" s="209"/>
      <c r="Z560" s="210"/>
      <c r="AA560" s="210"/>
      <c r="AB560" s="210"/>
      <c r="AC560" s="210"/>
      <c r="AD560" s="210"/>
      <c r="AE560" s="207"/>
      <c r="AF560" s="209"/>
      <c r="AG560" s="211"/>
      <c r="AH560"/>
      <c r="AI560"/>
    </row>
    <row r="561" spans="1:35" x14ac:dyDescent="0.3">
      <c r="A561"/>
      <c r="B561"/>
      <c r="C561"/>
      <c r="D561"/>
      <c r="E561"/>
      <c r="F561"/>
      <c r="G561"/>
      <c r="H561"/>
      <c r="I561"/>
      <c r="J561"/>
      <c r="K561"/>
      <c r="L561"/>
      <c r="M561"/>
      <c r="N561"/>
      <c r="O561"/>
      <c r="P561" s="207"/>
      <c r="Q561" s="207"/>
      <c r="R561" s="207"/>
      <c r="S561" s="208"/>
      <c r="T561" s="208"/>
      <c r="U561" s="208"/>
      <c r="V561" s="207"/>
      <c r="W561" s="207"/>
      <c r="X561" s="207"/>
      <c r="Y561" s="209"/>
      <c r="Z561" s="210"/>
      <c r="AA561" s="210"/>
      <c r="AB561" s="210"/>
      <c r="AC561" s="210"/>
      <c r="AD561" s="210"/>
      <c r="AE561" s="207"/>
      <c r="AF561" s="209"/>
      <c r="AG561" s="211"/>
      <c r="AH561"/>
      <c r="AI561"/>
    </row>
    <row r="562" spans="1:35" x14ac:dyDescent="0.3">
      <c r="A562"/>
      <c r="B562"/>
      <c r="C562"/>
      <c r="D562"/>
      <c r="E562"/>
      <c r="F562"/>
      <c r="G562"/>
      <c r="H562"/>
      <c r="I562"/>
      <c r="J562"/>
      <c r="K562"/>
      <c r="L562"/>
      <c r="M562"/>
      <c r="N562"/>
      <c r="O562"/>
      <c r="P562" s="207"/>
      <c r="Q562" s="207"/>
      <c r="R562" s="207"/>
      <c r="S562" s="208"/>
      <c r="T562" s="208"/>
      <c r="U562" s="208"/>
      <c r="V562" s="207"/>
      <c r="W562" s="207"/>
      <c r="X562" s="207"/>
      <c r="Y562" s="209"/>
      <c r="Z562" s="210"/>
      <c r="AA562" s="210"/>
      <c r="AB562" s="210"/>
      <c r="AC562" s="210"/>
      <c r="AD562" s="210"/>
      <c r="AE562" s="207"/>
      <c r="AF562" s="209"/>
      <c r="AG562" s="211"/>
      <c r="AH562"/>
      <c r="AI562"/>
    </row>
    <row r="563" spans="1:35" x14ac:dyDescent="0.3">
      <c r="A563"/>
      <c r="B563"/>
      <c r="C563"/>
      <c r="D563"/>
      <c r="E563"/>
      <c r="F563"/>
      <c r="G563"/>
      <c r="H563"/>
      <c r="I563"/>
      <c r="J563"/>
      <c r="K563"/>
      <c r="L563"/>
      <c r="M563"/>
      <c r="N563"/>
      <c r="O563"/>
      <c r="P563" s="207"/>
      <c r="Q563" s="207"/>
      <c r="R563" s="207"/>
      <c r="S563" s="208"/>
      <c r="T563" s="208"/>
      <c r="U563" s="208"/>
      <c r="V563" s="207"/>
      <c r="W563" s="207"/>
      <c r="X563" s="207"/>
      <c r="Y563" s="209"/>
      <c r="Z563" s="210"/>
      <c r="AA563" s="210"/>
      <c r="AB563" s="210"/>
      <c r="AC563" s="210"/>
      <c r="AD563" s="210"/>
      <c r="AE563" s="207"/>
      <c r="AF563" s="209"/>
      <c r="AG563" s="211"/>
      <c r="AH563"/>
      <c r="AI563"/>
    </row>
    <row r="564" spans="1:35" x14ac:dyDescent="0.3">
      <c r="A564"/>
      <c r="B564"/>
      <c r="C564"/>
      <c r="D564"/>
      <c r="E564"/>
      <c r="F564"/>
      <c r="G564"/>
      <c r="H564"/>
      <c r="I564"/>
      <c r="J564"/>
      <c r="K564"/>
      <c r="L564"/>
      <c r="M564"/>
      <c r="N564"/>
      <c r="O564"/>
      <c r="P564" s="207"/>
      <c r="Q564" s="207"/>
      <c r="R564" s="207"/>
      <c r="S564" s="208"/>
      <c r="T564" s="208"/>
      <c r="U564" s="208"/>
      <c r="V564" s="207"/>
      <c r="W564" s="207"/>
      <c r="X564" s="207"/>
      <c r="Y564" s="209"/>
      <c r="Z564" s="210"/>
      <c r="AA564" s="210"/>
      <c r="AB564" s="210"/>
      <c r="AC564" s="210"/>
      <c r="AD564" s="210"/>
      <c r="AE564" s="207"/>
      <c r="AF564" s="209"/>
      <c r="AG564" s="211"/>
      <c r="AH564"/>
      <c r="AI564"/>
    </row>
    <row r="565" spans="1:35" x14ac:dyDescent="0.3">
      <c r="A565"/>
      <c r="B565"/>
      <c r="C565"/>
      <c r="D565"/>
      <c r="E565"/>
      <c r="F565"/>
      <c r="G565"/>
      <c r="H565"/>
      <c r="I565"/>
      <c r="J565"/>
      <c r="K565"/>
      <c r="L565"/>
      <c r="M565"/>
      <c r="N565"/>
      <c r="O565"/>
      <c r="P565" s="207"/>
      <c r="Q565" s="207"/>
      <c r="R565" s="207"/>
      <c r="S565" s="208"/>
      <c r="T565" s="208"/>
      <c r="U565" s="208"/>
      <c r="V565" s="207"/>
      <c r="W565" s="207"/>
      <c r="X565" s="207"/>
      <c r="Y565" s="209"/>
      <c r="Z565" s="210"/>
      <c r="AA565" s="210"/>
      <c r="AB565" s="210"/>
      <c r="AC565" s="210"/>
      <c r="AD565" s="210"/>
      <c r="AE565" s="207"/>
      <c r="AF565" s="209"/>
      <c r="AG565" s="211"/>
      <c r="AH565"/>
      <c r="AI565"/>
    </row>
    <row r="566" spans="1:35" x14ac:dyDescent="0.3">
      <c r="A566"/>
      <c r="B566"/>
      <c r="C566"/>
      <c r="D566"/>
      <c r="E566"/>
      <c r="F566"/>
      <c r="G566"/>
      <c r="H566"/>
      <c r="I566"/>
      <c r="J566"/>
      <c r="K566"/>
      <c r="L566"/>
      <c r="M566"/>
      <c r="N566"/>
      <c r="O566"/>
      <c r="P566" s="207"/>
      <c r="Q566" s="207"/>
      <c r="R566" s="207"/>
      <c r="S566" s="208"/>
      <c r="T566" s="208"/>
      <c r="U566" s="208"/>
      <c r="V566" s="207"/>
      <c r="W566" s="207"/>
      <c r="X566" s="207"/>
      <c r="Y566" s="209"/>
      <c r="Z566" s="210"/>
      <c r="AA566" s="210"/>
      <c r="AB566" s="210"/>
      <c r="AC566" s="210"/>
      <c r="AD566" s="210"/>
      <c r="AE566" s="207"/>
      <c r="AF566" s="209"/>
      <c r="AG566" s="211"/>
      <c r="AH566"/>
      <c r="AI566"/>
    </row>
    <row r="567" spans="1:35" x14ac:dyDescent="0.3">
      <c r="A567"/>
      <c r="B567"/>
      <c r="C567"/>
      <c r="D567"/>
      <c r="E567"/>
      <c r="F567"/>
      <c r="G567"/>
      <c r="H567"/>
      <c r="I567"/>
      <c r="J567"/>
      <c r="K567"/>
      <c r="L567"/>
      <c r="M567"/>
      <c r="N567"/>
      <c r="O567"/>
      <c r="P567" s="207"/>
      <c r="Q567" s="207"/>
      <c r="R567" s="207"/>
      <c r="S567" s="208"/>
      <c r="T567" s="208"/>
      <c r="U567" s="208"/>
      <c r="V567" s="207"/>
      <c r="W567" s="207"/>
      <c r="X567" s="207"/>
      <c r="Y567" s="209"/>
      <c r="Z567" s="210"/>
      <c r="AA567" s="210"/>
      <c r="AB567" s="210"/>
      <c r="AC567" s="210"/>
      <c r="AD567" s="210"/>
      <c r="AE567" s="207"/>
      <c r="AF567" s="209"/>
      <c r="AG567" s="211"/>
      <c r="AH567"/>
      <c r="AI567"/>
    </row>
    <row r="568" spans="1:35" x14ac:dyDescent="0.3">
      <c r="A568"/>
      <c r="B568"/>
      <c r="C568"/>
      <c r="D568"/>
      <c r="E568"/>
      <c r="F568"/>
      <c r="G568"/>
      <c r="H568"/>
      <c r="I568"/>
      <c r="J568"/>
      <c r="K568"/>
      <c r="L568"/>
      <c r="M568"/>
      <c r="N568"/>
      <c r="O568"/>
      <c r="P568" s="207"/>
      <c r="Q568" s="207"/>
      <c r="R568" s="207"/>
      <c r="S568" s="208"/>
      <c r="T568" s="208"/>
      <c r="U568" s="208"/>
      <c r="V568" s="207"/>
      <c r="W568" s="207"/>
      <c r="X568" s="207"/>
      <c r="Y568" s="209"/>
      <c r="Z568" s="210"/>
      <c r="AA568" s="210"/>
      <c r="AB568" s="210"/>
      <c r="AC568" s="210"/>
      <c r="AD568" s="210"/>
      <c r="AE568" s="207"/>
      <c r="AF568" s="209"/>
      <c r="AG568" s="211"/>
      <c r="AH568"/>
      <c r="AI568"/>
    </row>
    <row r="569" spans="1:35" x14ac:dyDescent="0.3">
      <c r="A569"/>
      <c r="B569"/>
      <c r="C569"/>
      <c r="D569"/>
      <c r="E569"/>
      <c r="F569"/>
      <c r="G569"/>
      <c r="H569"/>
      <c r="I569"/>
      <c r="J569"/>
      <c r="K569"/>
      <c r="L569"/>
      <c r="M569"/>
      <c r="N569"/>
      <c r="O569"/>
      <c r="P569" s="207"/>
      <c r="Q569" s="207"/>
      <c r="R569" s="207"/>
      <c r="S569" s="208"/>
      <c r="T569" s="208"/>
      <c r="U569" s="208"/>
      <c r="V569" s="207"/>
      <c r="W569" s="207"/>
      <c r="X569" s="207"/>
      <c r="Y569" s="209"/>
      <c r="Z569" s="210"/>
      <c r="AA569" s="210"/>
      <c r="AB569" s="210"/>
      <c r="AC569" s="210"/>
      <c r="AD569" s="210"/>
      <c r="AE569" s="207"/>
      <c r="AF569" s="209"/>
      <c r="AG569" s="211"/>
      <c r="AH569"/>
      <c r="AI569"/>
    </row>
    <row r="570" spans="1:35" x14ac:dyDescent="0.3">
      <c r="A570"/>
      <c r="B570"/>
      <c r="C570"/>
      <c r="D570"/>
      <c r="E570"/>
      <c r="F570"/>
      <c r="G570"/>
      <c r="H570"/>
      <c r="I570"/>
      <c r="J570"/>
      <c r="K570"/>
      <c r="L570"/>
      <c r="M570"/>
      <c r="N570"/>
      <c r="O570"/>
      <c r="P570" s="207"/>
      <c r="Q570" s="207"/>
      <c r="R570" s="207"/>
      <c r="S570" s="208"/>
      <c r="T570" s="208"/>
      <c r="U570" s="208"/>
      <c r="V570" s="207"/>
      <c r="W570" s="207"/>
      <c r="X570" s="207"/>
      <c r="Y570" s="209"/>
      <c r="Z570" s="210"/>
      <c r="AA570" s="210"/>
      <c r="AB570" s="210"/>
      <c r="AC570" s="210"/>
      <c r="AD570" s="210"/>
      <c r="AE570" s="207"/>
      <c r="AF570" s="209"/>
      <c r="AG570" s="211"/>
      <c r="AH570"/>
      <c r="AI570"/>
    </row>
    <row r="571" spans="1:35" x14ac:dyDescent="0.3">
      <c r="A571"/>
      <c r="B571"/>
      <c r="C571"/>
      <c r="D571"/>
      <c r="E571"/>
      <c r="F571"/>
      <c r="G571"/>
      <c r="H571"/>
      <c r="I571"/>
      <c r="J571"/>
      <c r="K571"/>
      <c r="L571"/>
      <c r="M571"/>
      <c r="N571"/>
      <c r="O571"/>
      <c r="P571" s="207"/>
      <c r="Q571" s="207"/>
      <c r="R571" s="207"/>
      <c r="S571" s="208"/>
      <c r="T571" s="208"/>
      <c r="U571" s="208"/>
      <c r="V571" s="207"/>
      <c r="W571" s="207"/>
      <c r="X571" s="207"/>
      <c r="Y571" s="209"/>
      <c r="Z571" s="210"/>
      <c r="AA571" s="210"/>
      <c r="AB571" s="210"/>
      <c r="AC571" s="210"/>
      <c r="AD571" s="210"/>
      <c r="AE571" s="207"/>
      <c r="AF571" s="209"/>
      <c r="AG571" s="211"/>
      <c r="AH571"/>
      <c r="AI571"/>
    </row>
    <row r="572" spans="1:35" x14ac:dyDescent="0.3">
      <c r="A572"/>
      <c r="B572"/>
      <c r="C572"/>
      <c r="D572"/>
      <c r="E572"/>
      <c r="F572"/>
      <c r="G572"/>
      <c r="H572"/>
      <c r="I572"/>
      <c r="J572"/>
      <c r="K572"/>
      <c r="L572"/>
      <c r="M572"/>
      <c r="N572"/>
      <c r="O572"/>
      <c r="P572" s="207"/>
      <c r="Q572" s="207"/>
      <c r="R572" s="207"/>
      <c r="S572" s="208"/>
      <c r="T572" s="208"/>
      <c r="U572" s="208"/>
      <c r="V572" s="207"/>
      <c r="W572" s="207"/>
      <c r="X572" s="207"/>
      <c r="Y572" s="209"/>
      <c r="Z572" s="210"/>
      <c r="AA572" s="210"/>
      <c r="AB572" s="210"/>
      <c r="AC572" s="210"/>
      <c r="AD572" s="210"/>
      <c r="AE572" s="207"/>
      <c r="AF572" s="209"/>
      <c r="AG572" s="211"/>
      <c r="AH572"/>
      <c r="AI572"/>
    </row>
    <row r="573" spans="1:35" x14ac:dyDescent="0.3">
      <c r="A573"/>
      <c r="B573"/>
      <c r="C573"/>
      <c r="D573"/>
      <c r="E573"/>
      <c r="F573"/>
      <c r="G573"/>
      <c r="H573"/>
      <c r="I573"/>
      <c r="J573"/>
      <c r="K573"/>
      <c r="L573"/>
      <c r="M573"/>
      <c r="N573"/>
      <c r="O573"/>
      <c r="P573" s="207"/>
      <c r="Q573" s="207"/>
      <c r="R573" s="207"/>
      <c r="S573" s="208"/>
      <c r="T573" s="208"/>
      <c r="U573" s="208"/>
      <c r="V573" s="207"/>
      <c r="W573" s="207"/>
      <c r="X573" s="207"/>
      <c r="Y573" s="209"/>
      <c r="Z573" s="210"/>
      <c r="AA573" s="210"/>
      <c r="AB573" s="210"/>
      <c r="AC573" s="210"/>
      <c r="AD573" s="210"/>
      <c r="AE573" s="207"/>
      <c r="AF573" s="209"/>
      <c r="AG573" s="211"/>
      <c r="AH573"/>
      <c r="AI573"/>
    </row>
    <row r="574" spans="1:35" x14ac:dyDescent="0.3">
      <c r="A574"/>
      <c r="B574"/>
      <c r="C574"/>
      <c r="D574"/>
      <c r="E574"/>
      <c r="F574"/>
      <c r="G574"/>
      <c r="H574"/>
      <c r="I574"/>
      <c r="J574"/>
      <c r="K574"/>
      <c r="L574"/>
      <c r="M574"/>
      <c r="N574"/>
      <c r="O574"/>
      <c r="P574" s="207"/>
      <c r="Q574" s="207"/>
      <c r="R574" s="207"/>
      <c r="S574" s="208"/>
      <c r="T574" s="208"/>
      <c r="U574" s="208"/>
      <c r="V574" s="207"/>
      <c r="W574" s="207"/>
      <c r="X574" s="207"/>
      <c r="Y574" s="209"/>
      <c r="Z574" s="210"/>
      <c r="AA574" s="210"/>
      <c r="AB574" s="210"/>
      <c r="AC574" s="210"/>
      <c r="AD574" s="210"/>
      <c r="AE574" s="207"/>
      <c r="AF574" s="209"/>
      <c r="AG574" s="211"/>
      <c r="AH574"/>
      <c r="AI574"/>
    </row>
    <row r="575" spans="1:35" x14ac:dyDescent="0.3">
      <c r="A575"/>
      <c r="B575"/>
      <c r="C575"/>
      <c r="D575"/>
      <c r="E575"/>
      <c r="F575"/>
      <c r="G575"/>
      <c r="H575"/>
      <c r="I575"/>
      <c r="J575"/>
      <c r="K575"/>
      <c r="L575"/>
      <c r="M575"/>
      <c r="N575"/>
      <c r="O575"/>
      <c r="P575" s="207"/>
      <c r="Q575" s="207"/>
      <c r="R575" s="207"/>
      <c r="S575" s="208"/>
      <c r="T575" s="208"/>
      <c r="U575" s="208"/>
      <c r="V575" s="207"/>
      <c r="W575" s="207"/>
      <c r="X575" s="207"/>
      <c r="Y575" s="209"/>
      <c r="Z575" s="210"/>
      <c r="AA575" s="210"/>
      <c r="AB575" s="210"/>
      <c r="AC575" s="210"/>
      <c r="AD575" s="210"/>
      <c r="AE575" s="207"/>
      <c r="AF575" s="209"/>
      <c r="AG575" s="211"/>
      <c r="AH575"/>
      <c r="AI575"/>
    </row>
    <row r="576" spans="1:35" x14ac:dyDescent="0.3">
      <c r="A576"/>
      <c r="B576"/>
      <c r="C576"/>
      <c r="D576"/>
      <c r="E576"/>
      <c r="F576"/>
      <c r="G576"/>
      <c r="H576"/>
      <c r="I576"/>
      <c r="J576"/>
      <c r="K576"/>
      <c r="L576"/>
      <c r="M576"/>
      <c r="N576"/>
      <c r="O576"/>
      <c r="P576" s="207"/>
      <c r="Q576" s="207"/>
      <c r="R576" s="207"/>
      <c r="S576" s="208"/>
      <c r="T576" s="208"/>
      <c r="U576" s="208"/>
      <c r="V576" s="207"/>
      <c r="W576" s="207"/>
      <c r="X576" s="207"/>
      <c r="Y576" s="209"/>
      <c r="Z576" s="210"/>
      <c r="AA576" s="210"/>
      <c r="AB576" s="210"/>
      <c r="AC576" s="210"/>
      <c r="AD576" s="210"/>
      <c r="AE576" s="207"/>
      <c r="AF576" s="209"/>
      <c r="AG576" s="211"/>
      <c r="AH576"/>
      <c r="AI576"/>
    </row>
    <row r="577" spans="1:35" x14ac:dyDescent="0.3">
      <c r="A577"/>
      <c r="B577"/>
      <c r="C577"/>
      <c r="D577"/>
      <c r="E577"/>
      <c r="F577"/>
      <c r="G577"/>
      <c r="H577"/>
      <c r="I577"/>
      <c r="J577"/>
      <c r="K577"/>
      <c r="L577"/>
      <c r="M577"/>
      <c r="N577"/>
      <c r="O577"/>
      <c r="P577" s="207"/>
      <c r="Q577" s="207"/>
      <c r="R577" s="207"/>
      <c r="S577" s="208"/>
      <c r="T577" s="208"/>
      <c r="U577" s="208"/>
      <c r="V577" s="207"/>
      <c r="W577" s="207"/>
      <c r="X577" s="207"/>
      <c r="Y577" s="209"/>
      <c r="Z577" s="210"/>
      <c r="AA577" s="210"/>
      <c r="AB577" s="210"/>
      <c r="AC577" s="210"/>
      <c r="AD577" s="210"/>
      <c r="AE577" s="207"/>
      <c r="AF577" s="209"/>
      <c r="AG577" s="211"/>
      <c r="AH577"/>
      <c r="AI577"/>
    </row>
    <row r="578" spans="1:35" x14ac:dyDescent="0.3">
      <c r="A578"/>
      <c r="B578"/>
      <c r="C578"/>
      <c r="D578"/>
      <c r="E578"/>
      <c r="F578"/>
      <c r="G578"/>
      <c r="H578"/>
      <c r="I578"/>
      <c r="J578"/>
      <c r="K578"/>
      <c r="L578"/>
      <c r="M578"/>
      <c r="N578"/>
      <c r="O578"/>
      <c r="P578" s="207"/>
      <c r="Q578" s="207"/>
      <c r="R578" s="207"/>
      <c r="S578" s="208"/>
      <c r="T578" s="208"/>
      <c r="U578" s="208"/>
      <c r="V578" s="207"/>
      <c r="W578" s="207"/>
      <c r="X578" s="207"/>
      <c r="Y578" s="209"/>
      <c r="Z578" s="210"/>
      <c r="AA578" s="210"/>
      <c r="AB578" s="210"/>
      <c r="AC578" s="210"/>
      <c r="AD578" s="210"/>
      <c r="AE578" s="207"/>
      <c r="AF578" s="209"/>
      <c r="AG578" s="211"/>
      <c r="AH578"/>
      <c r="AI578"/>
    </row>
    <row r="579" spans="1:35" x14ac:dyDescent="0.3">
      <c r="A579"/>
      <c r="B579"/>
      <c r="C579"/>
      <c r="D579"/>
      <c r="E579"/>
      <c r="F579"/>
      <c r="G579"/>
      <c r="H579"/>
      <c r="I579"/>
      <c r="J579"/>
      <c r="K579"/>
      <c r="L579"/>
      <c r="M579"/>
      <c r="N579"/>
      <c r="O579"/>
      <c r="P579" s="207"/>
      <c r="Q579" s="207"/>
      <c r="R579" s="207"/>
      <c r="S579" s="208"/>
      <c r="T579" s="208"/>
      <c r="U579" s="208"/>
      <c r="V579" s="207"/>
      <c r="W579" s="207"/>
      <c r="X579" s="207"/>
      <c r="Y579" s="209"/>
      <c r="Z579" s="210"/>
      <c r="AA579" s="210"/>
      <c r="AB579" s="210"/>
      <c r="AC579" s="210"/>
      <c r="AD579" s="210"/>
      <c r="AE579" s="207"/>
      <c r="AF579" s="209"/>
      <c r="AG579" s="211"/>
      <c r="AH579"/>
      <c r="AI579"/>
    </row>
    <row r="580" spans="1:35" x14ac:dyDescent="0.3">
      <c r="A580"/>
      <c r="B580"/>
      <c r="C580"/>
      <c r="D580"/>
      <c r="E580"/>
      <c r="F580"/>
      <c r="G580"/>
      <c r="H580"/>
      <c r="I580"/>
      <c r="J580"/>
      <c r="K580"/>
      <c r="L580"/>
      <c r="M580"/>
      <c r="N580"/>
      <c r="O580"/>
      <c r="P580" s="207"/>
      <c r="Q580" s="207"/>
      <c r="R580" s="207"/>
      <c r="S580" s="208"/>
      <c r="T580" s="208"/>
      <c r="U580" s="208"/>
      <c r="V580" s="207"/>
      <c r="W580" s="207"/>
      <c r="X580" s="207"/>
      <c r="Y580" s="209"/>
      <c r="Z580" s="210"/>
      <c r="AA580" s="210"/>
      <c r="AB580" s="210"/>
      <c r="AC580" s="210"/>
      <c r="AD580" s="210"/>
      <c r="AE580" s="207"/>
      <c r="AF580" s="209"/>
      <c r="AG580" s="211"/>
      <c r="AH580"/>
      <c r="AI580"/>
    </row>
    <row r="581" spans="1:35" x14ac:dyDescent="0.3">
      <c r="A581"/>
      <c r="B581"/>
      <c r="C581"/>
      <c r="D581"/>
      <c r="E581"/>
      <c r="F581"/>
      <c r="G581"/>
      <c r="H581"/>
      <c r="I581"/>
      <c r="J581"/>
      <c r="K581"/>
      <c r="L581"/>
      <c r="M581"/>
      <c r="N581"/>
      <c r="O581"/>
      <c r="P581" s="207"/>
      <c r="Q581" s="207"/>
      <c r="R581" s="207"/>
      <c r="S581" s="208"/>
      <c r="T581" s="208"/>
      <c r="U581" s="208"/>
      <c r="V581" s="207"/>
      <c r="W581" s="207"/>
      <c r="X581" s="207"/>
      <c r="Y581" s="209"/>
      <c r="Z581" s="210"/>
      <c r="AA581" s="210"/>
      <c r="AB581" s="210"/>
      <c r="AC581" s="210"/>
      <c r="AD581" s="210"/>
      <c r="AE581" s="207"/>
      <c r="AF581" s="209"/>
      <c r="AG581" s="211"/>
      <c r="AH581"/>
      <c r="AI581"/>
    </row>
    <row r="582" spans="1:35" x14ac:dyDescent="0.3">
      <c r="A582"/>
      <c r="B582"/>
      <c r="C582"/>
      <c r="D582"/>
      <c r="E582"/>
      <c r="F582"/>
      <c r="G582"/>
      <c r="H582"/>
      <c r="I582"/>
      <c r="J582"/>
      <c r="K582"/>
      <c r="L582"/>
      <c r="M582"/>
      <c r="N582"/>
      <c r="O582"/>
      <c r="P582" s="207"/>
      <c r="Q582" s="207"/>
      <c r="R582" s="207"/>
      <c r="S582" s="208"/>
      <c r="T582" s="208"/>
      <c r="U582" s="208"/>
      <c r="V582" s="207"/>
      <c r="W582" s="207"/>
      <c r="X582" s="207"/>
      <c r="Y582" s="209"/>
      <c r="Z582" s="210"/>
      <c r="AA582" s="210"/>
      <c r="AB582" s="210"/>
      <c r="AC582" s="210"/>
      <c r="AD582" s="210"/>
      <c r="AE582" s="207"/>
      <c r="AF582" s="209"/>
      <c r="AG582" s="211"/>
      <c r="AH582"/>
      <c r="AI582"/>
    </row>
    <row r="583" spans="1:35" x14ac:dyDescent="0.3">
      <c r="A583"/>
      <c r="B583"/>
      <c r="C583"/>
      <c r="D583"/>
      <c r="E583"/>
      <c r="F583"/>
      <c r="G583"/>
      <c r="H583"/>
      <c r="I583"/>
      <c r="J583"/>
      <c r="K583"/>
      <c r="L583"/>
      <c r="M583"/>
      <c r="N583"/>
      <c r="O583"/>
      <c r="P583" s="207"/>
      <c r="Q583" s="207"/>
      <c r="R583" s="207"/>
      <c r="S583" s="208"/>
      <c r="T583" s="208"/>
      <c r="U583" s="208"/>
      <c r="V583" s="207"/>
      <c r="W583" s="207"/>
      <c r="X583" s="207"/>
      <c r="Y583" s="209"/>
      <c r="Z583" s="210"/>
      <c r="AA583" s="210"/>
      <c r="AB583" s="210"/>
      <c r="AC583" s="210"/>
      <c r="AD583" s="210"/>
      <c r="AE583" s="207"/>
      <c r="AF583" s="209"/>
      <c r="AG583" s="211"/>
      <c r="AH583"/>
      <c r="AI583"/>
    </row>
    <row r="584" spans="1:35" x14ac:dyDescent="0.3">
      <c r="A584"/>
      <c r="B584"/>
      <c r="C584"/>
      <c r="D584"/>
      <c r="E584"/>
      <c r="F584"/>
      <c r="G584"/>
      <c r="H584"/>
      <c r="I584"/>
      <c r="J584"/>
      <c r="K584"/>
      <c r="L584"/>
      <c r="M584"/>
      <c r="N584"/>
      <c r="O584"/>
      <c r="P584" s="207"/>
      <c r="Q584" s="207"/>
      <c r="R584" s="207"/>
      <c r="S584" s="208"/>
      <c r="T584" s="208"/>
      <c r="U584" s="208"/>
      <c r="V584" s="207"/>
      <c r="W584" s="207"/>
      <c r="X584" s="207"/>
      <c r="Y584" s="209"/>
      <c r="Z584" s="210"/>
      <c r="AA584" s="210"/>
      <c r="AB584" s="210"/>
      <c r="AC584" s="210"/>
      <c r="AD584" s="210"/>
      <c r="AE584" s="207"/>
      <c r="AF584" s="209"/>
      <c r="AG584" s="211"/>
      <c r="AH584"/>
      <c r="AI584"/>
    </row>
    <row r="585" spans="1:35" x14ac:dyDescent="0.3">
      <c r="A585"/>
      <c r="B585"/>
      <c r="C585"/>
      <c r="D585"/>
      <c r="E585"/>
      <c r="F585"/>
      <c r="G585"/>
      <c r="H585"/>
      <c r="I585"/>
      <c r="J585"/>
      <c r="K585"/>
      <c r="L585"/>
      <c r="M585"/>
      <c r="N585"/>
      <c r="O585"/>
      <c r="P585" s="207"/>
      <c r="Q585" s="207"/>
      <c r="R585" s="207"/>
      <c r="S585" s="208"/>
      <c r="T585" s="208"/>
      <c r="U585" s="208"/>
      <c r="V585" s="207"/>
      <c r="W585" s="207"/>
      <c r="X585" s="207"/>
      <c r="Y585" s="209"/>
      <c r="Z585" s="210"/>
      <c r="AA585" s="210"/>
      <c r="AB585" s="210"/>
      <c r="AC585" s="210"/>
      <c r="AD585" s="210"/>
      <c r="AE585" s="207"/>
      <c r="AF585" s="209"/>
      <c r="AG585" s="211"/>
      <c r="AH585"/>
      <c r="AI585"/>
    </row>
    <row r="586" spans="1:35" x14ac:dyDescent="0.3">
      <c r="A586"/>
      <c r="B586"/>
      <c r="C586"/>
      <c r="D586"/>
      <c r="E586"/>
      <c r="F586"/>
      <c r="G586"/>
      <c r="H586"/>
      <c r="I586"/>
      <c r="J586"/>
      <c r="K586"/>
      <c r="L586"/>
      <c r="M586"/>
      <c r="N586"/>
      <c r="O586"/>
      <c r="P586" s="207"/>
      <c r="Q586" s="207"/>
      <c r="R586" s="207"/>
      <c r="S586" s="208"/>
      <c r="T586" s="208"/>
      <c r="U586" s="208"/>
      <c r="V586" s="207"/>
      <c r="W586" s="207"/>
      <c r="X586" s="207"/>
      <c r="Y586" s="209"/>
      <c r="Z586" s="210"/>
      <c r="AA586" s="210"/>
      <c r="AB586" s="210"/>
      <c r="AC586" s="210"/>
      <c r="AD586" s="210"/>
      <c r="AE586" s="207"/>
      <c r="AF586" s="209"/>
      <c r="AG586" s="211"/>
      <c r="AH586"/>
      <c r="AI586"/>
    </row>
    <row r="587" spans="1:35" x14ac:dyDescent="0.3">
      <c r="A587"/>
      <c r="B587"/>
      <c r="C587"/>
      <c r="D587"/>
      <c r="E587"/>
      <c r="F587"/>
      <c r="G587"/>
      <c r="H587"/>
      <c r="I587"/>
      <c r="J587"/>
      <c r="K587"/>
      <c r="L587"/>
      <c r="M587"/>
      <c r="N587"/>
      <c r="O587"/>
      <c r="P587" s="207"/>
      <c r="Q587" s="207"/>
      <c r="R587" s="207"/>
      <c r="S587" s="208"/>
      <c r="T587" s="208"/>
      <c r="U587" s="208"/>
      <c r="V587" s="207"/>
      <c r="W587" s="207"/>
      <c r="X587" s="207"/>
      <c r="Y587" s="209"/>
      <c r="Z587" s="210"/>
      <c r="AA587" s="210"/>
      <c r="AB587" s="210"/>
      <c r="AC587" s="210"/>
      <c r="AD587" s="210"/>
      <c r="AE587" s="207"/>
      <c r="AF587" s="209"/>
      <c r="AG587" s="211"/>
      <c r="AH587"/>
      <c r="AI587"/>
    </row>
    <row r="588" spans="1:35" x14ac:dyDescent="0.3">
      <c r="A588"/>
      <c r="B588"/>
      <c r="C588"/>
      <c r="D588"/>
      <c r="E588"/>
      <c r="F588"/>
      <c r="G588"/>
      <c r="H588"/>
      <c r="I588"/>
      <c r="J588"/>
      <c r="K588"/>
      <c r="L588"/>
      <c r="M588"/>
      <c r="N588"/>
      <c r="O588"/>
      <c r="P588" s="207"/>
      <c r="Q588" s="207"/>
      <c r="R588" s="207"/>
      <c r="S588" s="208"/>
      <c r="T588" s="208"/>
      <c r="U588" s="208"/>
      <c r="V588" s="207"/>
      <c r="W588" s="207"/>
      <c r="X588" s="207"/>
      <c r="Y588" s="209"/>
      <c r="Z588" s="210"/>
      <c r="AA588" s="210"/>
      <c r="AB588" s="210"/>
      <c r="AC588" s="210"/>
      <c r="AD588" s="210"/>
      <c r="AE588" s="207"/>
      <c r="AF588" s="209"/>
      <c r="AG588" s="211"/>
      <c r="AH588"/>
      <c r="AI588"/>
    </row>
    <row r="589" spans="1:35" x14ac:dyDescent="0.3">
      <c r="A589"/>
      <c r="B589"/>
      <c r="C589"/>
      <c r="D589"/>
      <c r="E589"/>
      <c r="F589"/>
      <c r="G589"/>
      <c r="H589"/>
      <c r="I589"/>
      <c r="J589"/>
      <c r="K589"/>
      <c r="L589"/>
      <c r="M589"/>
      <c r="N589"/>
      <c r="O589"/>
      <c r="P589" s="207"/>
      <c r="Q589" s="207"/>
      <c r="R589" s="207"/>
      <c r="S589" s="208"/>
      <c r="T589" s="208"/>
      <c r="U589" s="208"/>
      <c r="V589" s="207"/>
      <c r="W589" s="207"/>
      <c r="X589" s="207"/>
      <c r="Y589" s="209"/>
      <c r="Z589" s="210"/>
      <c r="AA589" s="210"/>
      <c r="AB589" s="210"/>
      <c r="AC589" s="210"/>
      <c r="AD589" s="210"/>
      <c r="AE589" s="207"/>
      <c r="AF589" s="209"/>
      <c r="AG589" s="211"/>
      <c r="AH589"/>
      <c r="AI589"/>
    </row>
    <row r="590" spans="1:35" x14ac:dyDescent="0.3">
      <c r="A590"/>
      <c r="B590"/>
      <c r="C590"/>
      <c r="D590"/>
      <c r="E590"/>
      <c r="F590"/>
      <c r="G590"/>
      <c r="H590"/>
      <c r="I590"/>
      <c r="J590"/>
      <c r="K590"/>
      <c r="L590"/>
      <c r="M590"/>
      <c r="N590"/>
      <c r="O590"/>
      <c r="P590" s="207"/>
      <c r="Q590" s="207"/>
      <c r="R590" s="207"/>
      <c r="S590" s="208"/>
      <c r="T590" s="208"/>
      <c r="U590" s="208"/>
      <c r="V590" s="207"/>
      <c r="W590" s="207"/>
      <c r="X590" s="207"/>
      <c r="Y590" s="209"/>
      <c r="Z590" s="210"/>
      <c r="AA590" s="210"/>
      <c r="AB590" s="210"/>
      <c r="AC590" s="210"/>
      <c r="AD590" s="210"/>
      <c r="AE590" s="207"/>
      <c r="AF590" s="209"/>
      <c r="AG590" s="211"/>
      <c r="AH590"/>
      <c r="AI590"/>
    </row>
    <row r="591" spans="1:35" x14ac:dyDescent="0.3">
      <c r="A591"/>
      <c r="B591"/>
      <c r="C591"/>
      <c r="D591"/>
      <c r="E591"/>
      <c r="F591"/>
      <c r="G591"/>
      <c r="H591"/>
      <c r="I591"/>
      <c r="J591"/>
      <c r="K591"/>
      <c r="L591"/>
      <c r="M591"/>
      <c r="N591"/>
      <c r="O591"/>
      <c r="P591" s="207"/>
      <c r="Q591" s="207"/>
      <c r="R591" s="207"/>
      <c r="S591" s="208"/>
      <c r="T591" s="208"/>
      <c r="U591" s="208"/>
      <c r="V591" s="207"/>
      <c r="W591" s="207"/>
      <c r="X591" s="207"/>
      <c r="Y591" s="209"/>
      <c r="Z591" s="210"/>
      <c r="AA591" s="210"/>
      <c r="AB591" s="210"/>
      <c r="AC591" s="210"/>
      <c r="AD591" s="210"/>
      <c r="AE591" s="207"/>
      <c r="AF591" s="209"/>
      <c r="AG591" s="211"/>
      <c r="AH591"/>
      <c r="AI591"/>
    </row>
    <row r="592" spans="1:35" x14ac:dyDescent="0.3">
      <c r="A592"/>
      <c r="B592"/>
      <c r="C592"/>
      <c r="D592"/>
      <c r="E592"/>
      <c r="F592"/>
      <c r="G592"/>
      <c r="H592"/>
      <c r="I592"/>
      <c r="J592"/>
      <c r="K592"/>
      <c r="L592"/>
      <c r="M592"/>
      <c r="N592"/>
      <c r="O592"/>
      <c r="P592" s="207"/>
      <c r="Q592" s="207"/>
      <c r="R592" s="207"/>
      <c r="S592" s="208"/>
      <c r="T592" s="208"/>
      <c r="U592" s="208"/>
      <c r="V592" s="207"/>
      <c r="W592" s="207"/>
      <c r="X592" s="207"/>
      <c r="Y592" s="209"/>
      <c r="Z592" s="210"/>
      <c r="AA592" s="210"/>
      <c r="AB592" s="210"/>
      <c r="AC592" s="210"/>
      <c r="AD592" s="210"/>
      <c r="AE592" s="207"/>
      <c r="AF592" s="209"/>
      <c r="AG592" s="211"/>
      <c r="AH592"/>
      <c r="AI592"/>
    </row>
    <row r="593" spans="1:35" x14ac:dyDescent="0.3">
      <c r="A593"/>
      <c r="B593"/>
      <c r="C593"/>
      <c r="D593"/>
      <c r="E593"/>
      <c r="F593"/>
      <c r="G593"/>
      <c r="H593"/>
      <c r="I593"/>
      <c r="J593"/>
      <c r="K593"/>
      <c r="L593"/>
      <c r="M593"/>
      <c r="N593"/>
      <c r="O593"/>
      <c r="P593" s="207"/>
      <c r="Q593" s="207"/>
      <c r="R593" s="207"/>
      <c r="S593" s="208"/>
      <c r="T593" s="208"/>
      <c r="U593" s="208"/>
      <c r="V593" s="207"/>
      <c r="W593" s="207"/>
      <c r="X593" s="207"/>
      <c r="Y593" s="209"/>
      <c r="Z593" s="210"/>
      <c r="AA593" s="210"/>
      <c r="AB593" s="210"/>
      <c r="AC593" s="210"/>
      <c r="AD593" s="210"/>
      <c r="AE593" s="207"/>
      <c r="AF593" s="209"/>
      <c r="AG593" s="211"/>
      <c r="AH593"/>
      <c r="AI593"/>
    </row>
    <row r="594" spans="1:35" x14ac:dyDescent="0.3">
      <c r="A594"/>
      <c r="B594"/>
      <c r="C594"/>
      <c r="D594"/>
      <c r="E594"/>
      <c r="F594"/>
      <c r="G594"/>
      <c r="H594"/>
      <c r="I594"/>
      <c r="J594"/>
      <c r="K594"/>
      <c r="L594"/>
      <c r="M594"/>
      <c r="N594"/>
      <c r="O594"/>
      <c r="P594" s="207"/>
      <c r="Q594" s="207"/>
      <c r="R594" s="207"/>
      <c r="S594" s="208"/>
      <c r="T594" s="208"/>
      <c r="U594" s="208"/>
      <c r="V594" s="207"/>
      <c r="W594" s="207"/>
      <c r="X594" s="207"/>
      <c r="Y594" s="209"/>
      <c r="Z594" s="210"/>
      <c r="AA594" s="210"/>
      <c r="AB594" s="210"/>
      <c r="AC594" s="210"/>
      <c r="AD594" s="210"/>
      <c r="AE594" s="207"/>
      <c r="AF594" s="209"/>
      <c r="AG594" s="211"/>
      <c r="AH594"/>
      <c r="AI594"/>
    </row>
    <row r="595" spans="1:35" x14ac:dyDescent="0.3">
      <c r="A595"/>
      <c r="B595"/>
      <c r="C595"/>
      <c r="D595"/>
      <c r="E595"/>
      <c r="F595"/>
      <c r="G595"/>
      <c r="H595"/>
      <c r="I595"/>
      <c r="J595"/>
      <c r="K595"/>
      <c r="L595"/>
      <c r="M595"/>
      <c r="N595"/>
      <c r="O595"/>
      <c r="P595" s="207"/>
      <c r="Q595" s="207"/>
      <c r="R595" s="207"/>
      <c r="S595" s="208"/>
      <c r="T595" s="208"/>
      <c r="U595" s="208"/>
      <c r="V595" s="207"/>
      <c r="W595" s="207"/>
      <c r="X595" s="207"/>
      <c r="Y595" s="209"/>
      <c r="Z595" s="210"/>
      <c r="AA595" s="210"/>
      <c r="AB595" s="210"/>
      <c r="AC595" s="210"/>
      <c r="AD595" s="210"/>
      <c r="AE595" s="207"/>
      <c r="AF595" s="209"/>
      <c r="AG595" s="211"/>
      <c r="AH595"/>
      <c r="AI595"/>
    </row>
    <row r="596" spans="1:35" x14ac:dyDescent="0.3">
      <c r="A596"/>
      <c r="B596"/>
      <c r="C596"/>
      <c r="D596"/>
      <c r="E596"/>
      <c r="F596"/>
      <c r="G596"/>
      <c r="H596"/>
      <c r="I596"/>
      <c r="J596"/>
      <c r="K596"/>
      <c r="L596"/>
      <c r="M596"/>
      <c r="N596"/>
      <c r="O596"/>
      <c r="P596" s="207"/>
      <c r="Q596" s="207"/>
      <c r="R596" s="207"/>
      <c r="S596" s="208"/>
      <c r="T596" s="208"/>
      <c r="U596" s="208"/>
      <c r="V596" s="207"/>
      <c r="W596" s="207"/>
      <c r="X596" s="207"/>
      <c r="Y596" s="209"/>
      <c r="Z596" s="210"/>
      <c r="AA596" s="210"/>
      <c r="AB596" s="210"/>
      <c r="AC596" s="210"/>
      <c r="AD596" s="210"/>
      <c r="AE596" s="207"/>
      <c r="AF596" s="209"/>
      <c r="AG596" s="211"/>
      <c r="AH596"/>
      <c r="AI596"/>
    </row>
    <row r="597" spans="1:35" x14ac:dyDescent="0.3">
      <c r="A597"/>
      <c r="B597"/>
      <c r="C597"/>
      <c r="D597"/>
      <c r="E597"/>
      <c r="F597"/>
      <c r="G597"/>
      <c r="H597"/>
      <c r="I597"/>
      <c r="J597"/>
      <c r="K597"/>
      <c r="L597"/>
      <c r="M597"/>
      <c r="N597"/>
      <c r="O597"/>
      <c r="P597" s="207"/>
      <c r="Q597" s="207"/>
      <c r="R597" s="207"/>
      <c r="S597" s="208"/>
      <c r="T597" s="208"/>
      <c r="U597" s="208"/>
      <c r="V597" s="207"/>
      <c r="W597" s="207"/>
      <c r="X597" s="207"/>
      <c r="Y597" s="209"/>
      <c r="Z597" s="210"/>
      <c r="AA597" s="210"/>
      <c r="AB597" s="210"/>
      <c r="AC597" s="210"/>
      <c r="AD597" s="210"/>
      <c r="AE597" s="207"/>
      <c r="AF597" s="209"/>
      <c r="AG597" s="211"/>
      <c r="AH597"/>
      <c r="AI597"/>
    </row>
    <row r="598" spans="1:35" x14ac:dyDescent="0.3">
      <c r="A598"/>
      <c r="B598"/>
      <c r="C598"/>
      <c r="D598"/>
      <c r="E598"/>
      <c r="F598"/>
      <c r="G598"/>
      <c r="H598"/>
      <c r="I598"/>
      <c r="J598"/>
      <c r="K598"/>
      <c r="L598"/>
      <c r="M598"/>
      <c r="N598"/>
      <c r="O598"/>
      <c r="P598" s="207"/>
      <c r="Q598" s="207"/>
      <c r="R598" s="207"/>
      <c r="S598" s="208"/>
      <c r="T598" s="208"/>
      <c r="U598" s="208"/>
      <c r="V598" s="207"/>
      <c r="W598" s="207"/>
      <c r="X598" s="207"/>
      <c r="Y598" s="209"/>
      <c r="Z598" s="210"/>
      <c r="AA598" s="210"/>
      <c r="AB598" s="210"/>
      <c r="AC598" s="210"/>
      <c r="AD598" s="210"/>
      <c r="AE598" s="207"/>
      <c r="AF598" s="209"/>
      <c r="AG598" s="211"/>
      <c r="AH598"/>
      <c r="AI598"/>
    </row>
    <row r="599" spans="1:35" x14ac:dyDescent="0.3">
      <c r="A599"/>
      <c r="B599"/>
      <c r="C599"/>
      <c r="D599"/>
      <c r="E599"/>
      <c r="F599"/>
      <c r="G599"/>
      <c r="H599"/>
      <c r="I599"/>
      <c r="J599"/>
      <c r="K599"/>
      <c r="L599"/>
      <c r="M599"/>
      <c r="N599"/>
      <c r="O599"/>
      <c r="P599" s="207"/>
      <c r="Q599" s="207"/>
      <c r="R599" s="207"/>
      <c r="S599" s="208"/>
      <c r="T599" s="208"/>
      <c r="U599" s="208"/>
      <c r="V599" s="207"/>
      <c r="W599" s="207"/>
      <c r="X599" s="207"/>
      <c r="Y599" s="209"/>
      <c r="Z599" s="210"/>
      <c r="AA599" s="210"/>
      <c r="AB599" s="210"/>
      <c r="AC599" s="210"/>
      <c r="AD599" s="210"/>
      <c r="AE599" s="207"/>
      <c r="AF599" s="209"/>
      <c r="AG599" s="211"/>
      <c r="AH599"/>
      <c r="AI599"/>
    </row>
    <row r="600" spans="1:35" x14ac:dyDescent="0.3">
      <c r="A600"/>
      <c r="B600"/>
      <c r="C600"/>
      <c r="D600"/>
      <c r="E600"/>
      <c r="F600"/>
      <c r="G600"/>
      <c r="H600"/>
      <c r="I600"/>
      <c r="J600"/>
      <c r="K600"/>
      <c r="L600"/>
      <c r="M600"/>
      <c r="N600"/>
      <c r="O600"/>
      <c r="P600" s="207"/>
      <c r="Q600" s="207"/>
      <c r="R600" s="207"/>
      <c r="S600" s="208"/>
      <c r="T600" s="208"/>
      <c r="U600" s="208"/>
      <c r="V600" s="207"/>
      <c r="W600" s="207"/>
      <c r="X600" s="207"/>
      <c r="Y600" s="209"/>
      <c r="Z600" s="210"/>
      <c r="AA600" s="210"/>
      <c r="AB600" s="210"/>
      <c r="AC600" s="210"/>
      <c r="AD600" s="210"/>
      <c r="AE600" s="207"/>
      <c r="AF600" s="209"/>
      <c r="AG600" s="211"/>
      <c r="AH600"/>
      <c r="AI600"/>
    </row>
    <row r="601" spans="1:35" x14ac:dyDescent="0.3">
      <c r="A601"/>
      <c r="B601"/>
      <c r="C601"/>
      <c r="D601"/>
      <c r="E601"/>
      <c r="F601"/>
      <c r="G601"/>
      <c r="H601"/>
      <c r="I601"/>
      <c r="J601"/>
      <c r="K601"/>
      <c r="L601"/>
      <c r="M601"/>
      <c r="N601"/>
      <c r="O601"/>
      <c r="P601" s="207"/>
      <c r="Q601" s="207"/>
      <c r="R601" s="207"/>
      <c r="S601" s="208"/>
      <c r="T601" s="208"/>
      <c r="U601" s="208"/>
      <c r="V601" s="207"/>
      <c r="W601" s="207"/>
      <c r="X601" s="207"/>
      <c r="Y601" s="209"/>
      <c r="Z601" s="210"/>
      <c r="AA601" s="210"/>
      <c r="AB601" s="210"/>
      <c r="AC601" s="210"/>
      <c r="AD601" s="210"/>
      <c r="AE601" s="207"/>
      <c r="AF601" s="209"/>
      <c r="AG601" s="211"/>
      <c r="AH601"/>
      <c r="AI601"/>
    </row>
    <row r="602" spans="1:35" x14ac:dyDescent="0.3">
      <c r="A602"/>
      <c r="B602"/>
      <c r="C602"/>
      <c r="D602"/>
      <c r="E602"/>
      <c r="F602"/>
      <c r="G602"/>
      <c r="H602"/>
      <c r="I602"/>
      <c r="J602"/>
      <c r="K602"/>
      <c r="L602"/>
      <c r="M602"/>
      <c r="N602"/>
      <c r="O602"/>
      <c r="P602" s="207"/>
      <c r="Q602" s="207"/>
      <c r="R602" s="207"/>
      <c r="S602" s="208"/>
      <c r="T602" s="208"/>
      <c r="U602" s="208"/>
      <c r="V602" s="207"/>
      <c r="W602" s="207"/>
      <c r="X602" s="207"/>
      <c r="Y602" s="209"/>
      <c r="Z602" s="210"/>
      <c r="AA602" s="210"/>
      <c r="AB602" s="210"/>
      <c r="AC602" s="210"/>
      <c r="AD602" s="210"/>
      <c r="AE602" s="207"/>
      <c r="AF602" s="209"/>
      <c r="AG602" s="211"/>
      <c r="AH602"/>
      <c r="AI602"/>
    </row>
    <row r="603" spans="1:35" x14ac:dyDescent="0.3">
      <c r="A603"/>
      <c r="B603"/>
      <c r="C603"/>
      <c r="D603"/>
      <c r="E603"/>
      <c r="F603"/>
      <c r="G603"/>
      <c r="H603"/>
      <c r="I603"/>
      <c r="J603"/>
      <c r="K603"/>
      <c r="L603"/>
      <c r="M603"/>
      <c r="N603"/>
      <c r="O603"/>
      <c r="P603" s="207"/>
      <c r="Q603" s="207"/>
      <c r="R603" s="207"/>
      <c r="S603" s="208"/>
      <c r="T603" s="208"/>
      <c r="U603" s="208"/>
      <c r="V603" s="207"/>
      <c r="W603" s="207"/>
      <c r="X603" s="207"/>
      <c r="AH603"/>
      <c r="AI603"/>
    </row>
    <row r="604" spans="1:35" x14ac:dyDescent="0.3">
      <c r="A604"/>
      <c r="B604"/>
      <c r="C604"/>
      <c r="D604"/>
      <c r="E604"/>
      <c r="F604"/>
      <c r="G604"/>
      <c r="H604"/>
      <c r="I604"/>
      <c r="J604"/>
      <c r="K604"/>
      <c r="L604"/>
      <c r="M604"/>
      <c r="N604"/>
      <c r="O604"/>
      <c r="P604" s="207"/>
      <c r="Q604" s="207"/>
      <c r="R604" s="207"/>
      <c r="S604" s="208"/>
      <c r="T604" s="208"/>
      <c r="U604" s="208"/>
      <c r="V604" s="207"/>
      <c r="W604" s="207"/>
      <c r="X604" s="207"/>
      <c r="AH604"/>
      <c r="AI604"/>
    </row>
    <row r="605" spans="1:35" x14ac:dyDescent="0.3">
      <c r="A605"/>
      <c r="B605"/>
      <c r="C605"/>
      <c r="D605"/>
      <c r="E605"/>
      <c r="F605"/>
      <c r="G605"/>
      <c r="H605"/>
      <c r="I605"/>
      <c r="J605"/>
      <c r="K605"/>
      <c r="L605"/>
      <c r="M605"/>
      <c r="N605"/>
      <c r="O605"/>
      <c r="P605" s="207"/>
      <c r="Q605" s="207"/>
      <c r="R605" s="207"/>
      <c r="S605" s="208"/>
      <c r="T605" s="208"/>
      <c r="U605" s="208"/>
      <c r="V605" s="207"/>
      <c r="W605" s="207"/>
      <c r="X605" s="207"/>
      <c r="AH605"/>
      <c r="AI605"/>
    </row>
    <row r="606" spans="1:35" x14ac:dyDescent="0.3">
      <c r="A606"/>
      <c r="B606"/>
      <c r="C606"/>
      <c r="D606"/>
      <c r="E606"/>
      <c r="F606"/>
      <c r="G606"/>
      <c r="H606"/>
      <c r="I606"/>
      <c r="J606"/>
      <c r="K606"/>
      <c r="L606"/>
      <c r="M606"/>
      <c r="N606"/>
      <c r="O606"/>
      <c r="P606" s="207"/>
      <c r="Q606" s="207"/>
      <c r="R606" s="207"/>
      <c r="S606" s="208"/>
      <c r="T606" s="208"/>
      <c r="U606" s="208"/>
      <c r="V606" s="207"/>
      <c r="W606" s="207"/>
      <c r="X606" s="207"/>
      <c r="AH606"/>
      <c r="AI606"/>
    </row>
    <row r="607" spans="1:35" x14ac:dyDescent="0.3">
      <c r="A607"/>
      <c r="B607"/>
      <c r="C607"/>
      <c r="D607"/>
      <c r="E607"/>
      <c r="F607"/>
      <c r="G607"/>
      <c r="H607"/>
      <c r="I607"/>
      <c r="J607"/>
      <c r="K607"/>
      <c r="L607"/>
      <c r="M607"/>
      <c r="N607"/>
      <c r="O607"/>
      <c r="P607" s="207"/>
      <c r="Q607" s="207"/>
      <c r="R607" s="207"/>
      <c r="S607" s="208"/>
      <c r="T607" s="208"/>
      <c r="U607" s="208"/>
      <c r="V607" s="207"/>
      <c r="W607" s="207"/>
      <c r="X607" s="207"/>
      <c r="AH607"/>
      <c r="AI607"/>
    </row>
    <row r="608" spans="1:35" x14ac:dyDescent="0.3">
      <c r="A608"/>
      <c r="B608"/>
      <c r="C608"/>
      <c r="D608"/>
      <c r="E608"/>
      <c r="F608"/>
      <c r="G608"/>
      <c r="H608"/>
      <c r="I608"/>
      <c r="J608"/>
      <c r="K608"/>
      <c r="L608"/>
      <c r="M608"/>
      <c r="N608"/>
      <c r="O608"/>
      <c r="P608" s="207"/>
      <c r="Q608" s="207"/>
      <c r="R608" s="207"/>
      <c r="S608" s="208"/>
      <c r="T608" s="208"/>
      <c r="U608" s="208"/>
      <c r="V608" s="207"/>
      <c r="W608" s="207"/>
      <c r="X608" s="207"/>
      <c r="AH608"/>
      <c r="AI608"/>
    </row>
    <row r="609" spans="1:35" x14ac:dyDescent="0.3">
      <c r="A609"/>
      <c r="B609"/>
      <c r="C609"/>
      <c r="D609"/>
      <c r="E609"/>
      <c r="F609"/>
      <c r="G609"/>
      <c r="H609"/>
      <c r="I609"/>
      <c r="J609"/>
      <c r="K609"/>
      <c r="L609"/>
      <c r="M609"/>
      <c r="N609"/>
      <c r="O609"/>
      <c r="P609" s="207"/>
      <c r="Q609" s="207"/>
      <c r="R609" s="207"/>
      <c r="S609" s="208"/>
      <c r="T609" s="208"/>
      <c r="U609" s="208"/>
      <c r="V609" s="207"/>
      <c r="W609" s="207"/>
      <c r="X609" s="207"/>
      <c r="AH609"/>
      <c r="AI609"/>
    </row>
    <row r="610" spans="1:35" x14ac:dyDescent="0.3">
      <c r="A610"/>
      <c r="B610"/>
      <c r="C610"/>
      <c r="D610"/>
      <c r="E610"/>
      <c r="F610"/>
      <c r="G610"/>
      <c r="H610"/>
      <c r="I610"/>
      <c r="J610"/>
      <c r="K610"/>
      <c r="L610"/>
      <c r="M610"/>
      <c r="N610"/>
      <c r="O610"/>
      <c r="P610" s="207"/>
      <c r="Q610" s="207"/>
      <c r="R610" s="207"/>
      <c r="S610" s="208"/>
      <c r="T610" s="208"/>
      <c r="U610" s="208"/>
      <c r="V610" s="207"/>
      <c r="W610" s="207"/>
      <c r="X610" s="207"/>
      <c r="AH610"/>
      <c r="AI610"/>
    </row>
    <row r="611" spans="1:35" customFormat="1" x14ac:dyDescent="0.3">
      <c r="P611" s="207"/>
      <c r="Q611" s="207"/>
      <c r="R611" s="207"/>
      <c r="S611" s="208"/>
      <c r="T611" s="208"/>
      <c r="U611" s="208"/>
      <c r="V611" s="207"/>
      <c r="W611" s="207"/>
      <c r="X611" s="207"/>
    </row>
    <row r="612" spans="1:35" customFormat="1" x14ac:dyDescent="0.3">
      <c r="P612" s="207"/>
      <c r="Q612" s="207"/>
      <c r="R612" s="207"/>
      <c r="S612" s="208"/>
      <c r="T612" s="208"/>
      <c r="U612" s="208"/>
      <c r="V612" s="207"/>
      <c r="W612" s="207"/>
      <c r="X612" s="207"/>
    </row>
    <row r="613" spans="1:35" customFormat="1" x14ac:dyDescent="0.3">
      <c r="P613" s="207"/>
      <c r="Q613" s="207"/>
      <c r="R613" s="207"/>
      <c r="S613" s="208"/>
      <c r="T613" s="208"/>
      <c r="U613" s="208"/>
      <c r="V613" s="207"/>
      <c r="W613" s="207"/>
      <c r="X613" s="207"/>
    </row>
    <row r="614" spans="1:35" customFormat="1" x14ac:dyDescent="0.3">
      <c r="P614" s="207"/>
      <c r="Q614" s="207"/>
      <c r="R614" s="207"/>
      <c r="S614" s="208"/>
      <c r="T614" s="208"/>
      <c r="U614" s="208"/>
      <c r="V614" s="207"/>
      <c r="W614" s="207"/>
      <c r="X614" s="207"/>
    </row>
    <row r="615" spans="1:35" customFormat="1" x14ac:dyDescent="0.3">
      <c r="P615" s="207"/>
      <c r="Q615" s="207"/>
      <c r="R615" s="207"/>
      <c r="S615" s="208"/>
      <c r="T615" s="208"/>
      <c r="U615" s="208"/>
      <c r="V615" s="207"/>
      <c r="W615" s="207"/>
      <c r="X615" s="207"/>
    </row>
    <row r="616" spans="1:35" customFormat="1" x14ac:dyDescent="0.3">
      <c r="P616" s="207"/>
      <c r="Q616" s="207"/>
      <c r="R616" s="207"/>
      <c r="S616" s="208"/>
      <c r="T616" s="208"/>
      <c r="U616" s="208"/>
      <c r="V616" s="207"/>
      <c r="W616" s="207"/>
      <c r="X616" s="207"/>
    </row>
    <row r="617" spans="1:35" customFormat="1" x14ac:dyDescent="0.3">
      <c r="P617" s="207"/>
      <c r="Q617" s="207"/>
      <c r="R617" s="207"/>
      <c r="S617" s="208"/>
      <c r="T617" s="208"/>
      <c r="U617" s="208"/>
      <c r="V617" s="207"/>
      <c r="W617" s="207"/>
      <c r="X617" s="207"/>
    </row>
    <row r="618" spans="1:35" customFormat="1" x14ac:dyDescent="0.3">
      <c r="P618" s="207"/>
      <c r="Q618" s="207"/>
      <c r="R618" s="207"/>
      <c r="S618" s="208"/>
      <c r="T618" s="208"/>
      <c r="U618" s="208"/>
      <c r="V618" s="207"/>
      <c r="W618" s="207"/>
      <c r="X618" s="207"/>
    </row>
    <row r="619" spans="1:35" customFormat="1" x14ac:dyDescent="0.3">
      <c r="P619" s="207"/>
      <c r="Q619" s="207"/>
      <c r="R619" s="207"/>
      <c r="S619" s="208"/>
      <c r="T619" s="208"/>
      <c r="U619" s="208"/>
      <c r="V619" s="207"/>
      <c r="W619" s="207"/>
      <c r="X619" s="207"/>
    </row>
    <row r="620" spans="1:35" customFormat="1" x14ac:dyDescent="0.3">
      <c r="P620" s="207"/>
      <c r="Q620" s="207"/>
      <c r="R620" s="207"/>
      <c r="S620" s="208"/>
      <c r="T620" s="208"/>
      <c r="U620" s="208"/>
      <c r="V620" s="207"/>
      <c r="W620" s="207"/>
      <c r="X620" s="207"/>
    </row>
    <row r="621" spans="1:35" customFormat="1" x14ac:dyDescent="0.3">
      <c r="P621" s="207"/>
      <c r="Q621" s="207"/>
      <c r="R621" s="207"/>
      <c r="S621" s="208"/>
      <c r="T621" s="208"/>
      <c r="U621" s="208"/>
      <c r="V621" s="207"/>
      <c r="W621" s="207"/>
      <c r="X621" s="207"/>
    </row>
    <row r="622" spans="1:35" customFormat="1" x14ac:dyDescent="0.3">
      <c r="P622" s="207"/>
      <c r="Q622" s="207"/>
      <c r="R622" s="207"/>
      <c r="S622" s="208"/>
      <c r="T622" s="208"/>
      <c r="U622" s="208"/>
      <c r="V622" s="207"/>
      <c r="W622" s="207"/>
      <c r="X622" s="207"/>
    </row>
    <row r="623" spans="1:35" customFormat="1" x14ac:dyDescent="0.3">
      <c r="P623" s="207"/>
      <c r="Q623" s="207"/>
      <c r="R623" s="207"/>
      <c r="S623" s="208"/>
      <c r="T623" s="208"/>
      <c r="U623" s="208"/>
      <c r="V623" s="207"/>
      <c r="W623" s="207"/>
      <c r="X623" s="207"/>
    </row>
    <row r="624" spans="1:35" customFormat="1" x14ac:dyDescent="0.3">
      <c r="P624" s="207"/>
      <c r="Q624" s="207"/>
      <c r="R624" s="207"/>
      <c r="S624" s="208"/>
      <c r="T624" s="208"/>
      <c r="U624" s="208"/>
      <c r="V624" s="207"/>
      <c r="W624" s="207"/>
      <c r="X624" s="207"/>
    </row>
    <row r="625" spans="16:24" customFormat="1" x14ac:dyDescent="0.3">
      <c r="P625" s="207"/>
      <c r="Q625" s="207"/>
      <c r="R625" s="207"/>
      <c r="S625" s="208"/>
      <c r="T625" s="208"/>
      <c r="U625" s="208"/>
      <c r="V625" s="207"/>
      <c r="W625" s="207"/>
      <c r="X625" s="207"/>
    </row>
    <row r="626" spans="16:24" customFormat="1" x14ac:dyDescent="0.3">
      <c r="P626" s="207"/>
      <c r="Q626" s="207"/>
      <c r="R626" s="207"/>
      <c r="S626" s="208"/>
      <c r="T626" s="208"/>
      <c r="U626" s="208"/>
      <c r="V626" s="207"/>
      <c r="W626" s="207"/>
      <c r="X626" s="207"/>
    </row>
    <row r="627" spans="16:24" customFormat="1" x14ac:dyDescent="0.3">
      <c r="P627" s="207"/>
      <c r="Q627" s="207"/>
      <c r="R627" s="207"/>
      <c r="S627" s="208"/>
      <c r="T627" s="208"/>
      <c r="U627" s="208"/>
      <c r="V627" s="207"/>
      <c r="W627" s="207"/>
      <c r="X627" s="207"/>
    </row>
    <row r="628" spans="16:24" customFormat="1" x14ac:dyDescent="0.3">
      <c r="P628" s="207"/>
      <c r="Q628" s="207"/>
      <c r="R628" s="207"/>
      <c r="S628" s="208"/>
      <c r="T628" s="208"/>
      <c r="U628" s="208"/>
      <c r="V628" s="207"/>
      <c r="W628" s="207"/>
      <c r="X628" s="207"/>
    </row>
    <row r="629" spans="16:24" customFormat="1" x14ac:dyDescent="0.3">
      <c r="P629" s="207"/>
      <c r="Q629" s="207"/>
      <c r="R629" s="207"/>
      <c r="S629" s="208"/>
      <c r="T629" s="208"/>
      <c r="U629" s="208"/>
      <c r="V629" s="207"/>
      <c r="W629" s="207"/>
      <c r="X629" s="207"/>
    </row>
    <row r="630" spans="16:24" customFormat="1" x14ac:dyDescent="0.3">
      <c r="P630" s="207"/>
      <c r="Q630" s="207"/>
      <c r="R630" s="207"/>
      <c r="S630" s="208"/>
      <c r="T630" s="208"/>
      <c r="U630" s="208"/>
      <c r="V630" s="207"/>
      <c r="W630" s="207"/>
      <c r="X630" s="207"/>
    </row>
    <row r="631" spans="16:24" customFormat="1" x14ac:dyDescent="0.3">
      <c r="P631" s="207"/>
      <c r="Q631" s="207"/>
      <c r="R631" s="207"/>
      <c r="S631" s="208"/>
      <c r="T631" s="208"/>
      <c r="U631" s="208"/>
      <c r="V631" s="207"/>
      <c r="W631" s="207"/>
      <c r="X631" s="207"/>
    </row>
    <row r="632" spans="16:24" customFormat="1" x14ac:dyDescent="0.3">
      <c r="P632" s="207"/>
      <c r="Q632" s="207"/>
      <c r="R632" s="207"/>
      <c r="S632" s="208"/>
      <c r="T632" s="208"/>
      <c r="U632" s="208"/>
      <c r="V632" s="207"/>
      <c r="W632" s="207"/>
      <c r="X632" s="207"/>
    </row>
    <row r="633" spans="16:24" customFormat="1" x14ac:dyDescent="0.3">
      <c r="P633" s="207"/>
      <c r="Q633" s="207"/>
      <c r="R633" s="207"/>
      <c r="S633" s="208"/>
      <c r="T633" s="208"/>
      <c r="U633" s="208"/>
      <c r="V633" s="207"/>
      <c r="W633" s="207"/>
      <c r="X633" s="207"/>
    </row>
    <row r="634" spans="16:24" customFormat="1" x14ac:dyDescent="0.3">
      <c r="P634" s="207"/>
      <c r="Q634" s="207"/>
      <c r="R634" s="207"/>
      <c r="S634" s="208"/>
      <c r="T634" s="208"/>
      <c r="U634" s="208"/>
      <c r="V634" s="207"/>
      <c r="W634" s="207"/>
      <c r="X634" s="207"/>
    </row>
    <row r="635" spans="16:24" customFormat="1" x14ac:dyDescent="0.3">
      <c r="P635" s="207"/>
      <c r="Q635" s="207"/>
      <c r="R635" s="207"/>
      <c r="S635" s="208"/>
      <c r="T635" s="208"/>
      <c r="U635" s="208"/>
      <c r="V635" s="207"/>
      <c r="W635" s="207"/>
      <c r="X635" s="207"/>
    </row>
    <row r="636" spans="16:24" customFormat="1" x14ac:dyDescent="0.3">
      <c r="P636" s="207"/>
      <c r="Q636" s="207"/>
      <c r="R636" s="207"/>
      <c r="S636" s="208"/>
      <c r="T636" s="208"/>
      <c r="U636" s="208"/>
      <c r="V636" s="207"/>
      <c r="W636" s="207"/>
      <c r="X636" s="207"/>
    </row>
    <row r="637" spans="16:24" customFormat="1" x14ac:dyDescent="0.3">
      <c r="P637" s="207"/>
      <c r="Q637" s="207"/>
      <c r="R637" s="207"/>
      <c r="S637" s="208"/>
      <c r="T637" s="208"/>
      <c r="U637" s="208"/>
      <c r="V637" s="207"/>
      <c r="W637" s="207"/>
      <c r="X637" s="207"/>
    </row>
    <row r="638" spans="16:24" customFormat="1" x14ac:dyDescent="0.3">
      <c r="P638" s="207"/>
      <c r="Q638" s="207"/>
      <c r="R638" s="207"/>
      <c r="S638" s="208"/>
      <c r="T638" s="208"/>
      <c r="U638" s="208"/>
      <c r="V638" s="207"/>
      <c r="W638" s="207"/>
      <c r="X638" s="207"/>
    </row>
    <row r="639" spans="16:24" customFormat="1" x14ac:dyDescent="0.3">
      <c r="P639" s="207"/>
      <c r="Q639" s="207"/>
      <c r="R639" s="207"/>
      <c r="S639" s="208"/>
      <c r="T639" s="208"/>
      <c r="U639" s="208"/>
      <c r="V639" s="207"/>
      <c r="W639" s="207"/>
      <c r="X639" s="207"/>
    </row>
    <row r="640" spans="16:24" customFormat="1" x14ac:dyDescent="0.3">
      <c r="P640" s="207"/>
      <c r="Q640" s="207"/>
      <c r="R640" s="207"/>
      <c r="S640" s="208"/>
      <c r="T640" s="208"/>
      <c r="U640" s="208"/>
      <c r="V640" s="207"/>
      <c r="W640" s="207"/>
      <c r="X640" s="207"/>
    </row>
    <row r="641" spans="16:24" customFormat="1" x14ac:dyDescent="0.3">
      <c r="P641" s="207"/>
      <c r="Q641" s="207"/>
      <c r="R641" s="207"/>
      <c r="S641" s="208"/>
      <c r="T641" s="208"/>
      <c r="U641" s="208"/>
      <c r="V641" s="207"/>
      <c r="W641" s="207"/>
      <c r="X641" s="207"/>
    </row>
    <row r="642" spans="16:24" customFormat="1" x14ac:dyDescent="0.3">
      <c r="P642" s="207"/>
      <c r="Q642" s="207"/>
      <c r="R642" s="207"/>
      <c r="S642" s="208"/>
      <c r="T642" s="208"/>
      <c r="U642" s="208"/>
      <c r="V642" s="207"/>
      <c r="W642" s="207"/>
      <c r="X642" s="207"/>
    </row>
    <row r="643" spans="16:24" customFormat="1" x14ac:dyDescent="0.3">
      <c r="P643" s="207"/>
      <c r="Q643" s="207"/>
      <c r="R643" s="207"/>
      <c r="S643" s="208"/>
      <c r="T643" s="208"/>
      <c r="U643" s="208"/>
      <c r="V643" s="207"/>
      <c r="W643" s="207"/>
      <c r="X643" s="207"/>
    </row>
    <row r="644" spans="16:24" customFormat="1" x14ac:dyDescent="0.3">
      <c r="P644" s="207"/>
      <c r="Q644" s="207"/>
      <c r="R644" s="207"/>
      <c r="S644" s="208"/>
      <c r="T644" s="208"/>
      <c r="U644" s="208"/>
      <c r="V644" s="207"/>
      <c r="W644" s="207"/>
      <c r="X644" s="207"/>
    </row>
    <row r="645" spans="16:24" customFormat="1" x14ac:dyDescent="0.3">
      <c r="P645" s="207"/>
      <c r="Q645" s="207"/>
      <c r="R645" s="207"/>
      <c r="S645" s="208"/>
      <c r="T645" s="208"/>
      <c r="U645" s="208"/>
      <c r="V645" s="207"/>
      <c r="W645" s="207"/>
      <c r="X645" s="207"/>
    </row>
    <row r="646" spans="16:24" customFormat="1" x14ac:dyDescent="0.3">
      <c r="P646" s="207"/>
      <c r="Q646" s="207"/>
      <c r="R646" s="207"/>
      <c r="S646" s="208"/>
      <c r="T646" s="208"/>
      <c r="U646" s="208"/>
      <c r="V646" s="207"/>
      <c r="W646" s="207"/>
      <c r="X646" s="207"/>
    </row>
    <row r="647" spans="16:24" customFormat="1" x14ac:dyDescent="0.3">
      <c r="P647" s="207"/>
      <c r="Q647" s="207"/>
      <c r="R647" s="207"/>
      <c r="S647" s="208"/>
      <c r="T647" s="208"/>
      <c r="U647" s="208"/>
      <c r="V647" s="207"/>
      <c r="W647" s="207"/>
      <c r="X647" s="207"/>
    </row>
    <row r="648" spans="16:24" customFormat="1" x14ac:dyDescent="0.3">
      <c r="P648" s="207"/>
      <c r="Q648" s="207"/>
      <c r="R648" s="207"/>
      <c r="S648" s="208"/>
      <c r="T648" s="208"/>
      <c r="U648" s="208"/>
      <c r="V648" s="207"/>
      <c r="W648" s="207"/>
      <c r="X648" s="207"/>
    </row>
    <row r="649" spans="16:24" customFormat="1" x14ac:dyDescent="0.3">
      <c r="P649" s="207"/>
      <c r="Q649" s="207"/>
      <c r="R649" s="207"/>
      <c r="S649" s="208"/>
      <c r="T649" s="208"/>
      <c r="U649" s="208"/>
      <c r="V649" s="207"/>
      <c r="W649" s="207"/>
      <c r="X649" s="207"/>
    </row>
    <row r="650" spans="16:24" customFormat="1" x14ac:dyDescent="0.3">
      <c r="P650" s="207"/>
      <c r="Q650" s="207"/>
      <c r="R650" s="207"/>
      <c r="S650" s="208"/>
      <c r="T650" s="208"/>
      <c r="U650" s="208"/>
      <c r="V650" s="207"/>
      <c r="W650" s="207"/>
      <c r="X650" s="207"/>
    </row>
    <row r="651" spans="16:24" customFormat="1" x14ac:dyDescent="0.3">
      <c r="P651" s="207"/>
      <c r="Q651" s="207"/>
      <c r="R651" s="207"/>
      <c r="S651" s="208"/>
      <c r="T651" s="208"/>
      <c r="U651" s="208"/>
      <c r="V651" s="207"/>
      <c r="W651" s="207"/>
      <c r="X651" s="207"/>
    </row>
    <row r="652" spans="16:24" customFormat="1" x14ac:dyDescent="0.3">
      <c r="P652" s="207"/>
      <c r="Q652" s="207"/>
      <c r="R652" s="207"/>
      <c r="S652" s="208"/>
      <c r="T652" s="208"/>
      <c r="U652" s="208"/>
      <c r="V652" s="207"/>
      <c r="W652" s="207"/>
      <c r="X652" s="207"/>
    </row>
    <row r="653" spans="16:24" customFormat="1" x14ac:dyDescent="0.3">
      <c r="P653" s="207"/>
      <c r="Q653" s="207"/>
      <c r="R653" s="207"/>
      <c r="S653" s="208"/>
      <c r="T653" s="208"/>
      <c r="U653" s="208"/>
      <c r="V653" s="207"/>
      <c r="W653" s="207"/>
      <c r="X653" s="207"/>
    </row>
    <row r="654" spans="16:24" customFormat="1" x14ac:dyDescent="0.3">
      <c r="P654" s="207"/>
      <c r="Q654" s="207"/>
      <c r="R654" s="207"/>
      <c r="S654" s="208"/>
      <c r="T654" s="208"/>
      <c r="U654" s="208"/>
      <c r="V654" s="207"/>
      <c r="W654" s="207"/>
      <c r="X654" s="207"/>
    </row>
    <row r="655" spans="16:24" customFormat="1" x14ac:dyDescent="0.3">
      <c r="P655" s="207"/>
      <c r="Q655" s="207"/>
      <c r="R655" s="207"/>
      <c r="S655" s="208"/>
      <c r="T655" s="208"/>
      <c r="U655" s="208"/>
      <c r="V655" s="207"/>
      <c r="W655" s="207"/>
      <c r="X655" s="207"/>
    </row>
    <row r="656" spans="16:24" customFormat="1" x14ac:dyDescent="0.3">
      <c r="P656" s="207"/>
      <c r="Q656" s="207"/>
      <c r="R656" s="207"/>
      <c r="S656" s="208"/>
      <c r="T656" s="208"/>
      <c r="U656" s="208"/>
      <c r="V656" s="207"/>
      <c r="W656" s="207"/>
      <c r="X656" s="207"/>
    </row>
    <row r="657" spans="16:24" customFormat="1" x14ac:dyDescent="0.3">
      <c r="P657" s="207"/>
      <c r="Q657" s="207"/>
      <c r="R657" s="207"/>
      <c r="S657" s="208"/>
      <c r="T657" s="208"/>
      <c r="U657" s="208"/>
      <c r="V657" s="207"/>
      <c r="W657" s="207"/>
      <c r="X657" s="207"/>
    </row>
    <row r="658" spans="16:24" customFormat="1" x14ac:dyDescent="0.3">
      <c r="P658" s="207"/>
      <c r="Q658" s="207"/>
      <c r="R658" s="207"/>
      <c r="S658" s="208"/>
      <c r="T658" s="208"/>
      <c r="U658" s="208"/>
      <c r="V658" s="207"/>
      <c r="W658" s="207"/>
      <c r="X658" s="207"/>
    </row>
    <row r="659" spans="16:24" customFormat="1" x14ac:dyDescent="0.3">
      <c r="P659" s="207"/>
      <c r="Q659" s="207"/>
      <c r="R659" s="207"/>
      <c r="S659" s="208"/>
      <c r="T659" s="208"/>
      <c r="U659" s="208"/>
      <c r="V659" s="207"/>
      <c r="W659" s="207"/>
      <c r="X659" s="207"/>
    </row>
    <row r="660" spans="16:24" customFormat="1" x14ac:dyDescent="0.3">
      <c r="P660" s="207"/>
      <c r="Q660" s="207"/>
      <c r="R660" s="207"/>
      <c r="S660" s="208"/>
      <c r="T660" s="208"/>
      <c r="U660" s="208"/>
      <c r="V660" s="207"/>
      <c r="W660" s="207"/>
      <c r="X660" s="207"/>
    </row>
    <row r="661" spans="16:24" customFormat="1" x14ac:dyDescent="0.3">
      <c r="P661" s="207"/>
      <c r="Q661" s="207"/>
      <c r="R661" s="207"/>
      <c r="S661" s="208"/>
      <c r="T661" s="208"/>
      <c r="U661" s="208"/>
      <c r="V661" s="207"/>
      <c r="W661" s="207"/>
      <c r="X661" s="207"/>
    </row>
    <row r="662" spans="16:24" customFormat="1" x14ac:dyDescent="0.3">
      <c r="P662" s="207"/>
      <c r="Q662" s="207"/>
      <c r="R662" s="207"/>
      <c r="S662" s="208"/>
      <c r="T662" s="208"/>
      <c r="U662" s="208"/>
      <c r="V662" s="207"/>
      <c r="W662" s="207"/>
      <c r="X662" s="207"/>
    </row>
    <row r="663" spans="16:24" customFormat="1" x14ac:dyDescent="0.3">
      <c r="P663" s="207"/>
      <c r="Q663" s="207"/>
      <c r="R663" s="207"/>
      <c r="S663" s="208"/>
      <c r="T663" s="208"/>
      <c r="U663" s="208"/>
      <c r="V663" s="207"/>
      <c r="W663" s="207"/>
      <c r="X663" s="207"/>
    </row>
    <row r="664" spans="16:24" customFormat="1" x14ac:dyDescent="0.3">
      <c r="P664" s="207"/>
      <c r="Q664" s="207"/>
      <c r="R664" s="207"/>
      <c r="S664" s="208"/>
      <c r="T664" s="208"/>
      <c r="U664" s="208"/>
      <c r="V664" s="207"/>
      <c r="W664" s="207"/>
      <c r="X664" s="207"/>
    </row>
    <row r="665" spans="16:24" customFormat="1" x14ac:dyDescent="0.3">
      <c r="P665" s="207"/>
      <c r="Q665" s="207"/>
      <c r="R665" s="207"/>
      <c r="S665" s="208"/>
      <c r="T665" s="208"/>
      <c r="U665" s="208"/>
      <c r="V665" s="207"/>
      <c r="W665" s="207"/>
      <c r="X665" s="207"/>
    </row>
    <row r="666" spans="16:24" customFormat="1" x14ac:dyDescent="0.3">
      <c r="P666" s="207"/>
      <c r="Q666" s="207"/>
      <c r="R666" s="207"/>
      <c r="S666" s="208"/>
      <c r="T666" s="208"/>
      <c r="U666" s="208"/>
      <c r="V666" s="207"/>
      <c r="W666" s="207"/>
      <c r="X666" s="207"/>
    </row>
    <row r="667" spans="16:24" customFormat="1" x14ac:dyDescent="0.3">
      <c r="P667" s="207"/>
      <c r="Q667" s="207"/>
      <c r="R667" s="207"/>
      <c r="S667" s="208"/>
      <c r="T667" s="208"/>
      <c r="U667" s="208"/>
      <c r="V667" s="207"/>
      <c r="W667" s="207"/>
      <c r="X667" s="207"/>
    </row>
    <row r="668" spans="16:24" customFormat="1" x14ac:dyDescent="0.3">
      <c r="P668" s="207"/>
      <c r="Q668" s="207"/>
      <c r="R668" s="207"/>
      <c r="S668" s="208"/>
      <c r="T668" s="208"/>
      <c r="U668" s="208"/>
      <c r="V668" s="207"/>
      <c r="W668" s="207"/>
      <c r="X668" s="207"/>
    </row>
    <row r="669" spans="16:24" customFormat="1" x14ac:dyDescent="0.3">
      <c r="P669" s="207"/>
      <c r="Q669" s="207"/>
      <c r="R669" s="207"/>
      <c r="S669" s="208"/>
      <c r="T669" s="208"/>
      <c r="U669" s="208"/>
      <c r="V669" s="207"/>
      <c r="W669" s="207"/>
      <c r="X669" s="207"/>
    </row>
    <row r="670" spans="16:24" customFormat="1" x14ac:dyDescent="0.3">
      <c r="P670" s="207"/>
      <c r="Q670" s="207"/>
      <c r="R670" s="207"/>
      <c r="S670" s="208"/>
      <c r="T670" s="208"/>
      <c r="U670" s="208"/>
      <c r="V670" s="207"/>
      <c r="W670" s="207"/>
      <c r="X670" s="207"/>
    </row>
    <row r="671" spans="16:24" customFormat="1" x14ac:dyDescent="0.3">
      <c r="P671" s="207"/>
      <c r="Q671" s="207"/>
      <c r="R671" s="207"/>
      <c r="S671" s="208"/>
      <c r="T671" s="208"/>
      <c r="U671" s="208"/>
      <c r="V671" s="207"/>
      <c r="W671" s="207"/>
      <c r="X671" s="207"/>
    </row>
    <row r="672" spans="16:24" customFormat="1" x14ac:dyDescent="0.3">
      <c r="P672" s="207"/>
      <c r="Q672" s="207"/>
      <c r="R672" s="207"/>
      <c r="S672" s="208"/>
      <c r="T672" s="208"/>
      <c r="U672" s="208"/>
      <c r="V672" s="207"/>
      <c r="W672" s="207"/>
      <c r="X672" s="207"/>
    </row>
    <row r="673" spans="16:24" customFormat="1" x14ac:dyDescent="0.3">
      <c r="P673" s="207"/>
      <c r="Q673" s="207"/>
      <c r="R673" s="207"/>
      <c r="S673" s="208"/>
      <c r="T673" s="208"/>
      <c r="U673" s="208"/>
      <c r="V673" s="207"/>
      <c r="W673" s="207"/>
      <c r="X673" s="207"/>
    </row>
    <row r="674" spans="16:24" customFormat="1" x14ac:dyDescent="0.3">
      <c r="P674" s="207"/>
      <c r="Q674" s="207"/>
      <c r="R674" s="207"/>
      <c r="S674" s="208"/>
      <c r="T674" s="208"/>
      <c r="U674" s="208"/>
      <c r="V674" s="207"/>
      <c r="W674" s="207"/>
      <c r="X674" s="207"/>
    </row>
    <row r="675" spans="16:24" customFormat="1" x14ac:dyDescent="0.3">
      <c r="P675" s="207"/>
      <c r="Q675" s="207"/>
      <c r="R675" s="207"/>
      <c r="S675" s="208"/>
      <c r="T675" s="208"/>
      <c r="U675" s="208"/>
      <c r="V675" s="207"/>
      <c r="W675" s="207"/>
      <c r="X675" s="207"/>
    </row>
    <row r="676" spans="16:24" customFormat="1" x14ac:dyDescent="0.3">
      <c r="P676" s="207"/>
      <c r="Q676" s="207"/>
      <c r="R676" s="207"/>
      <c r="S676" s="208"/>
      <c r="T676" s="208"/>
      <c r="U676" s="208"/>
      <c r="V676" s="207"/>
      <c r="W676" s="207"/>
      <c r="X676" s="207"/>
    </row>
    <row r="677" spans="16:24" customFormat="1" x14ac:dyDescent="0.3">
      <c r="P677" s="207"/>
      <c r="Q677" s="207"/>
      <c r="R677" s="207"/>
      <c r="S677" s="208"/>
      <c r="T677" s="208"/>
      <c r="U677" s="208"/>
      <c r="V677" s="207"/>
      <c r="W677" s="207"/>
      <c r="X677" s="207"/>
    </row>
    <row r="678" spans="16:24" customFormat="1" x14ac:dyDescent="0.3">
      <c r="P678" s="207"/>
      <c r="Q678" s="207"/>
      <c r="R678" s="207"/>
      <c r="S678" s="208"/>
      <c r="T678" s="208"/>
      <c r="U678" s="208"/>
      <c r="V678" s="207"/>
      <c r="W678" s="207"/>
      <c r="X678" s="207"/>
    </row>
    <row r="679" spans="16:24" customFormat="1" x14ac:dyDescent="0.3">
      <c r="P679" s="207"/>
      <c r="Q679" s="207"/>
      <c r="R679" s="207"/>
      <c r="S679" s="208"/>
      <c r="T679" s="208"/>
      <c r="U679" s="208"/>
      <c r="V679" s="207"/>
      <c r="W679" s="207"/>
      <c r="X679" s="207"/>
    </row>
    <row r="680" spans="16:24" customFormat="1" x14ac:dyDescent="0.3">
      <c r="P680" s="207"/>
      <c r="Q680" s="207"/>
      <c r="R680" s="207"/>
      <c r="S680" s="208"/>
      <c r="T680" s="208"/>
      <c r="U680" s="208"/>
      <c r="V680" s="207"/>
      <c r="W680" s="207"/>
      <c r="X680" s="207"/>
    </row>
    <row r="681" spans="16:24" customFormat="1" x14ac:dyDescent="0.3">
      <c r="P681" s="207"/>
      <c r="Q681" s="207"/>
      <c r="R681" s="207"/>
      <c r="S681" s="208"/>
      <c r="T681" s="208"/>
      <c r="U681" s="208"/>
      <c r="V681" s="207"/>
      <c r="W681" s="207"/>
      <c r="X681" s="207"/>
    </row>
    <row r="682" spans="16:24" customFormat="1" x14ac:dyDescent="0.3">
      <c r="P682" s="207"/>
      <c r="Q682" s="207"/>
      <c r="R682" s="207"/>
      <c r="S682" s="208"/>
      <c r="T682" s="208"/>
      <c r="U682" s="208"/>
      <c r="V682" s="207"/>
      <c r="W682" s="207"/>
      <c r="X682" s="207"/>
    </row>
    <row r="683" spans="16:24" customFormat="1" x14ac:dyDescent="0.3">
      <c r="P683" s="207"/>
      <c r="Q683" s="207"/>
      <c r="R683" s="207"/>
      <c r="S683" s="208"/>
      <c r="T683" s="208"/>
      <c r="U683" s="208"/>
      <c r="V683" s="207"/>
      <c r="W683" s="207"/>
      <c r="X683" s="207"/>
    </row>
    <row r="684" spans="16:24" customFormat="1" x14ac:dyDescent="0.3">
      <c r="P684" s="207"/>
      <c r="Q684" s="207"/>
      <c r="R684" s="207"/>
      <c r="S684" s="208"/>
      <c r="T684" s="208"/>
      <c r="U684" s="208"/>
      <c r="V684" s="207"/>
      <c r="W684" s="207"/>
      <c r="X684" s="207"/>
    </row>
    <row r="685" spans="16:24" customFormat="1" x14ac:dyDescent="0.3">
      <c r="P685" s="207"/>
      <c r="Q685" s="207"/>
      <c r="R685" s="207"/>
      <c r="S685" s="208"/>
      <c r="T685" s="208"/>
      <c r="U685" s="208"/>
      <c r="V685" s="207"/>
      <c r="W685" s="207"/>
      <c r="X685" s="207"/>
    </row>
    <row r="686" spans="16:24" customFormat="1" x14ac:dyDescent="0.3">
      <c r="P686" s="207"/>
      <c r="Q686" s="207"/>
      <c r="R686" s="207"/>
      <c r="S686" s="208"/>
      <c r="T686" s="208"/>
      <c r="U686" s="208"/>
      <c r="V686" s="207"/>
      <c r="W686" s="207"/>
      <c r="X686" s="207"/>
    </row>
    <row r="687" spans="16:24" customFormat="1" x14ac:dyDescent="0.3">
      <c r="P687" s="207"/>
      <c r="Q687" s="207"/>
      <c r="R687" s="207"/>
      <c r="S687" s="208"/>
      <c r="T687" s="208"/>
      <c r="U687" s="208"/>
      <c r="V687" s="207"/>
      <c r="W687" s="207"/>
      <c r="X687" s="207"/>
    </row>
    <row r="688" spans="16:24" customFormat="1" x14ac:dyDescent="0.3">
      <c r="P688" s="207"/>
      <c r="Q688" s="207"/>
      <c r="R688" s="207"/>
      <c r="S688" s="208"/>
      <c r="T688" s="208"/>
      <c r="U688" s="208"/>
      <c r="V688" s="207"/>
      <c r="W688" s="207"/>
      <c r="X688" s="207"/>
    </row>
    <row r="689" spans="16:24" customFormat="1" x14ac:dyDescent="0.3">
      <c r="P689" s="207"/>
      <c r="Q689" s="207"/>
      <c r="R689" s="207"/>
      <c r="S689" s="208"/>
      <c r="T689" s="208"/>
      <c r="U689" s="208"/>
      <c r="V689" s="207"/>
      <c r="W689" s="207"/>
      <c r="X689" s="207"/>
    </row>
    <row r="690" spans="16:24" customFormat="1" x14ac:dyDescent="0.3">
      <c r="P690" s="207"/>
      <c r="Q690" s="207"/>
      <c r="R690" s="207"/>
      <c r="S690" s="208"/>
      <c r="T690" s="208"/>
      <c r="U690" s="208"/>
      <c r="V690" s="207"/>
      <c r="W690" s="207"/>
      <c r="X690" s="207"/>
    </row>
    <row r="691" spans="16:24" customFormat="1" x14ac:dyDescent="0.3">
      <c r="P691" s="207"/>
      <c r="Q691" s="207"/>
      <c r="R691" s="207"/>
      <c r="S691" s="208"/>
      <c r="T691" s="208"/>
      <c r="U691" s="208"/>
      <c r="V691" s="207"/>
      <c r="W691" s="207"/>
      <c r="X691" s="207"/>
    </row>
    <row r="692" spans="16:24" customFormat="1" x14ac:dyDescent="0.3">
      <c r="P692" s="207"/>
      <c r="Q692" s="207"/>
      <c r="R692" s="207"/>
      <c r="S692" s="208"/>
      <c r="T692" s="208"/>
      <c r="U692" s="208"/>
      <c r="V692" s="207"/>
      <c r="W692" s="207"/>
      <c r="X692" s="207"/>
    </row>
    <row r="693" spans="16:24" customFormat="1" x14ac:dyDescent="0.3">
      <c r="P693" s="207"/>
      <c r="Q693" s="207"/>
      <c r="R693" s="207"/>
      <c r="S693" s="208"/>
      <c r="T693" s="208"/>
      <c r="U693" s="208"/>
      <c r="V693" s="207"/>
      <c r="W693" s="207"/>
      <c r="X693" s="207"/>
    </row>
    <row r="694" spans="16:24" customFormat="1" x14ac:dyDescent="0.3">
      <c r="P694" s="207"/>
      <c r="Q694" s="207"/>
      <c r="R694" s="207"/>
      <c r="S694" s="208"/>
      <c r="T694" s="208"/>
      <c r="U694" s="208"/>
      <c r="V694" s="207"/>
      <c r="W694" s="207"/>
      <c r="X694" s="207"/>
    </row>
    <row r="695" spans="16:24" customFormat="1" x14ac:dyDescent="0.3">
      <c r="P695" s="207"/>
      <c r="Q695" s="207"/>
      <c r="R695" s="207"/>
      <c r="S695" s="208"/>
      <c r="T695" s="208"/>
      <c r="U695" s="208"/>
      <c r="V695" s="207"/>
      <c r="W695" s="207"/>
      <c r="X695" s="207"/>
    </row>
    <row r="696" spans="16:24" customFormat="1" x14ac:dyDescent="0.3">
      <c r="P696" s="207"/>
      <c r="Q696" s="207"/>
      <c r="R696" s="207"/>
      <c r="S696" s="208"/>
      <c r="T696" s="208"/>
      <c r="U696" s="208"/>
      <c r="V696" s="207"/>
      <c r="W696" s="207"/>
      <c r="X696" s="207"/>
    </row>
    <row r="697" spans="16:24" customFormat="1" x14ac:dyDescent="0.3">
      <c r="P697" s="207"/>
      <c r="Q697" s="207"/>
      <c r="R697" s="207"/>
      <c r="S697" s="208"/>
      <c r="T697" s="208"/>
      <c r="U697" s="208"/>
      <c r="V697" s="207"/>
      <c r="W697" s="207"/>
      <c r="X697" s="207"/>
    </row>
    <row r="698" spans="16:24" customFormat="1" x14ac:dyDescent="0.3">
      <c r="P698" s="207"/>
      <c r="Q698" s="207"/>
      <c r="R698" s="207"/>
      <c r="S698" s="208"/>
      <c r="T698" s="208"/>
      <c r="U698" s="208"/>
      <c r="V698" s="207"/>
      <c r="W698" s="207"/>
      <c r="X698" s="207"/>
    </row>
    <row r="699" spans="16:24" customFormat="1" x14ac:dyDescent="0.3">
      <c r="P699" s="207"/>
      <c r="Q699" s="207"/>
      <c r="R699" s="207"/>
      <c r="S699" s="208"/>
      <c r="T699" s="208"/>
      <c r="U699" s="208"/>
      <c r="V699" s="207"/>
      <c r="W699" s="207"/>
      <c r="X699" s="207"/>
    </row>
    <row r="700" spans="16:24" customFormat="1" x14ac:dyDescent="0.3">
      <c r="P700" s="207"/>
      <c r="Q700" s="207"/>
      <c r="R700" s="207"/>
      <c r="S700" s="208"/>
      <c r="T700" s="208"/>
      <c r="U700" s="208"/>
      <c r="V700" s="207"/>
      <c r="W700" s="207"/>
      <c r="X700" s="207"/>
    </row>
    <row r="701" spans="16:24" customFormat="1" x14ac:dyDescent="0.3">
      <c r="P701" s="207"/>
      <c r="Q701" s="207"/>
      <c r="R701" s="207"/>
      <c r="S701" s="208"/>
      <c r="T701" s="208"/>
      <c r="U701" s="208"/>
      <c r="V701" s="207"/>
      <c r="W701" s="207"/>
      <c r="X701" s="207"/>
    </row>
    <row r="702" spans="16:24" customFormat="1" x14ac:dyDescent="0.3">
      <c r="P702" s="207"/>
      <c r="Q702" s="207"/>
      <c r="R702" s="207"/>
      <c r="S702" s="208"/>
      <c r="T702" s="208"/>
      <c r="U702" s="208"/>
      <c r="V702" s="207"/>
      <c r="W702" s="207"/>
      <c r="X702" s="207"/>
    </row>
    <row r="703" spans="16:24" customFormat="1" x14ac:dyDescent="0.3">
      <c r="P703" s="207"/>
      <c r="Q703" s="207"/>
      <c r="R703" s="207"/>
      <c r="S703" s="208"/>
      <c r="T703" s="208"/>
      <c r="U703" s="208"/>
      <c r="V703" s="207"/>
      <c r="W703" s="207"/>
      <c r="X703" s="207"/>
    </row>
    <row r="704" spans="16:24" customFormat="1" x14ac:dyDescent="0.3">
      <c r="P704" s="207"/>
      <c r="Q704" s="207"/>
      <c r="R704" s="207"/>
      <c r="S704" s="208"/>
      <c r="T704" s="208"/>
      <c r="U704" s="208"/>
      <c r="V704" s="207"/>
      <c r="W704" s="207"/>
      <c r="X704" s="207"/>
    </row>
    <row r="705" spans="16:24" customFormat="1" x14ac:dyDescent="0.3">
      <c r="P705" s="207"/>
      <c r="Q705" s="207"/>
      <c r="R705" s="207"/>
      <c r="S705" s="208"/>
      <c r="T705" s="208"/>
      <c r="U705" s="208"/>
      <c r="V705" s="207"/>
      <c r="W705" s="207"/>
      <c r="X705" s="207"/>
    </row>
    <row r="706" spans="16:24" customFormat="1" x14ac:dyDescent="0.3">
      <c r="P706" s="207"/>
      <c r="Q706" s="207"/>
      <c r="R706" s="207"/>
      <c r="S706" s="208"/>
      <c r="T706" s="208"/>
      <c r="U706" s="208"/>
      <c r="V706" s="207"/>
      <c r="W706" s="207"/>
      <c r="X706" s="207"/>
    </row>
    <row r="707" spans="16:24" customFormat="1" x14ac:dyDescent="0.3">
      <c r="P707" s="207"/>
      <c r="Q707" s="207"/>
      <c r="R707" s="207"/>
      <c r="S707" s="208"/>
      <c r="T707" s="208"/>
      <c r="U707" s="208"/>
      <c r="V707" s="207"/>
      <c r="W707" s="207"/>
      <c r="X707" s="207"/>
    </row>
    <row r="708" spans="16:24" customFormat="1" x14ac:dyDescent="0.3">
      <c r="P708" s="207"/>
      <c r="Q708" s="207"/>
      <c r="R708" s="207"/>
      <c r="S708" s="208"/>
      <c r="T708" s="208"/>
      <c r="U708" s="208"/>
      <c r="V708" s="207"/>
      <c r="W708" s="207"/>
      <c r="X708" s="207"/>
    </row>
    <row r="709" spans="16:24" customFormat="1" x14ac:dyDescent="0.3">
      <c r="P709" s="207"/>
      <c r="Q709" s="207"/>
      <c r="R709" s="207"/>
      <c r="S709" s="208"/>
      <c r="T709" s="208"/>
      <c r="U709" s="208"/>
      <c r="V709" s="207"/>
      <c r="W709" s="207"/>
      <c r="X709" s="207"/>
    </row>
    <row r="710" spans="16:24" customFormat="1" x14ac:dyDescent="0.3">
      <c r="P710" s="207"/>
      <c r="Q710" s="207"/>
      <c r="R710" s="207"/>
      <c r="S710" s="208"/>
      <c r="T710" s="208"/>
      <c r="U710" s="208"/>
      <c r="V710" s="207"/>
      <c r="W710" s="207"/>
      <c r="X710" s="207"/>
    </row>
    <row r="711" spans="16:24" customFormat="1" x14ac:dyDescent="0.3">
      <c r="P711" s="207"/>
      <c r="Q711" s="207"/>
      <c r="R711" s="207"/>
      <c r="S711" s="208"/>
      <c r="T711" s="208"/>
      <c r="U711" s="208"/>
      <c r="V711" s="207"/>
      <c r="W711" s="207"/>
      <c r="X711" s="207"/>
    </row>
    <row r="712" spans="16:24" customFormat="1" x14ac:dyDescent="0.3">
      <c r="P712" s="207"/>
      <c r="Q712" s="207"/>
      <c r="R712" s="207"/>
      <c r="S712" s="208"/>
      <c r="T712" s="208"/>
      <c r="U712" s="208"/>
      <c r="V712" s="207"/>
      <c r="W712" s="207"/>
      <c r="X712" s="207"/>
    </row>
    <row r="713" spans="16:24" customFormat="1" x14ac:dyDescent="0.3">
      <c r="P713" s="207"/>
      <c r="Q713" s="207"/>
      <c r="R713" s="207"/>
      <c r="S713" s="208"/>
      <c r="T713" s="208"/>
      <c r="U713" s="208"/>
      <c r="V713" s="207"/>
      <c r="W713" s="207"/>
      <c r="X713" s="207"/>
    </row>
    <row r="714" spans="16:24" customFormat="1" x14ac:dyDescent="0.3">
      <c r="P714" s="207"/>
      <c r="Q714" s="207"/>
      <c r="R714" s="207"/>
      <c r="S714" s="208"/>
      <c r="T714" s="208"/>
      <c r="U714" s="208"/>
      <c r="V714" s="207"/>
      <c r="W714" s="207"/>
      <c r="X714" s="207"/>
    </row>
    <row r="715" spans="16:24" customFormat="1" x14ac:dyDescent="0.3">
      <c r="P715" s="207"/>
      <c r="Q715" s="207"/>
      <c r="R715" s="207"/>
      <c r="S715" s="208"/>
      <c r="T715" s="208"/>
      <c r="U715" s="208"/>
      <c r="V715" s="207"/>
      <c r="W715" s="207"/>
      <c r="X715" s="207"/>
    </row>
    <row r="716" spans="16:24" customFormat="1" x14ac:dyDescent="0.3">
      <c r="P716" s="207"/>
      <c r="Q716" s="207"/>
      <c r="R716" s="207"/>
      <c r="S716" s="208"/>
      <c r="T716" s="208"/>
      <c r="U716" s="208"/>
      <c r="V716" s="207"/>
      <c r="W716" s="207"/>
      <c r="X716" s="207"/>
    </row>
    <row r="717" spans="16:24" customFormat="1" x14ac:dyDescent="0.3">
      <c r="P717" s="207"/>
      <c r="Q717" s="207"/>
      <c r="R717" s="207"/>
      <c r="S717" s="208"/>
      <c r="T717" s="208"/>
      <c r="U717" s="208"/>
      <c r="V717" s="207"/>
      <c r="W717" s="207"/>
      <c r="X717" s="207"/>
    </row>
    <row r="718" spans="16:24" customFormat="1" x14ac:dyDescent="0.3">
      <c r="P718" s="207"/>
      <c r="Q718" s="207"/>
      <c r="R718" s="207"/>
      <c r="S718" s="208"/>
      <c r="T718" s="208"/>
      <c r="U718" s="208"/>
      <c r="V718" s="207"/>
      <c r="W718" s="207"/>
      <c r="X718" s="207"/>
    </row>
    <row r="719" spans="16:24" customFormat="1" x14ac:dyDescent="0.3">
      <c r="P719" s="207"/>
      <c r="Q719" s="207"/>
      <c r="R719" s="207"/>
      <c r="S719" s="208"/>
      <c r="T719" s="208"/>
      <c r="U719" s="208"/>
      <c r="V719" s="207"/>
      <c r="W719" s="207"/>
      <c r="X719" s="207"/>
    </row>
    <row r="720" spans="16:24" customFormat="1" x14ac:dyDescent="0.3">
      <c r="P720" s="207"/>
      <c r="Q720" s="207"/>
      <c r="R720" s="207"/>
      <c r="S720" s="208"/>
      <c r="T720" s="208"/>
      <c r="U720" s="208"/>
      <c r="V720" s="207"/>
      <c r="W720" s="207"/>
      <c r="X720" s="207"/>
    </row>
    <row r="721" spans="16:24" customFormat="1" x14ac:dyDescent="0.3">
      <c r="P721" s="207"/>
      <c r="Q721" s="207"/>
      <c r="R721" s="207"/>
      <c r="S721" s="208"/>
      <c r="T721" s="208"/>
      <c r="U721" s="208"/>
      <c r="V721" s="207"/>
      <c r="W721" s="207"/>
      <c r="X721" s="207"/>
    </row>
    <row r="722" spans="16:24" customFormat="1" x14ac:dyDescent="0.3">
      <c r="P722" s="207"/>
      <c r="Q722" s="207"/>
      <c r="R722" s="207"/>
      <c r="S722" s="208"/>
      <c r="T722" s="208"/>
      <c r="U722" s="208"/>
      <c r="V722" s="207"/>
      <c r="W722" s="207"/>
      <c r="X722" s="207"/>
    </row>
    <row r="723" spans="16:24" customFormat="1" x14ac:dyDescent="0.3">
      <c r="P723" s="207"/>
      <c r="Q723" s="207"/>
      <c r="R723" s="207"/>
      <c r="S723" s="208"/>
      <c r="T723" s="208"/>
      <c r="U723" s="208"/>
      <c r="V723" s="207"/>
      <c r="W723" s="207"/>
      <c r="X723" s="207"/>
    </row>
    <row r="724" spans="16:24" customFormat="1" x14ac:dyDescent="0.3">
      <c r="P724" s="207"/>
      <c r="Q724" s="207"/>
      <c r="R724" s="207"/>
      <c r="S724" s="208"/>
      <c r="T724" s="208"/>
      <c r="U724" s="208"/>
      <c r="V724" s="207"/>
      <c r="W724" s="207"/>
      <c r="X724" s="207"/>
    </row>
    <row r="725" spans="16:24" customFormat="1" x14ac:dyDescent="0.3">
      <c r="P725" s="207"/>
      <c r="Q725" s="207"/>
      <c r="R725" s="207"/>
      <c r="S725" s="208"/>
      <c r="T725" s="208"/>
      <c r="U725" s="208"/>
      <c r="V725" s="207"/>
      <c r="W725" s="207"/>
      <c r="X725" s="207"/>
    </row>
    <row r="726" spans="16:24" customFormat="1" x14ac:dyDescent="0.3">
      <c r="P726" s="207"/>
      <c r="Q726" s="207"/>
      <c r="R726" s="207"/>
      <c r="S726" s="208"/>
      <c r="T726" s="208"/>
      <c r="U726" s="208"/>
      <c r="V726" s="207"/>
      <c r="W726" s="207"/>
      <c r="X726" s="207"/>
    </row>
    <row r="727" spans="16:24" customFormat="1" x14ac:dyDescent="0.3">
      <c r="P727" s="207"/>
      <c r="Q727" s="207"/>
      <c r="R727" s="207"/>
      <c r="S727" s="208"/>
      <c r="T727" s="208"/>
      <c r="U727" s="208"/>
      <c r="V727" s="207"/>
      <c r="W727" s="207"/>
      <c r="X727" s="207"/>
    </row>
    <row r="728" spans="16:24" customFormat="1" x14ac:dyDescent="0.3">
      <c r="P728" s="207"/>
      <c r="Q728" s="207"/>
      <c r="R728" s="207"/>
      <c r="S728" s="208"/>
      <c r="T728" s="208"/>
      <c r="U728" s="208"/>
      <c r="V728" s="207"/>
      <c r="W728" s="207"/>
      <c r="X728" s="207"/>
    </row>
    <row r="729" spans="16:24" customFormat="1" x14ac:dyDescent="0.3">
      <c r="P729" s="207"/>
      <c r="Q729" s="207"/>
      <c r="R729" s="207"/>
      <c r="S729" s="208"/>
      <c r="T729" s="208"/>
      <c r="U729" s="208"/>
      <c r="V729" s="207"/>
      <c r="W729" s="207"/>
      <c r="X729" s="207"/>
    </row>
    <row r="730" spans="16:24" customFormat="1" x14ac:dyDescent="0.3">
      <c r="P730" s="207"/>
      <c r="Q730" s="207"/>
      <c r="R730" s="207"/>
      <c r="S730" s="208"/>
      <c r="T730" s="208"/>
      <c r="U730" s="208"/>
      <c r="V730" s="207"/>
      <c r="W730" s="207"/>
      <c r="X730" s="207"/>
    </row>
    <row r="731" spans="16:24" customFormat="1" x14ac:dyDescent="0.3">
      <c r="P731" s="207"/>
      <c r="Q731" s="207"/>
      <c r="R731" s="207"/>
      <c r="S731" s="208"/>
      <c r="T731" s="208"/>
      <c r="U731" s="208"/>
      <c r="V731" s="207"/>
      <c r="W731" s="207"/>
      <c r="X731" s="207"/>
    </row>
    <row r="732" spans="16:24" customFormat="1" x14ac:dyDescent="0.3">
      <c r="P732" s="207"/>
      <c r="Q732" s="207"/>
      <c r="R732" s="207"/>
      <c r="S732" s="208"/>
      <c r="T732" s="208"/>
      <c r="U732" s="208"/>
      <c r="V732" s="207"/>
      <c r="W732" s="207"/>
      <c r="X732" s="207"/>
    </row>
    <row r="733" spans="16:24" customFormat="1" x14ac:dyDescent="0.3">
      <c r="P733" s="207"/>
      <c r="Q733" s="207"/>
      <c r="R733" s="207"/>
      <c r="S733" s="208"/>
      <c r="T733" s="208"/>
      <c r="U733" s="208"/>
      <c r="V733" s="207"/>
      <c r="W733" s="207"/>
      <c r="X733" s="207"/>
    </row>
    <row r="734" spans="16:24" customFormat="1" x14ac:dyDescent="0.3">
      <c r="P734" s="207"/>
      <c r="Q734" s="207"/>
      <c r="R734" s="207"/>
      <c r="S734" s="208"/>
      <c r="T734" s="208"/>
      <c r="U734" s="208"/>
      <c r="V734" s="207"/>
      <c r="W734" s="207"/>
      <c r="X734" s="207"/>
    </row>
    <row r="735" spans="16:24" customFormat="1" x14ac:dyDescent="0.3">
      <c r="P735" s="207"/>
      <c r="Q735" s="207"/>
      <c r="R735" s="207"/>
      <c r="S735" s="208"/>
      <c r="T735" s="208"/>
      <c r="U735" s="208"/>
      <c r="V735" s="207"/>
      <c r="W735" s="207"/>
      <c r="X735" s="207"/>
    </row>
    <row r="736" spans="16:24" customFormat="1" x14ac:dyDescent="0.3">
      <c r="P736" s="207"/>
      <c r="Q736" s="207"/>
      <c r="R736" s="207"/>
      <c r="S736" s="208"/>
      <c r="T736" s="208"/>
      <c r="U736" s="208"/>
      <c r="V736" s="207"/>
      <c r="W736" s="207"/>
      <c r="X736" s="207"/>
    </row>
    <row r="737" spans="16:24" customFormat="1" x14ac:dyDescent="0.3">
      <c r="P737" s="207"/>
      <c r="Q737" s="207"/>
      <c r="R737" s="207"/>
      <c r="S737" s="208"/>
      <c r="T737" s="208"/>
      <c r="U737" s="208"/>
      <c r="V737" s="207"/>
      <c r="W737" s="207"/>
      <c r="X737" s="207"/>
    </row>
    <row r="738" spans="16:24" customFormat="1" x14ac:dyDescent="0.3">
      <c r="P738" s="207"/>
      <c r="Q738" s="207"/>
      <c r="R738" s="207"/>
      <c r="S738" s="208"/>
      <c r="T738" s="208"/>
      <c r="U738" s="208"/>
      <c r="V738" s="207"/>
      <c r="W738" s="207"/>
      <c r="X738" s="207"/>
    </row>
    <row r="739" spans="16:24" customFormat="1" x14ac:dyDescent="0.3">
      <c r="P739" s="207"/>
      <c r="Q739" s="207"/>
      <c r="R739" s="207"/>
      <c r="S739" s="208"/>
      <c r="T739" s="208"/>
      <c r="U739" s="208"/>
      <c r="V739" s="207"/>
      <c r="W739" s="207"/>
      <c r="X739" s="207"/>
    </row>
    <row r="740" spans="16:24" customFormat="1" x14ac:dyDescent="0.3">
      <c r="P740" s="207"/>
      <c r="Q740" s="207"/>
      <c r="R740" s="207"/>
      <c r="S740" s="208"/>
      <c r="T740" s="208"/>
      <c r="U740" s="208"/>
      <c r="V740" s="207"/>
      <c r="W740" s="207"/>
      <c r="X740" s="207"/>
    </row>
    <row r="741" spans="16:24" customFormat="1" x14ac:dyDescent="0.3">
      <c r="P741" s="207"/>
      <c r="Q741" s="207"/>
      <c r="R741" s="207"/>
      <c r="S741" s="208"/>
      <c r="T741" s="208"/>
      <c r="U741" s="208"/>
      <c r="V741" s="207"/>
      <c r="W741" s="207"/>
      <c r="X741" s="207"/>
    </row>
    <row r="742" spans="16:24" customFormat="1" x14ac:dyDescent="0.3">
      <c r="P742" s="207"/>
      <c r="Q742" s="207"/>
      <c r="R742" s="207"/>
      <c r="S742" s="208"/>
      <c r="T742" s="208"/>
      <c r="U742" s="208"/>
      <c r="V742" s="207"/>
      <c r="W742" s="207"/>
      <c r="X742" s="207"/>
    </row>
    <row r="743" spans="16:24" customFormat="1" x14ac:dyDescent="0.3">
      <c r="P743" s="207"/>
      <c r="Q743" s="207"/>
      <c r="R743" s="207"/>
      <c r="S743" s="208"/>
      <c r="T743" s="208"/>
      <c r="U743" s="208"/>
      <c r="V743" s="207"/>
      <c r="W743" s="207"/>
      <c r="X743" s="207"/>
    </row>
    <row r="744" spans="16:24" customFormat="1" x14ac:dyDescent="0.3">
      <c r="P744" s="207"/>
      <c r="Q744" s="207"/>
      <c r="R744" s="207"/>
      <c r="S744" s="208"/>
      <c r="T744" s="208"/>
      <c r="U744" s="208"/>
      <c r="V744" s="207"/>
      <c r="W744" s="207"/>
      <c r="X744" s="207"/>
    </row>
    <row r="745" spans="16:24" customFormat="1" x14ac:dyDescent="0.3">
      <c r="P745" s="207"/>
      <c r="Q745" s="207"/>
      <c r="R745" s="207"/>
      <c r="S745" s="208"/>
      <c r="T745" s="208"/>
      <c r="U745" s="208"/>
      <c r="V745" s="207"/>
      <c r="W745" s="207"/>
      <c r="X745" s="207"/>
    </row>
    <row r="746" spans="16:24" customFormat="1" x14ac:dyDescent="0.3">
      <c r="P746" s="207"/>
      <c r="Q746" s="207"/>
      <c r="R746" s="207"/>
      <c r="S746" s="208"/>
      <c r="T746" s="208"/>
      <c r="U746" s="208"/>
      <c r="V746" s="207"/>
      <c r="W746" s="207"/>
      <c r="X746" s="207"/>
    </row>
    <row r="747" spans="16:24" customFormat="1" x14ac:dyDescent="0.3">
      <c r="P747" s="207"/>
      <c r="Q747" s="207"/>
      <c r="R747" s="207"/>
      <c r="S747" s="208"/>
      <c r="T747" s="208"/>
      <c r="U747" s="208"/>
      <c r="V747" s="207"/>
      <c r="W747" s="207"/>
      <c r="X747" s="207"/>
    </row>
    <row r="748" spans="16:24" customFormat="1" x14ac:dyDescent="0.3">
      <c r="P748" s="207"/>
      <c r="Q748" s="207"/>
      <c r="R748" s="207"/>
      <c r="S748" s="208"/>
      <c r="T748" s="208"/>
      <c r="U748" s="208"/>
      <c r="V748" s="207"/>
      <c r="W748" s="207"/>
      <c r="X748" s="207"/>
    </row>
    <row r="749" spans="16:24" customFormat="1" x14ac:dyDescent="0.3">
      <c r="P749" s="207"/>
      <c r="Q749" s="207"/>
      <c r="R749" s="207"/>
      <c r="S749" s="208"/>
      <c r="T749" s="208"/>
      <c r="U749" s="208"/>
      <c r="V749" s="207"/>
      <c r="W749" s="207"/>
      <c r="X749" s="207"/>
    </row>
    <row r="750" spans="16:24" customFormat="1" x14ac:dyDescent="0.3">
      <c r="P750" s="207"/>
      <c r="Q750" s="207"/>
      <c r="R750" s="207"/>
      <c r="S750" s="208"/>
      <c r="T750" s="208"/>
      <c r="U750" s="208"/>
      <c r="V750" s="207"/>
      <c r="W750" s="207"/>
      <c r="X750" s="207"/>
    </row>
    <row r="751" spans="16:24" customFormat="1" x14ac:dyDescent="0.3">
      <c r="P751" s="207"/>
      <c r="Q751" s="207"/>
      <c r="R751" s="207"/>
      <c r="S751" s="208"/>
      <c r="T751" s="208"/>
      <c r="U751" s="208"/>
      <c r="V751" s="207"/>
      <c r="W751" s="207"/>
      <c r="X751" s="207"/>
    </row>
    <row r="752" spans="16:24" customFormat="1" x14ac:dyDescent="0.3">
      <c r="P752" s="207"/>
      <c r="Q752" s="207"/>
      <c r="R752" s="207"/>
      <c r="S752" s="208"/>
      <c r="T752" s="208"/>
      <c r="U752" s="208"/>
      <c r="V752" s="207"/>
      <c r="W752" s="207"/>
      <c r="X752" s="207"/>
    </row>
    <row r="753" spans="16:24" customFormat="1" x14ac:dyDescent="0.3">
      <c r="P753" s="207"/>
      <c r="Q753" s="207"/>
      <c r="R753" s="207"/>
      <c r="S753" s="208"/>
      <c r="T753" s="208"/>
      <c r="U753" s="208"/>
      <c r="V753" s="207"/>
      <c r="W753" s="207"/>
      <c r="X753" s="207"/>
    </row>
    <row r="754" spans="16:24" customFormat="1" x14ac:dyDescent="0.3">
      <c r="P754" s="207"/>
      <c r="Q754" s="207"/>
      <c r="R754" s="207"/>
      <c r="S754" s="208"/>
      <c r="T754" s="208"/>
      <c r="U754" s="208"/>
      <c r="V754" s="207"/>
      <c r="W754" s="207"/>
      <c r="X754" s="207"/>
    </row>
    <row r="755" spans="16:24" customFormat="1" x14ac:dyDescent="0.3">
      <c r="P755" s="207"/>
      <c r="Q755" s="207"/>
      <c r="R755" s="207"/>
      <c r="S755" s="208"/>
      <c r="T755" s="208"/>
      <c r="U755" s="208"/>
      <c r="V755" s="207"/>
      <c r="W755" s="207"/>
      <c r="X755" s="207"/>
    </row>
    <row r="756" spans="16:24" customFormat="1" x14ac:dyDescent="0.3">
      <c r="P756" s="207"/>
      <c r="Q756" s="207"/>
      <c r="R756" s="207"/>
      <c r="S756" s="208"/>
      <c r="T756" s="208"/>
      <c r="U756" s="208"/>
      <c r="V756" s="207"/>
      <c r="W756" s="207"/>
      <c r="X756" s="207"/>
    </row>
    <row r="757" spans="16:24" customFormat="1" x14ac:dyDescent="0.3">
      <c r="P757" s="207"/>
      <c r="Q757" s="207"/>
      <c r="R757" s="207"/>
      <c r="S757" s="208"/>
      <c r="T757" s="208"/>
      <c r="U757" s="208"/>
      <c r="V757" s="207"/>
      <c r="W757" s="207"/>
      <c r="X757" s="207"/>
    </row>
    <row r="758" spans="16:24" customFormat="1" x14ac:dyDescent="0.3">
      <c r="P758" s="207"/>
      <c r="Q758" s="207"/>
      <c r="R758" s="207"/>
      <c r="S758" s="208"/>
      <c r="T758" s="208"/>
      <c r="U758" s="208"/>
      <c r="V758" s="207"/>
      <c r="W758" s="207"/>
      <c r="X758" s="207"/>
    </row>
    <row r="759" spans="16:24" customFormat="1" x14ac:dyDescent="0.3">
      <c r="P759" s="207"/>
      <c r="Q759" s="207"/>
      <c r="R759" s="207"/>
      <c r="S759" s="208"/>
      <c r="T759" s="208"/>
      <c r="U759" s="208"/>
      <c r="V759" s="207"/>
      <c r="W759" s="207"/>
      <c r="X759" s="207"/>
    </row>
    <row r="760" spans="16:24" customFormat="1" x14ac:dyDescent="0.3">
      <c r="P760" s="207"/>
      <c r="Q760" s="207"/>
      <c r="R760" s="207"/>
      <c r="S760" s="208"/>
      <c r="T760" s="208"/>
      <c r="U760" s="208"/>
      <c r="V760" s="207"/>
      <c r="W760" s="207"/>
      <c r="X760" s="207"/>
    </row>
    <row r="761" spans="16:24" customFormat="1" x14ac:dyDescent="0.3">
      <c r="P761" s="207"/>
      <c r="Q761" s="207"/>
      <c r="R761" s="207"/>
      <c r="S761" s="208"/>
      <c r="T761" s="208"/>
      <c r="U761" s="208"/>
      <c r="V761" s="207"/>
      <c r="W761" s="207"/>
      <c r="X761" s="207"/>
    </row>
    <row r="762" spans="16:24" customFormat="1" x14ac:dyDescent="0.3">
      <c r="P762" s="207"/>
      <c r="Q762" s="207"/>
      <c r="R762" s="207"/>
      <c r="S762" s="208"/>
      <c r="T762" s="208"/>
      <c r="U762" s="208"/>
      <c r="V762" s="207"/>
      <c r="W762" s="207"/>
      <c r="X762" s="207"/>
    </row>
    <row r="763" spans="16:24" customFormat="1" x14ac:dyDescent="0.3">
      <c r="P763" s="207"/>
      <c r="Q763" s="207"/>
      <c r="R763" s="207"/>
      <c r="S763" s="208"/>
      <c r="T763" s="208"/>
      <c r="U763" s="208"/>
      <c r="V763" s="207"/>
      <c r="W763" s="207"/>
      <c r="X763" s="207"/>
    </row>
    <row r="764" spans="16:24" customFormat="1" x14ac:dyDescent="0.3">
      <c r="P764" s="207"/>
      <c r="Q764" s="207"/>
      <c r="R764" s="207"/>
      <c r="S764" s="208"/>
      <c r="T764" s="208"/>
      <c r="U764" s="208"/>
      <c r="V764" s="207"/>
      <c r="W764" s="207"/>
      <c r="X764" s="207"/>
    </row>
    <row r="765" spans="16:24" customFormat="1" x14ac:dyDescent="0.3">
      <c r="P765" s="207"/>
      <c r="Q765" s="207"/>
      <c r="R765" s="207"/>
      <c r="S765" s="208"/>
      <c r="T765" s="208"/>
      <c r="U765" s="208"/>
      <c r="V765" s="207"/>
      <c r="W765" s="207"/>
      <c r="X765" s="207"/>
    </row>
    <row r="766" spans="16:24" customFormat="1" x14ac:dyDescent="0.3">
      <c r="P766" s="207"/>
      <c r="Q766" s="207"/>
      <c r="R766" s="207"/>
      <c r="S766" s="208"/>
      <c r="T766" s="208"/>
      <c r="U766" s="208"/>
      <c r="V766" s="207"/>
      <c r="W766" s="207"/>
      <c r="X766" s="207"/>
    </row>
    <row r="767" spans="16:24" customFormat="1" x14ac:dyDescent="0.3">
      <c r="P767" s="207"/>
      <c r="Q767" s="207"/>
      <c r="R767" s="207"/>
      <c r="S767" s="208"/>
      <c r="T767" s="208"/>
      <c r="U767" s="208"/>
      <c r="V767" s="207"/>
      <c r="W767" s="207"/>
      <c r="X767" s="207"/>
    </row>
    <row r="768" spans="16:24" customFormat="1" x14ac:dyDescent="0.3">
      <c r="P768" s="207"/>
      <c r="Q768" s="207"/>
      <c r="R768" s="207"/>
      <c r="S768" s="208"/>
      <c r="T768" s="208"/>
      <c r="U768" s="208"/>
      <c r="V768" s="207"/>
      <c r="W768" s="207"/>
      <c r="X768" s="207"/>
    </row>
    <row r="769" spans="16:24" customFormat="1" x14ac:dyDescent="0.3">
      <c r="P769" s="207"/>
      <c r="Q769" s="207"/>
      <c r="R769" s="207"/>
      <c r="S769" s="208"/>
      <c r="T769" s="208"/>
      <c r="U769" s="208"/>
      <c r="V769" s="207"/>
      <c r="W769" s="207"/>
      <c r="X769" s="207"/>
    </row>
    <row r="770" spans="16:24" customFormat="1" x14ac:dyDescent="0.3">
      <c r="P770" s="207"/>
      <c r="Q770" s="207"/>
      <c r="R770" s="207"/>
      <c r="S770" s="208"/>
      <c r="T770" s="208"/>
      <c r="U770" s="208"/>
      <c r="V770" s="207"/>
      <c r="W770" s="207"/>
      <c r="X770" s="207"/>
    </row>
    <row r="771" spans="16:24" customFormat="1" x14ac:dyDescent="0.3">
      <c r="P771" s="207"/>
      <c r="Q771" s="207"/>
      <c r="R771" s="207"/>
      <c r="S771" s="208"/>
      <c r="T771" s="208"/>
      <c r="U771" s="208"/>
      <c r="V771" s="207"/>
      <c r="W771" s="207"/>
      <c r="X771" s="207"/>
    </row>
    <row r="772" spans="16:24" customFormat="1" x14ac:dyDescent="0.3">
      <c r="P772" s="207"/>
      <c r="Q772" s="207"/>
      <c r="R772" s="207"/>
      <c r="S772" s="208"/>
      <c r="T772" s="208"/>
      <c r="U772" s="208"/>
      <c r="V772" s="207"/>
      <c r="W772" s="207"/>
      <c r="X772" s="207"/>
    </row>
    <row r="773" spans="16:24" customFormat="1" x14ac:dyDescent="0.3">
      <c r="P773" s="207"/>
      <c r="Q773" s="207"/>
      <c r="R773" s="207"/>
      <c r="S773" s="208"/>
      <c r="T773" s="208"/>
      <c r="U773" s="208"/>
      <c r="V773" s="207"/>
      <c r="W773" s="207"/>
      <c r="X773" s="207"/>
    </row>
    <row r="774" spans="16:24" customFormat="1" x14ac:dyDescent="0.3">
      <c r="P774" s="207"/>
      <c r="Q774" s="207"/>
      <c r="R774" s="207"/>
      <c r="S774" s="208"/>
      <c r="T774" s="208"/>
      <c r="U774" s="208"/>
      <c r="V774" s="207"/>
      <c r="W774" s="207"/>
      <c r="X774" s="207"/>
    </row>
    <row r="775" spans="16:24" customFormat="1" x14ac:dyDescent="0.3">
      <c r="P775" s="207"/>
      <c r="Q775" s="207"/>
      <c r="R775" s="207"/>
      <c r="S775" s="208"/>
      <c r="T775" s="208"/>
      <c r="U775" s="208"/>
      <c r="V775" s="207"/>
      <c r="W775" s="207"/>
      <c r="X775" s="207"/>
    </row>
    <row r="776" spans="16:24" customFormat="1" x14ac:dyDescent="0.3">
      <c r="P776" s="207"/>
      <c r="Q776" s="207"/>
      <c r="R776" s="207"/>
      <c r="S776" s="208"/>
      <c r="T776" s="208"/>
      <c r="U776" s="208"/>
      <c r="V776" s="207"/>
      <c r="W776" s="207"/>
      <c r="X776" s="207"/>
    </row>
    <row r="777" spans="16:24" customFormat="1" x14ac:dyDescent="0.3">
      <c r="P777" s="207"/>
      <c r="Q777" s="207"/>
      <c r="R777" s="207"/>
      <c r="S777" s="208"/>
      <c r="T777" s="208"/>
      <c r="U777" s="208"/>
      <c r="V777" s="207"/>
      <c r="W777" s="207"/>
      <c r="X777" s="207"/>
    </row>
    <row r="778" spans="16:24" customFormat="1" x14ac:dyDescent="0.3">
      <c r="P778" s="207"/>
      <c r="Q778" s="207"/>
      <c r="R778" s="207"/>
      <c r="S778" s="208"/>
      <c r="T778" s="208"/>
      <c r="U778" s="208"/>
      <c r="V778" s="207"/>
      <c r="W778" s="207"/>
      <c r="X778" s="207"/>
    </row>
    <row r="779" spans="16:24" customFormat="1" x14ac:dyDescent="0.3">
      <c r="P779" s="207"/>
      <c r="Q779" s="207"/>
      <c r="R779" s="207"/>
      <c r="S779" s="208"/>
      <c r="T779" s="208"/>
      <c r="U779" s="208"/>
      <c r="V779" s="207"/>
      <c r="W779" s="207"/>
      <c r="X779" s="207"/>
    </row>
    <row r="780" spans="16:24" customFormat="1" x14ac:dyDescent="0.3">
      <c r="P780" s="207"/>
      <c r="Q780" s="207"/>
      <c r="R780" s="207"/>
      <c r="S780" s="208"/>
      <c r="T780" s="208"/>
      <c r="U780" s="208"/>
      <c r="V780" s="207"/>
      <c r="W780" s="207"/>
      <c r="X780" s="207"/>
    </row>
    <row r="781" spans="16:24" customFormat="1" x14ac:dyDescent="0.3">
      <c r="P781" s="207"/>
      <c r="Q781" s="207"/>
      <c r="R781" s="207"/>
      <c r="S781" s="208"/>
      <c r="T781" s="208"/>
      <c r="U781" s="208"/>
      <c r="V781" s="207"/>
      <c r="W781" s="207"/>
      <c r="X781" s="207"/>
    </row>
    <row r="782" spans="16:24" customFormat="1" x14ac:dyDescent="0.3">
      <c r="P782" s="207"/>
      <c r="Q782" s="207"/>
      <c r="R782" s="207"/>
      <c r="S782" s="208"/>
      <c r="T782" s="208"/>
      <c r="U782" s="208"/>
      <c r="V782" s="207"/>
      <c r="W782" s="207"/>
      <c r="X782" s="207"/>
    </row>
    <row r="783" spans="16:24" customFormat="1" x14ac:dyDescent="0.3">
      <c r="P783" s="207"/>
      <c r="Q783" s="207"/>
      <c r="R783" s="207"/>
      <c r="S783" s="208"/>
      <c r="T783" s="208"/>
      <c r="U783" s="208"/>
      <c r="V783" s="207"/>
      <c r="W783" s="207"/>
      <c r="X783" s="207"/>
    </row>
    <row r="784" spans="16:24" customFormat="1" x14ac:dyDescent="0.3">
      <c r="P784" s="207"/>
      <c r="Q784" s="207"/>
      <c r="R784" s="207"/>
      <c r="S784" s="208"/>
      <c r="T784" s="208"/>
      <c r="U784" s="208"/>
      <c r="V784" s="207"/>
      <c r="W784" s="207"/>
      <c r="X784" s="207"/>
    </row>
    <row r="785" spans="16:24" customFormat="1" x14ac:dyDescent="0.3">
      <c r="P785" s="207"/>
      <c r="Q785" s="207"/>
      <c r="R785" s="207"/>
      <c r="S785" s="208"/>
      <c r="T785" s="208"/>
      <c r="U785" s="208"/>
      <c r="V785" s="207"/>
      <c r="W785" s="207"/>
      <c r="X785" s="207"/>
    </row>
    <row r="786" spans="16:24" customFormat="1" x14ac:dyDescent="0.3">
      <c r="P786" s="207"/>
      <c r="Q786" s="207"/>
      <c r="R786" s="207"/>
      <c r="S786" s="208"/>
      <c r="T786" s="208"/>
      <c r="U786" s="208"/>
      <c r="V786" s="207"/>
      <c r="W786" s="207"/>
      <c r="X786" s="207"/>
    </row>
    <row r="787" spans="16:24" customFormat="1" x14ac:dyDescent="0.3">
      <c r="P787" s="207"/>
      <c r="Q787" s="207"/>
      <c r="R787" s="207"/>
      <c r="S787" s="208"/>
      <c r="T787" s="208"/>
      <c r="U787" s="208"/>
      <c r="V787" s="207"/>
      <c r="W787" s="207"/>
      <c r="X787" s="207"/>
    </row>
    <row r="788" spans="16:24" customFormat="1" x14ac:dyDescent="0.3">
      <c r="P788" s="207"/>
      <c r="Q788" s="207"/>
      <c r="R788" s="207"/>
      <c r="S788" s="208"/>
      <c r="T788" s="208"/>
      <c r="U788" s="208"/>
      <c r="V788" s="207"/>
      <c r="W788" s="207"/>
      <c r="X788" s="207"/>
    </row>
    <row r="789" spans="16:24" customFormat="1" x14ac:dyDescent="0.3">
      <c r="P789" s="207"/>
      <c r="Q789" s="207"/>
      <c r="R789" s="207"/>
      <c r="S789" s="208"/>
      <c r="T789" s="208"/>
      <c r="U789" s="208"/>
      <c r="V789" s="207"/>
      <c r="W789" s="207"/>
      <c r="X789" s="207"/>
    </row>
    <row r="790" spans="16:24" customFormat="1" x14ac:dyDescent="0.3">
      <c r="P790" s="207"/>
      <c r="Q790" s="207"/>
      <c r="R790" s="207"/>
      <c r="S790" s="208"/>
      <c r="T790" s="208"/>
      <c r="U790" s="208"/>
      <c r="V790" s="207"/>
      <c r="W790" s="207"/>
      <c r="X790" s="207"/>
    </row>
    <row r="791" spans="16:24" customFormat="1" x14ac:dyDescent="0.3">
      <c r="P791" s="207"/>
      <c r="Q791" s="207"/>
      <c r="R791" s="207"/>
      <c r="S791" s="208"/>
      <c r="T791" s="208"/>
      <c r="U791" s="208"/>
      <c r="V791" s="207"/>
      <c r="W791" s="207"/>
      <c r="X791" s="207"/>
    </row>
    <row r="792" spans="16:24" customFormat="1" x14ac:dyDescent="0.3">
      <c r="P792" s="207"/>
      <c r="Q792" s="207"/>
      <c r="R792" s="207"/>
      <c r="S792" s="208"/>
      <c r="T792" s="208"/>
      <c r="U792" s="208"/>
      <c r="V792" s="207"/>
      <c r="W792" s="207"/>
      <c r="X792" s="207"/>
    </row>
    <row r="793" spans="16:24" customFormat="1" x14ac:dyDescent="0.3">
      <c r="P793" s="207"/>
      <c r="Q793" s="207"/>
      <c r="R793" s="207"/>
      <c r="S793" s="208"/>
      <c r="T793" s="208"/>
      <c r="U793" s="208"/>
      <c r="V793" s="207"/>
      <c r="W793" s="207"/>
      <c r="X793" s="207"/>
    </row>
  </sheetData>
  <autoFilter ref="A17:BX117" xr:uid="{00000000-0009-0000-0000-00000B000000}"/>
  <mergeCells count="42">
    <mergeCell ref="E2:E3"/>
    <mergeCell ref="E4:E6"/>
    <mergeCell ref="E8:E13"/>
    <mergeCell ref="H6:I6"/>
    <mergeCell ref="J6:K6"/>
    <mergeCell ref="F4:G4"/>
    <mergeCell ref="H4:I4"/>
    <mergeCell ref="J4:K4"/>
    <mergeCell ref="G9:K9"/>
    <mergeCell ref="L4:M4"/>
    <mergeCell ref="N4:O4"/>
    <mergeCell ref="F5:G5"/>
    <mergeCell ref="H5:I5"/>
    <mergeCell ref="J5:K5"/>
    <mergeCell ref="L5:M5"/>
    <mergeCell ref="N5:O5"/>
    <mergeCell ref="I16:J16"/>
    <mergeCell ref="G16:H16"/>
    <mergeCell ref="AP6:AR6"/>
    <mergeCell ref="AF16:AG16"/>
    <mergeCell ref="S16:U16"/>
    <mergeCell ref="V16:X16"/>
    <mergeCell ref="AL6:AN6"/>
    <mergeCell ref="L6:M6"/>
    <mergeCell ref="K16:O16"/>
    <mergeCell ref="N6:O6"/>
    <mergeCell ref="F6:G6"/>
    <mergeCell ref="A16:F16"/>
    <mergeCell ref="AA16:AE16"/>
    <mergeCell ref="Y16:Z16"/>
    <mergeCell ref="AH16:AI16"/>
    <mergeCell ref="P15:R15"/>
    <mergeCell ref="P16:R16"/>
    <mergeCell ref="V15:X15"/>
    <mergeCell ref="AK16:AQ16"/>
    <mergeCell ref="S15:U15"/>
    <mergeCell ref="BS16:BX16"/>
    <mergeCell ref="AR16:AS16"/>
    <mergeCell ref="AU16:BA16"/>
    <mergeCell ref="BB16:BH16"/>
    <mergeCell ref="BI16:BM16"/>
    <mergeCell ref="BN16:BR16"/>
  </mergeCells>
  <conditionalFormatting sqref="AR18:AS117">
    <cfRule type="cellIs" dxfId="62" priority="20" operator="equal">
      <formula>"Check Impact"</formula>
    </cfRule>
  </conditionalFormatting>
  <conditionalFormatting sqref="H18:H50 H52:H117">
    <cfRule type="expression" dxfId="61" priority="21" stopIfTrue="1">
      <formula>LEFT(H18,1)="H"</formula>
    </cfRule>
    <cfRule type="expression" dxfId="60" priority="22" stopIfTrue="1">
      <formula>LEFT(H18,1)="M"</formula>
    </cfRule>
    <cfRule type="expression" dxfId="59" priority="23" stopIfTrue="1">
      <formula>LEFT(H18,1)="L"</formula>
    </cfRule>
    <cfRule type="expression" dxfId="58" priority="24" stopIfTrue="1">
      <formula>LEFT(F18,3)="Cer"</formula>
    </cfRule>
  </conditionalFormatting>
  <conditionalFormatting sqref="J18:J50 J52:J117">
    <cfRule type="expression" dxfId="57" priority="25" stopIfTrue="1">
      <formula>LEFT(J18,1)="H"</formula>
    </cfRule>
    <cfRule type="expression" dxfId="56" priority="26" stopIfTrue="1">
      <formula>LEFT(J18,1)="M"</formula>
    </cfRule>
    <cfRule type="expression" dxfId="55" priority="27" stopIfTrue="1">
      <formula>LEFT(J18,1)="L"</formula>
    </cfRule>
    <cfRule type="expression" dxfId="54" priority="28" stopIfTrue="1">
      <formula>LEFT(F18,3)="Cer"</formula>
    </cfRule>
  </conditionalFormatting>
  <conditionalFormatting sqref="G10:K13">
    <cfRule type="expression" dxfId="53" priority="17" stopIfTrue="1">
      <formula>LEFT(G10,1)="H"</formula>
    </cfRule>
    <cfRule type="expression" dxfId="52" priority="18" stopIfTrue="1">
      <formula>LEFT(G10,1)="M"</formula>
    </cfRule>
    <cfRule type="expression" dxfId="51" priority="19" stopIfTrue="1">
      <formula>LEFT(G10,1)="L"</formula>
    </cfRule>
  </conditionalFormatting>
  <conditionalFormatting sqref="G9:K9">
    <cfRule type="expression" dxfId="50" priority="10" stopIfTrue="1">
      <formula>LEFT(G9,1)="H"</formula>
    </cfRule>
    <cfRule type="expression" dxfId="49" priority="11" stopIfTrue="1">
      <formula>LEFT(G9,1)="M"</formula>
    </cfRule>
    <cfRule type="expression" dxfId="48" priority="12" stopIfTrue="1">
      <formula>LEFT(G9,1)="L"</formula>
    </cfRule>
  </conditionalFormatting>
  <conditionalFormatting sqref="G9">
    <cfRule type="expression" dxfId="47" priority="9" stopIfTrue="1">
      <formula>LEFT(F9,3)="Cer"</formula>
    </cfRule>
  </conditionalFormatting>
  <conditionalFormatting sqref="H51">
    <cfRule type="expression" dxfId="46" priority="1" stopIfTrue="1">
      <formula>LEFT(H51,1)="H"</formula>
    </cfRule>
    <cfRule type="expression" dxfId="45" priority="2" stopIfTrue="1">
      <formula>LEFT(H51,1)="M"</formula>
    </cfRule>
    <cfRule type="expression" dxfId="44" priority="3" stopIfTrue="1">
      <formula>LEFT(H51,1)="L"</formula>
    </cfRule>
    <cfRule type="expression" dxfId="43" priority="4" stopIfTrue="1">
      <formula>LEFT(F51,3)="Cer"</formula>
    </cfRule>
  </conditionalFormatting>
  <conditionalFormatting sqref="J51">
    <cfRule type="expression" dxfId="42" priority="5" stopIfTrue="1">
      <formula>LEFT(J51,1)="H"</formula>
    </cfRule>
    <cfRule type="expression" dxfId="41" priority="6" stopIfTrue="1">
      <formula>LEFT(J51,1)="M"</formula>
    </cfRule>
    <cfRule type="expression" dxfId="40" priority="7" stopIfTrue="1">
      <formula>LEFT(J51,1)="L"</formula>
    </cfRule>
    <cfRule type="expression" dxfId="39" priority="8" stopIfTrue="1">
      <formula>LEFT(F51,3)="Cer"</formula>
    </cfRule>
  </conditionalFormatting>
  <dataValidations count="7">
    <dataValidation type="list" showInputMessage="1" showErrorMessage="1" sqref="B18:B117" xr:uid="{00000000-0002-0000-0B00-000000000000}">
      <formula1>RT</formula1>
    </dataValidation>
    <dataValidation type="list" allowBlank="1" showInputMessage="1" showErrorMessage="1" sqref="K18:L117" xr:uid="{00000000-0002-0000-0B00-000001000000}">
      <formula1>Distri</formula1>
    </dataValidation>
    <dataValidation type="list" allowBlank="1" showInputMessage="1" showErrorMessage="1" sqref="G18:G117 I18:I117" xr:uid="{00000000-0002-0000-0B00-000002000000}">
      <formula1>Impact</formula1>
    </dataValidation>
    <dataValidation type="list" allowBlank="1" showInputMessage="1" showErrorMessage="1" sqref="F18:F117" xr:uid="{00000000-0002-0000-0B00-000003000000}">
      <formula1>LikeH</formula1>
    </dataValidation>
    <dataValidation type="list" allowBlank="1" showInputMessage="1" showErrorMessage="1" sqref="O18:O117" xr:uid="{00000000-0002-0000-0B00-000004000000}">
      <formula1>APC</formula1>
    </dataValidation>
    <dataValidation type="list" allowBlank="1" showInputMessage="1" showErrorMessage="1" sqref="N18:N117" xr:uid="{00000000-0002-0000-0B00-000005000000}">
      <formula1>POC</formula1>
    </dataValidation>
    <dataValidation allowBlank="1" showInputMessage="1" showErrorMessage="1" prompt="See &quot;1-Drop Down List&quot; for source of information which can be adjusted &amp; edited." sqref="K17:L17 N17:O17" xr:uid="{00000000-0002-0000-0B00-000006000000}"/>
  </dataValidations>
  <pageMargins left="0.25" right="0.25" top="0.25" bottom="0.5" header="0.25" footer="0.25"/>
  <pageSetup paperSize="3" scale="57" fitToHeight="0" orientation="landscape" horizontalDpi="1200" verticalDpi="1200" r:id="rId1"/>
  <headerFooter>
    <oddFooter>&amp;CPage &amp;P of &amp;N</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50"/>
  <sheetViews>
    <sheetView showGridLines="0" zoomScaleNormal="100" workbookViewId="0">
      <pane ySplit="2" topLeftCell="A3" activePane="bottomLeft" state="frozen"/>
      <selection pane="bottomLeft" activeCell="A3" sqref="A3"/>
    </sheetView>
  </sheetViews>
  <sheetFormatPr defaultRowHeight="14.4" x14ac:dyDescent="0.3"/>
  <cols>
    <col min="1" max="1" width="16.5546875" style="8" customWidth="1"/>
    <col min="2" max="2" width="33.5546875" style="8" customWidth="1"/>
    <col min="3" max="3" width="18.5546875" style="8" customWidth="1"/>
    <col min="4" max="4" width="31.88671875" style="8" customWidth="1"/>
  </cols>
  <sheetData>
    <row r="1" spans="1:4" s="39" customFormat="1" ht="21" x14ac:dyDescent="0.4">
      <c r="A1" s="918" t="s">
        <v>701</v>
      </c>
      <c r="B1" s="918"/>
      <c r="C1" s="918"/>
      <c r="D1" s="918"/>
    </row>
    <row r="2" spans="1:4" x14ac:dyDescent="0.3">
      <c r="A2" s="110"/>
      <c r="B2" s="109"/>
      <c r="C2" s="102"/>
      <c r="D2" s="111"/>
    </row>
    <row r="3" spans="1:4" x14ac:dyDescent="0.3">
      <c r="A3" s="116" t="s">
        <v>700</v>
      </c>
      <c r="B3" s="115" t="s">
        <v>644</v>
      </c>
      <c r="C3" s="102"/>
      <c r="D3" s="108"/>
    </row>
    <row r="4" spans="1:4" x14ac:dyDescent="0.3">
      <c r="A4" s="102"/>
      <c r="B4" s="102"/>
      <c r="C4" s="102"/>
      <c r="D4" s="102"/>
    </row>
    <row r="5" spans="1:4" ht="18" x14ac:dyDescent="0.3">
      <c r="A5" s="916" t="s">
        <v>699</v>
      </c>
      <c r="B5" s="916"/>
      <c r="C5" s="916"/>
      <c r="D5" s="916"/>
    </row>
    <row r="6" spans="1:4" ht="5.0999999999999996" customHeight="1" x14ac:dyDescent="0.3">
      <c r="A6" s="102"/>
      <c r="B6" s="102"/>
      <c r="C6" s="102"/>
      <c r="D6" s="102"/>
    </row>
    <row r="7" spans="1:4" x14ac:dyDescent="0.3">
      <c r="A7" s="102"/>
      <c r="B7" s="102"/>
      <c r="C7" s="104" t="s">
        <v>639</v>
      </c>
      <c r="D7" s="107" t="s">
        <v>644</v>
      </c>
    </row>
    <row r="8" spans="1:4" ht="5.0999999999999996" customHeight="1" x14ac:dyDescent="0.3">
      <c r="A8" s="102"/>
      <c r="B8" s="102"/>
      <c r="C8" s="102"/>
      <c r="D8" s="102"/>
    </row>
    <row r="9" spans="1:4" x14ac:dyDescent="0.3">
      <c r="A9" s="750" t="s">
        <v>696</v>
      </c>
      <c r="B9" s="751" t="s">
        <v>695</v>
      </c>
      <c r="C9" s="751" t="s">
        <v>694</v>
      </c>
      <c r="D9" s="752" t="s">
        <v>693</v>
      </c>
    </row>
    <row r="10" spans="1:4" ht="28.8" x14ac:dyDescent="0.3">
      <c r="A10" s="753" t="s">
        <v>1228</v>
      </c>
      <c r="B10" s="11" t="s">
        <v>644</v>
      </c>
      <c r="C10" s="753" t="s">
        <v>644</v>
      </c>
      <c r="D10" s="11" t="s">
        <v>644</v>
      </c>
    </row>
    <row r="11" spans="1:4" x14ac:dyDescent="0.3">
      <c r="A11" s="753"/>
      <c r="B11" s="11"/>
      <c r="C11" s="753"/>
      <c r="D11" s="11"/>
    </row>
    <row r="12" spans="1:4" x14ac:dyDescent="0.3">
      <c r="A12" s="753"/>
      <c r="B12" s="11"/>
      <c r="C12" s="753"/>
      <c r="D12" s="11"/>
    </row>
    <row r="13" spans="1:4" x14ac:dyDescent="0.3">
      <c r="A13" s="753"/>
      <c r="B13" s="11"/>
      <c r="C13" s="753"/>
      <c r="D13" s="11"/>
    </row>
    <row r="14" spans="1:4" x14ac:dyDescent="0.3">
      <c r="A14" s="753"/>
      <c r="B14" s="11"/>
      <c r="C14" s="753"/>
      <c r="D14" s="11"/>
    </row>
    <row r="15" spans="1:4" x14ac:dyDescent="0.3">
      <c r="A15" s="753"/>
      <c r="B15" s="11"/>
      <c r="C15" s="753"/>
      <c r="D15" s="11"/>
    </row>
    <row r="16" spans="1:4" x14ac:dyDescent="0.3">
      <c r="A16" s="753"/>
      <c r="B16" s="11"/>
      <c r="C16" s="753"/>
      <c r="D16" s="11"/>
    </row>
    <row r="17" spans="1:4" x14ac:dyDescent="0.3">
      <c r="A17" s="753"/>
      <c r="B17" s="11"/>
      <c r="C17" s="753"/>
      <c r="D17" s="11"/>
    </row>
    <row r="18" spans="1:4" x14ac:dyDescent="0.3">
      <c r="A18" s="753"/>
      <c r="B18" s="11"/>
      <c r="C18" s="753"/>
      <c r="D18" s="11"/>
    </row>
    <row r="19" spans="1:4" x14ac:dyDescent="0.3">
      <c r="A19" s="753"/>
      <c r="B19" s="11"/>
      <c r="C19" s="753"/>
      <c r="D19" s="11"/>
    </row>
    <row r="20" spans="1:4" x14ac:dyDescent="0.3">
      <c r="A20" s="753"/>
      <c r="B20" s="11"/>
      <c r="C20" s="753"/>
      <c r="D20" s="11"/>
    </row>
    <row r="21" spans="1:4" x14ac:dyDescent="0.3">
      <c r="A21" s="753"/>
      <c r="B21" s="11"/>
      <c r="C21" s="753"/>
      <c r="D21" s="11"/>
    </row>
    <row r="22" spans="1:4" x14ac:dyDescent="0.3">
      <c r="A22" s="753"/>
      <c r="B22" s="11"/>
      <c r="C22" s="753"/>
      <c r="D22" s="11"/>
    </row>
    <row r="23" spans="1:4" x14ac:dyDescent="0.3">
      <c r="A23" s="753"/>
      <c r="B23" s="11"/>
      <c r="C23" s="753"/>
      <c r="D23" s="11"/>
    </row>
    <row r="24" spans="1:4" x14ac:dyDescent="0.3">
      <c r="A24" s="753"/>
      <c r="B24" s="11"/>
      <c r="C24" s="753"/>
      <c r="D24" s="11"/>
    </row>
    <row r="25" spans="1:4" x14ac:dyDescent="0.3">
      <c r="A25" s="753"/>
      <c r="B25" s="11"/>
      <c r="C25" s="753"/>
      <c r="D25" s="11"/>
    </row>
    <row r="26" spans="1:4" x14ac:dyDescent="0.3">
      <c r="A26" s="753"/>
      <c r="B26" s="11"/>
      <c r="C26" s="753"/>
      <c r="D26" s="11"/>
    </row>
    <row r="27" spans="1:4" x14ac:dyDescent="0.3">
      <c r="A27" s="753"/>
      <c r="B27" s="11"/>
      <c r="C27" s="753"/>
      <c r="D27" s="11"/>
    </row>
    <row r="28" spans="1:4" x14ac:dyDescent="0.3">
      <c r="A28" s="753"/>
      <c r="B28" s="11"/>
      <c r="C28" s="753"/>
      <c r="D28" s="11"/>
    </row>
    <row r="29" spans="1:4" x14ac:dyDescent="0.3">
      <c r="A29" s="753"/>
      <c r="B29" s="11"/>
      <c r="C29" s="753"/>
      <c r="D29" s="11"/>
    </row>
    <row r="30" spans="1:4" x14ac:dyDescent="0.3">
      <c r="A30" s="753"/>
      <c r="B30" s="11"/>
      <c r="C30" s="753"/>
      <c r="D30" s="11"/>
    </row>
    <row r="31" spans="1:4" x14ac:dyDescent="0.3">
      <c r="A31" s="753"/>
      <c r="B31" s="11"/>
      <c r="C31" s="753"/>
      <c r="D31" s="11"/>
    </row>
    <row r="32" spans="1:4" x14ac:dyDescent="0.3">
      <c r="A32" s="753"/>
      <c r="B32" s="11"/>
      <c r="C32" s="753"/>
      <c r="D32" s="11"/>
    </row>
    <row r="33" spans="1:4" x14ac:dyDescent="0.3">
      <c r="A33" s="753"/>
      <c r="B33" s="11"/>
      <c r="C33" s="753"/>
      <c r="D33" s="11"/>
    </row>
    <row r="34" spans="1:4" x14ac:dyDescent="0.3">
      <c r="A34" s="753"/>
      <c r="B34" s="11"/>
      <c r="C34" s="753"/>
      <c r="D34" s="11"/>
    </row>
    <row r="35" spans="1:4" x14ac:dyDescent="0.3">
      <c r="A35" s="105"/>
      <c r="B35" s="105"/>
      <c r="C35" s="106"/>
      <c r="D35" s="105"/>
    </row>
    <row r="36" spans="1:4" ht="18" x14ac:dyDescent="0.3">
      <c r="A36" s="917" t="s">
        <v>692</v>
      </c>
      <c r="B36" s="917"/>
      <c r="C36" s="917"/>
      <c r="D36" s="917"/>
    </row>
    <row r="37" spans="1:4" x14ac:dyDescent="0.3">
      <c r="A37" s="102"/>
      <c r="B37" s="102"/>
      <c r="C37" s="102"/>
      <c r="D37" s="102"/>
    </row>
    <row r="38" spans="1:4" x14ac:dyDescent="0.3">
      <c r="A38" s="104" t="s">
        <v>639</v>
      </c>
      <c r="B38" s="103" t="s">
        <v>644</v>
      </c>
      <c r="C38" s="9" t="s">
        <v>697</v>
      </c>
      <c r="D38" s="103" t="s">
        <v>644</v>
      </c>
    </row>
    <row r="39" spans="1:4" x14ac:dyDescent="0.3">
      <c r="A39" s="102"/>
      <c r="B39" s="102"/>
      <c r="C39" s="102"/>
      <c r="D39" s="102"/>
    </row>
    <row r="40" spans="1:4" x14ac:dyDescent="0.3">
      <c r="A40" s="750" t="s">
        <v>696</v>
      </c>
      <c r="B40" s="751" t="s">
        <v>695</v>
      </c>
      <c r="C40" s="751" t="s">
        <v>694</v>
      </c>
      <c r="D40" s="752" t="s">
        <v>693</v>
      </c>
    </row>
    <row r="41" spans="1:4" x14ac:dyDescent="0.3">
      <c r="A41" s="753"/>
      <c r="B41" s="11"/>
      <c r="C41" s="753"/>
      <c r="D41" s="11"/>
    </row>
    <row r="42" spans="1:4" x14ac:dyDescent="0.3">
      <c r="A42" s="753"/>
      <c r="B42" s="11"/>
      <c r="C42" s="753"/>
      <c r="D42" s="11"/>
    </row>
    <row r="43" spans="1:4" x14ac:dyDescent="0.3">
      <c r="A43" s="753"/>
      <c r="B43" s="11"/>
      <c r="C43" s="753"/>
      <c r="D43" s="11"/>
    </row>
    <row r="44" spans="1:4" x14ac:dyDescent="0.3">
      <c r="A44" s="753"/>
      <c r="B44" s="754"/>
      <c r="C44" s="755"/>
      <c r="D44" s="11"/>
    </row>
    <row r="45" spans="1:4" x14ac:dyDescent="0.3">
      <c r="A45" s="753"/>
      <c r="B45" s="754"/>
      <c r="C45" s="755"/>
      <c r="D45" s="11"/>
    </row>
    <row r="46" spans="1:4" x14ac:dyDescent="0.3">
      <c r="A46" s="753"/>
      <c r="B46" s="754"/>
      <c r="C46" s="755"/>
      <c r="D46" s="11"/>
    </row>
    <row r="47" spans="1:4" x14ac:dyDescent="0.3">
      <c r="A47" s="753"/>
      <c r="B47" s="754"/>
      <c r="C47" s="755"/>
      <c r="D47" s="11"/>
    </row>
    <row r="48" spans="1:4" x14ac:dyDescent="0.3">
      <c r="A48" s="753"/>
      <c r="B48" s="754"/>
      <c r="C48" s="755"/>
      <c r="D48" s="11"/>
    </row>
    <row r="49" spans="1:4" x14ac:dyDescent="0.3">
      <c r="A49" s="753"/>
      <c r="B49" s="754"/>
      <c r="C49" s="755"/>
      <c r="D49" s="11"/>
    </row>
    <row r="50" spans="1:4" x14ac:dyDescent="0.3">
      <c r="A50" s="753"/>
      <c r="B50" s="754"/>
      <c r="C50" s="755"/>
      <c r="D50" s="11"/>
    </row>
  </sheetData>
  <mergeCells count="3">
    <mergeCell ref="A5:D5"/>
    <mergeCell ref="A36:D36"/>
    <mergeCell ref="A1:D1"/>
  </mergeCells>
  <pageMargins left="0.25" right="0.25" top="0.25" bottom="0.5" header="0.25" footer="0.25"/>
  <pageSetup fitToHeight="0" orientation="portrait" horizontalDpi="1200" verticalDpi="1200" r:id="rId1"/>
  <headerFooter>
    <oddFooter>&amp;CPage &amp;P of &amp;N</oddFooter>
  </headerFooter>
  <rowBreaks count="1" manualBreakCount="1">
    <brk id="50" max="16383" man="1"/>
  </rowBreaks>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N78"/>
  <sheetViews>
    <sheetView showGridLines="0" zoomScaleNormal="100" workbookViewId="0">
      <pane ySplit="2" topLeftCell="A3" activePane="bottomLeft" state="frozen"/>
      <selection pane="bottomLeft" activeCell="A3" sqref="A3"/>
    </sheetView>
  </sheetViews>
  <sheetFormatPr defaultRowHeight="14.4" x14ac:dyDescent="0.3"/>
  <cols>
    <col min="1" max="1" width="2.5546875" style="8" customWidth="1"/>
    <col min="2" max="4" width="18.88671875" style="8" customWidth="1"/>
    <col min="5" max="5" width="1.5546875" style="8" customWidth="1"/>
    <col min="6" max="10" width="18.88671875" style="8" customWidth="1"/>
    <col min="11" max="11" width="1.5546875" style="8" customWidth="1"/>
    <col min="12" max="12" width="2.5546875" style="8" customWidth="1"/>
    <col min="13" max="14" width="20.88671875" style="8" customWidth="1"/>
  </cols>
  <sheetData>
    <row r="1" spans="1:14" s="39" customFormat="1" ht="21" x14ac:dyDescent="0.4">
      <c r="A1" s="112"/>
      <c r="B1" s="958" t="s">
        <v>1336</v>
      </c>
      <c r="C1" s="958"/>
      <c r="D1" s="958"/>
      <c r="E1" s="958"/>
      <c r="F1" s="958"/>
      <c r="G1" s="958"/>
      <c r="H1" s="958"/>
      <c r="I1" s="958"/>
      <c r="J1" s="958"/>
      <c r="K1" s="958"/>
      <c r="L1" s="112"/>
      <c r="M1" s="112"/>
      <c r="N1" s="112"/>
    </row>
    <row r="3" spans="1:14" ht="18" x14ac:dyDescent="0.3">
      <c r="B3" s="959" t="s">
        <v>732</v>
      </c>
      <c r="C3" s="959"/>
      <c r="D3" s="959"/>
      <c r="E3" s="959"/>
      <c r="F3" s="959"/>
      <c r="G3" s="959"/>
      <c r="H3" s="959"/>
      <c r="I3" s="959"/>
      <c r="J3" s="959"/>
      <c r="K3" s="959"/>
    </row>
    <row r="4" spans="1:14" x14ac:dyDescent="0.3">
      <c r="B4" s="960" t="s">
        <v>731</v>
      </c>
      <c r="C4" s="961"/>
      <c r="D4" s="102"/>
      <c r="E4" s="102"/>
      <c r="F4" s="102"/>
      <c r="G4" s="102"/>
      <c r="H4" s="102"/>
      <c r="I4" s="102"/>
      <c r="J4" s="102"/>
      <c r="K4" s="117"/>
    </row>
    <row r="5" spans="1:14" ht="18.600000000000001" thickBot="1" x14ac:dyDescent="0.35">
      <c r="B5" s="960"/>
      <c r="C5" s="961"/>
      <c r="D5" s="102"/>
      <c r="E5" s="102"/>
      <c r="F5" s="968" t="s">
        <v>721</v>
      </c>
      <c r="G5" s="968"/>
      <c r="H5" s="968"/>
      <c r="I5" s="968"/>
      <c r="J5" s="968"/>
      <c r="K5" s="117"/>
    </row>
    <row r="6" spans="1:14" ht="15.6" thickTop="1" thickBot="1" x14ac:dyDescent="0.35">
      <c r="B6" s="960"/>
      <c r="C6" s="961"/>
      <c r="D6" s="102"/>
      <c r="E6" s="102"/>
      <c r="F6" s="118" t="s">
        <v>730</v>
      </c>
      <c r="G6" s="118" t="s">
        <v>729</v>
      </c>
      <c r="H6" s="83" t="s">
        <v>728</v>
      </c>
      <c r="I6" s="118" t="s">
        <v>727</v>
      </c>
      <c r="J6" s="118" t="s">
        <v>726</v>
      </c>
      <c r="K6" s="117"/>
    </row>
    <row r="7" spans="1:14" x14ac:dyDescent="0.3">
      <c r="B7" s="960"/>
      <c r="C7" s="961"/>
      <c r="D7" s="119" t="s">
        <v>716</v>
      </c>
      <c r="E7" s="119"/>
      <c r="F7" s="913" t="s">
        <v>725</v>
      </c>
      <c r="G7" s="914"/>
      <c r="H7" s="914"/>
      <c r="I7" s="914"/>
      <c r="J7" s="915"/>
      <c r="K7" s="117"/>
    </row>
    <row r="8" spans="1:14" x14ac:dyDescent="0.3">
      <c r="B8" s="960"/>
      <c r="C8" s="961"/>
      <c r="D8" s="119" t="s">
        <v>715</v>
      </c>
      <c r="E8" s="119"/>
      <c r="F8" s="527" t="s">
        <v>723</v>
      </c>
      <c r="G8" s="347" t="s">
        <v>722</v>
      </c>
      <c r="H8" s="347" t="s">
        <v>724</v>
      </c>
      <c r="I8" s="347" t="s">
        <v>724</v>
      </c>
      <c r="J8" s="528" t="s">
        <v>724</v>
      </c>
      <c r="K8" s="117"/>
    </row>
    <row r="9" spans="1:14" x14ac:dyDescent="0.3">
      <c r="B9" s="960"/>
      <c r="C9" s="961"/>
      <c r="D9" s="119" t="s">
        <v>714</v>
      </c>
      <c r="E9" s="119"/>
      <c r="F9" s="527" t="s">
        <v>723</v>
      </c>
      <c r="G9" s="347" t="s">
        <v>722</v>
      </c>
      <c r="H9" s="347" t="s">
        <v>722</v>
      </c>
      <c r="I9" s="347" t="s">
        <v>724</v>
      </c>
      <c r="J9" s="528" t="s">
        <v>724</v>
      </c>
      <c r="K9" s="117"/>
    </row>
    <row r="10" spans="1:14" x14ac:dyDescent="0.3">
      <c r="B10" s="960"/>
      <c r="C10" s="961"/>
      <c r="D10" s="119" t="s">
        <v>713</v>
      </c>
      <c r="E10" s="119"/>
      <c r="F10" s="527" t="s">
        <v>723</v>
      </c>
      <c r="G10" s="347" t="s">
        <v>723</v>
      </c>
      <c r="H10" s="347" t="s">
        <v>722</v>
      </c>
      <c r="I10" s="347" t="s">
        <v>722</v>
      </c>
      <c r="J10" s="528" t="s">
        <v>724</v>
      </c>
      <c r="K10" s="117"/>
    </row>
    <row r="11" spans="1:14" ht="15" thickBot="1" x14ac:dyDescent="0.35">
      <c r="B11" s="960"/>
      <c r="C11" s="961"/>
      <c r="D11" s="119" t="s">
        <v>712</v>
      </c>
      <c r="E11" s="119"/>
      <c r="F11" s="529" t="s">
        <v>723</v>
      </c>
      <c r="G11" s="518" t="s">
        <v>723</v>
      </c>
      <c r="H11" s="518" t="s">
        <v>723</v>
      </c>
      <c r="I11" s="518" t="s">
        <v>722</v>
      </c>
      <c r="J11" s="525" t="s">
        <v>722</v>
      </c>
      <c r="K11" s="117"/>
    </row>
    <row r="12" spans="1:14" x14ac:dyDescent="0.3">
      <c r="B12" s="960"/>
      <c r="C12" s="961"/>
      <c r="D12" s="120"/>
      <c r="E12" s="120"/>
      <c r="F12" s="120"/>
      <c r="G12" s="120"/>
      <c r="H12" s="120"/>
      <c r="I12" s="120"/>
      <c r="J12" s="120"/>
      <c r="K12" s="121"/>
    </row>
    <row r="13" spans="1:14" ht="15" thickBot="1" x14ac:dyDescent="0.35"/>
    <row r="14" spans="1:14" ht="18.600000000000001" thickBot="1" x14ac:dyDescent="0.35">
      <c r="B14" s="919" t="s">
        <v>740</v>
      </c>
      <c r="C14" s="920"/>
      <c r="D14" s="920"/>
      <c r="E14" s="920"/>
      <c r="F14" s="920"/>
      <c r="G14" s="920"/>
      <c r="H14" s="920"/>
      <c r="I14" s="920"/>
      <c r="J14" s="920"/>
      <c r="K14" s="921"/>
    </row>
    <row r="15" spans="1:14" ht="15" thickBot="1" x14ac:dyDescent="0.35">
      <c r="B15" s="136"/>
      <c r="C15" s="136"/>
      <c r="D15" s="136"/>
      <c r="K15" s="123"/>
    </row>
    <row r="16" spans="1:14" ht="14.4" customHeight="1" x14ac:dyDescent="0.3">
      <c r="B16" s="962" t="s">
        <v>719</v>
      </c>
      <c r="C16" s="964" t="s">
        <v>734</v>
      </c>
      <c r="D16" s="966" t="s">
        <v>735</v>
      </c>
      <c r="I16" s="943" t="s">
        <v>718</v>
      </c>
      <c r="J16" s="944"/>
      <c r="K16" s="945"/>
    </row>
    <row r="17" spans="1:11" ht="15" thickBot="1" x14ac:dyDescent="0.35">
      <c r="B17" s="963"/>
      <c r="C17" s="965"/>
      <c r="D17" s="967"/>
      <c r="I17" s="946"/>
      <c r="J17" s="947"/>
      <c r="K17" s="948"/>
    </row>
    <row r="18" spans="1:11" x14ac:dyDescent="0.3">
      <c r="B18" s="708" t="str">
        <f>'1-Drop Down List'!D5</f>
        <v>Certain</v>
      </c>
      <c r="C18" s="728">
        <v>0.9</v>
      </c>
      <c r="D18" s="729">
        <v>1</v>
      </c>
      <c r="I18" s="946"/>
      <c r="J18" s="947"/>
      <c r="K18" s="948"/>
    </row>
    <row r="19" spans="1:11" x14ac:dyDescent="0.3">
      <c r="B19" s="711" t="str">
        <f>'1-Drop Down List'!D6</f>
        <v>Very Likely</v>
      </c>
      <c r="C19" s="730">
        <v>0.7</v>
      </c>
      <c r="D19" s="731">
        <v>0.9</v>
      </c>
      <c r="I19" s="946"/>
      <c r="J19" s="947"/>
      <c r="K19" s="948"/>
    </row>
    <row r="20" spans="1:11" x14ac:dyDescent="0.3">
      <c r="B20" s="714" t="str">
        <f>'1-Drop Down List'!D7</f>
        <v>Likely</v>
      </c>
      <c r="C20" s="732">
        <v>0.3</v>
      </c>
      <c r="D20" s="733">
        <v>0.7</v>
      </c>
      <c r="I20" s="946"/>
      <c r="J20" s="947"/>
      <c r="K20" s="948"/>
    </row>
    <row r="21" spans="1:11" x14ac:dyDescent="0.3">
      <c r="A21" s="124"/>
      <c r="B21" s="711" t="str">
        <f>'1-Drop Down List'!D8</f>
        <v>Possible</v>
      </c>
      <c r="C21" s="734">
        <v>0.05</v>
      </c>
      <c r="D21" s="731">
        <v>0.3</v>
      </c>
      <c r="I21" s="946"/>
      <c r="J21" s="947"/>
      <c r="K21" s="948"/>
    </row>
    <row r="22" spans="1:11" x14ac:dyDescent="0.3">
      <c r="A22" s="124"/>
      <c r="B22" s="714" t="str">
        <f>'1-Drop Down List'!D9</f>
        <v>Unlikely</v>
      </c>
      <c r="C22" s="732">
        <v>0</v>
      </c>
      <c r="D22" s="733">
        <v>0.05</v>
      </c>
      <c r="I22" s="946"/>
      <c r="J22" s="947"/>
      <c r="K22" s="948"/>
    </row>
    <row r="23" spans="1:11" ht="15" thickBot="1" x14ac:dyDescent="0.35">
      <c r="A23" s="124"/>
      <c r="B23" s="735" t="str">
        <f>'1-Drop Down List'!D10</f>
        <v>Unrated</v>
      </c>
      <c r="C23" s="941" t="s">
        <v>733</v>
      </c>
      <c r="D23" s="942"/>
      <c r="I23" s="949"/>
      <c r="J23" s="950"/>
      <c r="K23" s="951"/>
    </row>
    <row r="24" spans="1:11" ht="14.4" customHeight="1" thickBot="1" x14ac:dyDescent="0.35">
      <c r="A24" s="124"/>
      <c r="K24" s="123"/>
    </row>
    <row r="25" spans="1:11" ht="29.4" customHeight="1" thickBot="1" x14ac:dyDescent="0.35">
      <c r="B25" s="485" t="s">
        <v>711</v>
      </c>
      <c r="C25" s="881" t="s">
        <v>738</v>
      </c>
      <c r="D25" s="882"/>
      <c r="F25" s="880" t="s">
        <v>739</v>
      </c>
      <c r="G25" s="881"/>
      <c r="H25" s="881"/>
      <c r="I25" s="881"/>
      <c r="J25" s="881"/>
      <c r="K25" s="882"/>
    </row>
    <row r="26" spans="1:11" ht="14.4" customHeight="1" x14ac:dyDescent="0.3">
      <c r="B26" s="125" t="s">
        <v>716</v>
      </c>
      <c r="C26" s="978" t="str">
        <f>TEXT('G-Assumptions'!C18*100,0%)&amp;"% and "&amp;TEXT('G-Assumptions'!D18*100,0%)&amp;"%"</f>
        <v>90% and 100%</v>
      </c>
      <c r="D26" s="979"/>
      <c r="F26" s="952" t="str">
        <f>B18&amp;":  implies the event has a "&amp;TEXT('G-Assumptions'!C18*100,0%)&amp;"% to "&amp;TEXT('G-Assumptions'!D18*100,0%)&amp;"% chance of occurrence.  Relook at basis of estimate."</f>
        <v>Certain:  implies the event has a 90% to 100% chance of occurrence.  Relook at basis of estimate.</v>
      </c>
      <c r="G26" s="953"/>
      <c r="H26" s="953"/>
      <c r="I26" s="953"/>
      <c r="J26" s="953"/>
      <c r="K26" s="954"/>
    </row>
    <row r="27" spans="1:11" ht="14.4" customHeight="1" x14ac:dyDescent="0.3">
      <c r="B27" s="125" t="s">
        <v>715</v>
      </c>
      <c r="C27" s="978" t="str">
        <f>TEXT('G-Assumptions'!C19*100,0%)&amp;"% and "&amp;TEXT('G-Assumptions'!D19*100,0%)&amp;"%"</f>
        <v>70% and 90%</v>
      </c>
      <c r="D27" s="979"/>
      <c r="F27" s="952" t="str">
        <f>B19&amp;":  implies the event has a "&amp;TEXT('G-Assumptions'!C19*100,0%)&amp;"% to "&amp;TEXT('G-Assumptions'!D19*100,0%)&amp;"% chance of occurrence."</f>
        <v>Very Likely:  implies the event has a 70% to 90% chance of occurrence.</v>
      </c>
      <c r="G27" s="953"/>
      <c r="H27" s="953"/>
      <c r="I27" s="953"/>
      <c r="J27" s="953"/>
      <c r="K27" s="954"/>
    </row>
    <row r="28" spans="1:11" ht="14.4" customHeight="1" x14ac:dyDescent="0.3">
      <c r="B28" s="125" t="s">
        <v>714</v>
      </c>
      <c r="C28" s="978" t="str">
        <f>TEXT('G-Assumptions'!C20*100,0%)&amp;"% and "&amp;TEXT('G-Assumptions'!D20*100,0%)&amp;"%"</f>
        <v>30% and 70%</v>
      </c>
      <c r="D28" s="979"/>
      <c r="F28" s="952" t="str">
        <f>B20&amp;":  implies the event has a "&amp;TEXT('G-Assumptions'!C20*100,0%)&amp;"% to "&amp;TEXT('G-Assumptions'!D20*100,0%)&amp;"% chance of occurrence."</f>
        <v>Likely:  implies the event has a 30% to 70% chance of occurrence.</v>
      </c>
      <c r="G28" s="953"/>
      <c r="H28" s="953"/>
      <c r="I28" s="953"/>
      <c r="J28" s="953"/>
      <c r="K28" s="954"/>
    </row>
    <row r="29" spans="1:11" ht="14.4" customHeight="1" x14ac:dyDescent="0.3">
      <c r="B29" s="125" t="s">
        <v>713</v>
      </c>
      <c r="C29" s="978" t="str">
        <f>TEXT('G-Assumptions'!C21*100,0%)&amp;"% and "&amp;TEXT('G-Assumptions'!D21*100,0%)&amp;"%"</f>
        <v>5% and 30%</v>
      </c>
      <c r="D29" s="979"/>
      <c r="F29" s="952" t="str">
        <f>B21&amp;":  implies the event has a "&amp;TEXT('G-Assumptions'!C21*100,0%)&amp;"% to "&amp;TEXT('G-Assumptions'!D21*100,0%)&amp;"% chance of occurrence."</f>
        <v>Possible:  implies the event has a 5% to 30% chance of occurrence.</v>
      </c>
      <c r="G29" s="953"/>
      <c r="H29" s="953"/>
      <c r="I29" s="953"/>
      <c r="J29" s="953"/>
      <c r="K29" s="954"/>
    </row>
    <row r="30" spans="1:11" ht="15" customHeight="1" thickBot="1" x14ac:dyDescent="0.35">
      <c r="B30" s="126" t="s">
        <v>712</v>
      </c>
      <c r="C30" s="980" t="str">
        <f>TEXT('G-Assumptions'!C22*100,0%)&amp;"% and "&amp;TEXT('G-Assumptions'!D22*100,0%)&amp;"%"</f>
        <v>0% and 5%</v>
      </c>
      <c r="D30" s="981"/>
      <c r="E30" s="127"/>
      <c r="F30" s="955" t="str">
        <f>B22&amp;":  implies the event has a "&amp;TEXT('G-Assumptions'!C22*100,0%)&amp;"% to "&amp;TEXT('G-Assumptions'!D22*100,0%)&amp;"% chance of occurrence."</f>
        <v>Unlikely:  implies the event has a 0% to 5% chance of occurrence.</v>
      </c>
      <c r="G30" s="956"/>
      <c r="H30" s="956"/>
      <c r="I30" s="956"/>
      <c r="J30" s="956"/>
      <c r="K30" s="957"/>
    </row>
    <row r="31" spans="1:11" ht="15" thickBot="1" x14ac:dyDescent="0.35"/>
    <row r="32" spans="1:11" ht="18.600000000000001" thickBot="1" x14ac:dyDescent="0.35">
      <c r="B32" s="919" t="str">
        <f>F5</f>
        <v>Impact or Consequence of Occurrence</v>
      </c>
      <c r="C32" s="920"/>
      <c r="D32" s="920"/>
      <c r="E32" s="920"/>
      <c r="F32" s="920"/>
      <c r="G32" s="920"/>
      <c r="H32" s="920"/>
      <c r="I32" s="920"/>
      <c r="J32" s="920"/>
      <c r="K32" s="921"/>
    </row>
    <row r="33" spans="2:11" ht="14.4" customHeight="1" x14ac:dyDescent="0.3">
      <c r="B33" s="922" t="s">
        <v>717</v>
      </c>
      <c r="C33" s="923"/>
      <c r="D33" s="923"/>
      <c r="E33" s="923"/>
      <c r="F33" s="923"/>
      <c r="G33" s="923"/>
      <c r="H33" s="923"/>
      <c r="I33" s="923"/>
      <c r="J33" s="923"/>
      <c r="K33" s="924"/>
    </row>
    <row r="34" spans="2:11" ht="15" thickBot="1" x14ac:dyDescent="0.35">
      <c r="B34" s="925"/>
      <c r="C34" s="926"/>
      <c r="D34" s="926"/>
      <c r="E34" s="926"/>
      <c r="F34" s="926"/>
      <c r="G34" s="926"/>
      <c r="H34" s="926"/>
      <c r="I34" s="926"/>
      <c r="J34" s="926"/>
      <c r="K34" s="927"/>
    </row>
    <row r="35" spans="2:11" ht="15" thickBot="1" x14ac:dyDescent="0.35">
      <c r="E35" s="128"/>
    </row>
    <row r="36" spans="2:11" ht="14.4" customHeight="1" thickBot="1" x14ac:dyDescent="0.35">
      <c r="B36" s="938" t="s">
        <v>720</v>
      </c>
      <c r="C36" s="939"/>
      <c r="D36" s="940"/>
      <c r="I36" s="943" t="s">
        <v>718</v>
      </c>
      <c r="J36" s="944"/>
      <c r="K36" s="945"/>
    </row>
    <row r="37" spans="2:11" ht="29.4" thickBot="1" x14ac:dyDescent="0.35">
      <c r="B37" s="692" t="s">
        <v>719</v>
      </c>
      <c r="C37" s="736" t="s">
        <v>736</v>
      </c>
      <c r="D37" s="737" t="s">
        <v>737</v>
      </c>
      <c r="I37" s="946"/>
      <c r="J37" s="947"/>
      <c r="K37" s="948"/>
    </row>
    <row r="38" spans="2:11" x14ac:dyDescent="0.3">
      <c r="B38" s="708" t="str">
        <f>'1-Drop Down List'!E5</f>
        <v>Negligible</v>
      </c>
      <c r="C38" s="720">
        <v>0</v>
      </c>
      <c r="D38" s="721">
        <v>0</v>
      </c>
      <c r="I38" s="946"/>
      <c r="J38" s="947"/>
      <c r="K38" s="948"/>
    </row>
    <row r="39" spans="2:11" x14ac:dyDescent="0.3">
      <c r="B39" s="711" t="str">
        <f>'1-Drop Down List'!E6</f>
        <v>Marginal</v>
      </c>
      <c r="C39" s="722">
        <v>5.0000000000000001E-3</v>
      </c>
      <c r="D39" s="723">
        <v>0.01</v>
      </c>
      <c r="I39" s="946"/>
      <c r="J39" s="947"/>
      <c r="K39" s="948"/>
    </row>
    <row r="40" spans="2:11" x14ac:dyDescent="0.3">
      <c r="B40" s="714" t="str">
        <f>'1-Drop Down List'!E7</f>
        <v>Moderate</v>
      </c>
      <c r="C40" s="724">
        <v>0.01</v>
      </c>
      <c r="D40" s="725">
        <v>0.02</v>
      </c>
      <c r="I40" s="946"/>
      <c r="J40" s="947"/>
      <c r="K40" s="948"/>
    </row>
    <row r="41" spans="2:11" x14ac:dyDescent="0.3">
      <c r="B41" s="711" t="str">
        <f>'1-Drop Down List'!E8</f>
        <v>Significant</v>
      </c>
      <c r="C41" s="722">
        <v>2.5000000000000001E-2</v>
      </c>
      <c r="D41" s="723">
        <v>0.05</v>
      </c>
      <c r="I41" s="946"/>
      <c r="J41" s="947"/>
      <c r="K41" s="948"/>
    </row>
    <row r="42" spans="2:11" ht="15" thickBot="1" x14ac:dyDescent="0.35">
      <c r="B42" s="717" t="str">
        <f>'1-Drop Down List'!E9</f>
        <v>Critical</v>
      </c>
      <c r="C42" s="726">
        <v>0.05</v>
      </c>
      <c r="D42" s="727">
        <v>0.1</v>
      </c>
      <c r="I42" s="949"/>
      <c r="J42" s="950"/>
      <c r="K42" s="951"/>
    </row>
    <row r="43" spans="2:11" ht="15" thickBot="1" x14ac:dyDescent="0.35"/>
    <row r="44" spans="2:11" ht="18.600000000000001" thickBot="1" x14ac:dyDescent="0.35">
      <c r="B44" s="919" t="s">
        <v>741</v>
      </c>
      <c r="C44" s="920"/>
      <c r="D44" s="920"/>
      <c r="E44" s="920"/>
      <c r="F44" s="920"/>
      <c r="G44" s="920"/>
      <c r="H44" s="920"/>
      <c r="I44" s="920"/>
      <c r="J44" s="920"/>
      <c r="K44" s="921"/>
    </row>
    <row r="45" spans="2:11" ht="15" thickBot="1" x14ac:dyDescent="0.35"/>
    <row r="46" spans="2:11" ht="29.4" thickBot="1" x14ac:dyDescent="0.35">
      <c r="B46" s="485" t="s">
        <v>711</v>
      </c>
      <c r="C46" s="934" t="s">
        <v>743</v>
      </c>
      <c r="D46" s="935"/>
      <c r="F46" s="880" t="s">
        <v>739</v>
      </c>
      <c r="G46" s="881"/>
      <c r="H46" s="881"/>
      <c r="I46" s="881"/>
      <c r="J46" s="881"/>
      <c r="K46" s="882"/>
    </row>
    <row r="47" spans="2:11" ht="14.4" customHeight="1" x14ac:dyDescent="0.3">
      <c r="B47" s="125" t="str">
        <f>B38</f>
        <v>Negligible</v>
      </c>
      <c r="C47" s="982" t="str">
        <f>TEXT('G-Assumptions'!C38,"0.00%")&amp;" and "&amp;TEXT('G-Assumptions'!C39,"0.00%")</f>
        <v>0.00% and 0.50%</v>
      </c>
      <c r="D47" s="983"/>
      <c r="F47" s="931" t="str">
        <f>B38&amp;":  implies the event has a "&amp;TEXT(C38,"0.00%")&amp;" to "&amp;TEXT('G-Assumptions'!C39,"0.00%")&amp;" impact to project cost."</f>
        <v>Negligible:  implies the event has a 0.00% to 0.50% impact to project cost.</v>
      </c>
      <c r="G47" s="932"/>
      <c r="H47" s="932"/>
      <c r="I47" s="932"/>
      <c r="J47" s="932"/>
      <c r="K47" s="933"/>
    </row>
    <row r="48" spans="2:11" ht="14.4" customHeight="1" x14ac:dyDescent="0.3">
      <c r="B48" s="125" t="str">
        <f>B39</f>
        <v>Marginal</v>
      </c>
      <c r="C48" s="936" t="str">
        <f>TEXT('G-Assumptions'!C39,"0.00%")&amp;" and "&amp;TEXT('G-Assumptions'!C40,"0.00%")</f>
        <v>0.50% and 1.00%</v>
      </c>
      <c r="D48" s="937"/>
      <c r="F48" s="931" t="str">
        <f>B39&amp;":  implies the event has a "&amp;TEXT(C39,"0.00%")&amp;" to "&amp;TEXT('G-Assumptions'!C40,"0.00%")&amp;" impact to project cost."</f>
        <v>Marginal:  implies the event has a 0.50% to 1.00% impact to project cost.</v>
      </c>
      <c r="G48" s="932"/>
      <c r="H48" s="932"/>
      <c r="I48" s="932"/>
      <c r="J48" s="932"/>
      <c r="K48" s="933"/>
    </row>
    <row r="49" spans="2:11" ht="14.4" customHeight="1" x14ac:dyDescent="0.3">
      <c r="B49" s="125" t="str">
        <f>B40</f>
        <v>Moderate</v>
      </c>
      <c r="C49" s="936" t="str">
        <f>TEXT('G-Assumptions'!C40,"0.00%")&amp;" and "&amp;TEXT('G-Assumptions'!C41,"0.00%")</f>
        <v>1.00% and 2.50%</v>
      </c>
      <c r="D49" s="937"/>
      <c r="F49" s="931" t="str">
        <f>B40&amp;":  implies the event has a "&amp;TEXT(C40,"0.00%")&amp;" to "&amp;TEXT('G-Assumptions'!C41,"0.00%")&amp;" impact to project cost."</f>
        <v>Moderate:  implies the event has a 1.00% to 2.50% impact to project cost.</v>
      </c>
      <c r="G49" s="932"/>
      <c r="H49" s="932"/>
      <c r="I49" s="932"/>
      <c r="J49" s="932"/>
      <c r="K49" s="933"/>
    </row>
    <row r="50" spans="2:11" ht="14.4" customHeight="1" x14ac:dyDescent="0.3">
      <c r="B50" s="125" t="str">
        <f>B41</f>
        <v>Significant</v>
      </c>
      <c r="C50" s="936" t="str">
        <f>TEXT('G-Assumptions'!C41,"0.00%")&amp;" and "&amp;TEXT('G-Assumptions'!C42,"0.00%")</f>
        <v>2.50% and 5.00%</v>
      </c>
      <c r="D50" s="937"/>
      <c r="F50" s="931" t="str">
        <f>B41&amp;":  implies the event has a "&amp;TEXT(C41,"0.00%")&amp;" to "&amp;TEXT('G-Assumptions'!C42,"0.00%")&amp;" impact to project cost."</f>
        <v>Significant:  implies the event has a 2.50% to 5.00% impact to project cost.</v>
      </c>
      <c r="G50" s="932"/>
      <c r="H50" s="932"/>
      <c r="I50" s="932"/>
      <c r="J50" s="932"/>
      <c r="K50" s="933"/>
    </row>
    <row r="51" spans="2:11" ht="15" customHeight="1" thickBot="1" x14ac:dyDescent="0.35">
      <c r="B51" s="126" t="str">
        <f>B42</f>
        <v>Critical</v>
      </c>
      <c r="C51" s="976" t="str">
        <f>"Over "&amp;TEXT('G-Assumptions'!C42,"0.00%")</f>
        <v>Over 5.00%</v>
      </c>
      <c r="D51" s="977"/>
      <c r="F51" s="928" t="str">
        <f>B42&amp;":  implies the event has a greater than "&amp;TEXT(C42,"0.00%")&amp;" impact to project cost."</f>
        <v>Critical:  implies the event has a greater than 5.00% impact to project cost.</v>
      </c>
      <c r="G51" s="929"/>
      <c r="H51" s="929"/>
      <c r="I51" s="929"/>
      <c r="J51" s="929"/>
      <c r="K51" s="930"/>
    </row>
    <row r="52" spans="2:11" ht="15" thickBot="1" x14ac:dyDescent="0.35"/>
    <row r="53" spans="2:11" ht="18.600000000000001" thickBot="1" x14ac:dyDescent="0.35">
      <c r="B53" s="919" t="s">
        <v>742</v>
      </c>
      <c r="C53" s="920"/>
      <c r="D53" s="920"/>
      <c r="E53" s="920"/>
      <c r="F53" s="920"/>
      <c r="G53" s="920"/>
      <c r="H53" s="920"/>
      <c r="I53" s="920"/>
      <c r="J53" s="920"/>
      <c r="K53" s="921"/>
    </row>
    <row r="54" spans="2:11" ht="15" thickBot="1" x14ac:dyDescent="0.35"/>
    <row r="55" spans="2:11" ht="29.4" thickBot="1" x14ac:dyDescent="0.35">
      <c r="B55" s="485" t="s">
        <v>711</v>
      </c>
      <c r="C55" s="934" t="s">
        <v>744</v>
      </c>
      <c r="D55" s="935"/>
      <c r="F55" s="880" t="s">
        <v>739</v>
      </c>
      <c r="G55" s="881"/>
      <c r="H55" s="881"/>
      <c r="I55" s="881"/>
      <c r="J55" s="881"/>
      <c r="K55" s="882"/>
    </row>
    <row r="56" spans="2:11" ht="14.4" customHeight="1" x14ac:dyDescent="0.3">
      <c r="B56" s="129" t="str">
        <f>B38</f>
        <v>Negligible</v>
      </c>
      <c r="C56" s="982" t="str">
        <f>TEXT('G-Assumptions'!D38,"0.00%")&amp;" and "&amp;TEXT('G-Assumptions'!D39,"0.00%")</f>
        <v>0.00% and 1.00%</v>
      </c>
      <c r="D56" s="983"/>
      <c r="F56" s="931" t="str">
        <f>B38&amp;":  implies the event has a "&amp;TEXT(D38,"0.00%")&amp;" to "&amp;TEXT('G-Assumptions'!D39,"0.00%")&amp;" impact to project schedule."</f>
        <v>Negligible:  implies the event has a 0.00% to 1.00% impact to project schedule.</v>
      </c>
      <c r="G56" s="932"/>
      <c r="H56" s="932"/>
      <c r="I56" s="932"/>
      <c r="J56" s="932"/>
      <c r="K56" s="933"/>
    </row>
    <row r="57" spans="2:11" ht="14.4" customHeight="1" x14ac:dyDescent="0.3">
      <c r="B57" s="125" t="str">
        <f>B39</f>
        <v>Marginal</v>
      </c>
      <c r="C57" s="936" t="str">
        <f>TEXT('G-Assumptions'!D39,"0.00%")&amp;" and "&amp;TEXT('G-Assumptions'!D40,"0.00%")</f>
        <v>1.00% and 2.00%</v>
      </c>
      <c r="D57" s="937"/>
      <c r="F57" s="931" t="str">
        <f>B39&amp;":  implies the event has a "&amp;TEXT(D39,"0.00%")&amp;" to "&amp;TEXT('G-Assumptions'!D40,"0.00%")&amp;" impact to project schedule."</f>
        <v>Marginal:  implies the event has a 1.00% to 2.00% impact to project schedule.</v>
      </c>
      <c r="G57" s="932"/>
      <c r="H57" s="932"/>
      <c r="I57" s="932"/>
      <c r="J57" s="932"/>
      <c r="K57" s="933"/>
    </row>
    <row r="58" spans="2:11" ht="14.4" customHeight="1" x14ac:dyDescent="0.3">
      <c r="B58" s="125" t="str">
        <f>B40</f>
        <v>Moderate</v>
      </c>
      <c r="C58" s="936" t="str">
        <f>TEXT('G-Assumptions'!D40,"0.00%")&amp;" and "&amp;TEXT('G-Assumptions'!D41,"0.00%")</f>
        <v>2.00% and 5.00%</v>
      </c>
      <c r="D58" s="937"/>
      <c r="F58" s="931" t="str">
        <f>B40&amp;":  implies the event has a "&amp;TEXT(D40,"0.00%")&amp;" to "&amp;TEXT('G-Assumptions'!D41,"0.00%")&amp;" impact to project schedule."</f>
        <v>Moderate:  implies the event has a 2.00% to 5.00% impact to project schedule.</v>
      </c>
      <c r="G58" s="932"/>
      <c r="H58" s="932"/>
      <c r="I58" s="932"/>
      <c r="J58" s="932"/>
      <c r="K58" s="933"/>
    </row>
    <row r="59" spans="2:11" ht="14.4" customHeight="1" x14ac:dyDescent="0.3">
      <c r="B59" s="125" t="str">
        <f>B41</f>
        <v>Significant</v>
      </c>
      <c r="C59" s="936" t="str">
        <f>TEXT('G-Assumptions'!D41,"0.00%")&amp;" and "&amp;TEXT('G-Assumptions'!D42,"0.00%")</f>
        <v>5.00% and 10.00%</v>
      </c>
      <c r="D59" s="937"/>
      <c r="F59" s="931" t="str">
        <f>B41&amp;":  implies the event has a "&amp;TEXT(D41,"0.00%")&amp;" to "&amp;TEXT('G-Assumptions'!D42,"0.00%")&amp;" impact to project schedule."</f>
        <v>Significant:  implies the event has a 5.00% to 10.00% impact to project schedule.</v>
      </c>
      <c r="G59" s="932"/>
      <c r="H59" s="932"/>
      <c r="I59" s="932"/>
      <c r="J59" s="932"/>
      <c r="K59" s="933"/>
    </row>
    <row r="60" spans="2:11" ht="15" customHeight="1" thickBot="1" x14ac:dyDescent="0.35">
      <c r="B60" s="126" t="str">
        <f>B42</f>
        <v>Critical</v>
      </c>
      <c r="C60" s="976" t="str">
        <f>"Over "&amp;TEXT('G-Assumptions'!D42,"0.00%")</f>
        <v>Over 10.00%</v>
      </c>
      <c r="D60" s="977"/>
      <c r="F60" s="928" t="str">
        <f>B42&amp;":  implies the event has a greater than "&amp;TEXT(D42,"0.00%")&amp;" impact to project schedule."</f>
        <v>Critical:  implies the event has a greater than 10.00% impact to project schedule.</v>
      </c>
      <c r="G60" s="929"/>
      <c r="H60" s="929"/>
      <c r="I60" s="929"/>
      <c r="J60" s="929"/>
      <c r="K60" s="930"/>
    </row>
    <row r="61" spans="2:11" ht="15" thickBot="1" x14ac:dyDescent="0.35"/>
    <row r="62" spans="2:11" ht="18.600000000000001" thickBot="1" x14ac:dyDescent="0.35">
      <c r="B62" s="919" t="s">
        <v>745</v>
      </c>
      <c r="C62" s="920"/>
      <c r="D62" s="920"/>
      <c r="E62" s="920"/>
      <c r="F62" s="920"/>
      <c r="G62" s="920"/>
      <c r="H62" s="920"/>
      <c r="I62" s="920"/>
      <c r="J62" s="920"/>
      <c r="K62" s="921"/>
    </row>
    <row r="63" spans="2:11" ht="15" thickBot="1" x14ac:dyDescent="0.35">
      <c r="F63" s="130"/>
      <c r="G63" s="130"/>
      <c r="H63" s="130"/>
      <c r="I63" s="130"/>
      <c r="J63" s="130"/>
    </row>
    <row r="64" spans="2:11" ht="15" thickBot="1" x14ac:dyDescent="0.35">
      <c r="F64" s="131"/>
      <c r="G64" s="962" t="s">
        <v>706</v>
      </c>
      <c r="H64" s="973"/>
      <c r="I64" s="974" t="s">
        <v>705</v>
      </c>
      <c r="J64" s="973"/>
    </row>
    <row r="65" spans="2:10" ht="15" thickBot="1" x14ac:dyDescent="0.35">
      <c r="B65" s="969" t="s">
        <v>707</v>
      </c>
      <c r="C65" s="969"/>
      <c r="F65" s="563" t="s">
        <v>710</v>
      </c>
      <c r="G65" s="563" t="s">
        <v>709</v>
      </c>
      <c r="H65" s="486" t="s">
        <v>708</v>
      </c>
      <c r="I65" s="564" t="s">
        <v>709</v>
      </c>
      <c r="J65" s="486" t="s">
        <v>708</v>
      </c>
    </row>
    <row r="66" spans="2:10" x14ac:dyDescent="0.3">
      <c r="B66" s="9" t="s">
        <v>671</v>
      </c>
      <c r="C66" s="9" t="s">
        <v>688</v>
      </c>
      <c r="F66" s="708" t="str">
        <f t="shared" ref="F66:G70" si="0">B38</f>
        <v>Negligible</v>
      </c>
      <c r="G66" s="738">
        <f t="shared" si="0"/>
        <v>0</v>
      </c>
      <c r="H66" s="721">
        <f>G67</f>
        <v>5.0000000000000001E-3</v>
      </c>
      <c r="I66" s="720">
        <f>D38</f>
        <v>0</v>
      </c>
      <c r="J66" s="721">
        <f>I67</f>
        <v>0.01</v>
      </c>
    </row>
    <row r="67" spans="2:10" x14ac:dyDescent="0.3">
      <c r="B67" s="132">
        <f>'E-Cost &amp; Schedule Summary'!D50</f>
        <v>28979098.489999998</v>
      </c>
      <c r="C67" s="133">
        <f>'E-Cost &amp; Schedule Summary'!C8</f>
        <v>64.971830985915489</v>
      </c>
      <c r="F67" s="711" t="str">
        <f t="shared" si="0"/>
        <v>Marginal</v>
      </c>
      <c r="G67" s="739">
        <f t="shared" si="0"/>
        <v>5.0000000000000001E-3</v>
      </c>
      <c r="H67" s="723">
        <f>G68</f>
        <v>0.01</v>
      </c>
      <c r="I67" s="722">
        <f>D39</f>
        <v>0.01</v>
      </c>
      <c r="J67" s="723">
        <f>I68</f>
        <v>0.02</v>
      </c>
    </row>
    <row r="68" spans="2:10" x14ac:dyDescent="0.3">
      <c r="B68" s="975" t="s">
        <v>746</v>
      </c>
      <c r="C68" s="975"/>
      <c r="F68" s="714" t="str">
        <f t="shared" si="0"/>
        <v>Moderate</v>
      </c>
      <c r="G68" s="740">
        <f t="shared" si="0"/>
        <v>0.01</v>
      </c>
      <c r="H68" s="725">
        <f>G69</f>
        <v>2.5000000000000001E-2</v>
      </c>
      <c r="I68" s="724">
        <f>D40</f>
        <v>0.02</v>
      </c>
      <c r="J68" s="725">
        <f>I69</f>
        <v>0.05</v>
      </c>
    </row>
    <row r="69" spans="2:10" x14ac:dyDescent="0.3">
      <c r="B69" s="134">
        <v>250000</v>
      </c>
      <c r="C69" s="135">
        <v>0.5</v>
      </c>
      <c r="F69" s="711" t="str">
        <f t="shared" si="0"/>
        <v>Significant</v>
      </c>
      <c r="G69" s="739">
        <f t="shared" si="0"/>
        <v>2.5000000000000001E-2</v>
      </c>
      <c r="H69" s="723">
        <f>G70</f>
        <v>0.05</v>
      </c>
      <c r="I69" s="722">
        <f>D41</f>
        <v>0.05</v>
      </c>
      <c r="J69" s="723">
        <f>I70</f>
        <v>0.1</v>
      </c>
    </row>
    <row r="70" spans="2:10" ht="15" thickBot="1" x14ac:dyDescent="0.35">
      <c r="F70" s="717" t="str">
        <f t="shared" si="0"/>
        <v>Critical</v>
      </c>
      <c r="G70" s="741">
        <f t="shared" si="0"/>
        <v>0.05</v>
      </c>
      <c r="H70" s="727">
        <v>1</v>
      </c>
      <c r="I70" s="726">
        <f>D42</f>
        <v>0.1</v>
      </c>
      <c r="J70" s="727">
        <v>1</v>
      </c>
    </row>
    <row r="71" spans="2:10" ht="15" thickBot="1" x14ac:dyDescent="0.35"/>
    <row r="72" spans="2:10" ht="15" thickBot="1" x14ac:dyDescent="0.35">
      <c r="G72" s="970" t="s">
        <v>706</v>
      </c>
      <c r="H72" s="971"/>
      <c r="I72" s="972" t="s">
        <v>705</v>
      </c>
      <c r="J72" s="972"/>
    </row>
    <row r="73" spans="2:10" ht="15" thickBot="1" x14ac:dyDescent="0.35">
      <c r="F73" s="563" t="str">
        <f t="shared" ref="F73:F78" si="1">F65</f>
        <v>Impact</v>
      </c>
      <c r="G73" s="563" t="s">
        <v>704</v>
      </c>
      <c r="H73" s="486" t="s">
        <v>703</v>
      </c>
      <c r="I73" s="564" t="s">
        <v>704</v>
      </c>
      <c r="J73" s="486" t="s">
        <v>703</v>
      </c>
    </row>
    <row r="74" spans="2:10" x14ac:dyDescent="0.3">
      <c r="F74" s="708" t="str">
        <f t="shared" si="1"/>
        <v>Negligible</v>
      </c>
      <c r="G74" s="742">
        <f t="shared" ref="G74:G77" si="2">CEILING($B$67*G66,$B$69)</f>
        <v>0</v>
      </c>
      <c r="H74" s="743">
        <f>G75</f>
        <v>250000</v>
      </c>
      <c r="I74" s="709">
        <f t="shared" ref="I74:I77" si="3">CEILING($C$67*I66,$C$69)</f>
        <v>0</v>
      </c>
      <c r="J74" s="710">
        <f>I75</f>
        <v>1</v>
      </c>
    </row>
    <row r="75" spans="2:10" x14ac:dyDescent="0.3">
      <c r="F75" s="711" t="str">
        <f t="shared" si="1"/>
        <v>Marginal</v>
      </c>
      <c r="G75" s="744">
        <f t="shared" si="2"/>
        <v>250000</v>
      </c>
      <c r="H75" s="745">
        <f t="shared" ref="H75:H77" si="4">G76</f>
        <v>500000</v>
      </c>
      <c r="I75" s="712">
        <f t="shared" si="3"/>
        <v>1</v>
      </c>
      <c r="J75" s="713">
        <f t="shared" ref="J75:J77" si="5">I76</f>
        <v>1.5</v>
      </c>
    </row>
    <row r="76" spans="2:10" x14ac:dyDescent="0.3">
      <c r="F76" s="714" t="str">
        <f t="shared" si="1"/>
        <v>Moderate</v>
      </c>
      <c r="G76" s="746">
        <f t="shared" si="2"/>
        <v>500000</v>
      </c>
      <c r="H76" s="747">
        <f t="shared" si="4"/>
        <v>750000</v>
      </c>
      <c r="I76" s="715">
        <f t="shared" si="3"/>
        <v>1.5</v>
      </c>
      <c r="J76" s="716">
        <f t="shared" si="5"/>
        <v>3.5</v>
      </c>
    </row>
    <row r="77" spans="2:10" x14ac:dyDescent="0.3">
      <c r="F77" s="711" t="str">
        <f t="shared" si="1"/>
        <v>Significant</v>
      </c>
      <c r="G77" s="744">
        <f t="shared" si="2"/>
        <v>750000</v>
      </c>
      <c r="H77" s="745">
        <f t="shared" si="4"/>
        <v>1500000</v>
      </c>
      <c r="I77" s="712">
        <f t="shared" si="3"/>
        <v>3.5</v>
      </c>
      <c r="J77" s="713">
        <f t="shared" si="5"/>
        <v>6.5</v>
      </c>
    </row>
    <row r="78" spans="2:10" ht="15" thickBot="1" x14ac:dyDescent="0.35">
      <c r="F78" s="717" t="str">
        <f t="shared" si="1"/>
        <v>Critical</v>
      </c>
      <c r="G78" s="748">
        <f>CEILING($B$67*G70,$B$69)</f>
        <v>1500000</v>
      </c>
      <c r="H78" s="749" t="s">
        <v>702</v>
      </c>
      <c r="I78" s="718">
        <f>CEILING($C$67*I70,$C$69)</f>
        <v>6.5</v>
      </c>
      <c r="J78" s="719" t="s">
        <v>702</v>
      </c>
    </row>
  </sheetData>
  <mergeCells count="60">
    <mergeCell ref="C60:D60"/>
    <mergeCell ref="F47:K47"/>
    <mergeCell ref="C49:D49"/>
    <mergeCell ref="C25:D25"/>
    <mergeCell ref="C26:D26"/>
    <mergeCell ref="C27:D27"/>
    <mergeCell ref="C28:D28"/>
    <mergeCell ref="C29:D29"/>
    <mergeCell ref="C30:D30"/>
    <mergeCell ref="C58:D58"/>
    <mergeCell ref="C59:D59"/>
    <mergeCell ref="C56:D56"/>
    <mergeCell ref="C57:D57"/>
    <mergeCell ref="C51:D51"/>
    <mergeCell ref="C46:D46"/>
    <mergeCell ref="C47:D47"/>
    <mergeCell ref="B65:C65"/>
    <mergeCell ref="G72:H72"/>
    <mergeCell ref="I72:J72"/>
    <mergeCell ref="G64:H64"/>
    <mergeCell ref="I64:J64"/>
    <mergeCell ref="B68:C68"/>
    <mergeCell ref="B1:K1"/>
    <mergeCell ref="B3:K3"/>
    <mergeCell ref="B4:C12"/>
    <mergeCell ref="B16:B17"/>
    <mergeCell ref="C16:C17"/>
    <mergeCell ref="D16:D17"/>
    <mergeCell ref="F5:J5"/>
    <mergeCell ref="F7:J7"/>
    <mergeCell ref="B14:K14"/>
    <mergeCell ref="B36:D36"/>
    <mergeCell ref="C23:D23"/>
    <mergeCell ref="F50:K50"/>
    <mergeCell ref="F51:K51"/>
    <mergeCell ref="I16:K23"/>
    <mergeCell ref="F25:K25"/>
    <mergeCell ref="F26:K26"/>
    <mergeCell ref="F27:K27"/>
    <mergeCell ref="F28:K28"/>
    <mergeCell ref="F29:K29"/>
    <mergeCell ref="F30:K30"/>
    <mergeCell ref="I36:K42"/>
    <mergeCell ref="C50:D50"/>
    <mergeCell ref="B62:K62"/>
    <mergeCell ref="B53:K53"/>
    <mergeCell ref="B44:K44"/>
    <mergeCell ref="B32:K32"/>
    <mergeCell ref="B33:K34"/>
    <mergeCell ref="F60:K60"/>
    <mergeCell ref="F56:K56"/>
    <mergeCell ref="F57:K57"/>
    <mergeCell ref="F58:K58"/>
    <mergeCell ref="F59:K59"/>
    <mergeCell ref="C55:D55"/>
    <mergeCell ref="F55:K55"/>
    <mergeCell ref="F46:K46"/>
    <mergeCell ref="F48:K48"/>
    <mergeCell ref="F49:K49"/>
    <mergeCell ref="C48:D48"/>
  </mergeCells>
  <conditionalFormatting sqref="F7:J11">
    <cfRule type="expression" dxfId="38" priority="5" stopIfTrue="1">
      <formula>LEFT(F7,1)="H"</formula>
    </cfRule>
    <cfRule type="expression" dxfId="37" priority="6" stopIfTrue="1">
      <formula>LEFT(F7,1)="M"</formula>
    </cfRule>
    <cfRule type="expression" dxfId="36" priority="7" stopIfTrue="1">
      <formula>LEFT(F7,1)="L"</formula>
    </cfRule>
    <cfRule type="expression" dxfId="35" priority="8" stopIfTrue="1">
      <formula>LEFT(D7,3)="Cer"</formula>
    </cfRule>
  </conditionalFormatting>
  <printOptions horizontalCentered="1"/>
  <pageMargins left="0.25" right="0.25" top="0.25" bottom="0.5" header="0.25" footer="0.25"/>
  <pageSetup scale="59" orientation="portrait" horizontalDpi="1200" verticalDpi="1200" r:id="rId1"/>
  <headerFooter>
    <oddFooter>&amp;CPage &amp;P of &amp;N</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T88"/>
  <sheetViews>
    <sheetView showGridLines="0" zoomScaleNormal="100" workbookViewId="0">
      <selection sqref="A1:K1"/>
    </sheetView>
  </sheetViews>
  <sheetFormatPr defaultColWidth="8.88671875" defaultRowHeight="14.4" x14ac:dyDescent="0.3"/>
  <cols>
    <col min="1" max="1" width="2.88671875" customWidth="1"/>
    <col min="2" max="2" width="5.5546875" style="83" customWidth="1"/>
    <col min="3" max="3" width="15.88671875" customWidth="1"/>
    <col min="4" max="6" width="20.88671875" customWidth="1"/>
    <col min="7" max="8" width="30.88671875" style="220" customWidth="1"/>
    <col min="9" max="9" width="30.88671875" customWidth="1"/>
    <col min="10" max="10" width="10.88671875" customWidth="1"/>
    <col min="11" max="11" width="2.88671875" customWidth="1"/>
    <col min="12" max="12" width="5.88671875" customWidth="1"/>
    <col min="13" max="13" width="9.109375" style="221"/>
    <col min="14" max="14" width="22" style="221" bestFit="1" customWidth="1"/>
    <col min="15" max="15" width="25.5546875" bestFit="1" customWidth="1"/>
    <col min="16" max="17" width="9.109375"/>
    <col min="18" max="18" width="12.5546875" style="222" bestFit="1" customWidth="1"/>
    <col min="19" max="20" width="8.88671875" style="222"/>
  </cols>
  <sheetData>
    <row r="1" spans="1:20" s="7" customFormat="1" ht="21" x14ac:dyDescent="0.4">
      <c r="A1" s="1010" t="s">
        <v>1334</v>
      </c>
      <c r="B1" s="1010"/>
      <c r="C1" s="1010"/>
      <c r="D1" s="1010"/>
      <c r="E1" s="1010"/>
      <c r="F1" s="1010"/>
      <c r="G1" s="1010"/>
      <c r="H1" s="1010"/>
      <c r="I1" s="1010"/>
      <c r="J1" s="1010"/>
      <c r="K1" s="1010"/>
      <c r="M1" s="674"/>
      <c r="N1" s="674"/>
      <c r="R1" s="675"/>
      <c r="S1" s="675"/>
      <c r="T1" s="675"/>
    </row>
    <row r="2" spans="1:20" ht="15" thickBot="1" x14ac:dyDescent="0.35">
      <c r="A2" s="319"/>
      <c r="B2" s="359"/>
      <c r="C2" s="319"/>
      <c r="D2" s="319"/>
      <c r="E2" s="319"/>
      <c r="F2" s="319"/>
      <c r="G2" s="360"/>
      <c r="H2" s="360"/>
      <c r="I2" s="319"/>
      <c r="J2" s="319"/>
      <c r="K2" s="319"/>
    </row>
    <row r="3" spans="1:20" ht="15" thickBot="1" x14ac:dyDescent="0.35">
      <c r="A3" s="319"/>
      <c r="B3" s="1011" t="str">
        <f>'D-Project Data'!C9&amp;CHAR(10)&amp;CHAR(10)&amp;TEXT('D-Project Data'!C14,"mmmm yyyy")</f>
        <v>Project Name
November 2022</v>
      </c>
      <c r="C3" s="1011"/>
      <c r="D3" s="1011"/>
      <c r="E3" s="1011"/>
      <c r="F3" s="319"/>
      <c r="G3" s="1006" t="s">
        <v>870</v>
      </c>
      <c r="H3" s="1007"/>
      <c r="I3" s="987">
        <f>'D-Project Data'!C6</f>
        <v>0.8</v>
      </c>
      <c r="J3" s="988"/>
      <c r="K3" s="365"/>
      <c r="M3" s="358" t="s">
        <v>869</v>
      </c>
    </row>
    <row r="4" spans="1:20" x14ac:dyDescent="0.3">
      <c r="A4" s="319"/>
      <c r="B4" s="1011"/>
      <c r="C4" s="1011"/>
      <c r="D4" s="1011"/>
      <c r="E4" s="1011"/>
      <c r="F4" s="319"/>
      <c r="G4" s="1008" t="s">
        <v>689</v>
      </c>
      <c r="H4" s="1009"/>
      <c r="I4" s="281">
        <f>'E-Cost &amp; Schedule Summary'!D50</f>
        <v>28979098.489999998</v>
      </c>
      <c r="J4" s="282"/>
      <c r="K4" s="362"/>
      <c r="N4" s="221" t="s">
        <v>812</v>
      </c>
      <c r="O4" s="227">
        <f>'H-Risk Register-Model'!AE1</f>
        <v>0</v>
      </c>
      <c r="P4" t="s">
        <v>665</v>
      </c>
    </row>
    <row r="5" spans="1:20" x14ac:dyDescent="0.3">
      <c r="A5" s="319"/>
      <c r="B5" s="1011"/>
      <c r="C5" s="1011"/>
      <c r="D5" s="1011"/>
      <c r="E5" s="1011"/>
      <c r="F5" s="319"/>
      <c r="G5" s="1023" t="s">
        <v>893</v>
      </c>
      <c r="H5" s="1024"/>
      <c r="I5" s="283">
        <f>VLOOKUP(G6,$C$23:$D$33,2,FALSE)</f>
        <v>8693729.5469999984</v>
      </c>
      <c r="J5" s="284">
        <f>ROUNDUP(I5/I4,2)</f>
        <v>0.3</v>
      </c>
      <c r="K5" s="366"/>
      <c r="N5" s="221" t="s">
        <v>811</v>
      </c>
      <c r="O5" s="230">
        <f>'H-Risk Register-Model'!AG1</f>
        <v>0</v>
      </c>
    </row>
    <row r="6" spans="1:20" ht="15" thickBot="1" x14ac:dyDescent="0.35">
      <c r="A6" s="319"/>
      <c r="B6" s="1011"/>
      <c r="C6" s="1011"/>
      <c r="D6" s="1011"/>
      <c r="E6" s="1011"/>
      <c r="F6" s="319"/>
      <c r="G6" s="1025">
        <f>'D-Project Data'!C6</f>
        <v>0.8</v>
      </c>
      <c r="H6" s="1026"/>
      <c r="I6" s="285">
        <f>I4+I5</f>
        <v>37672828.037</v>
      </c>
      <c r="J6" s="286"/>
      <c r="K6" s="362"/>
    </row>
    <row r="7" spans="1:20" ht="15" thickBot="1" x14ac:dyDescent="0.35">
      <c r="A7" s="319"/>
      <c r="B7" s="1011"/>
      <c r="C7" s="1011"/>
      <c r="D7" s="1011"/>
      <c r="E7" s="1011"/>
      <c r="F7" s="319"/>
      <c r="G7" s="361"/>
      <c r="H7" s="361"/>
      <c r="I7" s="362"/>
      <c r="J7" s="319"/>
      <c r="K7" s="319"/>
      <c r="N7"/>
    </row>
    <row r="8" spans="1:20" ht="15" thickBot="1" x14ac:dyDescent="0.35">
      <c r="A8" s="319"/>
      <c r="B8" s="1011"/>
      <c r="C8" s="1011"/>
      <c r="D8" s="1011"/>
      <c r="E8" s="1011"/>
      <c r="F8" s="319"/>
      <c r="G8" s="1006" t="s">
        <v>868</v>
      </c>
      <c r="H8" s="1007"/>
      <c r="I8" s="989">
        <f>'D-Project Data'!C6</f>
        <v>0.8</v>
      </c>
      <c r="J8" s="990"/>
      <c r="K8" s="367"/>
      <c r="N8"/>
    </row>
    <row r="9" spans="1:20" x14ac:dyDescent="0.3">
      <c r="A9" s="319"/>
      <c r="B9" s="1011"/>
      <c r="C9" s="1011"/>
      <c r="D9" s="1011"/>
      <c r="E9" s="1011"/>
      <c r="F9" s="319"/>
      <c r="G9" s="994" t="s">
        <v>894</v>
      </c>
      <c r="H9" s="995"/>
      <c r="I9" s="287">
        <f>'E-Cost &amp; Schedule Summary'!C6</f>
        <v>44470</v>
      </c>
      <c r="J9" s="288" t="s">
        <v>665</v>
      </c>
      <c r="K9" s="368"/>
      <c r="N9"/>
    </row>
    <row r="10" spans="1:20" x14ac:dyDescent="0.3">
      <c r="A10" s="319"/>
      <c r="B10" s="1011"/>
      <c r="C10" s="1011"/>
      <c r="D10" s="1011"/>
      <c r="E10" s="1011"/>
      <c r="F10" s="319"/>
      <c r="G10" s="996" t="s">
        <v>895</v>
      </c>
      <c r="H10" s="997"/>
      <c r="I10" s="289">
        <f>'E-Cost &amp; Schedule Summary'!C7</f>
        <v>46447</v>
      </c>
      <c r="J10" s="290"/>
      <c r="K10" s="368"/>
    </row>
    <row r="11" spans="1:20" x14ac:dyDescent="0.3">
      <c r="A11" s="319"/>
      <c r="B11" s="1011"/>
      <c r="C11" s="1011"/>
      <c r="D11" s="1011"/>
      <c r="E11" s="1011"/>
      <c r="F11" s="319"/>
      <c r="G11" s="996" t="s">
        <v>896</v>
      </c>
      <c r="H11" s="997"/>
      <c r="I11" s="291">
        <f>YEARFRAC(I9,I10,1)*12</f>
        <v>64.971830985915489</v>
      </c>
      <c r="J11" s="290"/>
      <c r="K11" s="368"/>
    </row>
    <row r="12" spans="1:20" x14ac:dyDescent="0.3">
      <c r="A12" s="319"/>
      <c r="B12" s="1011"/>
      <c r="C12" s="1011"/>
      <c r="D12" s="1011"/>
      <c r="E12" s="1011"/>
      <c r="F12" s="319"/>
      <c r="G12" s="996" t="s">
        <v>897</v>
      </c>
      <c r="H12" s="997"/>
      <c r="I12" s="291">
        <f>VLOOKUP(G13,$C$44:$D$54,2,FALSE)</f>
        <v>4.548028169014084</v>
      </c>
      <c r="J12" s="292">
        <f>I12/I11</f>
        <v>6.9999999999999993E-2</v>
      </c>
      <c r="K12" s="366"/>
    </row>
    <row r="13" spans="1:20" x14ac:dyDescent="0.3">
      <c r="A13" s="319"/>
      <c r="B13" s="1011"/>
      <c r="C13" s="1011"/>
      <c r="D13" s="1011"/>
      <c r="E13" s="1011"/>
      <c r="F13" s="319"/>
      <c r="G13" s="1027">
        <f>'D-Project Data'!C6</f>
        <v>0.8</v>
      </c>
      <c r="H13" s="1028"/>
      <c r="I13" s="291">
        <f>I11+I12</f>
        <v>69.519859154929577</v>
      </c>
      <c r="J13" s="290"/>
      <c r="K13" s="368"/>
    </row>
    <row r="14" spans="1:20" ht="15" thickBot="1" x14ac:dyDescent="0.35">
      <c r="A14" s="319"/>
      <c r="B14" s="1011"/>
      <c r="C14" s="1011"/>
      <c r="D14" s="1011"/>
      <c r="E14" s="1011"/>
      <c r="F14" s="319"/>
      <c r="G14" s="1029">
        <f>'D-Project Data'!C6</f>
        <v>0.8</v>
      </c>
      <c r="H14" s="1030"/>
      <c r="I14" s="293">
        <f>EDATE(I10,TRUNC(I12,1))+CEILING((EDATE(I10,CEILING(I12,1))-EDATE(I10,FLOOR(I12,1)))*(I12-TRUNC(I12)),1)</f>
        <v>46586</v>
      </c>
      <c r="J14" s="294"/>
      <c r="K14" s="368"/>
    </row>
    <row r="15" spans="1:20" ht="15" thickBot="1" x14ac:dyDescent="0.35">
      <c r="A15" s="319"/>
      <c r="B15" s="359"/>
      <c r="C15" s="319"/>
      <c r="D15" s="319"/>
      <c r="E15" s="319"/>
      <c r="F15" s="319"/>
      <c r="G15" s="361"/>
      <c r="H15" s="361"/>
      <c r="I15" s="374"/>
      <c r="J15" s="319"/>
      <c r="K15" s="319"/>
      <c r="L15" s="233"/>
      <c r="M15" s="223"/>
    </row>
    <row r="16" spans="1:20" ht="18.600000000000001" thickBot="1" x14ac:dyDescent="0.35">
      <c r="A16" s="319"/>
      <c r="B16" s="998" t="s">
        <v>873</v>
      </c>
      <c r="C16" s="999"/>
      <c r="D16" s="999"/>
      <c r="E16" s="999"/>
      <c r="F16" s="999"/>
      <c r="G16" s="999"/>
      <c r="H16" s="999"/>
      <c r="I16" s="999"/>
      <c r="J16" s="1000"/>
      <c r="K16" s="369"/>
    </row>
    <row r="17" spans="1:20" x14ac:dyDescent="0.3">
      <c r="A17" s="319"/>
      <c r="B17" s="375"/>
      <c r="C17" s="234"/>
      <c r="D17" s="234"/>
      <c r="E17" s="234"/>
      <c r="F17" s="234"/>
      <c r="G17" s="234"/>
      <c r="H17" s="234"/>
      <c r="I17" s="234"/>
      <c r="J17" s="376"/>
      <c r="K17" s="363"/>
      <c r="N17"/>
      <c r="R17"/>
      <c r="S17"/>
      <c r="T17"/>
    </row>
    <row r="18" spans="1:20" x14ac:dyDescent="0.3">
      <c r="A18" s="319"/>
      <c r="B18" s="296"/>
      <c r="C18" s="993"/>
      <c r="D18" s="993"/>
      <c r="E18" s="993"/>
      <c r="F18" s="645"/>
      <c r="G18" s="646"/>
      <c r="H18" s="646"/>
      <c r="I18" s="646"/>
      <c r="J18" s="647"/>
      <c r="K18" s="319"/>
      <c r="N18"/>
      <c r="R18"/>
      <c r="S18"/>
      <c r="T18"/>
    </row>
    <row r="19" spans="1:20" ht="15" thickBot="1" x14ac:dyDescent="0.35">
      <c r="A19" s="319"/>
      <c r="B19" s="296"/>
      <c r="C19" s="1012" t="s">
        <v>875</v>
      </c>
      <c r="D19" s="1012"/>
      <c r="E19" s="1012"/>
      <c r="F19" s="1012"/>
      <c r="G19" s="648"/>
      <c r="H19" s="648"/>
      <c r="I19" s="648"/>
      <c r="J19" s="647"/>
      <c r="K19" s="319"/>
      <c r="N19"/>
      <c r="R19"/>
      <c r="S19"/>
      <c r="T19"/>
    </row>
    <row r="20" spans="1:20" ht="15" thickBot="1" x14ac:dyDescent="0.35">
      <c r="A20" s="319"/>
      <c r="B20" s="296"/>
      <c r="C20" s="1021" t="str">
        <f>G4</f>
        <v>Base Estimate</v>
      </c>
      <c r="D20" s="1022"/>
      <c r="E20" s="1004">
        <f>I4</f>
        <v>28979098.489999998</v>
      </c>
      <c r="F20" s="1005"/>
      <c r="I20" s="648"/>
      <c r="J20" s="647"/>
      <c r="K20" s="370"/>
      <c r="N20"/>
      <c r="R20"/>
      <c r="S20"/>
      <c r="T20"/>
    </row>
    <row r="21" spans="1:20" x14ac:dyDescent="0.3">
      <c r="A21" s="319"/>
      <c r="B21" s="296"/>
      <c r="C21" s="1018"/>
      <c r="D21" s="1019"/>
      <c r="E21" s="1019"/>
      <c r="F21" s="1020"/>
      <c r="G21" s="668"/>
      <c r="H21" s="668"/>
      <c r="I21" s="648"/>
      <c r="J21" s="647"/>
      <c r="K21" s="370"/>
      <c r="N21"/>
      <c r="R21"/>
      <c r="S21"/>
      <c r="T21"/>
    </row>
    <row r="22" spans="1:20" ht="28.8" x14ac:dyDescent="0.3">
      <c r="A22" s="319"/>
      <c r="B22" s="296"/>
      <c r="C22" s="495" t="s">
        <v>871</v>
      </c>
      <c r="D22" s="657" t="s">
        <v>872</v>
      </c>
      <c r="E22" s="496" t="s">
        <v>865</v>
      </c>
      <c r="F22" s="654" t="s">
        <v>1320</v>
      </c>
      <c r="G22" s="847" t="s">
        <v>1318</v>
      </c>
      <c r="H22" s="669"/>
      <c r="I22" s="648"/>
      <c r="J22" s="647"/>
      <c r="K22" s="370"/>
      <c r="L22" s="236" t="s">
        <v>867</v>
      </c>
      <c r="N22"/>
      <c r="R22"/>
      <c r="S22"/>
      <c r="T22"/>
    </row>
    <row r="23" spans="1:20" x14ac:dyDescent="0.3">
      <c r="A23" s="319"/>
      <c r="B23" s="296"/>
      <c r="C23" s="378">
        <v>0</v>
      </c>
      <c r="D23" s="663">
        <f t="shared" ref="D23:D33" si="0">F61</f>
        <v>-8983520.5318999998</v>
      </c>
      <c r="E23" s="655">
        <f t="shared" ref="E23:E33" si="1">ROUNDUP(((D23)/$E$20),2)</f>
        <v>-0.31</v>
      </c>
      <c r="F23" s="664">
        <f t="shared" ref="F23:F33" si="2">D23+$E$20</f>
        <v>19995577.958099999</v>
      </c>
      <c r="G23" s="849">
        <f>+E20</f>
        <v>28979098.489999998</v>
      </c>
      <c r="H23" s="670"/>
      <c r="I23" s="670"/>
      <c r="J23" s="377"/>
      <c r="K23" s="371"/>
      <c r="L23" s="237">
        <f>'E-Cost &amp; Schedule Summary'!$G$52</f>
        <v>0</v>
      </c>
      <c r="N23"/>
      <c r="R23"/>
      <c r="S23"/>
      <c r="T23"/>
    </row>
    <row r="24" spans="1:20" x14ac:dyDescent="0.3">
      <c r="A24" s="319"/>
      <c r="B24" s="296"/>
      <c r="C24" s="378">
        <v>0.1</v>
      </c>
      <c r="D24" s="663">
        <f t="shared" si="0"/>
        <v>-3477491.8187999995</v>
      </c>
      <c r="E24" s="655">
        <f t="shared" si="1"/>
        <v>-0.12</v>
      </c>
      <c r="F24" s="664">
        <f t="shared" si="2"/>
        <v>25501606.6712</v>
      </c>
      <c r="G24" s="849">
        <f t="shared" ref="G24:G33" si="3">$E$20</f>
        <v>28979098.489999998</v>
      </c>
      <c r="H24" s="670"/>
      <c r="I24" s="670"/>
      <c r="J24" s="377"/>
      <c r="K24" s="371"/>
      <c r="L24" s="237">
        <f>'E-Cost &amp; Schedule Summary'!$G$52</f>
        <v>0</v>
      </c>
      <c r="N24"/>
      <c r="R24"/>
      <c r="S24"/>
      <c r="T24"/>
    </row>
    <row r="25" spans="1:20" x14ac:dyDescent="0.3">
      <c r="A25" s="319"/>
      <c r="B25" s="296"/>
      <c r="C25" s="378">
        <v>0.2</v>
      </c>
      <c r="D25" s="663">
        <f t="shared" si="0"/>
        <v>-1448954.9245</v>
      </c>
      <c r="E25" s="655">
        <f t="shared" si="1"/>
        <v>-0.05</v>
      </c>
      <c r="F25" s="664">
        <f t="shared" si="2"/>
        <v>27530143.565499999</v>
      </c>
      <c r="G25" s="849">
        <f t="shared" si="3"/>
        <v>28979098.489999998</v>
      </c>
      <c r="H25" s="670"/>
      <c r="I25" s="670"/>
      <c r="J25" s="377"/>
      <c r="K25" s="371"/>
      <c r="L25" s="237">
        <f>'E-Cost &amp; Schedule Summary'!$G$52</f>
        <v>0</v>
      </c>
      <c r="M25"/>
      <c r="N25"/>
      <c r="R25"/>
      <c r="S25"/>
      <c r="T25"/>
    </row>
    <row r="26" spans="1:20" x14ac:dyDescent="0.3">
      <c r="A26" s="319"/>
      <c r="B26" s="296"/>
      <c r="C26" s="378">
        <v>0.3</v>
      </c>
      <c r="D26" s="663">
        <f t="shared" si="0"/>
        <v>289790.98489999998</v>
      </c>
      <c r="E26" s="655">
        <f t="shared" si="1"/>
        <v>0.01</v>
      </c>
      <c r="F26" s="664">
        <f t="shared" si="2"/>
        <v>29268889.4749</v>
      </c>
      <c r="G26" s="849">
        <f t="shared" si="3"/>
        <v>28979098.489999998</v>
      </c>
      <c r="H26" s="670"/>
      <c r="I26" s="670"/>
      <c r="J26" s="377"/>
      <c r="K26" s="371"/>
      <c r="L26" s="237">
        <f>'E-Cost &amp; Schedule Summary'!$G$52</f>
        <v>0</v>
      </c>
      <c r="M26"/>
      <c r="N26"/>
      <c r="R26"/>
      <c r="S26"/>
      <c r="T26"/>
    </row>
    <row r="27" spans="1:20" x14ac:dyDescent="0.3">
      <c r="A27" s="319"/>
      <c r="B27" s="296"/>
      <c r="C27" s="378">
        <v>0.4</v>
      </c>
      <c r="D27" s="663">
        <f t="shared" si="0"/>
        <v>1738745.9094</v>
      </c>
      <c r="E27" s="655">
        <f t="shared" si="1"/>
        <v>0.06</v>
      </c>
      <c r="F27" s="664">
        <f t="shared" si="2"/>
        <v>30717844.3994</v>
      </c>
      <c r="G27" s="849">
        <f t="shared" si="3"/>
        <v>28979098.489999998</v>
      </c>
      <c r="H27" s="670"/>
      <c r="I27" s="670"/>
      <c r="J27" s="377"/>
      <c r="K27" s="371"/>
      <c r="L27" s="237">
        <f>'E-Cost &amp; Schedule Summary'!$G$52</f>
        <v>0</v>
      </c>
      <c r="M27"/>
      <c r="N27"/>
      <c r="R27"/>
      <c r="S27"/>
      <c r="T27"/>
    </row>
    <row r="28" spans="1:20" x14ac:dyDescent="0.3">
      <c r="A28" s="319"/>
      <c r="B28" s="379"/>
      <c r="C28" s="378">
        <v>0.5</v>
      </c>
      <c r="D28" s="663">
        <f t="shared" si="0"/>
        <v>3187700.8339</v>
      </c>
      <c r="E28" s="655">
        <f t="shared" si="1"/>
        <v>0.11</v>
      </c>
      <c r="F28" s="664">
        <f t="shared" si="2"/>
        <v>32166799.323899999</v>
      </c>
      <c r="G28" s="849">
        <f t="shared" si="3"/>
        <v>28979098.489999998</v>
      </c>
      <c r="H28" s="670"/>
      <c r="I28" s="670"/>
      <c r="J28" s="377"/>
      <c r="K28" s="371"/>
      <c r="L28" s="237">
        <f>'E-Cost &amp; Schedule Summary'!$G$52</f>
        <v>0</v>
      </c>
      <c r="M28"/>
      <c r="N28"/>
      <c r="R28"/>
      <c r="S28"/>
      <c r="T28"/>
    </row>
    <row r="29" spans="1:20" x14ac:dyDescent="0.3">
      <c r="A29" s="319"/>
      <c r="B29" s="379"/>
      <c r="C29" s="378">
        <v>0.6</v>
      </c>
      <c r="D29" s="663">
        <f t="shared" si="0"/>
        <v>4926446.7433000002</v>
      </c>
      <c r="E29" s="655">
        <f t="shared" si="1"/>
        <v>0.17</v>
      </c>
      <c r="F29" s="664">
        <f t="shared" si="2"/>
        <v>33905545.2333</v>
      </c>
      <c r="G29" s="849">
        <f t="shared" si="3"/>
        <v>28979098.489999998</v>
      </c>
      <c r="H29" s="670"/>
      <c r="I29" s="670"/>
      <c r="J29" s="377"/>
      <c r="K29" s="371"/>
      <c r="L29" s="237">
        <f>'E-Cost &amp; Schedule Summary'!$G$52</f>
        <v>0</v>
      </c>
      <c r="M29"/>
      <c r="N29"/>
      <c r="R29"/>
      <c r="S29"/>
      <c r="T29"/>
    </row>
    <row r="30" spans="1:20" x14ac:dyDescent="0.3">
      <c r="A30" s="319"/>
      <c r="B30" s="379"/>
      <c r="C30" s="378">
        <v>0.7</v>
      </c>
      <c r="D30" s="663">
        <f t="shared" si="0"/>
        <v>6665192.6526999995</v>
      </c>
      <c r="E30" s="655">
        <f t="shared" si="1"/>
        <v>0.23</v>
      </c>
      <c r="F30" s="664">
        <f t="shared" si="2"/>
        <v>35644291.142700002</v>
      </c>
      <c r="G30" s="849">
        <f t="shared" si="3"/>
        <v>28979098.489999998</v>
      </c>
      <c r="H30" s="670"/>
      <c r="I30" s="670"/>
      <c r="J30" s="377"/>
      <c r="K30" s="371"/>
      <c r="L30" s="237">
        <f>'E-Cost &amp; Schedule Summary'!$G$52</f>
        <v>0</v>
      </c>
      <c r="M30"/>
      <c r="N30"/>
      <c r="R30"/>
      <c r="S30"/>
      <c r="T30"/>
    </row>
    <row r="31" spans="1:20" x14ac:dyDescent="0.3">
      <c r="A31" s="319"/>
      <c r="B31" s="379"/>
      <c r="C31" s="378">
        <v>0.8</v>
      </c>
      <c r="D31" s="663">
        <f t="shared" si="0"/>
        <v>8693729.5469999984</v>
      </c>
      <c r="E31" s="655">
        <f t="shared" si="1"/>
        <v>0.3</v>
      </c>
      <c r="F31" s="664">
        <f t="shared" si="2"/>
        <v>37672828.037</v>
      </c>
      <c r="G31" s="849">
        <f t="shared" si="3"/>
        <v>28979098.489999998</v>
      </c>
      <c r="H31" s="670"/>
      <c r="I31" s="670"/>
      <c r="J31" s="377"/>
      <c r="K31" s="371"/>
      <c r="L31" s="237">
        <f>'E-Cost &amp; Schedule Summary'!$G$52</f>
        <v>0</v>
      </c>
      <c r="M31"/>
      <c r="N31"/>
      <c r="R31"/>
      <c r="S31"/>
      <c r="T31"/>
    </row>
    <row r="32" spans="1:20" x14ac:dyDescent="0.3">
      <c r="A32" s="319"/>
      <c r="B32" s="379"/>
      <c r="C32" s="378">
        <v>0.9</v>
      </c>
      <c r="D32" s="663">
        <f t="shared" si="0"/>
        <v>11301848.4111</v>
      </c>
      <c r="E32" s="655">
        <f t="shared" si="1"/>
        <v>0.39</v>
      </c>
      <c r="F32" s="664">
        <f t="shared" si="2"/>
        <v>40280946.901099995</v>
      </c>
      <c r="G32" s="849">
        <f t="shared" si="3"/>
        <v>28979098.489999998</v>
      </c>
      <c r="H32" s="670"/>
      <c r="I32" s="670"/>
      <c r="J32" s="377"/>
      <c r="K32" s="371"/>
      <c r="L32" s="237">
        <f>'E-Cost &amp; Schedule Summary'!$G$52</f>
        <v>0</v>
      </c>
      <c r="M32"/>
      <c r="N32"/>
      <c r="R32"/>
      <c r="S32"/>
      <c r="T32"/>
    </row>
    <row r="33" spans="1:20" ht="15" thickBot="1" x14ac:dyDescent="0.35">
      <c r="A33" s="319"/>
      <c r="B33" s="379"/>
      <c r="C33" s="238">
        <v>1</v>
      </c>
      <c r="D33" s="279">
        <f t="shared" si="0"/>
        <v>19995577.958100002</v>
      </c>
      <c r="E33" s="659">
        <f t="shared" si="1"/>
        <v>0.69</v>
      </c>
      <c r="F33" s="665">
        <f t="shared" si="2"/>
        <v>48974676.448100001</v>
      </c>
      <c r="G33" s="849">
        <f t="shared" si="3"/>
        <v>28979098.489999998</v>
      </c>
      <c r="H33" s="670"/>
      <c r="I33" s="670"/>
      <c r="J33" s="377"/>
      <c r="K33" s="371"/>
      <c r="L33" s="237">
        <f>'E-Cost &amp; Schedule Summary'!$G$52</f>
        <v>0</v>
      </c>
      <c r="M33"/>
      <c r="N33"/>
      <c r="R33"/>
      <c r="S33"/>
      <c r="T33"/>
    </row>
    <row r="34" spans="1:20" x14ac:dyDescent="0.3">
      <c r="A34" s="319"/>
      <c r="B34" s="296"/>
      <c r="D34" s="380"/>
      <c r="E34" s="380"/>
      <c r="F34" s="671"/>
      <c r="G34" s="648"/>
      <c r="H34" s="648"/>
      <c r="I34" s="648"/>
      <c r="J34" s="647"/>
      <c r="K34" s="319"/>
      <c r="L34" s="236"/>
      <c r="M34"/>
      <c r="N34"/>
      <c r="R34"/>
      <c r="S34"/>
      <c r="T34"/>
    </row>
    <row r="35" spans="1:20" ht="15" thickBot="1" x14ac:dyDescent="0.35">
      <c r="A35" s="319"/>
      <c r="B35" s="381"/>
      <c r="C35" s="297"/>
      <c r="D35" s="297"/>
      <c r="E35" s="297"/>
      <c r="F35" s="661"/>
      <c r="G35" s="661"/>
      <c r="H35" s="661"/>
      <c r="I35" s="661"/>
      <c r="J35" s="662"/>
      <c r="K35" s="319"/>
      <c r="M35"/>
      <c r="N35"/>
      <c r="R35"/>
      <c r="S35"/>
      <c r="T35"/>
    </row>
    <row r="36" spans="1:20" ht="15" thickBot="1" x14ac:dyDescent="0.35">
      <c r="A36" s="319"/>
      <c r="B36" s="364"/>
      <c r="C36" s="319"/>
      <c r="D36" s="319"/>
      <c r="E36" s="319"/>
      <c r="F36" s="319"/>
      <c r="G36" s="319"/>
      <c r="H36" s="319"/>
      <c r="I36" s="319"/>
      <c r="J36" s="319"/>
      <c r="K36" s="319"/>
      <c r="N36"/>
      <c r="R36"/>
      <c r="S36"/>
      <c r="T36"/>
    </row>
    <row r="37" spans="1:20" ht="18.600000000000001" thickBot="1" x14ac:dyDescent="0.35">
      <c r="A37" s="319"/>
      <c r="B37" s="1001" t="s">
        <v>874</v>
      </c>
      <c r="C37" s="1002"/>
      <c r="D37" s="1002"/>
      <c r="E37" s="1002"/>
      <c r="F37" s="1002"/>
      <c r="G37" s="1002"/>
      <c r="H37" s="1002"/>
      <c r="I37" s="1002"/>
      <c r="J37" s="1003"/>
      <c r="K37" s="372"/>
      <c r="N37"/>
      <c r="R37"/>
      <c r="S37"/>
      <c r="T37"/>
    </row>
    <row r="38" spans="1:20" x14ac:dyDescent="0.3">
      <c r="A38" s="319"/>
      <c r="B38" s="375"/>
      <c r="C38" s="234"/>
      <c r="D38" s="234" t="s">
        <v>665</v>
      </c>
      <c r="E38" s="234"/>
      <c r="F38" s="234"/>
      <c r="G38" s="234"/>
      <c r="H38" s="234"/>
      <c r="I38" s="234"/>
      <c r="J38" s="376"/>
      <c r="K38" s="363"/>
      <c r="N38"/>
      <c r="R38"/>
      <c r="S38"/>
      <c r="T38"/>
    </row>
    <row r="39" spans="1:20" x14ac:dyDescent="0.3">
      <c r="A39" s="319"/>
      <c r="B39" s="296"/>
      <c r="C39" s="993"/>
      <c r="D39" s="993"/>
      <c r="E39" s="993"/>
      <c r="F39" s="645"/>
      <c r="G39" s="646"/>
      <c r="H39" s="646"/>
      <c r="I39" s="646"/>
      <c r="J39" s="647"/>
      <c r="K39" s="319"/>
      <c r="N39"/>
      <c r="R39"/>
      <c r="S39"/>
      <c r="T39"/>
    </row>
    <row r="40" spans="1:20" ht="15" thickBot="1" x14ac:dyDescent="0.35">
      <c r="A40" s="319"/>
      <c r="B40" s="296"/>
      <c r="C40" s="1012" t="s">
        <v>876</v>
      </c>
      <c r="D40" s="1012"/>
      <c r="E40" s="1012"/>
      <c r="F40" s="1012"/>
      <c r="G40" s="648"/>
      <c r="H40" s="648"/>
      <c r="I40" s="648"/>
      <c r="J40" s="647"/>
      <c r="K40" s="319"/>
      <c r="N40"/>
      <c r="R40"/>
      <c r="S40"/>
      <c r="T40"/>
    </row>
    <row r="41" spans="1:20" ht="15" thickBot="1" x14ac:dyDescent="0.35">
      <c r="A41" s="319"/>
      <c r="B41" s="296"/>
      <c r="C41" s="1013" t="str">
        <f>G11</f>
        <v>Base Schedule Duration</v>
      </c>
      <c r="D41" s="1014"/>
      <c r="E41" s="991">
        <f>I11</f>
        <v>64.971830985915489</v>
      </c>
      <c r="F41" s="992"/>
      <c r="I41" s="648"/>
      <c r="J41" s="647"/>
      <c r="K41" s="319"/>
      <c r="N41"/>
      <c r="R41"/>
      <c r="S41"/>
      <c r="T41"/>
    </row>
    <row r="42" spans="1:20" x14ac:dyDescent="0.3">
      <c r="A42" s="319"/>
      <c r="B42" s="296"/>
      <c r="C42" s="1015"/>
      <c r="D42" s="1016"/>
      <c r="E42" s="1016"/>
      <c r="F42" s="1017"/>
      <c r="G42" s="648"/>
      <c r="H42" s="648"/>
      <c r="I42" s="648"/>
      <c r="J42" s="647"/>
      <c r="K42" s="319"/>
      <c r="N42"/>
      <c r="R42"/>
      <c r="S42"/>
      <c r="T42"/>
    </row>
    <row r="43" spans="1:20" ht="28.8" x14ac:dyDescent="0.3">
      <c r="A43" s="319"/>
      <c r="B43" s="296"/>
      <c r="C43" s="495" t="s">
        <v>871</v>
      </c>
      <c r="D43" s="657" t="s">
        <v>872</v>
      </c>
      <c r="E43" s="496" t="s">
        <v>865</v>
      </c>
      <c r="F43" s="654" t="s">
        <v>1317</v>
      </c>
      <c r="G43" s="847" t="s">
        <v>1319</v>
      </c>
      <c r="H43" s="649"/>
      <c r="I43" s="648"/>
      <c r="J43" s="647"/>
      <c r="K43" s="319"/>
      <c r="N43"/>
      <c r="R43"/>
      <c r="S43"/>
      <c r="T43"/>
    </row>
    <row r="44" spans="1:20" x14ac:dyDescent="0.3">
      <c r="A44" s="319"/>
      <c r="B44" s="296"/>
      <c r="C44" s="378">
        <v>0</v>
      </c>
      <c r="D44" s="656">
        <f t="shared" ref="D44:D54" si="4">F76</f>
        <v>-3.2485915492957744</v>
      </c>
      <c r="E44" s="655">
        <f t="shared" ref="E44:E54" si="5">ROUNDUP(((D44)/$E$41),2)</f>
        <v>-0.05</v>
      </c>
      <c r="F44" s="658">
        <f t="shared" ref="F44:F54" si="6">D44+$E$41</f>
        <v>61.723239436619714</v>
      </c>
      <c r="G44" s="848">
        <f t="shared" ref="G44:G54" si="7">+$E$41</f>
        <v>64.971830985915489</v>
      </c>
      <c r="H44" s="650"/>
      <c r="I44" s="651"/>
      <c r="J44" s="652"/>
      <c r="K44" s="373"/>
      <c r="N44"/>
      <c r="R44"/>
      <c r="S44"/>
      <c r="T44"/>
    </row>
    <row r="45" spans="1:20" x14ac:dyDescent="0.3">
      <c r="A45" s="319"/>
      <c r="B45" s="296"/>
      <c r="C45" s="378">
        <v>0.1</v>
      </c>
      <c r="D45" s="656">
        <f t="shared" si="4"/>
        <v>-1.2994366197183098</v>
      </c>
      <c r="E45" s="655">
        <f t="shared" si="5"/>
        <v>-0.02</v>
      </c>
      <c r="F45" s="658">
        <f t="shared" si="6"/>
        <v>63.672394366197182</v>
      </c>
      <c r="G45" s="848">
        <f t="shared" si="7"/>
        <v>64.971830985915489</v>
      </c>
      <c r="H45" s="650"/>
      <c r="I45" s="651"/>
      <c r="J45" s="652"/>
      <c r="K45" s="373"/>
      <c r="N45"/>
      <c r="R45"/>
      <c r="S45"/>
      <c r="T45"/>
    </row>
    <row r="46" spans="1:20" x14ac:dyDescent="0.3">
      <c r="A46" s="319"/>
      <c r="B46" s="296"/>
      <c r="C46" s="378">
        <v>0.2</v>
      </c>
      <c r="D46" s="656">
        <f t="shared" si="4"/>
        <v>-0.64971830985915491</v>
      </c>
      <c r="E46" s="655">
        <f t="shared" si="5"/>
        <v>-0.01</v>
      </c>
      <c r="F46" s="658">
        <f t="shared" si="6"/>
        <v>64.322112676056335</v>
      </c>
      <c r="G46" s="848">
        <f t="shared" si="7"/>
        <v>64.971830985915489</v>
      </c>
      <c r="H46" s="650"/>
      <c r="I46" s="651"/>
      <c r="J46" s="652"/>
      <c r="K46" s="373"/>
      <c r="N46"/>
      <c r="R46"/>
      <c r="S46"/>
      <c r="T46"/>
    </row>
    <row r="47" spans="1:20" x14ac:dyDescent="0.3">
      <c r="A47" s="319"/>
      <c r="B47" s="296"/>
      <c r="C47" s="378">
        <v>0.3</v>
      </c>
      <c r="D47" s="656">
        <f t="shared" si="4"/>
        <v>0.64971830985915491</v>
      </c>
      <c r="E47" s="655">
        <f t="shared" si="5"/>
        <v>0.01</v>
      </c>
      <c r="F47" s="658">
        <f t="shared" si="6"/>
        <v>65.621549295774642</v>
      </c>
      <c r="G47" s="848">
        <f t="shared" si="7"/>
        <v>64.971830985915489</v>
      </c>
      <c r="H47" s="650"/>
      <c r="I47" s="651"/>
      <c r="J47" s="652"/>
      <c r="K47" s="373"/>
      <c r="N47"/>
      <c r="R47"/>
      <c r="S47"/>
      <c r="T47"/>
    </row>
    <row r="48" spans="1:20" x14ac:dyDescent="0.3">
      <c r="A48" s="319"/>
      <c r="B48" s="296"/>
      <c r="C48" s="378">
        <v>0.4</v>
      </c>
      <c r="D48" s="656">
        <f t="shared" si="4"/>
        <v>1.2994366197183098</v>
      </c>
      <c r="E48" s="655">
        <f t="shared" si="5"/>
        <v>0.02</v>
      </c>
      <c r="F48" s="658">
        <f t="shared" si="6"/>
        <v>66.271267605633795</v>
      </c>
      <c r="G48" s="848">
        <f t="shared" si="7"/>
        <v>64.971830985915489</v>
      </c>
      <c r="H48" s="650"/>
      <c r="I48" s="651"/>
      <c r="J48" s="652"/>
      <c r="K48" s="373"/>
      <c r="N48"/>
      <c r="R48"/>
      <c r="S48"/>
      <c r="T48"/>
    </row>
    <row r="49" spans="1:20" x14ac:dyDescent="0.3">
      <c r="A49" s="319"/>
      <c r="B49" s="379"/>
      <c r="C49" s="378">
        <v>0.5</v>
      </c>
      <c r="D49" s="656">
        <f t="shared" si="4"/>
        <v>1.9491549295774646</v>
      </c>
      <c r="E49" s="655">
        <f t="shared" si="5"/>
        <v>0.03</v>
      </c>
      <c r="F49" s="658">
        <f t="shared" si="6"/>
        <v>66.920985915492949</v>
      </c>
      <c r="G49" s="848">
        <f t="shared" si="7"/>
        <v>64.971830985915489</v>
      </c>
      <c r="H49" s="650"/>
      <c r="I49" s="651"/>
      <c r="J49" s="652"/>
      <c r="K49" s="373"/>
      <c r="N49"/>
      <c r="R49"/>
      <c r="S49"/>
      <c r="T49"/>
    </row>
    <row r="50" spans="1:20" x14ac:dyDescent="0.3">
      <c r="A50" s="319"/>
      <c r="B50" s="379"/>
      <c r="C50" s="378">
        <v>0.6</v>
      </c>
      <c r="D50" s="656">
        <f t="shared" si="4"/>
        <v>2.5988732394366196</v>
      </c>
      <c r="E50" s="655">
        <f t="shared" si="5"/>
        <v>0.04</v>
      </c>
      <c r="F50" s="658">
        <f t="shared" si="6"/>
        <v>67.570704225352102</v>
      </c>
      <c r="G50" s="848">
        <f t="shared" si="7"/>
        <v>64.971830985915489</v>
      </c>
      <c r="H50" s="650"/>
      <c r="I50" s="651"/>
      <c r="J50" s="652"/>
      <c r="K50" s="373"/>
      <c r="N50"/>
      <c r="R50"/>
      <c r="S50"/>
      <c r="T50"/>
    </row>
    <row r="51" spans="1:20" x14ac:dyDescent="0.3">
      <c r="A51" s="319"/>
      <c r="B51" s="379"/>
      <c r="C51" s="378">
        <v>0.7</v>
      </c>
      <c r="D51" s="656">
        <f t="shared" si="4"/>
        <v>3.8983098591549297</v>
      </c>
      <c r="E51" s="655">
        <f t="shared" si="5"/>
        <v>0.06</v>
      </c>
      <c r="F51" s="658">
        <f t="shared" si="6"/>
        <v>68.870140845070424</v>
      </c>
      <c r="G51" s="848">
        <f t="shared" si="7"/>
        <v>64.971830985915489</v>
      </c>
      <c r="H51" s="650"/>
      <c r="I51" s="651"/>
      <c r="J51" s="652"/>
      <c r="K51" s="373"/>
      <c r="N51"/>
      <c r="R51"/>
      <c r="S51"/>
      <c r="T51"/>
    </row>
    <row r="52" spans="1:20" x14ac:dyDescent="0.3">
      <c r="A52" s="319"/>
      <c r="B52" s="379"/>
      <c r="C52" s="378">
        <v>0.8</v>
      </c>
      <c r="D52" s="656">
        <f t="shared" si="4"/>
        <v>4.548028169014084</v>
      </c>
      <c r="E52" s="655">
        <f t="shared" si="5"/>
        <v>7.0000000000000007E-2</v>
      </c>
      <c r="F52" s="658">
        <f t="shared" si="6"/>
        <v>69.519859154929577</v>
      </c>
      <c r="G52" s="848">
        <f t="shared" si="7"/>
        <v>64.971830985915489</v>
      </c>
      <c r="H52" s="650"/>
      <c r="I52" s="651"/>
      <c r="J52" s="652"/>
      <c r="K52" s="373"/>
      <c r="N52"/>
      <c r="R52"/>
      <c r="S52"/>
      <c r="T52"/>
    </row>
    <row r="53" spans="1:20" x14ac:dyDescent="0.3">
      <c r="A53" s="319"/>
      <c r="B53" s="379"/>
      <c r="C53" s="378">
        <v>0.9</v>
      </c>
      <c r="D53" s="656">
        <f t="shared" si="4"/>
        <v>6.497183098591548</v>
      </c>
      <c r="E53" s="655">
        <f t="shared" si="5"/>
        <v>0.1</v>
      </c>
      <c r="F53" s="658">
        <f t="shared" si="6"/>
        <v>71.469014084507037</v>
      </c>
      <c r="G53" s="848">
        <f t="shared" si="7"/>
        <v>64.971830985915489</v>
      </c>
      <c r="H53" s="650"/>
      <c r="I53" s="651"/>
      <c r="J53" s="652"/>
      <c r="K53" s="373"/>
      <c r="N53"/>
      <c r="R53"/>
      <c r="S53"/>
      <c r="T53"/>
    </row>
    <row r="54" spans="1:20" ht="15" thickBot="1" x14ac:dyDescent="0.35">
      <c r="A54" s="319"/>
      <c r="B54" s="379"/>
      <c r="C54" s="238">
        <v>1</v>
      </c>
      <c r="D54" s="280">
        <f t="shared" si="4"/>
        <v>11.694929577464789</v>
      </c>
      <c r="E54" s="659">
        <f t="shared" si="5"/>
        <v>0.18</v>
      </c>
      <c r="F54" s="660">
        <f t="shared" si="6"/>
        <v>76.666760563380279</v>
      </c>
      <c r="G54" s="848">
        <f t="shared" si="7"/>
        <v>64.971830985915489</v>
      </c>
      <c r="H54" s="650"/>
      <c r="I54" s="651"/>
      <c r="J54" s="652"/>
      <c r="K54" s="373"/>
      <c r="N54"/>
      <c r="R54"/>
      <c r="S54"/>
      <c r="T54"/>
    </row>
    <row r="55" spans="1:20" x14ac:dyDescent="0.3">
      <c r="A55" s="319"/>
      <c r="B55" s="379"/>
      <c r="C55" s="666"/>
      <c r="D55" s="667"/>
      <c r="E55" s="666"/>
      <c r="F55" s="667"/>
      <c r="G55" s="653"/>
      <c r="H55" s="650"/>
      <c r="I55" s="651"/>
      <c r="J55" s="652"/>
      <c r="K55" s="373"/>
      <c r="N55"/>
      <c r="R55"/>
      <c r="S55"/>
      <c r="T55"/>
    </row>
    <row r="56" spans="1:20" ht="15" thickBot="1" x14ac:dyDescent="0.35">
      <c r="A56" s="319"/>
      <c r="B56" s="381"/>
      <c r="C56" s="297"/>
      <c r="D56" s="297"/>
      <c r="E56" s="297"/>
      <c r="F56" s="297"/>
      <c r="G56" s="297"/>
      <c r="H56" s="297"/>
      <c r="I56" s="297"/>
      <c r="J56" s="298"/>
      <c r="K56" s="319"/>
      <c r="N56"/>
      <c r="R56"/>
      <c r="S56"/>
      <c r="T56"/>
    </row>
    <row r="57" spans="1:20" x14ac:dyDescent="0.3">
      <c r="A57" s="319"/>
      <c r="B57" s="364"/>
      <c r="C57" s="319"/>
      <c r="D57" s="319"/>
      <c r="E57" s="319"/>
      <c r="F57" s="319"/>
      <c r="G57" s="319"/>
      <c r="H57" s="319"/>
      <c r="I57" s="319"/>
      <c r="J57" s="319"/>
      <c r="K57" s="319"/>
      <c r="N57"/>
      <c r="R57"/>
      <c r="S57"/>
      <c r="T57"/>
    </row>
    <row r="58" spans="1:20" x14ac:dyDescent="0.3">
      <c r="A58" s="239"/>
      <c r="B58" s="9"/>
      <c r="C58" s="212"/>
      <c r="D58" s="212"/>
      <c r="F58" s="9"/>
      <c r="G58"/>
      <c r="H58"/>
      <c r="I58" s="239"/>
      <c r="J58" s="239"/>
      <c r="K58" s="239"/>
      <c r="L58" s="239"/>
      <c r="M58" s="240"/>
      <c r="N58"/>
      <c r="R58"/>
      <c r="S58"/>
      <c r="T58"/>
    </row>
    <row r="59" spans="1:20" ht="15" thickBot="1" x14ac:dyDescent="0.35">
      <c r="B59" s="235" t="s">
        <v>864</v>
      </c>
      <c r="G59"/>
      <c r="H59"/>
      <c r="I59" s="224"/>
      <c r="N59"/>
      <c r="R59"/>
      <c r="S59"/>
      <c r="T59"/>
    </row>
    <row r="60" spans="1:20" ht="15" thickBot="1" x14ac:dyDescent="0.35">
      <c r="B60" s="984" t="s">
        <v>863</v>
      </c>
      <c r="C60" s="241" t="s">
        <v>858</v>
      </c>
      <c r="D60" s="241" t="s">
        <v>862</v>
      </c>
      <c r="E60" s="242" t="s">
        <v>856</v>
      </c>
      <c r="F60" s="243" t="s">
        <v>861</v>
      </c>
      <c r="G60" s="241" t="s">
        <v>854</v>
      </c>
      <c r="H60" s="244" t="s">
        <v>853</v>
      </c>
      <c r="N60"/>
      <c r="R60"/>
      <c r="S60"/>
      <c r="T60"/>
    </row>
    <row r="61" spans="1:20" x14ac:dyDescent="0.3">
      <c r="B61" s="985"/>
      <c r="C61" s="245">
        <v>0</v>
      </c>
      <c r="D61" s="246">
        <f>E20</f>
        <v>28979098.489999998</v>
      </c>
      <c r="E61" s="247">
        <v>-8764067.7482862342</v>
      </c>
      <c r="F61" s="248">
        <f t="shared" ref="F61:F71" si="8">D61*H61</f>
        <v>-8983520.5318999998</v>
      </c>
      <c r="G61" s="249">
        <f t="shared" ref="G61:G71" si="9">D61+F61</f>
        <v>19995577.958099999</v>
      </c>
      <c r="H61" s="250">
        <f t="shared" ref="H61:H71" si="10">ROUNDUP(E61/D61,2)</f>
        <v>-0.31</v>
      </c>
      <c r="N61"/>
      <c r="R61"/>
      <c r="S61"/>
      <c r="T61"/>
    </row>
    <row r="62" spans="1:20" x14ac:dyDescent="0.3">
      <c r="B62" s="985"/>
      <c r="C62" s="251">
        <v>0.1</v>
      </c>
      <c r="D62" s="246">
        <f t="shared" ref="D62:D71" si="11">D61</f>
        <v>28979098.489999998</v>
      </c>
      <c r="E62" s="252">
        <v>-3204255.6046409812</v>
      </c>
      <c r="F62" s="248">
        <f t="shared" si="8"/>
        <v>-3477491.8187999995</v>
      </c>
      <c r="G62" s="249">
        <f t="shared" si="9"/>
        <v>25501606.6712</v>
      </c>
      <c r="H62" s="250">
        <f t="shared" si="10"/>
        <v>-0.12</v>
      </c>
      <c r="N62"/>
      <c r="R62"/>
      <c r="S62"/>
      <c r="T62"/>
    </row>
    <row r="63" spans="1:20" x14ac:dyDescent="0.3">
      <c r="B63" s="985"/>
      <c r="C63" s="251">
        <v>0.2</v>
      </c>
      <c r="D63" s="246">
        <f t="shared" si="11"/>
        <v>28979098.489999998</v>
      </c>
      <c r="E63" s="252">
        <v>-1227646.1866075199</v>
      </c>
      <c r="F63" s="248">
        <f t="shared" si="8"/>
        <v>-1448954.9245</v>
      </c>
      <c r="G63" s="249">
        <f t="shared" si="9"/>
        <v>27530143.565499999</v>
      </c>
      <c r="H63" s="250">
        <f t="shared" si="10"/>
        <v>-0.05</v>
      </c>
      <c r="N63"/>
      <c r="R63"/>
      <c r="S63"/>
      <c r="T63"/>
    </row>
    <row r="64" spans="1:20" x14ac:dyDescent="0.3">
      <c r="B64" s="985"/>
      <c r="C64" s="251">
        <v>0.3</v>
      </c>
      <c r="D64" s="246">
        <f t="shared" si="11"/>
        <v>28979098.489999998</v>
      </c>
      <c r="E64" s="252">
        <v>255158.69109585037</v>
      </c>
      <c r="F64" s="248">
        <f t="shared" si="8"/>
        <v>289790.98489999998</v>
      </c>
      <c r="G64" s="249">
        <f t="shared" si="9"/>
        <v>29268889.4749</v>
      </c>
      <c r="H64" s="250">
        <f t="shared" si="10"/>
        <v>0.01</v>
      </c>
      <c r="N64"/>
      <c r="R64"/>
      <c r="S64"/>
      <c r="T64"/>
    </row>
    <row r="65" spans="2:20" x14ac:dyDescent="0.3">
      <c r="B65" s="985"/>
      <c r="C65" s="251">
        <v>0.4</v>
      </c>
      <c r="D65" s="246">
        <f t="shared" si="11"/>
        <v>28979098.489999998</v>
      </c>
      <c r="E65" s="252">
        <v>1624354.4330104957</v>
      </c>
      <c r="F65" s="248">
        <f t="shared" si="8"/>
        <v>1738745.9094</v>
      </c>
      <c r="G65" s="249">
        <f t="shared" si="9"/>
        <v>30717844.3994</v>
      </c>
      <c r="H65" s="250">
        <f t="shared" si="10"/>
        <v>6.0000000000000005E-2</v>
      </c>
      <c r="N65"/>
      <c r="R65"/>
      <c r="S65"/>
      <c r="T65"/>
    </row>
    <row r="66" spans="2:20" x14ac:dyDescent="0.3">
      <c r="B66" s="985"/>
      <c r="C66" s="251">
        <v>0.5</v>
      </c>
      <c r="D66" s="246">
        <f t="shared" si="11"/>
        <v>28979098.489999998</v>
      </c>
      <c r="E66" s="252">
        <v>3099768.1860032952</v>
      </c>
      <c r="F66" s="248">
        <f t="shared" si="8"/>
        <v>3187700.8339</v>
      </c>
      <c r="G66" s="249">
        <f t="shared" si="9"/>
        <v>32166799.323899999</v>
      </c>
      <c r="H66" s="250">
        <f t="shared" si="10"/>
        <v>0.11</v>
      </c>
      <c r="N66"/>
      <c r="R66"/>
      <c r="S66"/>
      <c r="T66"/>
    </row>
    <row r="67" spans="2:20" x14ac:dyDescent="0.3">
      <c r="B67" s="985"/>
      <c r="C67" s="251">
        <v>0.6</v>
      </c>
      <c r="D67" s="246">
        <f t="shared" si="11"/>
        <v>28979098.489999998</v>
      </c>
      <c r="E67" s="252">
        <v>4653494.3831941914</v>
      </c>
      <c r="F67" s="248">
        <f t="shared" si="8"/>
        <v>4926446.7433000002</v>
      </c>
      <c r="G67" s="249">
        <f t="shared" si="9"/>
        <v>33905545.2333</v>
      </c>
      <c r="H67" s="250">
        <f t="shared" si="10"/>
        <v>0.17</v>
      </c>
      <c r="N67"/>
      <c r="R67"/>
      <c r="S67"/>
      <c r="T67"/>
    </row>
    <row r="68" spans="2:20" x14ac:dyDescent="0.3">
      <c r="B68" s="985"/>
      <c r="C68" s="251">
        <v>0.7</v>
      </c>
      <c r="D68" s="246">
        <f t="shared" si="11"/>
        <v>28979098.489999998</v>
      </c>
      <c r="E68" s="252">
        <v>6386890.6143433619</v>
      </c>
      <c r="F68" s="248">
        <f t="shared" si="8"/>
        <v>6665192.6526999995</v>
      </c>
      <c r="G68" s="249">
        <f t="shared" si="9"/>
        <v>35644291.142700002</v>
      </c>
      <c r="H68" s="250">
        <f t="shared" si="10"/>
        <v>0.23</v>
      </c>
      <c r="N68"/>
      <c r="R68"/>
      <c r="S68"/>
      <c r="T68"/>
    </row>
    <row r="69" spans="2:20" x14ac:dyDescent="0.3">
      <c r="B69" s="985"/>
      <c r="C69" s="253">
        <v>0.8</v>
      </c>
      <c r="D69" s="246">
        <f t="shared" si="11"/>
        <v>28979098.489999998</v>
      </c>
      <c r="E69" s="252">
        <v>8430883.7862095013</v>
      </c>
      <c r="F69" s="248">
        <f t="shared" si="8"/>
        <v>8693729.5469999984</v>
      </c>
      <c r="G69" s="249">
        <f t="shared" si="9"/>
        <v>37672828.037</v>
      </c>
      <c r="H69" s="250">
        <f t="shared" si="10"/>
        <v>0.3</v>
      </c>
      <c r="N69"/>
      <c r="R69"/>
      <c r="S69"/>
      <c r="T69"/>
    </row>
    <row r="70" spans="2:20" x14ac:dyDescent="0.3">
      <c r="B70" s="985"/>
      <c r="C70" s="251">
        <v>0.9</v>
      </c>
      <c r="D70" s="246">
        <f t="shared" si="11"/>
        <v>28979098.489999998</v>
      </c>
      <c r="E70" s="252">
        <v>11173736.674482957</v>
      </c>
      <c r="F70" s="248">
        <f t="shared" si="8"/>
        <v>11301848.4111</v>
      </c>
      <c r="G70" s="249">
        <f t="shared" si="9"/>
        <v>40280946.901099995</v>
      </c>
      <c r="H70" s="250">
        <f t="shared" si="10"/>
        <v>0.39</v>
      </c>
      <c r="L70" s="153"/>
      <c r="N70"/>
      <c r="R70"/>
      <c r="S70"/>
      <c r="T70"/>
    </row>
    <row r="71" spans="2:20" ht="15" thickBot="1" x14ac:dyDescent="0.35">
      <c r="B71" s="986"/>
      <c r="C71" s="254">
        <v>1</v>
      </c>
      <c r="D71" s="255">
        <f t="shared" si="11"/>
        <v>28979098.489999998</v>
      </c>
      <c r="E71" s="256">
        <v>19917475.216274232</v>
      </c>
      <c r="F71" s="257">
        <f t="shared" si="8"/>
        <v>19995577.958100002</v>
      </c>
      <c r="G71" s="258">
        <f t="shared" si="9"/>
        <v>48974676.448100001</v>
      </c>
      <c r="H71" s="259">
        <f t="shared" si="10"/>
        <v>0.69000000000000006</v>
      </c>
      <c r="N71"/>
      <c r="R71"/>
      <c r="S71"/>
      <c r="T71"/>
    </row>
    <row r="72" spans="2:20" x14ac:dyDescent="0.3">
      <c r="B72"/>
      <c r="G72"/>
      <c r="H72" s="224"/>
      <c r="N72"/>
      <c r="R72"/>
      <c r="S72"/>
      <c r="T72"/>
    </row>
    <row r="73" spans="2:20" x14ac:dyDescent="0.3">
      <c r="B73"/>
      <c r="G73"/>
      <c r="H73" s="224"/>
      <c r="N73"/>
      <c r="R73"/>
      <c r="S73"/>
      <c r="T73"/>
    </row>
    <row r="74" spans="2:20" ht="15" thickBot="1" x14ac:dyDescent="0.35">
      <c r="B74" s="235" t="s">
        <v>860</v>
      </c>
      <c r="C74" s="101"/>
      <c r="D74" s="101"/>
      <c r="E74" s="101"/>
      <c r="G74" s="260"/>
      <c r="H74" s="261"/>
      <c r="N74"/>
      <c r="R74"/>
      <c r="S74"/>
      <c r="T74"/>
    </row>
    <row r="75" spans="2:20" ht="15" thickBot="1" x14ac:dyDescent="0.35">
      <c r="B75" s="984" t="s">
        <v>859</v>
      </c>
      <c r="C75" s="241" t="s">
        <v>858</v>
      </c>
      <c r="D75" s="241" t="s">
        <v>857</v>
      </c>
      <c r="E75" s="242" t="s">
        <v>856</v>
      </c>
      <c r="F75" s="243" t="s">
        <v>855</v>
      </c>
      <c r="G75" s="241" t="s">
        <v>854</v>
      </c>
      <c r="H75" s="244" t="s">
        <v>853</v>
      </c>
      <c r="N75"/>
      <c r="R75"/>
      <c r="S75"/>
      <c r="T75"/>
    </row>
    <row r="76" spans="2:20" x14ac:dyDescent="0.3">
      <c r="B76" s="985"/>
      <c r="C76" s="262">
        <v>0</v>
      </c>
      <c r="D76" s="263">
        <f>'E-Cost &amp; Schedule Summary'!C8</f>
        <v>64.971830985915489</v>
      </c>
      <c r="E76" s="264">
        <v>-2.9588157679223639</v>
      </c>
      <c r="F76" s="265">
        <f t="shared" ref="F76:F86" si="12">D76*H76</f>
        <v>-3.2485915492957744</v>
      </c>
      <c r="G76" s="266">
        <f t="shared" ref="G76:G86" si="13">D76+F76</f>
        <v>61.723239436619714</v>
      </c>
      <c r="H76" s="267">
        <f t="shared" ref="H76:H86" si="14">ROUNDUP(E76/D76,2)</f>
        <v>-0.05</v>
      </c>
      <c r="N76"/>
      <c r="R76"/>
      <c r="S76"/>
      <c r="T76"/>
    </row>
    <row r="77" spans="2:20" x14ac:dyDescent="0.3">
      <c r="B77" s="985"/>
      <c r="C77" s="268">
        <f t="shared" ref="C77:C86" si="15">C76+0.1</f>
        <v>0.1</v>
      </c>
      <c r="D77" s="263">
        <f t="shared" ref="D77:D86" si="16">D76</f>
        <v>64.971830985915489</v>
      </c>
      <c r="E77" s="269">
        <v>-1.0288420884035507</v>
      </c>
      <c r="F77" s="270">
        <f t="shared" si="12"/>
        <v>-1.2994366197183098</v>
      </c>
      <c r="G77" s="271">
        <f t="shared" si="13"/>
        <v>63.672394366197182</v>
      </c>
      <c r="H77" s="272">
        <f t="shared" si="14"/>
        <v>-0.02</v>
      </c>
      <c r="N77"/>
      <c r="R77"/>
      <c r="S77"/>
      <c r="T77"/>
    </row>
    <row r="78" spans="2:20" x14ac:dyDescent="0.3">
      <c r="B78" s="985"/>
      <c r="C78" s="268">
        <f t="shared" si="15"/>
        <v>0.2</v>
      </c>
      <c r="D78" s="263">
        <f t="shared" si="16"/>
        <v>64.971830985915489</v>
      </c>
      <c r="E78" s="269">
        <v>-0.24051260919759104</v>
      </c>
      <c r="F78" s="270">
        <f t="shared" si="12"/>
        <v>-0.64971830985915491</v>
      </c>
      <c r="G78" s="271">
        <f t="shared" si="13"/>
        <v>64.322112676056335</v>
      </c>
      <c r="H78" s="272">
        <f t="shared" si="14"/>
        <v>-0.01</v>
      </c>
    </row>
    <row r="79" spans="2:20" x14ac:dyDescent="0.3">
      <c r="B79" s="985"/>
      <c r="C79" s="268">
        <f t="shared" si="15"/>
        <v>0.30000000000000004</v>
      </c>
      <c r="D79" s="263">
        <f t="shared" si="16"/>
        <v>64.971830985915489</v>
      </c>
      <c r="E79" s="269">
        <v>0.39313329052718798</v>
      </c>
      <c r="F79" s="270">
        <f t="shared" si="12"/>
        <v>0.64971830985915491</v>
      </c>
      <c r="G79" s="271">
        <f t="shared" si="13"/>
        <v>65.621549295774642</v>
      </c>
      <c r="H79" s="272">
        <f t="shared" si="14"/>
        <v>0.01</v>
      </c>
    </row>
    <row r="80" spans="2:20" x14ac:dyDescent="0.3">
      <c r="B80" s="985"/>
      <c r="C80" s="268">
        <f t="shared" si="15"/>
        <v>0.4</v>
      </c>
      <c r="D80" s="263">
        <f t="shared" si="16"/>
        <v>64.971830985915489</v>
      </c>
      <c r="E80" s="269">
        <v>1.023905322598158</v>
      </c>
      <c r="F80" s="270">
        <f t="shared" si="12"/>
        <v>1.2994366197183098</v>
      </c>
      <c r="G80" s="271">
        <f t="shared" si="13"/>
        <v>66.271267605633795</v>
      </c>
      <c r="H80" s="272">
        <f t="shared" si="14"/>
        <v>0.02</v>
      </c>
    </row>
    <row r="81" spans="2:9" x14ac:dyDescent="0.3">
      <c r="B81" s="985"/>
      <c r="C81" s="268">
        <f t="shared" si="15"/>
        <v>0.5</v>
      </c>
      <c r="D81" s="263">
        <f t="shared" si="16"/>
        <v>64.971830985915489</v>
      </c>
      <c r="E81" s="269">
        <v>1.78464631257918</v>
      </c>
      <c r="F81" s="270">
        <f t="shared" si="12"/>
        <v>1.9491549295774646</v>
      </c>
      <c r="G81" s="271">
        <f t="shared" si="13"/>
        <v>66.920985915492949</v>
      </c>
      <c r="H81" s="272">
        <f t="shared" si="14"/>
        <v>0.03</v>
      </c>
    </row>
    <row r="82" spans="2:9" x14ac:dyDescent="0.3">
      <c r="B82" s="985"/>
      <c r="C82" s="268">
        <f t="shared" si="15"/>
        <v>0.6</v>
      </c>
      <c r="D82" s="263">
        <f t="shared" si="16"/>
        <v>64.971830985915489</v>
      </c>
      <c r="E82" s="269">
        <v>2.5565346971155121</v>
      </c>
      <c r="F82" s="270">
        <f t="shared" si="12"/>
        <v>2.5988732394366196</v>
      </c>
      <c r="G82" s="271">
        <f t="shared" si="13"/>
        <v>67.570704225352102</v>
      </c>
      <c r="H82" s="272">
        <f t="shared" si="14"/>
        <v>0.04</v>
      </c>
    </row>
    <row r="83" spans="2:9" x14ac:dyDescent="0.3">
      <c r="B83" s="985"/>
      <c r="C83" s="268">
        <f t="shared" si="15"/>
        <v>0.7</v>
      </c>
      <c r="D83" s="263">
        <f t="shared" si="16"/>
        <v>64.971830985915489</v>
      </c>
      <c r="E83" s="269">
        <v>3.4596737420796151</v>
      </c>
      <c r="F83" s="270">
        <f t="shared" si="12"/>
        <v>3.8983098591549297</v>
      </c>
      <c r="G83" s="271">
        <f t="shared" si="13"/>
        <v>68.870140845070424</v>
      </c>
      <c r="H83" s="272">
        <f t="shared" si="14"/>
        <v>6.0000000000000005E-2</v>
      </c>
    </row>
    <row r="84" spans="2:9" x14ac:dyDescent="0.3">
      <c r="B84" s="985"/>
      <c r="C84" s="268">
        <f t="shared" si="15"/>
        <v>0.79999999999999993</v>
      </c>
      <c r="D84" s="263">
        <f t="shared" si="16"/>
        <v>64.971830985915489</v>
      </c>
      <c r="E84" s="269">
        <v>4.4807515628171739</v>
      </c>
      <c r="F84" s="270">
        <f t="shared" si="12"/>
        <v>4.548028169014084</v>
      </c>
      <c r="G84" s="271">
        <f t="shared" si="13"/>
        <v>69.519859154929577</v>
      </c>
      <c r="H84" s="272">
        <f t="shared" si="14"/>
        <v>6.9999999999999993E-2</v>
      </c>
    </row>
    <row r="85" spans="2:9" x14ac:dyDescent="0.3">
      <c r="B85" s="985"/>
      <c r="C85" s="268">
        <f t="shared" si="15"/>
        <v>0.89999999999999991</v>
      </c>
      <c r="D85" s="263">
        <f t="shared" si="16"/>
        <v>64.971830985915489</v>
      </c>
      <c r="E85" s="269">
        <v>5.8619163793628264</v>
      </c>
      <c r="F85" s="270">
        <f t="shared" si="12"/>
        <v>6.497183098591548</v>
      </c>
      <c r="G85" s="271">
        <f t="shared" si="13"/>
        <v>71.469014084507037</v>
      </c>
      <c r="H85" s="272">
        <f t="shared" si="14"/>
        <v>9.9999999999999992E-2</v>
      </c>
    </row>
    <row r="86" spans="2:9" ht="15" thickBot="1" x14ac:dyDescent="0.35">
      <c r="B86" s="986"/>
      <c r="C86" s="273">
        <f t="shared" si="15"/>
        <v>0.99999999999999989</v>
      </c>
      <c r="D86" s="274">
        <f t="shared" si="16"/>
        <v>64.971830985915489</v>
      </c>
      <c r="E86" s="275">
        <v>11.670454254283872</v>
      </c>
      <c r="F86" s="276">
        <f t="shared" si="12"/>
        <v>11.694929577464789</v>
      </c>
      <c r="G86" s="277">
        <f t="shared" si="13"/>
        <v>76.666760563380279</v>
      </c>
      <c r="H86" s="278">
        <f t="shared" si="14"/>
        <v>0.18000000000000002</v>
      </c>
    </row>
    <row r="87" spans="2:9" x14ac:dyDescent="0.3">
      <c r="B87"/>
      <c r="G87"/>
      <c r="H87"/>
      <c r="I87" s="224"/>
    </row>
    <row r="88" spans="2:9" x14ac:dyDescent="0.3">
      <c r="B88"/>
      <c r="G88"/>
      <c r="H88"/>
      <c r="I88" s="224"/>
    </row>
  </sheetData>
  <mergeCells count="29">
    <mergeCell ref="A1:K1"/>
    <mergeCell ref="B3:E14"/>
    <mergeCell ref="C19:F19"/>
    <mergeCell ref="C41:D41"/>
    <mergeCell ref="C42:F42"/>
    <mergeCell ref="C21:F21"/>
    <mergeCell ref="C20:D20"/>
    <mergeCell ref="C40:F40"/>
    <mergeCell ref="G5:H5"/>
    <mergeCell ref="G6:H6"/>
    <mergeCell ref="G13:H13"/>
    <mergeCell ref="G14:H14"/>
    <mergeCell ref="G8:H8"/>
    <mergeCell ref="B75:B86"/>
    <mergeCell ref="I3:J3"/>
    <mergeCell ref="I8:J8"/>
    <mergeCell ref="E41:F41"/>
    <mergeCell ref="C39:E39"/>
    <mergeCell ref="G9:H9"/>
    <mergeCell ref="G10:H10"/>
    <mergeCell ref="G11:H11"/>
    <mergeCell ref="B60:B71"/>
    <mergeCell ref="B16:J16"/>
    <mergeCell ref="B37:J37"/>
    <mergeCell ref="E20:F20"/>
    <mergeCell ref="G3:H3"/>
    <mergeCell ref="G12:H12"/>
    <mergeCell ref="C18:E18"/>
    <mergeCell ref="G4:H4"/>
  </mergeCells>
  <pageMargins left="0.25" right="0.25" top="0.25" bottom="0.5" header="0.25" footer="0.25"/>
  <pageSetup scale="70" fitToHeight="0" orientation="landscape" horizontalDpi="1200" verticalDpi="1200" r:id="rId1"/>
  <headerFooter>
    <oddFooter>&amp;CPage &amp;P of &amp;N</oddFooter>
  </headerFooter>
  <rowBreaks count="1" manualBreakCount="1">
    <brk id="36" max="1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0" id="{2FE302E6-096B-4335-8992-41113F463838}">
            <xm:f>$C23='D-Project Data'!$C$6</xm:f>
            <x14:dxf>
              <font>
                <b/>
                <i val="0"/>
              </font>
              <fill>
                <patternFill>
                  <bgColor rgb="FFFFFF00"/>
                </patternFill>
              </fill>
            </x14:dxf>
          </x14:cfRule>
          <xm:sqref>C44:F55 C23:F33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D104"/>
  <sheetViews>
    <sheetView showGridLines="0" zoomScaleNormal="100" workbookViewId="0">
      <pane ySplit="15" topLeftCell="A16" activePane="bottomLeft" state="frozen"/>
      <selection pane="bottomLeft" activeCell="M50" sqref="M50"/>
    </sheetView>
  </sheetViews>
  <sheetFormatPr defaultColWidth="8.88671875" defaultRowHeight="14.4" x14ac:dyDescent="0.3"/>
  <cols>
    <col min="1" max="1" width="2.88671875" style="83" customWidth="1"/>
    <col min="2" max="2" width="5.5546875" customWidth="1"/>
    <col min="3" max="5" width="10.88671875" customWidth="1"/>
    <col min="6" max="6" width="5.88671875" customWidth="1"/>
    <col min="7" max="8" width="25.88671875" style="220" customWidth="1"/>
    <col min="9" max="9" width="25.88671875" customWidth="1"/>
    <col min="10" max="10" width="5.88671875" customWidth="1"/>
    <col min="11" max="11" width="2.88671875" customWidth="1"/>
    <col min="12" max="12" width="5.5546875" customWidth="1"/>
    <col min="13" max="13" width="24" bestFit="1" customWidth="1"/>
    <col min="14" max="14" width="17" customWidth="1"/>
    <col min="15" max="15" width="25.5546875" bestFit="1" customWidth="1"/>
    <col min="16" max="16" width="9.109375"/>
    <col min="17" max="18" width="15.88671875" customWidth="1"/>
    <col min="19" max="19" width="20.88671875" customWidth="1"/>
    <col min="20" max="24" width="15.88671875" customWidth="1"/>
    <col min="25" max="25" width="8.88671875" customWidth="1"/>
    <col min="26" max="26" width="9.44140625" customWidth="1"/>
    <col min="27" max="27" width="33.44140625" customWidth="1"/>
    <col min="28" max="28" width="8.88671875" customWidth="1"/>
  </cols>
  <sheetData>
    <row r="1" spans="1:27" s="7" customFormat="1" ht="21" x14ac:dyDescent="0.4">
      <c r="A1" s="1010" t="s">
        <v>1335</v>
      </c>
      <c r="B1" s="1010"/>
      <c r="C1" s="1010"/>
      <c r="D1" s="1010"/>
      <c r="E1" s="1010"/>
      <c r="F1" s="1010"/>
      <c r="G1" s="1010"/>
      <c r="H1" s="1010"/>
      <c r="I1" s="1010"/>
      <c r="J1" s="1010"/>
      <c r="K1" s="1010"/>
      <c r="M1" s="674"/>
      <c r="N1" s="674"/>
      <c r="R1" s="675"/>
      <c r="S1" s="675"/>
      <c r="T1" s="675"/>
    </row>
    <row r="2" spans="1:27" ht="15" thickBot="1" x14ac:dyDescent="0.35">
      <c r="A2" s="359"/>
      <c r="B2" s="319"/>
      <c r="C2" s="319"/>
      <c r="D2" s="319"/>
      <c r="E2" s="319"/>
      <c r="F2" s="319"/>
      <c r="G2" s="360"/>
      <c r="H2" s="360"/>
      <c r="I2" s="319"/>
      <c r="J2" s="319"/>
      <c r="K2" s="319"/>
    </row>
    <row r="3" spans="1:27" ht="15" customHeight="1" thickBot="1" x14ac:dyDescent="0.35">
      <c r="A3" s="359"/>
      <c r="B3" s="1011" t="str">
        <f>'D-Project Data'!C9&amp;CHAR(10)&amp;CHAR(10)&amp;TEXT('D-Project Data'!C14,"mmmm yyyy")</f>
        <v>Project Name
November 2022</v>
      </c>
      <c r="C3" s="1011"/>
      <c r="D3" s="1011"/>
      <c r="E3" s="1011"/>
      <c r="F3" s="319"/>
      <c r="G3" s="1006" t="str">
        <f>'I-Project Contingency'!G3</f>
        <v>Contingency on Base Estimate</v>
      </c>
      <c r="H3" s="1007"/>
      <c r="I3" s="987">
        <f>'I-Project Contingency'!I3</f>
        <v>0.8</v>
      </c>
      <c r="J3" s="988"/>
      <c r="K3" s="319"/>
    </row>
    <row r="4" spans="1:27" x14ac:dyDescent="0.3">
      <c r="A4" s="359"/>
      <c r="B4" s="1011"/>
      <c r="C4" s="1011"/>
      <c r="D4" s="1011"/>
      <c r="E4" s="1011"/>
      <c r="F4" s="319"/>
      <c r="G4" s="1037" t="str">
        <f>'I-Project Contingency'!G4</f>
        <v>Base Estimate</v>
      </c>
      <c r="H4" s="1038"/>
      <c r="I4" s="225">
        <f>'I-Project Contingency'!I4</f>
        <v>28979098.489999998</v>
      </c>
      <c r="J4" s="226" t="s">
        <v>665</v>
      </c>
      <c r="K4" s="319"/>
      <c r="M4" s="153"/>
    </row>
    <row r="5" spans="1:27" x14ac:dyDescent="0.3">
      <c r="A5" s="359"/>
      <c r="B5" s="1011"/>
      <c r="C5" s="1011"/>
      <c r="D5" s="1011"/>
      <c r="E5" s="1011"/>
      <c r="F5" s="319"/>
      <c r="G5" s="1039" t="str">
        <f>'I-Project Contingency'!G5</f>
        <v>Estimate Contingency</v>
      </c>
      <c r="H5" s="1040"/>
      <c r="I5" s="228">
        <f>'I-Project Contingency'!I5</f>
        <v>8693729.5469999984</v>
      </c>
      <c r="J5" s="229">
        <f>'I-Project Contingency'!J5</f>
        <v>0.3</v>
      </c>
      <c r="K5" s="319"/>
      <c r="M5" s="153"/>
    </row>
    <row r="6" spans="1:27" ht="15" thickBot="1" x14ac:dyDescent="0.35">
      <c r="A6" s="359"/>
      <c r="B6" s="1011"/>
      <c r="C6" s="1011"/>
      <c r="D6" s="1011"/>
      <c r="E6" s="1011"/>
      <c r="F6" s="319"/>
      <c r="G6" s="1041">
        <f>'I-Project Contingency'!G6</f>
        <v>0.8</v>
      </c>
      <c r="H6" s="1042"/>
      <c r="I6" s="231">
        <f>'I-Project Contingency'!I6</f>
        <v>37672828.037</v>
      </c>
      <c r="J6" s="232" t="s">
        <v>665</v>
      </c>
      <c r="K6" s="319"/>
    </row>
    <row r="7" spans="1:27" ht="15" thickBot="1" x14ac:dyDescent="0.35">
      <c r="A7" s="359"/>
      <c r="B7" s="1011"/>
      <c r="C7" s="1011"/>
      <c r="D7" s="1011"/>
      <c r="E7" s="1011"/>
      <c r="F7" s="319"/>
      <c r="G7" s="361" t="s">
        <v>665</v>
      </c>
      <c r="H7" s="361"/>
      <c r="I7" s="362" t="s">
        <v>665</v>
      </c>
      <c r="J7" s="329" t="s">
        <v>665</v>
      </c>
      <c r="K7" s="319" t="s">
        <v>665</v>
      </c>
    </row>
    <row r="8" spans="1:27" ht="15" thickBot="1" x14ac:dyDescent="0.35">
      <c r="A8" s="359"/>
      <c r="B8" s="1011"/>
      <c r="C8" s="1011"/>
      <c r="D8" s="1011"/>
      <c r="E8" s="1011"/>
      <c r="F8" s="319"/>
      <c r="G8" s="1006" t="str">
        <f>'I-Project Contingency'!G8</f>
        <v>Contingency on Base Schedule</v>
      </c>
      <c r="H8" s="1007"/>
      <c r="I8" s="1032">
        <f>'I-Project Contingency'!I8</f>
        <v>0.8</v>
      </c>
      <c r="J8" s="1033"/>
      <c r="K8" s="319"/>
    </row>
    <row r="9" spans="1:27" x14ac:dyDescent="0.3">
      <c r="A9" s="359"/>
      <c r="B9" s="1011"/>
      <c r="C9" s="1011"/>
      <c r="D9" s="1011"/>
      <c r="E9" s="1011"/>
      <c r="F9" s="319"/>
      <c r="G9" s="994" t="str">
        <f>'I-Project Contingency'!G9</f>
        <v>Base Schedule Start Date</v>
      </c>
      <c r="H9" s="995"/>
      <c r="I9" s="287">
        <f>'I-Project Contingency'!I9</f>
        <v>44470</v>
      </c>
      <c r="J9" s="288" t="str">
        <f>'I-Project Contingency'!J9</f>
        <v xml:space="preserve"> </v>
      </c>
      <c r="K9" s="319"/>
    </row>
    <row r="10" spans="1:27" x14ac:dyDescent="0.3">
      <c r="A10" s="359"/>
      <c r="B10" s="1011"/>
      <c r="C10" s="1011"/>
      <c r="D10" s="1011"/>
      <c r="E10" s="1011"/>
      <c r="F10" s="319"/>
      <c r="G10" s="996" t="str">
        <f>'I-Project Contingency'!G10</f>
        <v>Base Schedule Finish Date</v>
      </c>
      <c r="H10" s="997"/>
      <c r="I10" s="289">
        <f>'I-Project Contingency'!I10</f>
        <v>46447</v>
      </c>
      <c r="J10" s="290"/>
      <c r="K10" s="319"/>
    </row>
    <row r="11" spans="1:27" x14ac:dyDescent="0.3">
      <c r="A11" s="359"/>
      <c r="B11" s="1011"/>
      <c r="C11" s="1011"/>
      <c r="D11" s="1011"/>
      <c r="E11" s="1011"/>
      <c r="F11" s="319"/>
      <c r="G11" s="996" t="str">
        <f>'I-Project Contingency'!G11</f>
        <v>Base Schedule Duration</v>
      </c>
      <c r="H11" s="997"/>
      <c r="I11" s="291">
        <f>'I-Project Contingency'!I11</f>
        <v>64.971830985915489</v>
      </c>
      <c r="J11" s="290"/>
      <c r="K11" s="319"/>
    </row>
    <row r="12" spans="1:27" x14ac:dyDescent="0.3">
      <c r="A12" s="359"/>
      <c r="B12" s="1011"/>
      <c r="C12" s="1011"/>
      <c r="D12" s="1011"/>
      <c r="E12" s="1011"/>
      <c r="F12" s="319"/>
      <c r="G12" s="996" t="str">
        <f>'I-Project Contingency'!G12</f>
        <v>Schedule Contingency Duration</v>
      </c>
      <c r="H12" s="997"/>
      <c r="I12" s="291">
        <f>'I-Project Contingency'!I12</f>
        <v>4.548028169014084</v>
      </c>
      <c r="J12" s="292">
        <f>'I-Project Contingency'!J12</f>
        <v>6.9999999999999993E-2</v>
      </c>
      <c r="K12" s="319"/>
    </row>
    <row r="13" spans="1:27" x14ac:dyDescent="0.3">
      <c r="A13" s="359"/>
      <c r="B13" s="1011"/>
      <c r="C13" s="1011"/>
      <c r="D13" s="1011"/>
      <c r="E13" s="1011"/>
      <c r="F13" s="319"/>
      <c r="G13" s="1027">
        <f>'I-Project Contingency'!G13</f>
        <v>0.8</v>
      </c>
      <c r="H13" s="1028"/>
      <c r="I13" s="291">
        <f>'I-Project Contingency'!I13</f>
        <v>69.519859154929577</v>
      </c>
      <c r="J13" s="290"/>
      <c r="K13" s="319"/>
    </row>
    <row r="14" spans="1:27" ht="15" thickBot="1" x14ac:dyDescent="0.35">
      <c r="A14" s="359"/>
      <c r="B14" s="1011"/>
      <c r="C14" s="1011"/>
      <c r="D14" s="1011"/>
      <c r="E14" s="1011"/>
      <c r="F14" s="319"/>
      <c r="G14" s="1029">
        <f>'I-Project Contingency'!G14</f>
        <v>0.8</v>
      </c>
      <c r="H14" s="1030"/>
      <c r="I14" s="293">
        <f>'I-Project Contingency'!I14</f>
        <v>46586</v>
      </c>
      <c r="J14" s="294"/>
      <c r="K14" s="319"/>
    </row>
    <row r="15" spans="1:27" ht="15" thickBot="1" x14ac:dyDescent="0.35">
      <c r="A15" s="359"/>
      <c r="B15" s="319"/>
      <c r="C15" s="319"/>
      <c r="D15" s="319"/>
      <c r="E15" s="319"/>
      <c r="F15" s="319"/>
      <c r="G15" s="361"/>
      <c r="H15" s="361"/>
      <c r="I15" s="362"/>
      <c r="J15" s="319"/>
      <c r="K15" s="319"/>
      <c r="Q15" s="1043" t="s">
        <v>885</v>
      </c>
      <c r="R15" s="1044"/>
      <c r="S15" s="1044"/>
      <c r="T15" s="1044"/>
      <c r="U15" s="1044"/>
      <c r="V15" s="1044"/>
      <c r="W15" s="1044"/>
      <c r="X15" s="1045"/>
    </row>
    <row r="16" spans="1:27" ht="29.4" thickBot="1" x14ac:dyDescent="0.35">
      <c r="A16" s="329"/>
      <c r="B16" s="1034" t="s">
        <v>886</v>
      </c>
      <c r="C16" s="1035"/>
      <c r="D16" s="1035"/>
      <c r="E16" s="1035"/>
      <c r="F16" s="1035"/>
      <c r="G16" s="1035"/>
      <c r="H16" s="1035"/>
      <c r="I16" s="1035"/>
      <c r="J16" s="1036"/>
      <c r="K16" s="319"/>
      <c r="Q16" s="307" t="s">
        <v>884</v>
      </c>
      <c r="R16" s="308" t="str">
        <f>'H-Risk Register-Model'!$BS$17</f>
        <v>Risk Item for Lookup</v>
      </c>
      <c r="S16" s="308" t="str">
        <f>'H-Risk Register-Model'!BT17</f>
        <v>Risk Item Name for Chart</v>
      </c>
      <c r="T16" s="308" t="str">
        <f>'H-Risk Register-Model'!BU17</f>
        <v>Cost LV</v>
      </c>
      <c r="U16" s="308" t="str">
        <f>'H-Risk Register-Model'!BV17</f>
        <v>Cost HV</v>
      </c>
      <c r="V16" s="308" t="str">
        <f>'H-Risk Register-Model'!BK17</f>
        <v>ROM Cost Risk @ 50%</v>
      </c>
      <c r="W16" s="308" t="str">
        <f>'H-Risk Register-Model'!BL17</f>
        <v>ROM Cost Risk @ 80%</v>
      </c>
      <c r="X16" s="309" t="str">
        <f>'H-Risk Register-Model'!BM17</f>
        <v>ROM Cost Risk @ 90%</v>
      </c>
      <c r="Y16" s="8"/>
      <c r="Z16" s="8"/>
      <c r="AA16" s="299"/>
    </row>
    <row r="17" spans="1:30" x14ac:dyDescent="0.3">
      <c r="A17" s="329"/>
      <c r="B17" s="676"/>
      <c r="C17" s="363"/>
      <c r="D17" s="363"/>
      <c r="E17" s="363"/>
      <c r="F17" s="363"/>
      <c r="G17" s="363"/>
      <c r="H17" s="363"/>
      <c r="I17" s="363"/>
      <c r="J17" s="677"/>
      <c r="K17" s="319"/>
      <c r="Q17" s="310">
        <v>1</v>
      </c>
      <c r="R17" s="554">
        <f ca="1">IFERROR(IF((ABS(T17)+ABS(U17))=0,"N/A",VLOOKUP($Q17,'H-Risk Register-Model'!$BJ:$BX,MATCH(R$16,'H-Risk Register-Model'!$BJ$17:$BX$17,0),FALSE)),"N/A")</f>
        <v>1</v>
      </c>
      <c r="S17" s="8" t="str">
        <f ca="1">IFERROR(IF((U17+V17)=0,"N/A",VLOOKUP($Q17,'H-Risk Register-Model'!$BJ:$BX,MATCH(S$16,'H-Risk Register-Model'!$BJ$17:$BX$17,0),FALSE)),"N/A")</f>
        <v>1 - Example Variation Risk of Relatively Known Quantities</v>
      </c>
      <c r="T17" s="560">
        <f ca="1">IFERROR(VLOOKUP($Q17,'H-Risk Register-Model'!$BJ:$BX,MATCH(T$16,'H-Risk Register-Model'!$BJ$17:$BX$17,0),FALSE),"N/A")</f>
        <v>-8200000</v>
      </c>
      <c r="U17" s="560">
        <f ca="1">IFERROR(VLOOKUP($Q17,'H-Risk Register-Model'!$BJ:$BX,MATCH(U$16,'H-Risk Register-Model'!$BJ$17:$BX$17,0),FALSE),"N/A")</f>
        <v>16400000</v>
      </c>
      <c r="V17" s="560">
        <f>IFERROR(VLOOKUP($Q17,'H-Risk Register-Model'!$BJ:$BX,MATCH(V$16,'H-Risk Register-Model'!$BJ$17:$BX$17,0),FALSE),"N/A")</f>
        <v>2378917.6390124438</v>
      </c>
      <c r="W17" s="560">
        <f>IFERROR(VLOOKUP($Q17,'H-Risk Register-Model'!$BJ:$BX,MATCH(W$16,'H-Risk Register-Model'!$BJ$17:$BX$17,0),FALSE),"N/A")</f>
        <v>7222736.5282655787</v>
      </c>
      <c r="X17" s="311">
        <f>IFERROR(VLOOKUP($Q17,'H-Risk Register-Model'!$BJ:$BX,MATCH(X$16,'H-Risk Register-Model'!$BJ$17:$BX$17,0),FALSE),"N/A")</f>
        <v>9600107.4637635425</v>
      </c>
      <c r="Y17" s="8"/>
      <c r="AB17" s="239"/>
      <c r="AC17" s="239"/>
    </row>
    <row r="18" spans="1:30" x14ac:dyDescent="0.3">
      <c r="A18" s="363"/>
      <c r="B18" s="678"/>
      <c r="C18" s="329"/>
      <c r="D18" s="329"/>
      <c r="E18" s="319"/>
      <c r="F18" s="363"/>
      <c r="G18" s="319"/>
      <c r="H18" s="319"/>
      <c r="I18" s="113"/>
      <c r="J18" s="679"/>
      <c r="K18" s="319"/>
      <c r="M18" s="300" t="s">
        <v>883</v>
      </c>
      <c r="N18" s="239"/>
      <c r="O18" s="239"/>
      <c r="P18" s="239"/>
      <c r="Q18" s="310">
        <f t="shared" ref="Q18:Q26" si="0">Q17+1</f>
        <v>2</v>
      </c>
      <c r="R18" s="554">
        <f>IFERROR(IF((ABS(T18)+ABS(U18))=0,"N/A",VLOOKUP($Q18,'H-Risk Register-Model'!$BJ:$BX,MATCH(R$16,'H-Risk Register-Model'!$BJ$17:$BX$17,0),FALSE)),"N/A")</f>
        <v>3</v>
      </c>
      <c r="S18" s="8" t="str">
        <f>IFERROR(IF((U18+V18)=0,"N/A",VLOOKUP($Q18,'H-Risk Register-Model'!$BJ:$BX,MATCH(S$16,'H-Risk Register-Model'!$BJ$17:$BX$17,0),FALSE)),"N/A")</f>
        <v>3 - Example Event Risk with Range of Costs</v>
      </c>
      <c r="T18" s="560">
        <f>IFERROR(VLOOKUP($Q18,'H-Risk Register-Model'!$BJ:$BX,MATCH(T$16,'H-Risk Register-Model'!$BJ$17:$BX$17,0),FALSE),"N/A")</f>
        <v>2450000</v>
      </c>
      <c r="U18" s="560">
        <f>IFERROR(VLOOKUP($Q18,'H-Risk Register-Model'!$BJ:$BX,MATCH(U$16,'H-Risk Register-Model'!$BJ$17:$BX$17,0),FALSE),"N/A")</f>
        <v>4900000</v>
      </c>
      <c r="V18" s="560">
        <f>IFERROR(VLOOKUP($Q18,'H-Risk Register-Model'!$BJ:$BX,MATCH(V$16,'H-Risk Register-Model'!$BJ$17:$BX$17,0),FALSE),"N/A")</f>
        <v>815313.01158406714</v>
      </c>
      <c r="W18" s="560">
        <f>IFERROR(VLOOKUP($Q18,'H-Risk Register-Model'!$BJ:$BX,MATCH(W$16,'H-Risk Register-Model'!$BJ$17:$BX$17,0),FALSE),"N/A")</f>
        <v>1458627.0539664719</v>
      </c>
      <c r="X18" s="311">
        <f>IFERROR(VLOOKUP($Q18,'H-Risk Register-Model'!$BJ:$BX,MATCH(X$16,'H-Risk Register-Model'!$BJ$17:$BX$17,0),FALSE),"N/A")</f>
        <v>1687194.2746960877</v>
      </c>
      <c r="Y18" s="8"/>
      <c r="Z18" s="1031" t="s">
        <v>1098</v>
      </c>
      <c r="AA18" s="1031"/>
      <c r="AB18" s="239"/>
      <c r="AC18" s="239"/>
      <c r="AD18" s="239"/>
    </row>
    <row r="19" spans="1:30" x14ac:dyDescent="0.3">
      <c r="A19" s="363"/>
      <c r="B19" s="678"/>
      <c r="C19" s="680"/>
      <c r="D19" s="680"/>
      <c r="E19" s="319"/>
      <c r="F19" s="363"/>
      <c r="G19" s="319"/>
      <c r="H19" s="319"/>
      <c r="I19" s="113"/>
      <c r="J19" s="679"/>
      <c r="K19" s="319"/>
      <c r="M19" s="302">
        <f t="shared" ref="M19:M28" ca="1" si="1">R17</f>
        <v>1</v>
      </c>
      <c r="N19" s="303"/>
      <c r="O19" s="304"/>
      <c r="P19" s="239"/>
      <c r="Q19" s="310">
        <f t="shared" si="0"/>
        <v>3</v>
      </c>
      <c r="R19" s="554">
        <f>IFERROR(IF((ABS(T19)+ABS(U19))=0,"N/A",VLOOKUP($Q19,'H-Risk Register-Model'!$BJ:$BX,MATCH(R$16,'H-Risk Register-Model'!$BJ$17:$BX$17,0),FALSE)),"N/A")</f>
        <v>2</v>
      </c>
      <c r="S19" s="8" t="str">
        <f>IFERROR(IF((U19+V19)=0,"N/A",VLOOKUP($Q19,'H-Risk Register-Model'!$BJ:$BX,MATCH(S$16,'H-Risk Register-Model'!$BJ$17:$BX$17,0),FALSE)),"N/A")</f>
        <v>2 - Example Variation Risk with Placeholder Costs</v>
      </c>
      <c r="T19" s="560">
        <f>IFERROR(VLOOKUP($Q19,'H-Risk Register-Model'!$BJ:$BX,MATCH(T$16,'H-Risk Register-Model'!$BJ$17:$BX$17,0),FALSE),"N/A")</f>
        <v>-1000000</v>
      </c>
      <c r="U19" s="560">
        <f>IFERROR(VLOOKUP($Q19,'H-Risk Register-Model'!$BJ:$BX,MATCH(U$16,'H-Risk Register-Model'!$BJ$17:$BX$17,0),FALSE),"N/A")</f>
        <v>1000000</v>
      </c>
      <c r="V19" s="560">
        <f>IFERROR(VLOOKUP($Q19,'H-Risk Register-Model'!$BJ:$BX,MATCH(V$16,'H-Risk Register-Model'!$BJ$17:$BX$17,0),FALSE),"N/A")</f>
        <v>-6529.8166965110313</v>
      </c>
      <c r="W19" s="560">
        <f>IFERROR(VLOOKUP($Q19,'H-Risk Register-Model'!$BJ:$BX,MATCH(W$16,'H-Risk Register-Model'!$BJ$17:$BX$17,0),FALSE),"N/A")</f>
        <v>12365.964767948082</v>
      </c>
      <c r="X19" s="311">
        <f>IFERROR(VLOOKUP($Q19,'H-Risk Register-Model'!$BJ:$BX,MATCH(X$16,'H-Risk Register-Model'!$BJ$17:$BX$17,0),FALSE),"N/A")</f>
        <v>14546.67264037012</v>
      </c>
      <c r="Y19" s="8"/>
      <c r="Z19" s="301">
        <f>'J-Sensitivity Charts'!Z41</f>
        <v>0.8</v>
      </c>
      <c r="AA19" s="299" t="s">
        <v>866</v>
      </c>
      <c r="AB19" s="239"/>
      <c r="AC19" s="239"/>
      <c r="AD19" s="239"/>
    </row>
    <row r="20" spans="1:30" x14ac:dyDescent="0.3">
      <c r="A20" s="363"/>
      <c r="B20" s="681"/>
      <c r="C20" s="680"/>
      <c r="D20" s="680"/>
      <c r="E20" s="319"/>
      <c r="F20" s="363"/>
      <c r="G20" s="319"/>
      <c r="H20" s="319"/>
      <c r="I20" s="113"/>
      <c r="J20" s="679"/>
      <c r="K20" s="319"/>
      <c r="M20" s="302">
        <f t="shared" si="1"/>
        <v>3</v>
      </c>
      <c r="N20" s="303"/>
      <c r="O20" s="304"/>
      <c r="P20" s="239"/>
      <c r="Q20" s="310">
        <f t="shared" si="0"/>
        <v>4</v>
      </c>
      <c r="R20" s="554" t="str">
        <f>IFERROR(IF((ABS(T20)+ABS(U20))=0,"N/A",VLOOKUP($Q20,'H-Risk Register-Model'!$BJ:$BX,MATCH(R$16,'H-Risk Register-Model'!$BJ$17:$BX$17,0),FALSE)),"N/A")</f>
        <v>N/A</v>
      </c>
      <c r="S20" s="8" t="str">
        <f>IFERROR(IF((U20+V20)=0,"N/A",VLOOKUP($Q20,'H-Risk Register-Model'!$BJ:$BX,MATCH(S$16,'H-Risk Register-Model'!$BJ$17:$BX$17,0),FALSE)),"N/A")</f>
        <v>N/A</v>
      </c>
      <c r="T20" s="560" t="str">
        <f>IFERROR(VLOOKUP($Q20,'H-Risk Register-Model'!$BJ:$BX,MATCH(T$16,'H-Risk Register-Model'!$BJ$17:$BX$17,0),FALSE),"N/A")</f>
        <v>N/A</v>
      </c>
      <c r="U20" s="560" t="str">
        <f>IFERROR(VLOOKUP($Q20,'H-Risk Register-Model'!$BJ:$BX,MATCH(U$16,'H-Risk Register-Model'!$BJ$17:$BX$17,0),FALSE),"N/A")</f>
        <v>N/A</v>
      </c>
      <c r="V20" s="560" t="str">
        <f>IFERROR(VLOOKUP($Q20,'H-Risk Register-Model'!$BJ:$BX,MATCH(V$16,'H-Risk Register-Model'!$BJ$17:$BX$17,0),FALSE),"N/A")</f>
        <v>N/A</v>
      </c>
      <c r="W20" s="560" t="str">
        <f>IFERROR(VLOOKUP($Q20,'H-Risk Register-Model'!$BJ:$BX,MATCH(W$16,'H-Risk Register-Model'!$BJ$17:$BX$17,0),FALSE),"N/A")</f>
        <v>N/A</v>
      </c>
      <c r="X20" s="311" t="str">
        <f>IFERROR(VLOOKUP($Q20,'H-Risk Register-Model'!$BJ:$BX,MATCH(X$16,'H-Risk Register-Model'!$BJ$17:$BX$17,0),FALSE),"N/A")</f>
        <v>N/A</v>
      </c>
      <c r="Y20" s="8"/>
      <c r="Z20" s="305">
        <f>IF('J-Sensitivity Charts'!Z41=50%,SUM(V17:V26),IF('J-Sensitivity Charts'!Z41=80%,SUM(W17:W26),IF('J-Sensitivity Charts'!Z41=90%,SUM(X17:X26))))</f>
        <v>8693729.5469999984</v>
      </c>
      <c r="AA20" s="299" t="s">
        <v>1096</v>
      </c>
      <c r="AB20" s="239"/>
      <c r="AC20" s="239"/>
      <c r="AD20" s="239"/>
    </row>
    <row r="21" spans="1:30" x14ac:dyDescent="0.3">
      <c r="A21" s="363"/>
      <c r="B21" s="681"/>
      <c r="C21" s="680"/>
      <c r="D21" s="680"/>
      <c r="E21" s="319"/>
      <c r="F21" s="363"/>
      <c r="G21" s="319"/>
      <c r="H21" s="319"/>
      <c r="I21" s="113"/>
      <c r="J21" s="679"/>
      <c r="K21" s="319"/>
      <c r="M21" s="302">
        <f t="shared" si="1"/>
        <v>2</v>
      </c>
      <c r="N21" s="303"/>
      <c r="O21" s="304"/>
      <c r="P21" s="239"/>
      <c r="Q21" s="310">
        <f t="shared" si="0"/>
        <v>5</v>
      </c>
      <c r="R21" s="554" t="str">
        <f>IFERROR(IF((ABS(T21)+ABS(U21))=0,"N/A",VLOOKUP($Q21,'H-Risk Register-Model'!$BJ:$BX,MATCH(R$16,'H-Risk Register-Model'!$BJ$17:$BX$17,0),FALSE)),"N/A")</f>
        <v>N/A</v>
      </c>
      <c r="S21" s="8" t="str">
        <f>IFERROR(IF((U21+V21)=0,"N/A",VLOOKUP($Q21,'H-Risk Register-Model'!$BJ:$BX,MATCH(S$16,'H-Risk Register-Model'!$BJ$17:$BX$17,0),FALSE)),"N/A")</f>
        <v>N/A</v>
      </c>
      <c r="T21" s="560" t="str">
        <f>IFERROR(VLOOKUP($Q21,'H-Risk Register-Model'!$BJ:$BX,MATCH(T$16,'H-Risk Register-Model'!$BJ$17:$BX$17,0),FALSE),"N/A")</f>
        <v>N/A</v>
      </c>
      <c r="U21" s="560" t="str">
        <f>IFERROR(VLOOKUP($Q21,'H-Risk Register-Model'!$BJ:$BX,MATCH(U$16,'H-Risk Register-Model'!$BJ$17:$BX$17,0),FALSE),"N/A")</f>
        <v>N/A</v>
      </c>
      <c r="V21" s="560" t="str">
        <f>IFERROR(VLOOKUP($Q21,'H-Risk Register-Model'!$BJ:$BX,MATCH(V$16,'H-Risk Register-Model'!$BJ$17:$BX$17,0),FALSE),"N/A")</f>
        <v>N/A</v>
      </c>
      <c r="W21" s="560" t="str">
        <f>IFERROR(VLOOKUP($Q21,'H-Risk Register-Model'!$BJ:$BX,MATCH(W$16,'H-Risk Register-Model'!$BJ$17:$BX$17,0),FALSE),"N/A")</f>
        <v>N/A</v>
      </c>
      <c r="X21" s="311" t="str">
        <f>IFERROR(VLOOKUP($Q21,'H-Risk Register-Model'!$BJ:$BX,MATCH(X$16,'H-Risk Register-Model'!$BJ$17:$BX$17,0),FALSE),"N/A")</f>
        <v>N/A</v>
      </c>
      <c r="Y21" s="8"/>
      <c r="Z21" s="305">
        <f>'J-Sensitivity Charts'!I5</f>
        <v>8693729.5469999984</v>
      </c>
      <c r="AA21" s="299" t="s">
        <v>1095</v>
      </c>
      <c r="AB21" s="239"/>
      <c r="AC21" s="239"/>
      <c r="AD21" s="239"/>
    </row>
    <row r="22" spans="1:30" x14ac:dyDescent="0.3">
      <c r="A22" s="363"/>
      <c r="B22" s="681"/>
      <c r="C22" s="680"/>
      <c r="D22" s="680"/>
      <c r="E22" s="319"/>
      <c r="F22" s="363"/>
      <c r="G22" s="319"/>
      <c r="H22" s="319"/>
      <c r="I22" s="113"/>
      <c r="J22" s="679"/>
      <c r="K22" s="319"/>
      <c r="M22" s="302" t="str">
        <f t="shared" si="1"/>
        <v>N/A</v>
      </c>
      <c r="N22" s="303"/>
      <c r="O22" s="304"/>
      <c r="P22" s="239"/>
      <c r="Q22" s="310">
        <f t="shared" si="0"/>
        <v>6</v>
      </c>
      <c r="R22" s="554" t="str">
        <f>IFERROR(IF((ABS(T22)+ABS(U22))=0,"N/A",VLOOKUP($Q22,'H-Risk Register-Model'!$BJ:$BX,MATCH(R$16,'H-Risk Register-Model'!$BJ$17:$BX$17,0),FALSE)),"N/A")</f>
        <v>N/A</v>
      </c>
      <c r="S22" s="8" t="str">
        <f>IFERROR(IF((U22+V22)=0,"N/A",VLOOKUP($Q22,'H-Risk Register-Model'!$BJ:$BX,MATCH(S$16,'H-Risk Register-Model'!$BJ$17:$BX$17,0),FALSE)),"N/A")</f>
        <v>N/A</v>
      </c>
      <c r="T22" s="560" t="str">
        <f>IFERROR(VLOOKUP($Q22,'H-Risk Register-Model'!$BJ:$BX,MATCH(T$16,'H-Risk Register-Model'!$BJ$17:$BX$17,0),FALSE),"N/A")</f>
        <v>N/A</v>
      </c>
      <c r="U22" s="560" t="str">
        <f>IFERROR(VLOOKUP($Q22,'H-Risk Register-Model'!$BJ:$BX,MATCH(U$16,'H-Risk Register-Model'!$BJ$17:$BX$17,0),FALSE),"N/A")</f>
        <v>N/A</v>
      </c>
      <c r="V22" s="560" t="str">
        <f>IFERROR(VLOOKUP($Q22,'H-Risk Register-Model'!$BJ:$BX,MATCH(V$16,'H-Risk Register-Model'!$BJ$17:$BX$17,0),FALSE),"N/A")</f>
        <v>N/A</v>
      </c>
      <c r="W22" s="560" t="str">
        <f>IFERROR(VLOOKUP($Q22,'H-Risk Register-Model'!$BJ:$BX,MATCH(W$16,'H-Risk Register-Model'!$BJ$17:$BX$17,0),FALSE),"N/A")</f>
        <v>N/A</v>
      </c>
      <c r="X22" s="311" t="str">
        <f>IFERROR(VLOOKUP($Q22,'H-Risk Register-Model'!$BJ:$BX,MATCH(X$16,'H-Risk Register-Model'!$BJ$17:$BX$17,0),FALSE),"N/A")</f>
        <v>N/A</v>
      </c>
      <c r="Y22" s="8"/>
      <c r="Z22" s="295">
        <f>Z20/Z21</f>
        <v>1</v>
      </c>
      <c r="AA22" s="299" t="s">
        <v>1097</v>
      </c>
      <c r="AB22" s="239"/>
      <c r="AC22" s="239"/>
      <c r="AD22" s="239"/>
    </row>
    <row r="23" spans="1:30" x14ac:dyDescent="0.3">
      <c r="A23" s="363"/>
      <c r="B23" s="681"/>
      <c r="C23" s="680"/>
      <c r="D23" s="680"/>
      <c r="E23" s="319"/>
      <c r="F23" s="363"/>
      <c r="G23" s="319"/>
      <c r="H23" s="319"/>
      <c r="I23" s="113"/>
      <c r="J23" s="679"/>
      <c r="K23" s="319"/>
      <c r="M23" s="302" t="str">
        <f t="shared" si="1"/>
        <v>N/A</v>
      </c>
      <c r="N23" s="303"/>
      <c r="O23" s="304"/>
      <c r="P23" s="239"/>
      <c r="Q23" s="310">
        <f t="shared" si="0"/>
        <v>7</v>
      </c>
      <c r="R23" s="554" t="str">
        <f>IFERROR(IF((ABS(T23)+ABS(U23))=0,"N/A",VLOOKUP($Q23,'H-Risk Register-Model'!$BJ:$BX,MATCH(R$16,'H-Risk Register-Model'!$BJ$17:$BX$17,0),FALSE)),"N/A")</f>
        <v>N/A</v>
      </c>
      <c r="S23" s="8" t="str">
        <f>IFERROR(IF((U23+V23)=0,"N/A",VLOOKUP($Q23,'H-Risk Register-Model'!$BJ:$BX,MATCH(S$16,'H-Risk Register-Model'!$BJ$17:$BX$17,0),FALSE)),"N/A")</f>
        <v>N/A</v>
      </c>
      <c r="T23" s="560" t="str">
        <f>IFERROR(VLOOKUP($Q23,'H-Risk Register-Model'!$BJ:$BX,MATCH(T$16,'H-Risk Register-Model'!$BJ$17:$BX$17,0),FALSE),"N/A")</f>
        <v>N/A</v>
      </c>
      <c r="U23" s="560" t="str">
        <f>IFERROR(VLOOKUP($Q23,'H-Risk Register-Model'!$BJ:$BX,MATCH(U$16,'H-Risk Register-Model'!$BJ$17:$BX$17,0),FALSE),"N/A")</f>
        <v>N/A</v>
      </c>
      <c r="V23" s="560" t="str">
        <f>IFERROR(VLOOKUP($Q23,'H-Risk Register-Model'!$BJ:$BX,MATCH(V$16,'H-Risk Register-Model'!$BJ$17:$BX$17,0),FALSE),"N/A")</f>
        <v>N/A</v>
      </c>
      <c r="W23" s="560" t="str">
        <f>IFERROR(VLOOKUP($Q23,'H-Risk Register-Model'!$BJ:$BX,MATCH(W$16,'H-Risk Register-Model'!$BJ$17:$BX$17,0),FALSE),"N/A")</f>
        <v>N/A</v>
      </c>
      <c r="X23" s="311" t="str">
        <f>IFERROR(VLOOKUP($Q23,'H-Risk Register-Model'!$BJ:$BX,MATCH(X$16,'H-Risk Register-Model'!$BJ$17:$BX$17,0),FALSE),"N/A")</f>
        <v>N/A</v>
      </c>
      <c r="Y23" s="8"/>
      <c r="Z23" s="8"/>
      <c r="AA23" s="299"/>
      <c r="AB23" s="239"/>
      <c r="AC23" s="239"/>
      <c r="AD23" s="239"/>
    </row>
    <row r="24" spans="1:30" x14ac:dyDescent="0.3">
      <c r="A24" s="363"/>
      <c r="B24" s="681"/>
      <c r="C24" s="680"/>
      <c r="D24" s="680"/>
      <c r="E24" s="319"/>
      <c r="F24" s="363"/>
      <c r="G24" s="319"/>
      <c r="H24" s="319"/>
      <c r="I24" s="113"/>
      <c r="J24" s="679"/>
      <c r="K24" s="319"/>
      <c r="M24" s="302" t="str">
        <f t="shared" si="1"/>
        <v>N/A</v>
      </c>
      <c r="N24" s="303"/>
      <c r="O24" s="304"/>
      <c r="P24" s="239"/>
      <c r="Q24" s="310">
        <f t="shared" si="0"/>
        <v>8</v>
      </c>
      <c r="R24" s="554" t="str">
        <f>IFERROR(IF((ABS(T24)+ABS(U24))=0,"N/A",VLOOKUP($Q24,'H-Risk Register-Model'!$BJ:$BX,MATCH(R$16,'H-Risk Register-Model'!$BJ$17:$BX$17,0),FALSE)),"N/A")</f>
        <v>N/A</v>
      </c>
      <c r="S24" s="8" t="str">
        <f>IFERROR(IF((U24+V24)=0,"N/A",VLOOKUP($Q24,'H-Risk Register-Model'!$BJ:$BX,MATCH(S$16,'H-Risk Register-Model'!$BJ$17:$BX$17,0),FALSE)),"N/A")</f>
        <v>N/A</v>
      </c>
      <c r="T24" s="560" t="str">
        <f>IFERROR(VLOOKUP($Q24,'H-Risk Register-Model'!$BJ:$BX,MATCH(T$16,'H-Risk Register-Model'!$BJ$17:$BX$17,0),FALSE),"N/A")</f>
        <v>N/A</v>
      </c>
      <c r="U24" s="560" t="str">
        <f>IFERROR(VLOOKUP($Q24,'H-Risk Register-Model'!$BJ:$BX,MATCH(U$16,'H-Risk Register-Model'!$BJ$17:$BX$17,0),FALSE),"N/A")</f>
        <v>N/A</v>
      </c>
      <c r="V24" s="560" t="str">
        <f>IFERROR(VLOOKUP($Q24,'H-Risk Register-Model'!$BJ:$BX,MATCH(V$16,'H-Risk Register-Model'!$BJ$17:$BX$17,0),FALSE),"N/A")</f>
        <v>N/A</v>
      </c>
      <c r="W24" s="560" t="str">
        <f>IFERROR(VLOOKUP($Q24,'H-Risk Register-Model'!$BJ:$BX,MATCH(W$16,'H-Risk Register-Model'!$BJ$17:$BX$17,0),FALSE),"N/A")</f>
        <v>N/A</v>
      </c>
      <c r="X24" s="311" t="str">
        <f>IFERROR(VLOOKUP($Q24,'H-Risk Register-Model'!$BJ:$BX,MATCH(X$16,'H-Risk Register-Model'!$BJ$17:$BX$17,0),FALSE),"N/A")</f>
        <v>N/A</v>
      </c>
      <c r="Y24" s="8"/>
      <c r="Z24" s="8"/>
      <c r="AA24" s="299"/>
      <c r="AB24" s="239"/>
      <c r="AC24" s="239"/>
      <c r="AD24" s="239"/>
    </row>
    <row r="25" spans="1:30" x14ac:dyDescent="0.3">
      <c r="A25" s="363"/>
      <c r="B25" s="681"/>
      <c r="C25" s="680"/>
      <c r="D25" s="680"/>
      <c r="E25" s="319"/>
      <c r="F25" s="363"/>
      <c r="G25" s="319"/>
      <c r="H25" s="319"/>
      <c r="I25" s="113"/>
      <c r="J25" s="679"/>
      <c r="K25" s="319"/>
      <c r="M25" s="302" t="str">
        <f t="shared" si="1"/>
        <v>N/A</v>
      </c>
      <c r="N25" s="303"/>
      <c r="O25" s="304"/>
      <c r="P25" s="239"/>
      <c r="Q25" s="310">
        <f t="shared" si="0"/>
        <v>9</v>
      </c>
      <c r="R25" s="554" t="str">
        <f>IFERROR(IF((ABS(T25)+ABS(U25))=0,"N/A",VLOOKUP($Q25,'H-Risk Register-Model'!$BJ:$BX,MATCH(R$16,'H-Risk Register-Model'!$BJ$17:$BX$17,0),FALSE)),"N/A")</f>
        <v>N/A</v>
      </c>
      <c r="S25" s="8" t="str">
        <f>IFERROR(IF((U25+V25)=0,"N/A",VLOOKUP($Q25,'H-Risk Register-Model'!$BJ:$BX,MATCH(S$16,'H-Risk Register-Model'!$BJ$17:$BX$17,0),FALSE)),"N/A")</f>
        <v>N/A</v>
      </c>
      <c r="T25" s="560" t="str">
        <f>IFERROR(VLOOKUP($Q25,'H-Risk Register-Model'!$BJ:$BX,MATCH(T$16,'H-Risk Register-Model'!$BJ$17:$BX$17,0),FALSE),"N/A")</f>
        <v>N/A</v>
      </c>
      <c r="U25" s="560" t="str">
        <f>IFERROR(VLOOKUP($Q25,'H-Risk Register-Model'!$BJ:$BX,MATCH(U$16,'H-Risk Register-Model'!$BJ$17:$BX$17,0),FALSE),"N/A")</f>
        <v>N/A</v>
      </c>
      <c r="V25" s="560" t="str">
        <f>IFERROR(VLOOKUP($Q25,'H-Risk Register-Model'!$BJ:$BX,MATCH(V$16,'H-Risk Register-Model'!$BJ$17:$BX$17,0),FALSE),"N/A")</f>
        <v>N/A</v>
      </c>
      <c r="W25" s="560" t="str">
        <f>IFERROR(VLOOKUP($Q25,'H-Risk Register-Model'!$BJ:$BX,MATCH(W$16,'H-Risk Register-Model'!$BJ$17:$BX$17,0),FALSE),"N/A")</f>
        <v>N/A</v>
      </c>
      <c r="X25" s="311" t="str">
        <f>IFERROR(VLOOKUP($Q25,'H-Risk Register-Model'!$BJ:$BX,MATCH(X$16,'H-Risk Register-Model'!$BJ$17:$BX$17,0),FALSE),"N/A")</f>
        <v>N/A</v>
      </c>
      <c r="Y25" s="8"/>
      <c r="Z25" s="8"/>
      <c r="AA25" s="299"/>
      <c r="AB25" s="239"/>
      <c r="AC25" s="239"/>
      <c r="AD25" s="239"/>
    </row>
    <row r="26" spans="1:30" x14ac:dyDescent="0.3">
      <c r="A26" s="363"/>
      <c r="B26" s="681"/>
      <c r="C26" s="680"/>
      <c r="D26" s="680"/>
      <c r="E26" s="363"/>
      <c r="F26" s="363"/>
      <c r="G26" s="319"/>
      <c r="H26" s="319"/>
      <c r="I26" s="113"/>
      <c r="J26" s="679"/>
      <c r="K26" s="319"/>
      <c r="M26" s="302" t="str">
        <f t="shared" si="1"/>
        <v>N/A</v>
      </c>
      <c r="N26" s="303"/>
      <c r="O26" s="304"/>
      <c r="P26" s="239"/>
      <c r="Q26" s="310">
        <f t="shared" si="0"/>
        <v>10</v>
      </c>
      <c r="R26" s="554" t="str">
        <f>IFERROR(IF((ABS(T26)+ABS(U26))=0,"N/A",VLOOKUP($Q26,'H-Risk Register-Model'!$BJ:$BX,MATCH(R$16,'H-Risk Register-Model'!$BJ$17:$BX$17,0),FALSE)),"N/A")</f>
        <v>N/A</v>
      </c>
      <c r="S26" s="8" t="str">
        <f>IFERROR(IF((U26+V26)=0,"N/A",VLOOKUP($Q26,'H-Risk Register-Model'!$BJ:$BX,MATCH(S$16,'H-Risk Register-Model'!$BJ$17:$BX$17,0),FALSE)),"N/A")</f>
        <v>N/A</v>
      </c>
      <c r="T26" s="560" t="str">
        <f>IFERROR(VLOOKUP($Q26,'H-Risk Register-Model'!$BJ:$BX,MATCH(T$16,'H-Risk Register-Model'!$BJ$17:$BX$17,0),FALSE),"N/A")</f>
        <v>N/A</v>
      </c>
      <c r="U26" s="560" t="str">
        <f>IFERROR(VLOOKUP($Q26,'H-Risk Register-Model'!$BJ:$BX,MATCH(U$16,'H-Risk Register-Model'!$BJ$17:$BX$17,0),FALSE),"N/A")</f>
        <v>N/A</v>
      </c>
      <c r="V26" s="560" t="str">
        <f>IFERROR(VLOOKUP($Q26,'H-Risk Register-Model'!$BJ:$BX,MATCH(V$16,'H-Risk Register-Model'!$BJ$17:$BX$17,0),FALSE),"N/A")</f>
        <v>N/A</v>
      </c>
      <c r="W26" s="560" t="str">
        <f>IFERROR(VLOOKUP($Q26,'H-Risk Register-Model'!$BJ:$BX,MATCH(W$16,'H-Risk Register-Model'!$BJ$17:$BX$17,0),FALSE),"N/A")</f>
        <v>N/A</v>
      </c>
      <c r="X26" s="311" t="str">
        <f>IFERROR(VLOOKUP($Q26,'H-Risk Register-Model'!$BJ:$BX,MATCH(X$16,'H-Risk Register-Model'!$BJ$17:$BX$17,0),FALSE),"N/A")</f>
        <v>N/A</v>
      </c>
      <c r="Y26" s="8"/>
      <c r="Z26" s="8"/>
      <c r="AA26" s="299"/>
      <c r="AB26" s="239"/>
      <c r="AC26" s="239"/>
      <c r="AD26" s="239"/>
    </row>
    <row r="27" spans="1:30" ht="15" thickBot="1" x14ac:dyDescent="0.35">
      <c r="A27" s="363"/>
      <c r="B27" s="681"/>
      <c r="C27" s="682"/>
      <c r="D27" s="682"/>
      <c r="E27" s="363"/>
      <c r="F27" s="363"/>
      <c r="G27" s="319"/>
      <c r="H27" s="319"/>
      <c r="I27" s="113"/>
      <c r="J27" s="679"/>
      <c r="K27" s="319"/>
      <c r="M27" s="302" t="str">
        <f t="shared" si="1"/>
        <v>N/A</v>
      </c>
      <c r="N27" s="303"/>
      <c r="O27" s="304"/>
      <c r="P27" s="239"/>
      <c r="Q27" s="312"/>
      <c r="R27" s="313"/>
      <c r="S27" s="314" t="s">
        <v>879</v>
      </c>
      <c r="T27" s="315"/>
      <c r="U27" s="315"/>
      <c r="V27" s="315">
        <f>SUM('H-Risk Register-Model'!$BK:$BK)-SUM(V17:V26)</f>
        <v>0</v>
      </c>
      <c r="W27" s="315">
        <f>SUM('H-Risk Register-Model'!$BL:$BL)-SUM(W17:W26)</f>
        <v>0</v>
      </c>
      <c r="X27" s="316">
        <f>SUM('H-Risk Register-Model'!$BM:$BM)-SUM(X17:X26)</f>
        <v>0</v>
      </c>
      <c r="Y27" s="8"/>
      <c r="Z27" s="8"/>
      <c r="AA27" s="299"/>
      <c r="AB27" s="239"/>
      <c r="AC27" s="239"/>
      <c r="AD27" s="239"/>
    </row>
    <row r="28" spans="1:30" x14ac:dyDescent="0.3">
      <c r="A28" s="363"/>
      <c r="B28" s="681"/>
      <c r="C28" s="682"/>
      <c r="D28" s="682"/>
      <c r="E28" s="363"/>
      <c r="F28" s="363"/>
      <c r="G28" s="319"/>
      <c r="H28" s="319"/>
      <c r="I28" s="113"/>
      <c r="J28" s="679"/>
      <c r="K28" s="319"/>
      <c r="M28" s="302" t="str">
        <f t="shared" si="1"/>
        <v>N/A</v>
      </c>
      <c r="N28" s="303"/>
      <c r="O28" s="304"/>
      <c r="P28" s="239"/>
      <c r="Q28" s="8"/>
      <c r="R28" s="8"/>
      <c r="S28" s="8"/>
      <c r="T28" s="8"/>
      <c r="U28" s="8"/>
      <c r="V28" s="8"/>
      <c r="W28" s="8"/>
      <c r="X28" s="8"/>
      <c r="Y28" s="8"/>
      <c r="Z28" s="8"/>
      <c r="AA28" s="299"/>
      <c r="AB28" s="239"/>
      <c r="AC28" s="239"/>
      <c r="AD28" s="239"/>
    </row>
    <row r="29" spans="1:30" x14ac:dyDescent="0.3">
      <c r="A29" s="363"/>
      <c r="B29" s="681"/>
      <c r="C29" s="682"/>
      <c r="D29" s="682"/>
      <c r="E29" s="363"/>
      <c r="F29" s="363"/>
      <c r="G29" s="319"/>
      <c r="H29" s="319"/>
      <c r="I29" s="113"/>
      <c r="J29" s="679"/>
      <c r="K29" s="319"/>
      <c r="M29" s="239"/>
      <c r="N29" s="239"/>
      <c r="O29" s="239"/>
      <c r="P29" s="239"/>
      <c r="Q29" s="8"/>
      <c r="R29" s="8"/>
      <c r="S29" s="8"/>
      <c r="T29" s="8"/>
      <c r="U29" s="8"/>
      <c r="V29" s="8"/>
      <c r="W29" s="8"/>
      <c r="X29" s="8"/>
      <c r="Y29" s="8"/>
      <c r="Z29" s="8"/>
      <c r="AA29" s="299"/>
      <c r="AB29" s="239"/>
      <c r="AC29" s="239"/>
      <c r="AD29" s="239"/>
    </row>
    <row r="30" spans="1:30" x14ac:dyDescent="0.3">
      <c r="A30" s="363"/>
      <c r="B30" s="681"/>
      <c r="C30" s="682"/>
      <c r="D30" s="682"/>
      <c r="E30" s="363"/>
      <c r="F30" s="363"/>
      <c r="G30" s="319"/>
      <c r="H30" s="319"/>
      <c r="I30" s="113"/>
      <c r="J30" s="679"/>
      <c r="K30" s="319"/>
      <c r="M30" s="239"/>
      <c r="N30" s="239"/>
      <c r="O30" s="239"/>
      <c r="P30" s="239"/>
      <c r="Q30" s="8"/>
      <c r="R30" s="8"/>
      <c r="S30" s="8"/>
      <c r="T30" s="8"/>
      <c r="U30" s="8"/>
      <c r="V30" s="8"/>
      <c r="W30" s="8"/>
      <c r="X30" s="8"/>
      <c r="Y30" s="8"/>
      <c r="Z30" s="8"/>
      <c r="AA30" s="299"/>
      <c r="AB30" s="239"/>
      <c r="AC30" s="239"/>
      <c r="AD30" s="239"/>
    </row>
    <row r="31" spans="1:30" x14ac:dyDescent="0.3">
      <c r="A31" s="363"/>
      <c r="B31" s="681"/>
      <c r="C31" s="682"/>
      <c r="D31" s="682"/>
      <c r="E31" s="363"/>
      <c r="F31" s="363"/>
      <c r="G31" s="319"/>
      <c r="H31" s="319"/>
      <c r="I31" s="113"/>
      <c r="J31" s="679"/>
      <c r="K31" s="319"/>
      <c r="M31" s="239"/>
      <c r="N31" s="239"/>
      <c r="O31" s="239"/>
      <c r="P31" s="239"/>
      <c r="Q31" s="8"/>
      <c r="R31" s="8"/>
      <c r="S31" s="8"/>
      <c r="T31" s="8"/>
      <c r="U31" s="8"/>
      <c r="V31" s="8"/>
      <c r="W31" s="8"/>
      <c r="X31" s="8"/>
      <c r="Y31" s="8"/>
      <c r="Z31" s="8"/>
      <c r="AA31" s="299"/>
      <c r="AB31" s="239"/>
      <c r="AC31" s="239"/>
      <c r="AD31" s="239"/>
    </row>
    <row r="32" spans="1:30" x14ac:dyDescent="0.3">
      <c r="A32" s="363"/>
      <c r="B32" s="681"/>
      <c r="C32" s="682"/>
      <c r="D32" s="682"/>
      <c r="E32" s="363"/>
      <c r="F32" s="363"/>
      <c r="G32" s="319"/>
      <c r="H32" s="319"/>
      <c r="I32" s="113"/>
      <c r="J32" s="679"/>
      <c r="K32" s="319"/>
      <c r="M32" s="239"/>
      <c r="N32" s="239"/>
      <c r="O32" s="239"/>
      <c r="P32" s="239"/>
      <c r="Q32" s="8"/>
      <c r="R32" s="8"/>
      <c r="S32" s="8"/>
      <c r="T32" s="8"/>
      <c r="U32" s="8"/>
      <c r="V32" s="8"/>
      <c r="W32" s="8"/>
      <c r="X32" s="8"/>
      <c r="Y32" s="8"/>
      <c r="Z32" s="8"/>
      <c r="AA32" s="299"/>
      <c r="AB32" s="239"/>
      <c r="AC32" s="239"/>
      <c r="AD32" s="239"/>
    </row>
    <row r="33" spans="1:30" x14ac:dyDescent="0.3">
      <c r="A33" s="363"/>
      <c r="B33" s="681"/>
      <c r="C33" s="682"/>
      <c r="D33" s="682"/>
      <c r="E33" s="363"/>
      <c r="F33" s="363"/>
      <c r="G33" s="319"/>
      <c r="H33" s="319"/>
      <c r="I33" s="113"/>
      <c r="J33" s="679"/>
      <c r="K33" s="319"/>
      <c r="M33" s="239"/>
      <c r="N33" s="239"/>
      <c r="O33" s="239"/>
      <c r="P33" s="239"/>
      <c r="Q33" s="8"/>
      <c r="R33" s="8"/>
      <c r="S33" s="8"/>
      <c r="T33" s="8"/>
      <c r="U33" s="8"/>
      <c r="V33" s="8"/>
      <c r="W33" s="8"/>
      <c r="X33" s="8"/>
      <c r="Y33" s="8"/>
      <c r="Z33" s="8"/>
      <c r="AA33" s="299"/>
      <c r="AB33" s="239"/>
      <c r="AC33" s="239"/>
      <c r="AD33" s="239"/>
    </row>
    <row r="34" spans="1:30" x14ac:dyDescent="0.3">
      <c r="A34" s="363"/>
      <c r="B34" s="681"/>
      <c r="C34" s="682"/>
      <c r="D34" s="682"/>
      <c r="E34" s="363"/>
      <c r="F34" s="363"/>
      <c r="G34" s="319"/>
      <c r="H34" s="319"/>
      <c r="I34" s="113"/>
      <c r="J34" s="679"/>
      <c r="K34" s="319"/>
      <c r="M34" s="239"/>
      <c r="N34" s="239"/>
      <c r="O34" s="239"/>
      <c r="P34" s="239"/>
      <c r="Q34" s="239"/>
      <c r="R34" s="239"/>
      <c r="S34" s="239"/>
      <c r="T34" s="239"/>
      <c r="U34" s="239"/>
      <c r="V34" s="239"/>
      <c r="W34" s="239"/>
      <c r="X34" s="239"/>
      <c r="Y34" s="239"/>
      <c r="Z34" s="239"/>
      <c r="AA34" s="239"/>
      <c r="AB34" s="239"/>
      <c r="AC34" s="239"/>
      <c r="AD34" s="239"/>
    </row>
    <row r="35" spans="1:30" x14ac:dyDescent="0.3">
      <c r="A35" s="363"/>
      <c r="B35" s="681"/>
      <c r="C35" s="682"/>
      <c r="D35" s="682"/>
      <c r="E35" s="363"/>
      <c r="F35" s="363"/>
      <c r="G35" s="319"/>
      <c r="H35" s="319"/>
      <c r="I35" s="113"/>
      <c r="J35" s="679"/>
      <c r="K35" s="319"/>
      <c r="N35" s="239"/>
      <c r="O35" s="239"/>
      <c r="P35" s="239"/>
      <c r="Q35" s="239"/>
      <c r="R35" s="239"/>
      <c r="S35" s="239"/>
      <c r="T35" s="239"/>
      <c r="U35" s="239"/>
      <c r="V35" s="239"/>
      <c r="W35" s="239"/>
      <c r="X35" s="239"/>
      <c r="Y35" s="239"/>
      <c r="Z35" s="239"/>
      <c r="AA35" s="239"/>
      <c r="AB35" s="239"/>
      <c r="AC35" s="239"/>
      <c r="AD35" s="239"/>
    </row>
    <row r="36" spans="1:30" ht="15" thickBot="1" x14ac:dyDescent="0.35">
      <c r="A36" s="363"/>
      <c r="B36" s="681"/>
      <c r="C36" s="682"/>
      <c r="D36" s="682"/>
      <c r="E36" s="363"/>
      <c r="F36" s="363"/>
      <c r="G36" s="319"/>
      <c r="H36" s="319"/>
      <c r="I36" s="113"/>
      <c r="J36" s="679"/>
      <c r="K36" s="319"/>
      <c r="N36" s="239"/>
      <c r="O36" s="239"/>
      <c r="P36" s="239"/>
      <c r="AD36" s="239"/>
    </row>
    <row r="37" spans="1:30" ht="15" thickBot="1" x14ac:dyDescent="0.35">
      <c r="A37" s="359"/>
      <c r="B37" s="683"/>
      <c r="C37" s="684"/>
      <c r="D37" s="684"/>
      <c r="E37" s="684"/>
      <c r="F37" s="684"/>
      <c r="G37" s="685"/>
      <c r="H37" s="685"/>
      <c r="I37" s="684"/>
      <c r="J37" s="686"/>
      <c r="K37" s="319"/>
      <c r="Q37" s="1046" t="s">
        <v>881</v>
      </c>
      <c r="R37" s="1047"/>
      <c r="S37" s="1047"/>
      <c r="T37" s="1047"/>
      <c r="U37" s="1047"/>
      <c r="V37" s="1047"/>
      <c r="W37" s="1047"/>
      <c r="X37" s="1048"/>
      <c r="AC37" s="239"/>
    </row>
    <row r="38" spans="1:30" ht="29.4" thickBot="1" x14ac:dyDescent="0.35">
      <c r="A38" s="329"/>
      <c r="B38" s="1001" t="s">
        <v>882</v>
      </c>
      <c r="C38" s="999"/>
      <c r="D38" s="999"/>
      <c r="E38" s="999"/>
      <c r="F38" s="999"/>
      <c r="G38" s="999"/>
      <c r="H38" s="999"/>
      <c r="I38" s="999"/>
      <c r="J38" s="1000"/>
      <c r="K38" s="319"/>
      <c r="Q38" s="307" t="str">
        <f>Q16</f>
        <v>Rank</v>
      </c>
      <c r="R38" s="308" t="str">
        <f>R16</f>
        <v>Risk Item for Lookup</v>
      </c>
      <c r="S38" s="308" t="str">
        <f>S16</f>
        <v>Risk Item Name for Chart</v>
      </c>
      <c r="T38" s="308" t="str">
        <f>'H-Risk Register-Model'!BW17</f>
        <v>Schedule LV</v>
      </c>
      <c r="U38" s="308" t="str">
        <f>'H-Risk Register-Model'!BX17</f>
        <v>Schedule HV</v>
      </c>
      <c r="V38" s="308" t="str">
        <f>'H-Risk Register-Model'!BP17</f>
        <v>ROM Schedule Risk @ 50%</v>
      </c>
      <c r="W38" s="308" t="str">
        <f>'H-Risk Register-Model'!BQ17</f>
        <v>ROM Schedule Risk @ 80%</v>
      </c>
      <c r="X38" s="309" t="str">
        <f>'H-Risk Register-Model'!BR17</f>
        <v>ROM Schedule Risk @ 90%</v>
      </c>
      <c r="Y38" s="8"/>
      <c r="Z38" s="8"/>
      <c r="AA38" s="299"/>
      <c r="AB38" s="239"/>
      <c r="AC38" s="239"/>
      <c r="AD38" s="239"/>
    </row>
    <row r="39" spans="1:30" x14ac:dyDescent="0.3">
      <c r="A39" s="363"/>
      <c r="B39" s="678"/>
      <c r="C39" s="329"/>
      <c r="D39" s="329"/>
      <c r="E39" s="319"/>
      <c r="F39" s="363"/>
      <c r="G39" s="319"/>
      <c r="H39" s="319"/>
      <c r="I39" s="113"/>
      <c r="J39" s="679"/>
      <c r="K39" s="319"/>
      <c r="N39" s="239"/>
      <c r="O39" s="239"/>
      <c r="P39" s="239"/>
      <c r="Q39" s="310">
        <v>1</v>
      </c>
      <c r="R39" s="554">
        <f>IFERROR(IF((ABS(T39)+ABS(U39))=0,"N/A",VLOOKUP($Q39,'H-Risk Register-Model'!$BO:$BX,MATCH(R$16,'H-Risk Register-Model'!$BO$17:$BX$17,0),FALSE)),"N/A")</f>
        <v>3</v>
      </c>
      <c r="S39" s="8" t="str">
        <f>IFERROR(IF((U39+V39)=0,"N/A",VLOOKUP($Q39,'H-Risk Register-Model'!$BO:$BX,MATCH(S$16,'H-Risk Register-Model'!$BO$17:$BX$17,0),FALSE)),"N/A")</f>
        <v>3 - Example Event Risk with Range of Costs</v>
      </c>
      <c r="T39" s="561">
        <f>IFERROR(VLOOKUP($Q39,'H-Risk Register-Model'!$BO:$BX,MATCH(T$38,'H-Risk Register-Model'!$BO$17:$BX$17,0),FALSE),"N/A")</f>
        <v>3</v>
      </c>
      <c r="U39" s="561">
        <f>IFERROR(VLOOKUP($Q39,'H-Risk Register-Model'!$BO:$BX,MATCH(U$38,'H-Risk Register-Model'!$BO$17:$BX$17,0),FALSE),"N/A")</f>
        <v>6</v>
      </c>
      <c r="V39" s="561">
        <f>IFERROR(VLOOKUP($Q39,'H-Risk Register-Model'!$BO:$BX,MATCH(V$38,'H-Risk Register-Model'!$BO$17:$BX$17,0),FALSE),"N/A")</f>
        <v>0.68314116149596105</v>
      </c>
      <c r="W39" s="561">
        <f>IFERROR(VLOOKUP($Q39,'H-Risk Register-Model'!$BO:$BX,MATCH(W$38,'H-Risk Register-Model'!$BO$17:$BX$17,0),FALSE),"N/A")</f>
        <v>3.1286088315755198</v>
      </c>
      <c r="X39" s="317">
        <f>IFERROR(VLOOKUP($Q39,'H-Risk Register-Model'!$BO:$BX,MATCH(X$38,'H-Risk Register-Model'!$BO$17:$BX$17,0),FALSE),"N/A")</f>
        <v>4.420401012477849</v>
      </c>
      <c r="Y39" s="8"/>
      <c r="AB39" s="239"/>
      <c r="AC39" s="239"/>
      <c r="AD39" s="239"/>
    </row>
    <row r="40" spans="1:30" x14ac:dyDescent="0.3">
      <c r="A40" s="363"/>
      <c r="B40" s="678"/>
      <c r="C40" s="680"/>
      <c r="D40" s="680"/>
      <c r="E40" s="319"/>
      <c r="F40" s="363"/>
      <c r="G40" s="319"/>
      <c r="H40" s="319"/>
      <c r="I40" s="113"/>
      <c r="J40" s="679"/>
      <c r="K40" s="319"/>
      <c r="M40" s="300" t="s">
        <v>880</v>
      </c>
      <c r="N40" s="239"/>
      <c r="O40" s="239"/>
      <c r="P40" s="239"/>
      <c r="Q40" s="310">
        <f t="shared" ref="Q40:Q48" si="2">Q39+1</f>
        <v>2</v>
      </c>
      <c r="R40" s="554">
        <f ca="1">IFERROR(IF((ABS(T40)+ABS(U40))=0,"N/A",VLOOKUP($Q40,'H-Risk Register-Model'!$BO:$BX,MATCH(R$16,'H-Risk Register-Model'!$BO$17:$BX$17,0),FALSE)),"N/A")</f>
        <v>1</v>
      </c>
      <c r="S40" s="8" t="str">
        <f ca="1">IFERROR(IF((U40+V40)=0,"N/A",VLOOKUP($Q40,'H-Risk Register-Model'!$BO:$BX,MATCH(S$16,'H-Risk Register-Model'!$BO$17:$BX$17,0),FALSE)),"N/A")</f>
        <v>1 - Example Variation Risk of Relatively Known Quantities</v>
      </c>
      <c r="T40" s="561">
        <f ca="1">IFERROR(VLOOKUP($Q40,'H-Risk Register-Model'!$BO:$BX,MATCH(T$38,'H-Risk Register-Model'!$BO$17:$BX$17,0),FALSE),"N/A")</f>
        <v>-3</v>
      </c>
      <c r="U40" s="561">
        <f ca="1">IFERROR(VLOOKUP($Q40,'H-Risk Register-Model'!$BO:$BX,MATCH(U$38,'H-Risk Register-Model'!$BO$17:$BX$17,0),FALSE),"N/A")</f>
        <v>6</v>
      </c>
      <c r="V40" s="561">
        <f>IFERROR(VLOOKUP($Q40,'H-Risk Register-Model'!$BO:$BX,MATCH(V$38,'H-Risk Register-Model'!$BO$17:$BX$17,0),FALSE),"N/A")</f>
        <v>1.2660137680815036</v>
      </c>
      <c r="W40" s="561">
        <f>IFERROR(VLOOKUP($Q40,'H-Risk Register-Model'!$BO:$BX,MATCH(W$38,'H-Risk Register-Model'!$BO$17:$BX$17,0),FALSE),"N/A")</f>
        <v>1.4194193374385644</v>
      </c>
      <c r="X40" s="317">
        <f>IFERROR(VLOOKUP($Q40,'H-Risk Register-Model'!$BO:$BX,MATCH(X$38,'H-Risk Register-Model'!$BO$17:$BX$17,0),FALSE),"N/A")</f>
        <v>2.076782086113699</v>
      </c>
      <c r="Y40" s="8"/>
      <c r="Z40" s="1031" t="s">
        <v>1098</v>
      </c>
      <c r="AA40" s="1031"/>
      <c r="AB40" s="239"/>
      <c r="AC40" s="239"/>
      <c r="AD40" s="239"/>
    </row>
    <row r="41" spans="1:30" x14ac:dyDescent="0.3">
      <c r="A41" s="363"/>
      <c r="B41" s="681"/>
      <c r="C41" s="680"/>
      <c r="D41" s="680"/>
      <c r="E41" s="319"/>
      <c r="F41" s="363"/>
      <c r="G41" s="319"/>
      <c r="H41" s="319"/>
      <c r="I41" s="113"/>
      <c r="J41" s="679"/>
      <c r="K41" s="319"/>
      <c r="M41" s="302">
        <f t="shared" ref="M41:M50" si="3">R39</f>
        <v>3</v>
      </c>
      <c r="N41" s="303"/>
      <c r="O41" s="304"/>
      <c r="P41" s="239"/>
      <c r="Q41" s="310">
        <f t="shared" si="2"/>
        <v>3</v>
      </c>
      <c r="R41" s="554" t="str">
        <f>IFERROR(IF((ABS(T41)+ABS(U41))=0,"N/A",VLOOKUP($Q41,'H-Risk Register-Model'!$BO:$BX,MATCH(R$16,'H-Risk Register-Model'!$BO$17:$BX$17,0),FALSE)),"N/A")</f>
        <v>N/A</v>
      </c>
      <c r="S41" s="8" t="str">
        <f>IFERROR(IF((U41+V41)=0,"N/A",VLOOKUP($Q41,'H-Risk Register-Model'!$BO:$BX,MATCH(S$16,'H-Risk Register-Model'!$BO$17:$BX$17,0),FALSE)),"N/A")</f>
        <v>N/A</v>
      </c>
      <c r="T41" s="561" t="str">
        <f>IFERROR(VLOOKUP($Q41,'H-Risk Register-Model'!$BO:$BX,MATCH(T$38,'H-Risk Register-Model'!$BO$17:$BX$17,0),FALSE),"N/A")</f>
        <v>N/A</v>
      </c>
      <c r="U41" s="561" t="str">
        <f>IFERROR(VLOOKUP($Q41,'H-Risk Register-Model'!$BO:$BX,MATCH(U$38,'H-Risk Register-Model'!$BO$17:$BX$17,0),FALSE),"N/A")</f>
        <v>N/A</v>
      </c>
      <c r="V41" s="561" t="str">
        <f>IFERROR(VLOOKUP($Q41,'H-Risk Register-Model'!$BO:$BX,MATCH(V$38,'H-Risk Register-Model'!$BO$17:$BX$17,0),FALSE),"N/A")</f>
        <v>N/A</v>
      </c>
      <c r="W41" s="561" t="str">
        <f>IFERROR(VLOOKUP($Q41,'H-Risk Register-Model'!$BO:$BX,MATCH(W$38,'H-Risk Register-Model'!$BO$17:$BX$17,0),FALSE),"N/A")</f>
        <v>N/A</v>
      </c>
      <c r="X41" s="317" t="str">
        <f>IFERROR(VLOOKUP($Q41,'H-Risk Register-Model'!$BO:$BX,MATCH(X$38,'H-Risk Register-Model'!$BO$17:$BX$17,0),FALSE),"N/A")</f>
        <v>N/A</v>
      </c>
      <c r="Y41" s="8"/>
      <c r="Z41" s="301">
        <f>'D-Project Data'!$C$6</f>
        <v>0.8</v>
      </c>
      <c r="AA41" s="299" t="str">
        <f>AA19</f>
        <v>Confidence Level</v>
      </c>
      <c r="AB41" s="239"/>
      <c r="AC41" s="239"/>
      <c r="AD41" s="239"/>
    </row>
    <row r="42" spans="1:30" x14ac:dyDescent="0.3">
      <c r="A42" s="363"/>
      <c r="B42" s="681"/>
      <c r="C42" s="680"/>
      <c r="D42" s="680"/>
      <c r="E42" s="319"/>
      <c r="F42" s="363"/>
      <c r="G42" s="319"/>
      <c r="H42" s="319"/>
      <c r="I42" s="113"/>
      <c r="J42" s="679"/>
      <c r="K42" s="319"/>
      <c r="M42" s="302">
        <f t="shared" ca="1" si="3"/>
        <v>1</v>
      </c>
      <c r="N42" s="303"/>
      <c r="O42" s="304"/>
      <c r="P42" s="239"/>
      <c r="Q42" s="310">
        <f t="shared" si="2"/>
        <v>4</v>
      </c>
      <c r="R42" s="554" t="str">
        <f>IFERROR(IF((ABS(T42)+ABS(U42))=0,"N/A",VLOOKUP($Q42,'H-Risk Register-Model'!$BO:$BX,MATCH(R$16,'H-Risk Register-Model'!$BO$17:$BX$17,0),FALSE)),"N/A")</f>
        <v>N/A</v>
      </c>
      <c r="S42" s="8" t="str">
        <f>IFERROR(IF((U42+V42)=0,"N/A",VLOOKUP($Q42,'H-Risk Register-Model'!$BO:$BX,MATCH(S$16,'H-Risk Register-Model'!$BO$17:$BX$17,0),FALSE)),"N/A")</f>
        <v>N/A</v>
      </c>
      <c r="T42" s="561" t="str">
        <f>IFERROR(VLOOKUP($Q42,'H-Risk Register-Model'!$BO:$BX,MATCH(T$38,'H-Risk Register-Model'!$BO$17:$BX$17,0),FALSE),"N/A")</f>
        <v>N/A</v>
      </c>
      <c r="U42" s="561" t="str">
        <f>IFERROR(VLOOKUP($Q42,'H-Risk Register-Model'!$BO:$BX,MATCH(U$38,'H-Risk Register-Model'!$BO$17:$BX$17,0),FALSE),"N/A")</f>
        <v>N/A</v>
      </c>
      <c r="V42" s="561" t="str">
        <f>IFERROR(VLOOKUP($Q42,'H-Risk Register-Model'!$BO:$BX,MATCH(V$38,'H-Risk Register-Model'!$BO$17:$BX$17,0),FALSE),"N/A")</f>
        <v>N/A</v>
      </c>
      <c r="W42" s="561" t="str">
        <f>IFERROR(VLOOKUP($Q42,'H-Risk Register-Model'!$BO:$BX,MATCH(W$38,'H-Risk Register-Model'!$BO$17:$BX$17,0),FALSE),"N/A")</f>
        <v>N/A</v>
      </c>
      <c r="X42" s="317" t="str">
        <f>IFERROR(VLOOKUP($Q42,'H-Risk Register-Model'!$BO:$BX,MATCH(X$38,'H-Risk Register-Model'!$BO$17:$BX$17,0),FALSE),"N/A")</f>
        <v>N/A</v>
      </c>
      <c r="Y42" s="8"/>
      <c r="Z42" s="306">
        <f>IF(Z41=50%,SUM(V39:V48),IF(Z41=80%,SUM(W39:W48),IF(Z41=90%,SUM(X39:X48))))</f>
        <v>4.548028169014084</v>
      </c>
      <c r="AA42" s="299" t="str">
        <f>AA20</f>
        <v>Sum of Contingency in Table to the Left</v>
      </c>
      <c r="AB42" s="239"/>
      <c r="AC42" s="239"/>
      <c r="AD42" s="239"/>
    </row>
    <row r="43" spans="1:30" x14ac:dyDescent="0.3">
      <c r="A43" s="363"/>
      <c r="B43" s="681"/>
      <c r="C43" s="680"/>
      <c r="D43" s="680"/>
      <c r="E43" s="319"/>
      <c r="F43" s="363"/>
      <c r="G43" s="319"/>
      <c r="H43" s="319"/>
      <c r="I43" s="113"/>
      <c r="J43" s="679"/>
      <c r="K43" s="319"/>
      <c r="M43" s="302" t="str">
        <f t="shared" si="3"/>
        <v>N/A</v>
      </c>
      <c r="N43" s="303"/>
      <c r="O43" s="304"/>
      <c r="P43" s="239"/>
      <c r="Q43" s="310">
        <f t="shared" si="2"/>
        <v>5</v>
      </c>
      <c r="R43" s="554" t="str">
        <f>IFERROR(IF((ABS(T43)+ABS(U43))=0,"N/A",VLOOKUP($Q43,'H-Risk Register-Model'!$BO:$BX,MATCH(R$16,'H-Risk Register-Model'!$BO$17:$BX$17,0),FALSE)),"N/A")</f>
        <v>N/A</v>
      </c>
      <c r="S43" s="8" t="str">
        <f>IFERROR(IF((U43+V43)=0,"N/A",VLOOKUP($Q43,'H-Risk Register-Model'!$BO:$BX,MATCH(S$16,'H-Risk Register-Model'!$BO$17:$BX$17,0),FALSE)),"N/A")</f>
        <v>N/A</v>
      </c>
      <c r="T43" s="561" t="str">
        <f>IFERROR(VLOOKUP($Q43,'H-Risk Register-Model'!$BO:$BX,MATCH(T$38,'H-Risk Register-Model'!$BO$17:$BX$17,0),FALSE),"N/A")</f>
        <v>N/A</v>
      </c>
      <c r="U43" s="561" t="str">
        <f>IFERROR(VLOOKUP($Q43,'H-Risk Register-Model'!$BO:$BX,MATCH(U$38,'H-Risk Register-Model'!$BO$17:$BX$17,0),FALSE),"N/A")</f>
        <v>N/A</v>
      </c>
      <c r="V43" s="561" t="str">
        <f>IFERROR(VLOOKUP($Q43,'H-Risk Register-Model'!$BO:$BX,MATCH(V$38,'H-Risk Register-Model'!$BO$17:$BX$17,0),FALSE),"N/A")</f>
        <v>N/A</v>
      </c>
      <c r="W43" s="561" t="str">
        <f>IFERROR(VLOOKUP($Q43,'H-Risk Register-Model'!$BO:$BX,MATCH(W$38,'H-Risk Register-Model'!$BO$17:$BX$17,0),FALSE),"N/A")</f>
        <v>N/A</v>
      </c>
      <c r="X43" s="317" t="str">
        <f>IFERROR(VLOOKUP($Q43,'H-Risk Register-Model'!$BO:$BX,MATCH(X$38,'H-Risk Register-Model'!$BO$17:$BX$17,0),FALSE),"N/A")</f>
        <v>N/A</v>
      </c>
      <c r="Y43" s="8"/>
      <c r="Z43" s="306">
        <f>'J-Sensitivity Charts'!I12</f>
        <v>4.548028169014084</v>
      </c>
      <c r="AA43" s="299" t="str">
        <f>AA21</f>
        <v>Check with Project Contingency Total</v>
      </c>
      <c r="AB43" s="239"/>
      <c r="AC43" s="239"/>
      <c r="AD43" s="239"/>
    </row>
    <row r="44" spans="1:30" x14ac:dyDescent="0.3">
      <c r="A44" s="363"/>
      <c r="B44" s="681"/>
      <c r="C44" s="680"/>
      <c r="D44" s="680"/>
      <c r="E44" s="319"/>
      <c r="F44" s="363"/>
      <c r="G44" s="319"/>
      <c r="H44" s="319"/>
      <c r="I44" s="113"/>
      <c r="J44" s="679"/>
      <c r="K44" s="319"/>
      <c r="M44" s="302" t="str">
        <f t="shared" si="3"/>
        <v>N/A</v>
      </c>
      <c r="N44" s="303"/>
      <c r="O44" s="304"/>
      <c r="P44" s="239"/>
      <c r="Q44" s="310">
        <f t="shared" si="2"/>
        <v>6</v>
      </c>
      <c r="R44" s="554" t="str">
        <f>IFERROR(IF((ABS(T44)+ABS(U44))=0,"N/A",VLOOKUP($Q44,'H-Risk Register-Model'!$BO:$BX,MATCH(R$16,'H-Risk Register-Model'!$BO$17:$BX$17,0),FALSE)),"N/A")</f>
        <v>N/A</v>
      </c>
      <c r="S44" s="8" t="str">
        <f>IFERROR(IF((U44+V44)=0,"N/A",VLOOKUP($Q44,'H-Risk Register-Model'!$BO:$BX,MATCH(S$16,'H-Risk Register-Model'!$BO$17:$BX$17,0),FALSE)),"N/A")</f>
        <v>N/A</v>
      </c>
      <c r="T44" s="561" t="str">
        <f>IFERROR(VLOOKUP($Q44,'H-Risk Register-Model'!$BO:$BX,MATCH(T$38,'H-Risk Register-Model'!$BO$17:$BX$17,0),FALSE),"N/A")</f>
        <v>N/A</v>
      </c>
      <c r="U44" s="561" t="str">
        <f>IFERROR(VLOOKUP($Q44,'H-Risk Register-Model'!$BO:$BX,MATCH(U$38,'H-Risk Register-Model'!$BO$17:$BX$17,0),FALSE),"N/A")</f>
        <v>N/A</v>
      </c>
      <c r="V44" s="561" t="str">
        <f>IFERROR(VLOOKUP($Q44,'H-Risk Register-Model'!$BO:$BX,MATCH(V$38,'H-Risk Register-Model'!$BO$17:$BX$17,0),FALSE),"N/A")</f>
        <v>N/A</v>
      </c>
      <c r="W44" s="561" t="str">
        <f>IFERROR(VLOOKUP($Q44,'H-Risk Register-Model'!$BO:$BX,MATCH(W$38,'H-Risk Register-Model'!$BO$17:$BX$17,0),FALSE),"N/A")</f>
        <v>N/A</v>
      </c>
      <c r="X44" s="317" t="str">
        <f>IFERROR(VLOOKUP($Q44,'H-Risk Register-Model'!$BO:$BX,MATCH(X$38,'H-Risk Register-Model'!$BO$17:$BX$17,0),FALSE),"N/A")</f>
        <v>N/A</v>
      </c>
      <c r="Y44" s="8"/>
      <c r="Z44" s="295">
        <f>Z42/Z43</f>
        <v>1</v>
      </c>
      <c r="AA44" s="299" t="str">
        <f>AA22</f>
        <v>of Total Risk</v>
      </c>
      <c r="AB44" s="239"/>
      <c r="AC44" s="239"/>
      <c r="AD44" s="239"/>
    </row>
    <row r="45" spans="1:30" x14ac:dyDescent="0.3">
      <c r="A45" s="363"/>
      <c r="B45" s="681"/>
      <c r="C45" s="680"/>
      <c r="D45" s="680"/>
      <c r="E45" s="319"/>
      <c r="F45" s="363"/>
      <c r="G45" s="319"/>
      <c r="H45" s="319"/>
      <c r="I45" s="113"/>
      <c r="J45" s="679"/>
      <c r="K45" s="319"/>
      <c r="M45" s="302" t="str">
        <f t="shared" si="3"/>
        <v>N/A</v>
      </c>
      <c r="N45" s="303"/>
      <c r="O45" s="304"/>
      <c r="P45" s="239"/>
      <c r="Q45" s="310">
        <f t="shared" si="2"/>
        <v>7</v>
      </c>
      <c r="R45" s="554" t="str">
        <f>IFERROR(IF((ABS(T45)+ABS(U45))=0,"N/A",VLOOKUP($Q45,'H-Risk Register-Model'!$BO:$BX,MATCH(R$16,'H-Risk Register-Model'!$BO$17:$BX$17,0),FALSE)),"N/A")</f>
        <v>N/A</v>
      </c>
      <c r="S45" s="8" t="str">
        <f>IFERROR(IF((U45+V45)=0,"N/A",VLOOKUP($Q45,'H-Risk Register-Model'!$BO:$BX,MATCH(S$16,'H-Risk Register-Model'!$BO$17:$BX$17,0),FALSE)),"N/A")</f>
        <v>N/A</v>
      </c>
      <c r="T45" s="561" t="str">
        <f>IFERROR(VLOOKUP($Q45,'H-Risk Register-Model'!$BO:$BX,MATCH(T$38,'H-Risk Register-Model'!$BO$17:$BX$17,0),FALSE),"N/A")</f>
        <v>N/A</v>
      </c>
      <c r="U45" s="561" t="str">
        <f>IFERROR(VLOOKUP($Q45,'H-Risk Register-Model'!$BO:$BX,MATCH(U$38,'H-Risk Register-Model'!$BO$17:$BX$17,0),FALSE),"N/A")</f>
        <v>N/A</v>
      </c>
      <c r="V45" s="561" t="str">
        <f>IFERROR(VLOOKUP($Q45,'H-Risk Register-Model'!$BO:$BX,MATCH(V$38,'H-Risk Register-Model'!$BO$17:$BX$17,0),FALSE),"N/A")</f>
        <v>N/A</v>
      </c>
      <c r="W45" s="561" t="str">
        <f>IFERROR(VLOOKUP($Q45,'H-Risk Register-Model'!$BO:$BX,MATCH(W$38,'H-Risk Register-Model'!$BO$17:$BX$17,0),FALSE),"N/A")</f>
        <v>N/A</v>
      </c>
      <c r="X45" s="317" t="str">
        <f>IFERROR(VLOOKUP($Q45,'H-Risk Register-Model'!$BO:$BX,MATCH(X$38,'H-Risk Register-Model'!$BO$17:$BX$17,0),FALSE),"N/A")</f>
        <v>N/A</v>
      </c>
      <c r="Y45" s="8"/>
      <c r="Z45" s="8"/>
      <c r="AA45" s="299"/>
      <c r="AB45" s="239"/>
      <c r="AC45" s="239"/>
      <c r="AD45" s="239"/>
    </row>
    <row r="46" spans="1:30" x14ac:dyDescent="0.3">
      <c r="A46" s="363"/>
      <c r="B46" s="681"/>
      <c r="C46" s="680"/>
      <c r="D46" s="680"/>
      <c r="E46" s="319"/>
      <c r="F46" s="363"/>
      <c r="G46" s="319"/>
      <c r="H46" s="319"/>
      <c r="I46" s="113"/>
      <c r="J46" s="679"/>
      <c r="K46" s="319"/>
      <c r="M46" s="302" t="str">
        <f t="shared" si="3"/>
        <v>N/A</v>
      </c>
      <c r="N46" s="303"/>
      <c r="O46" s="304"/>
      <c r="P46" s="239"/>
      <c r="Q46" s="310">
        <f t="shared" si="2"/>
        <v>8</v>
      </c>
      <c r="R46" s="554" t="str">
        <f>IFERROR(IF((ABS(T46)+ABS(U46))=0,"N/A",VLOOKUP($Q46,'H-Risk Register-Model'!$BO:$BX,MATCH(R$16,'H-Risk Register-Model'!$BO$17:$BX$17,0),FALSE)),"N/A")</f>
        <v>N/A</v>
      </c>
      <c r="S46" s="8" t="str">
        <f>IFERROR(IF((U46+V46)=0,"N/A",VLOOKUP($Q46,'H-Risk Register-Model'!$BO:$BX,MATCH(S$16,'H-Risk Register-Model'!$BO$17:$BX$17,0),FALSE)),"N/A")</f>
        <v>N/A</v>
      </c>
      <c r="T46" s="561" t="str">
        <f>IFERROR(VLOOKUP($Q46,'H-Risk Register-Model'!$BO:$BX,MATCH(T$38,'H-Risk Register-Model'!$BO$17:$BX$17,0),FALSE),"N/A")</f>
        <v>N/A</v>
      </c>
      <c r="U46" s="561" t="str">
        <f>IFERROR(VLOOKUP($Q46,'H-Risk Register-Model'!$BO:$BX,MATCH(U$38,'H-Risk Register-Model'!$BO$17:$BX$17,0),FALSE),"N/A")</f>
        <v>N/A</v>
      </c>
      <c r="V46" s="561" t="str">
        <f>IFERROR(VLOOKUP($Q46,'H-Risk Register-Model'!$BO:$BX,MATCH(V$38,'H-Risk Register-Model'!$BO$17:$BX$17,0),FALSE),"N/A")</f>
        <v>N/A</v>
      </c>
      <c r="W46" s="561" t="str">
        <f>IFERROR(VLOOKUP($Q46,'H-Risk Register-Model'!$BO:$BX,MATCH(W$38,'H-Risk Register-Model'!$BO$17:$BX$17,0),FALSE),"N/A")</f>
        <v>N/A</v>
      </c>
      <c r="X46" s="317" t="str">
        <f>IFERROR(VLOOKUP($Q46,'H-Risk Register-Model'!$BO:$BX,MATCH(X$38,'H-Risk Register-Model'!$BO$17:$BX$17,0),FALSE),"N/A")</f>
        <v>N/A</v>
      </c>
      <c r="Y46" s="8"/>
      <c r="Z46" s="8"/>
      <c r="AA46" s="299"/>
      <c r="AB46" s="239"/>
      <c r="AC46" s="239"/>
      <c r="AD46" s="239"/>
    </row>
    <row r="47" spans="1:30" x14ac:dyDescent="0.3">
      <c r="A47" s="363"/>
      <c r="B47" s="681"/>
      <c r="C47" s="680"/>
      <c r="D47" s="680"/>
      <c r="E47" s="363"/>
      <c r="F47" s="363"/>
      <c r="G47" s="319"/>
      <c r="H47" s="319"/>
      <c r="I47" s="113"/>
      <c r="J47" s="679"/>
      <c r="K47" s="319"/>
      <c r="M47" s="302" t="str">
        <f t="shared" si="3"/>
        <v>N/A</v>
      </c>
      <c r="N47" s="303"/>
      <c r="O47" s="304"/>
      <c r="P47" s="239"/>
      <c r="Q47" s="310">
        <f t="shared" si="2"/>
        <v>9</v>
      </c>
      <c r="R47" s="554" t="str">
        <f>IFERROR(IF((ABS(T47)+ABS(U47))=0,"N/A",VLOOKUP($Q47,'H-Risk Register-Model'!$BO:$BX,MATCH(R$16,'H-Risk Register-Model'!$BO$17:$BX$17,0),FALSE)),"N/A")</f>
        <v>N/A</v>
      </c>
      <c r="S47" s="8" t="str">
        <f>IFERROR(IF((U47+V47)=0,"N/A",VLOOKUP($Q47,'H-Risk Register-Model'!$BO:$BX,MATCH(S$16,'H-Risk Register-Model'!$BO$17:$BX$17,0),FALSE)),"N/A")</f>
        <v>N/A</v>
      </c>
      <c r="T47" s="561" t="str">
        <f>IFERROR(VLOOKUP($Q47,'H-Risk Register-Model'!$BO:$BX,MATCH(T$38,'H-Risk Register-Model'!$BO$17:$BX$17,0),FALSE),"N/A")</f>
        <v>N/A</v>
      </c>
      <c r="U47" s="561" t="str">
        <f>IFERROR(VLOOKUP($Q47,'H-Risk Register-Model'!$BO:$BX,MATCH(U$38,'H-Risk Register-Model'!$BO$17:$BX$17,0),FALSE),"N/A")</f>
        <v>N/A</v>
      </c>
      <c r="V47" s="561" t="str">
        <f>IFERROR(VLOOKUP($Q47,'H-Risk Register-Model'!$BO:$BX,MATCH(V$38,'H-Risk Register-Model'!$BO$17:$BX$17,0),FALSE),"N/A")</f>
        <v>N/A</v>
      </c>
      <c r="W47" s="561" t="str">
        <f>IFERROR(VLOOKUP($Q47,'H-Risk Register-Model'!$BO:$BX,MATCH(W$38,'H-Risk Register-Model'!$BO$17:$BX$17,0),FALSE),"N/A")</f>
        <v>N/A</v>
      </c>
      <c r="X47" s="317" t="str">
        <f>IFERROR(VLOOKUP($Q47,'H-Risk Register-Model'!$BO:$BX,MATCH(X$38,'H-Risk Register-Model'!$BO$17:$BX$17,0),FALSE),"N/A")</f>
        <v>N/A</v>
      </c>
      <c r="Y47" s="8"/>
      <c r="Z47" s="8"/>
      <c r="AA47" s="299"/>
      <c r="AB47" s="239"/>
      <c r="AC47" s="239"/>
      <c r="AD47" s="239"/>
    </row>
    <row r="48" spans="1:30" x14ac:dyDescent="0.3">
      <c r="A48" s="363"/>
      <c r="B48" s="681"/>
      <c r="C48" s="682"/>
      <c r="D48" s="682"/>
      <c r="E48" s="363"/>
      <c r="F48" s="363"/>
      <c r="G48" s="319"/>
      <c r="H48" s="319"/>
      <c r="I48" s="113"/>
      <c r="J48" s="679"/>
      <c r="K48" s="319"/>
      <c r="M48" s="302" t="str">
        <f t="shared" si="3"/>
        <v>N/A</v>
      </c>
      <c r="N48" s="303"/>
      <c r="O48" s="304"/>
      <c r="P48" s="239"/>
      <c r="Q48" s="310">
        <f t="shared" si="2"/>
        <v>10</v>
      </c>
      <c r="R48" s="554" t="str">
        <f>IFERROR(IF((ABS(T48)+ABS(U48))=0,"N/A",VLOOKUP($Q48,'H-Risk Register-Model'!$BO:$BX,MATCH(R$16,'H-Risk Register-Model'!$BO$17:$BX$17,0),FALSE)),"N/A")</f>
        <v>N/A</v>
      </c>
      <c r="S48" s="8" t="str">
        <f>IFERROR(IF((U48+V48)=0,"N/A",VLOOKUP($Q48,'H-Risk Register-Model'!$BO:$BX,MATCH(S$16,'H-Risk Register-Model'!$BO$17:$BX$17,0),FALSE)),"N/A")</f>
        <v>N/A</v>
      </c>
      <c r="T48" s="561" t="str">
        <f>IFERROR(VLOOKUP($Q48,'H-Risk Register-Model'!$BO:$BX,MATCH(T$38,'H-Risk Register-Model'!$BO$17:$BX$17,0),FALSE),"N/A")</f>
        <v>N/A</v>
      </c>
      <c r="U48" s="561" t="str">
        <f>IFERROR(VLOOKUP($Q48,'H-Risk Register-Model'!$BO:$BX,MATCH(U$38,'H-Risk Register-Model'!$BO$17:$BX$17,0),FALSE),"N/A")</f>
        <v>N/A</v>
      </c>
      <c r="V48" s="561" t="str">
        <f>IFERROR(VLOOKUP($Q48,'H-Risk Register-Model'!$BO:$BX,MATCH(V$38,'H-Risk Register-Model'!$BO$17:$BX$17,0),FALSE),"N/A")</f>
        <v>N/A</v>
      </c>
      <c r="W48" s="561" t="str">
        <f>IFERROR(VLOOKUP($Q48,'H-Risk Register-Model'!$BO:$BX,MATCH(W$38,'H-Risk Register-Model'!$BO$17:$BX$17,0),FALSE),"N/A")</f>
        <v>N/A</v>
      </c>
      <c r="X48" s="317" t="str">
        <f>IFERROR(VLOOKUP($Q48,'H-Risk Register-Model'!$BO:$BX,MATCH(X$38,'H-Risk Register-Model'!$BO$17:$BX$17,0),FALSE),"N/A")</f>
        <v>N/A</v>
      </c>
      <c r="Y48" s="8"/>
      <c r="Z48" s="8"/>
      <c r="AA48" s="299"/>
      <c r="AB48" s="239"/>
      <c r="AC48" s="239"/>
      <c r="AD48" s="239"/>
    </row>
    <row r="49" spans="1:30" ht="15" thickBot="1" x14ac:dyDescent="0.35">
      <c r="A49" s="363"/>
      <c r="B49" s="681"/>
      <c r="C49" s="682"/>
      <c r="D49" s="682"/>
      <c r="E49" s="363"/>
      <c r="F49" s="363"/>
      <c r="G49" s="319"/>
      <c r="H49" s="319"/>
      <c r="I49" s="113"/>
      <c r="J49" s="679"/>
      <c r="K49" s="319"/>
      <c r="M49" s="302" t="str">
        <f t="shared" si="3"/>
        <v>N/A</v>
      </c>
      <c r="N49" s="303"/>
      <c r="O49" s="304"/>
      <c r="P49" s="239"/>
      <c r="Q49" s="312"/>
      <c r="R49" s="313"/>
      <c r="S49" s="314" t="s">
        <v>879</v>
      </c>
      <c r="T49" s="318"/>
      <c r="U49" s="318"/>
      <c r="V49" s="318">
        <f>SUM('H-Risk Register-Model'!$BP:$BP)-SUM(V39:V48)</f>
        <v>0</v>
      </c>
      <c r="W49" s="318">
        <f>SUM('H-Risk Register-Model'!$BQ:$BQ)-SUM(W39:W48)</f>
        <v>0</v>
      </c>
      <c r="X49" s="562">
        <f>SUM('H-Risk Register-Model'!$BR:$BR)-SUM(X39:X48)</f>
        <v>0</v>
      </c>
      <c r="Y49" s="8"/>
      <c r="Z49" s="8"/>
      <c r="AA49" s="299"/>
      <c r="AB49" s="239"/>
      <c r="AC49" s="239"/>
      <c r="AD49" s="239"/>
    </row>
    <row r="50" spans="1:30" x14ac:dyDescent="0.3">
      <c r="A50" s="363"/>
      <c r="B50" s="681"/>
      <c r="C50" s="682"/>
      <c r="D50" s="682"/>
      <c r="E50" s="363"/>
      <c r="F50" s="363"/>
      <c r="G50" s="319"/>
      <c r="H50" s="319"/>
      <c r="I50" s="113"/>
      <c r="J50" s="679"/>
      <c r="K50" s="319"/>
      <c r="M50" s="302" t="str">
        <f t="shared" si="3"/>
        <v>N/A</v>
      </c>
      <c r="N50" s="303"/>
      <c r="O50" s="304"/>
      <c r="P50" s="239"/>
      <c r="Q50" s="239"/>
      <c r="R50" s="239"/>
      <c r="S50" s="239"/>
      <c r="T50" s="239"/>
      <c r="U50" s="239"/>
      <c r="V50" s="239"/>
      <c r="W50" s="239"/>
      <c r="X50" s="239"/>
      <c r="Y50" s="239"/>
      <c r="Z50" s="239"/>
      <c r="AA50" s="239"/>
      <c r="AB50" s="239"/>
      <c r="AC50" s="239"/>
      <c r="AD50" s="239"/>
    </row>
    <row r="51" spans="1:30" x14ac:dyDescent="0.3">
      <c r="A51" s="363"/>
      <c r="B51" s="681"/>
      <c r="C51" s="682"/>
      <c r="D51" s="682"/>
      <c r="E51" s="363"/>
      <c r="F51" s="363"/>
      <c r="G51" s="319"/>
      <c r="H51" s="319"/>
      <c r="I51" s="113"/>
      <c r="J51" s="679"/>
      <c r="K51" s="319"/>
      <c r="M51" s="239"/>
      <c r="N51" s="239"/>
      <c r="O51" s="239"/>
      <c r="P51" s="239"/>
      <c r="Q51" s="239"/>
      <c r="R51" s="239"/>
      <c r="S51" s="239"/>
      <c r="T51" s="239"/>
      <c r="U51" s="239"/>
      <c r="V51" s="239"/>
      <c r="W51" s="239"/>
      <c r="X51" s="239"/>
      <c r="Y51" s="239"/>
      <c r="Z51" s="239"/>
      <c r="AA51" s="239"/>
      <c r="AB51" s="239"/>
      <c r="AC51" s="239"/>
      <c r="AD51" s="239"/>
    </row>
    <row r="52" spans="1:30" x14ac:dyDescent="0.3">
      <c r="A52" s="363"/>
      <c r="B52" s="681"/>
      <c r="C52" s="682"/>
      <c r="D52" s="682"/>
      <c r="E52" s="363"/>
      <c r="F52" s="363"/>
      <c r="G52" s="319"/>
      <c r="H52" s="319"/>
      <c r="I52" s="113"/>
      <c r="J52" s="679"/>
      <c r="K52" s="319"/>
      <c r="M52" s="239"/>
      <c r="N52" s="239"/>
      <c r="O52" s="239"/>
      <c r="P52" s="239"/>
      <c r="Q52" s="239"/>
      <c r="R52" s="239"/>
      <c r="S52" s="239"/>
      <c r="T52" s="239"/>
      <c r="U52" s="239"/>
      <c r="V52" s="239"/>
      <c r="W52" s="239"/>
      <c r="X52" s="239"/>
      <c r="Y52" s="239"/>
      <c r="Z52" s="239"/>
      <c r="AA52" s="239"/>
      <c r="AB52" s="239"/>
      <c r="AC52" s="239"/>
      <c r="AD52" s="239"/>
    </row>
    <row r="53" spans="1:30" x14ac:dyDescent="0.3">
      <c r="A53" s="363"/>
      <c r="B53" s="681"/>
      <c r="C53" s="682"/>
      <c r="D53" s="682"/>
      <c r="E53" s="363"/>
      <c r="F53" s="363"/>
      <c r="G53" s="319"/>
      <c r="H53" s="319"/>
      <c r="I53" s="113"/>
      <c r="J53" s="679"/>
      <c r="K53" s="319"/>
      <c r="M53" s="239"/>
      <c r="N53" s="239"/>
      <c r="O53" s="239"/>
      <c r="P53" s="239"/>
      <c r="Q53" s="239"/>
      <c r="R53" s="239"/>
      <c r="S53" s="239"/>
      <c r="T53" s="239"/>
      <c r="U53" s="239"/>
      <c r="V53" s="239"/>
      <c r="W53" s="239"/>
      <c r="X53" s="239"/>
      <c r="Y53" s="239"/>
      <c r="Z53" s="239"/>
      <c r="AA53" s="239"/>
      <c r="AB53" s="239"/>
      <c r="AC53" s="239"/>
      <c r="AD53" s="239"/>
    </row>
    <row r="54" spans="1:30" x14ac:dyDescent="0.3">
      <c r="A54" s="363"/>
      <c r="B54" s="681"/>
      <c r="C54" s="682"/>
      <c r="D54" s="682"/>
      <c r="E54" s="363"/>
      <c r="F54" s="363"/>
      <c r="G54" s="319"/>
      <c r="H54" s="319"/>
      <c r="I54" s="113"/>
      <c r="J54" s="679"/>
      <c r="K54" s="319"/>
      <c r="M54" s="239"/>
      <c r="N54" s="239"/>
      <c r="O54" s="239"/>
      <c r="P54" s="239"/>
      <c r="Q54" s="239"/>
      <c r="R54" s="239"/>
      <c r="S54" s="239"/>
      <c r="T54" s="239"/>
      <c r="U54" s="239"/>
      <c r="V54" s="239"/>
      <c r="W54" s="239"/>
      <c r="X54" s="239"/>
      <c r="Y54" s="239"/>
      <c r="Z54" s="239"/>
      <c r="AA54" s="239"/>
      <c r="AB54" s="239"/>
      <c r="AC54" s="239"/>
      <c r="AD54" s="239"/>
    </row>
    <row r="55" spans="1:30" x14ac:dyDescent="0.3">
      <c r="A55" s="363"/>
      <c r="B55" s="681"/>
      <c r="C55" s="682"/>
      <c r="D55" s="682"/>
      <c r="E55" s="363"/>
      <c r="F55" s="363"/>
      <c r="G55" s="319"/>
      <c r="H55" s="319"/>
      <c r="I55" s="113"/>
      <c r="J55" s="679"/>
      <c r="K55" s="319"/>
      <c r="M55" s="239"/>
      <c r="N55" s="239"/>
      <c r="O55" s="239"/>
      <c r="P55" s="239"/>
      <c r="Q55" s="239"/>
      <c r="R55" s="239"/>
      <c r="S55" s="239"/>
      <c r="T55" s="239"/>
      <c r="U55" s="239"/>
      <c r="V55" s="239"/>
      <c r="W55" s="239"/>
      <c r="X55" s="239"/>
      <c r="Y55" s="239"/>
      <c r="Z55" s="239"/>
      <c r="AA55" s="239"/>
      <c r="AB55" s="239"/>
      <c r="AC55" s="239"/>
      <c r="AD55" s="239"/>
    </row>
    <row r="56" spans="1:30" x14ac:dyDescent="0.3">
      <c r="A56" s="363"/>
      <c r="B56" s="681"/>
      <c r="C56" s="682"/>
      <c r="D56" s="682"/>
      <c r="E56" s="363"/>
      <c r="F56" s="363"/>
      <c r="G56" s="319"/>
      <c r="H56" s="319"/>
      <c r="I56" s="113"/>
      <c r="J56" s="679"/>
      <c r="K56" s="319"/>
      <c r="M56" s="239"/>
      <c r="N56" s="239"/>
      <c r="O56" s="239"/>
      <c r="P56" s="239"/>
      <c r="Q56" s="239"/>
      <c r="R56" s="239"/>
      <c r="S56" s="239"/>
      <c r="T56" s="239"/>
      <c r="U56" s="239"/>
      <c r="V56" s="239"/>
      <c r="W56" s="239"/>
      <c r="X56" s="239"/>
      <c r="Y56" s="239"/>
      <c r="Z56" s="239"/>
      <c r="AA56" s="239"/>
      <c r="AB56" s="239"/>
      <c r="AC56" s="239"/>
      <c r="AD56" s="239"/>
    </row>
    <row r="57" spans="1:30" x14ac:dyDescent="0.3">
      <c r="A57" s="363"/>
      <c r="B57" s="681"/>
      <c r="C57" s="682"/>
      <c r="D57" s="682"/>
      <c r="E57" s="363"/>
      <c r="F57" s="363"/>
      <c r="G57" s="319"/>
      <c r="H57" s="319"/>
      <c r="I57" s="113"/>
      <c r="J57" s="679"/>
      <c r="K57" s="319"/>
      <c r="M57" s="239"/>
      <c r="N57" s="239"/>
      <c r="O57" s="239"/>
      <c r="P57" s="239"/>
      <c r="Q57" s="239"/>
      <c r="R57" s="239"/>
      <c r="S57" s="239"/>
      <c r="T57" s="239"/>
      <c r="U57" s="239"/>
      <c r="V57" s="239"/>
      <c r="W57" s="239"/>
      <c r="X57" s="239"/>
      <c r="Y57" s="239"/>
      <c r="Z57" s="239"/>
      <c r="AA57" s="239"/>
      <c r="AB57" s="239"/>
      <c r="AC57" s="239"/>
      <c r="AD57" s="239"/>
    </row>
    <row r="58" spans="1:30" x14ac:dyDescent="0.3">
      <c r="A58" s="363"/>
      <c r="B58" s="681"/>
      <c r="C58" s="682"/>
      <c r="D58" s="682"/>
      <c r="E58" s="363"/>
      <c r="F58" s="363"/>
      <c r="G58" s="319"/>
      <c r="H58" s="319"/>
      <c r="I58" s="113"/>
      <c r="J58" s="679"/>
      <c r="K58" s="319"/>
      <c r="M58" s="239"/>
      <c r="N58" s="239"/>
      <c r="O58" s="239"/>
      <c r="P58" s="239"/>
      <c r="AC58" s="239"/>
      <c r="AD58" s="239"/>
    </row>
    <row r="59" spans="1:30" ht="15" thickBot="1" x14ac:dyDescent="0.35">
      <c r="A59" s="363"/>
      <c r="B59" s="687"/>
      <c r="C59" s="688"/>
      <c r="D59" s="688"/>
      <c r="E59" s="689"/>
      <c r="F59" s="689"/>
      <c r="G59" s="684"/>
      <c r="H59" s="684"/>
      <c r="I59" s="690"/>
      <c r="J59" s="691"/>
      <c r="K59" s="319"/>
      <c r="M59" s="239"/>
      <c r="N59" s="239"/>
      <c r="O59" s="239"/>
      <c r="P59" s="239"/>
      <c r="AC59" s="239"/>
      <c r="AD59" s="239"/>
    </row>
    <row r="60" spans="1:30" ht="29.4" customHeight="1" x14ac:dyDescent="0.3">
      <c r="A60" s="363"/>
      <c r="B60" s="1034" t="s">
        <v>878</v>
      </c>
      <c r="C60" s="1035"/>
      <c r="D60" s="1035"/>
      <c r="E60" s="1035"/>
      <c r="F60" s="1035"/>
      <c r="G60" s="1035"/>
      <c r="H60" s="1035"/>
      <c r="I60" s="1035"/>
      <c r="J60" s="1036"/>
      <c r="K60" s="113"/>
      <c r="L60" s="239"/>
      <c r="M60" s="239"/>
      <c r="N60" s="239"/>
      <c r="O60" s="239"/>
      <c r="P60" s="239"/>
      <c r="Q60" s="239"/>
      <c r="R60" s="239"/>
      <c r="S60" s="239"/>
      <c r="T60" s="239"/>
      <c r="U60" s="239"/>
      <c r="V60" s="239"/>
      <c r="W60" s="239"/>
      <c r="X60" s="239"/>
      <c r="Y60" s="239"/>
      <c r="Z60" s="239"/>
      <c r="AA60" s="239"/>
      <c r="AB60" s="239"/>
      <c r="AC60" s="239"/>
      <c r="AD60" s="239"/>
    </row>
    <row r="61" spans="1:30" x14ac:dyDescent="0.3">
      <c r="A61" s="363"/>
      <c r="B61" s="676"/>
      <c r="C61" s="363"/>
      <c r="D61" s="363"/>
      <c r="E61" s="363"/>
      <c r="F61" s="363"/>
      <c r="G61" s="363"/>
      <c r="H61" s="363"/>
      <c r="I61" s="363"/>
      <c r="J61" s="677"/>
      <c r="K61" s="319"/>
      <c r="M61" s="239"/>
      <c r="N61" s="239"/>
      <c r="O61" s="239"/>
      <c r="P61" s="239"/>
      <c r="Q61" s="239"/>
      <c r="R61" s="239"/>
      <c r="S61" s="239"/>
      <c r="T61" s="239"/>
      <c r="U61" s="239"/>
      <c r="V61" s="239"/>
      <c r="W61" s="239"/>
      <c r="X61" s="239"/>
      <c r="Y61" s="239"/>
      <c r="Z61" s="239"/>
      <c r="AA61" s="239"/>
      <c r="AB61" s="239"/>
      <c r="AC61" s="239"/>
      <c r="AD61" s="239"/>
    </row>
    <row r="62" spans="1:30" x14ac:dyDescent="0.3">
      <c r="A62" s="363"/>
      <c r="B62" s="678"/>
      <c r="C62" s="329"/>
      <c r="D62" s="329"/>
      <c r="E62" s="319"/>
      <c r="F62" s="363"/>
      <c r="G62" s="319"/>
      <c r="H62" s="319"/>
      <c r="I62" s="113"/>
      <c r="J62" s="679"/>
      <c r="K62" s="319"/>
      <c r="M62" s="239"/>
      <c r="N62" s="239"/>
      <c r="O62" s="239"/>
      <c r="P62" s="239"/>
      <c r="Q62" s="239"/>
      <c r="R62" s="239"/>
      <c r="S62" s="239"/>
      <c r="T62" s="239"/>
      <c r="U62" s="239"/>
      <c r="V62" s="239"/>
      <c r="W62" s="239"/>
      <c r="X62" s="239"/>
      <c r="Y62" s="239"/>
      <c r="Z62" s="239"/>
      <c r="AA62" s="239"/>
      <c r="AB62" s="239"/>
      <c r="AC62" s="239"/>
      <c r="AD62" s="239"/>
    </row>
    <row r="63" spans="1:30" x14ac:dyDescent="0.3">
      <c r="A63" s="363"/>
      <c r="B63" s="678"/>
      <c r="C63" s="680"/>
      <c r="D63" s="680"/>
      <c r="E63" s="319"/>
      <c r="F63" s="363"/>
      <c r="G63" s="319"/>
      <c r="H63" s="319"/>
      <c r="I63" s="113"/>
      <c r="J63" s="679"/>
      <c r="K63" s="319"/>
      <c r="M63" s="239"/>
      <c r="N63" s="239"/>
      <c r="O63" s="239"/>
      <c r="P63" s="239"/>
      <c r="Q63" s="239"/>
      <c r="R63" s="239"/>
      <c r="S63" s="239"/>
      <c r="T63" s="239"/>
      <c r="U63" s="239"/>
      <c r="V63" s="239"/>
      <c r="W63" s="239"/>
      <c r="X63" s="239"/>
      <c r="Y63" s="239"/>
      <c r="Z63" s="239"/>
      <c r="AA63" s="239"/>
      <c r="AB63" s="239"/>
      <c r="AC63" s="239"/>
      <c r="AD63" s="239"/>
    </row>
    <row r="64" spans="1:30" x14ac:dyDescent="0.3">
      <c r="A64" s="363"/>
      <c r="B64" s="681"/>
      <c r="C64" s="680"/>
      <c r="D64" s="680"/>
      <c r="E64" s="319"/>
      <c r="F64" s="363"/>
      <c r="G64" s="319"/>
      <c r="H64" s="319"/>
      <c r="I64" s="113"/>
      <c r="J64" s="679"/>
      <c r="K64" s="319"/>
      <c r="M64" s="239"/>
      <c r="N64" s="239"/>
      <c r="O64" s="239"/>
      <c r="P64" s="239"/>
      <c r="Q64" s="239"/>
      <c r="R64" s="239"/>
      <c r="S64" s="239"/>
      <c r="T64" s="239"/>
      <c r="U64" s="239"/>
      <c r="V64" s="239"/>
      <c r="W64" s="239"/>
      <c r="X64" s="239"/>
      <c r="Y64" s="239"/>
      <c r="Z64" s="239"/>
      <c r="AA64" s="239"/>
      <c r="AB64" s="239"/>
      <c r="AC64" s="239"/>
      <c r="AD64" s="239"/>
    </row>
    <row r="65" spans="1:30" x14ac:dyDescent="0.3">
      <c r="A65" s="363"/>
      <c r="B65" s="681"/>
      <c r="C65" s="680"/>
      <c r="D65" s="680"/>
      <c r="E65" s="319"/>
      <c r="F65" s="363"/>
      <c r="G65" s="319"/>
      <c r="H65" s="319"/>
      <c r="I65" s="113"/>
      <c r="J65" s="679"/>
      <c r="K65" s="319"/>
      <c r="M65" s="239"/>
      <c r="N65" s="239"/>
      <c r="O65" s="239"/>
      <c r="P65" s="239"/>
      <c r="Q65" s="239"/>
      <c r="R65" s="239"/>
      <c r="S65" s="239"/>
      <c r="T65" s="239"/>
      <c r="U65" s="239"/>
      <c r="V65" s="239"/>
      <c r="W65" s="239"/>
      <c r="X65" s="239"/>
      <c r="Y65" s="239"/>
      <c r="Z65" s="239"/>
      <c r="AA65" s="239"/>
      <c r="AB65" s="239"/>
      <c r="AC65" s="239"/>
      <c r="AD65" s="239"/>
    </row>
    <row r="66" spans="1:30" x14ac:dyDescent="0.3">
      <c r="A66" s="363"/>
      <c r="B66" s="681"/>
      <c r="C66" s="680"/>
      <c r="D66" s="680"/>
      <c r="E66" s="319"/>
      <c r="F66" s="363"/>
      <c r="G66" s="319"/>
      <c r="H66" s="319"/>
      <c r="I66" s="113"/>
      <c r="J66" s="679"/>
      <c r="K66" s="319"/>
      <c r="M66" s="239"/>
      <c r="N66" s="239"/>
      <c r="O66" s="239"/>
      <c r="P66" s="239"/>
      <c r="Q66" s="239"/>
      <c r="R66" s="239"/>
      <c r="S66" s="239"/>
      <c r="T66" s="239"/>
      <c r="U66" s="239"/>
      <c r="V66" s="239"/>
      <c r="W66" s="239"/>
      <c r="X66" s="239"/>
      <c r="Y66" s="239"/>
      <c r="Z66" s="239"/>
      <c r="AA66" s="239"/>
      <c r="AB66" s="239"/>
      <c r="AC66" s="239"/>
      <c r="AD66" s="239"/>
    </row>
    <row r="67" spans="1:30" x14ac:dyDescent="0.3">
      <c r="A67" s="363"/>
      <c r="B67" s="681"/>
      <c r="C67" s="680"/>
      <c r="D67" s="680"/>
      <c r="E67" s="319"/>
      <c r="F67" s="363"/>
      <c r="G67" s="319"/>
      <c r="H67" s="319"/>
      <c r="I67" s="113"/>
      <c r="J67" s="679"/>
      <c r="K67" s="319"/>
      <c r="M67" s="239"/>
      <c r="N67" s="239"/>
      <c r="O67" s="239"/>
      <c r="P67" s="239"/>
      <c r="Q67" s="239"/>
      <c r="R67" s="239"/>
      <c r="S67" s="239"/>
      <c r="T67" s="239"/>
      <c r="U67" s="239"/>
      <c r="V67" s="239"/>
      <c r="W67" s="239"/>
      <c r="X67" s="239"/>
      <c r="Y67" s="239"/>
      <c r="Z67" s="239"/>
      <c r="AA67" s="239"/>
      <c r="AB67" s="239"/>
      <c r="AC67" s="239"/>
      <c r="AD67" s="239"/>
    </row>
    <row r="68" spans="1:30" x14ac:dyDescent="0.3">
      <c r="A68" s="363"/>
      <c r="B68" s="681"/>
      <c r="C68" s="680"/>
      <c r="D68" s="680"/>
      <c r="E68" s="319"/>
      <c r="F68" s="363"/>
      <c r="G68" s="319"/>
      <c r="H68" s="319"/>
      <c r="I68" s="113"/>
      <c r="J68" s="679"/>
      <c r="K68" s="319"/>
      <c r="M68" s="239"/>
      <c r="N68" s="239"/>
      <c r="O68" s="239"/>
      <c r="P68" s="239"/>
      <c r="Q68" s="239"/>
      <c r="R68" s="239"/>
      <c r="S68" s="239"/>
      <c r="T68" s="239"/>
      <c r="U68" s="239"/>
      <c r="V68" s="239"/>
      <c r="W68" s="239"/>
      <c r="X68" s="239"/>
      <c r="Y68" s="239"/>
      <c r="Z68" s="239"/>
      <c r="AA68" s="239"/>
      <c r="AB68" s="239"/>
      <c r="AC68" s="239"/>
      <c r="AD68" s="239"/>
    </row>
    <row r="69" spans="1:30" x14ac:dyDescent="0.3">
      <c r="A69" s="363"/>
      <c r="B69" s="681"/>
      <c r="C69" s="680"/>
      <c r="D69" s="680"/>
      <c r="E69" s="319"/>
      <c r="F69" s="363"/>
      <c r="G69" s="319"/>
      <c r="H69" s="319"/>
      <c r="I69" s="113"/>
      <c r="J69" s="679"/>
      <c r="K69" s="319"/>
      <c r="M69" s="239"/>
      <c r="N69" s="239"/>
      <c r="O69" s="239"/>
      <c r="P69" s="239"/>
      <c r="Q69" s="239"/>
      <c r="R69" s="239"/>
      <c r="S69" s="239"/>
      <c r="T69" s="239"/>
      <c r="U69" s="239"/>
      <c r="V69" s="239"/>
      <c r="W69" s="239"/>
      <c r="X69" s="239"/>
      <c r="Y69" s="239"/>
      <c r="Z69" s="239"/>
      <c r="AA69" s="239"/>
      <c r="AB69" s="239"/>
      <c r="AC69" s="239"/>
      <c r="AD69" s="239"/>
    </row>
    <row r="70" spans="1:30" x14ac:dyDescent="0.3">
      <c r="A70" s="363"/>
      <c r="B70" s="681"/>
      <c r="C70" s="680"/>
      <c r="D70" s="680"/>
      <c r="E70" s="319"/>
      <c r="F70" s="363"/>
      <c r="G70" s="319"/>
      <c r="H70" s="319"/>
      <c r="I70" s="113"/>
      <c r="J70" s="679"/>
      <c r="K70" s="319"/>
      <c r="M70" s="239"/>
      <c r="N70" s="239"/>
      <c r="O70" s="239"/>
      <c r="P70" s="239"/>
      <c r="Q70" s="239"/>
      <c r="R70" s="239"/>
      <c r="S70" s="239"/>
      <c r="T70" s="239"/>
      <c r="U70" s="239"/>
      <c r="V70" s="239"/>
      <c r="W70" s="239"/>
      <c r="X70" s="239"/>
      <c r="Y70" s="239"/>
      <c r="Z70" s="239"/>
      <c r="AA70" s="239"/>
      <c r="AB70" s="239"/>
      <c r="AC70" s="239"/>
      <c r="AD70" s="239"/>
    </row>
    <row r="71" spans="1:30" x14ac:dyDescent="0.3">
      <c r="A71" s="363"/>
      <c r="B71" s="681"/>
      <c r="C71" s="680"/>
      <c r="D71" s="680"/>
      <c r="E71" s="319"/>
      <c r="F71" s="363"/>
      <c r="G71" s="319"/>
      <c r="H71" s="319"/>
      <c r="I71" s="113"/>
      <c r="J71" s="679"/>
      <c r="K71" s="319"/>
      <c r="M71" s="239"/>
      <c r="N71" s="239"/>
      <c r="O71" s="239"/>
      <c r="P71" s="239"/>
      <c r="Q71" s="239"/>
      <c r="R71" s="239"/>
      <c r="S71" s="239"/>
      <c r="T71" s="239"/>
      <c r="U71" s="239"/>
      <c r="V71" s="239"/>
      <c r="W71" s="239"/>
      <c r="X71" s="239"/>
      <c r="Y71" s="239"/>
      <c r="Z71" s="239"/>
      <c r="AA71" s="239"/>
      <c r="AB71" s="239"/>
      <c r="AC71" s="239"/>
      <c r="AD71" s="239"/>
    </row>
    <row r="72" spans="1:30" x14ac:dyDescent="0.3">
      <c r="A72" s="363"/>
      <c r="B72" s="681"/>
      <c r="C72" s="680"/>
      <c r="D72" s="680"/>
      <c r="E72" s="319"/>
      <c r="F72" s="363"/>
      <c r="G72" s="319"/>
      <c r="H72" s="319"/>
      <c r="I72" s="113"/>
      <c r="J72" s="679"/>
      <c r="K72" s="319"/>
      <c r="M72" s="239"/>
      <c r="N72" s="239"/>
      <c r="O72" s="239"/>
      <c r="P72" s="239"/>
      <c r="Q72" s="239"/>
      <c r="R72" s="239"/>
      <c r="S72" s="239"/>
      <c r="T72" s="239"/>
      <c r="U72" s="239"/>
      <c r="V72" s="239"/>
      <c r="W72" s="239"/>
      <c r="X72" s="239"/>
      <c r="Y72" s="239"/>
      <c r="Z72" s="239"/>
      <c r="AA72" s="239"/>
      <c r="AB72" s="239"/>
      <c r="AC72" s="239"/>
      <c r="AD72" s="239"/>
    </row>
    <row r="73" spans="1:30" x14ac:dyDescent="0.3">
      <c r="A73" s="363"/>
      <c r="B73" s="681"/>
      <c r="C73" s="680"/>
      <c r="D73" s="680"/>
      <c r="E73" s="319"/>
      <c r="F73" s="363"/>
      <c r="G73" s="319"/>
      <c r="H73" s="319"/>
      <c r="I73" s="113"/>
      <c r="J73" s="679"/>
      <c r="K73" s="319"/>
      <c r="M73" s="239"/>
      <c r="N73" s="239"/>
      <c r="O73" s="239"/>
      <c r="P73" s="239"/>
      <c r="Q73" s="239"/>
      <c r="R73" s="239"/>
      <c r="S73" s="239"/>
      <c r="T73" s="239"/>
      <c r="U73" s="239"/>
      <c r="V73" s="239"/>
      <c r="W73" s="239"/>
      <c r="X73" s="239"/>
      <c r="Y73" s="239"/>
      <c r="Z73" s="239"/>
      <c r="AA73" s="239"/>
      <c r="AB73" s="239"/>
      <c r="AC73" s="239"/>
      <c r="AD73" s="239"/>
    </row>
    <row r="74" spans="1:30" x14ac:dyDescent="0.3">
      <c r="A74" s="363"/>
      <c r="B74" s="681"/>
      <c r="C74" s="680"/>
      <c r="D74" s="680"/>
      <c r="E74" s="319"/>
      <c r="F74" s="363"/>
      <c r="G74" s="319"/>
      <c r="H74" s="319"/>
      <c r="I74" s="113"/>
      <c r="J74" s="679"/>
      <c r="K74" s="319"/>
      <c r="M74" s="239"/>
      <c r="N74" s="239"/>
      <c r="O74" s="239"/>
      <c r="P74" s="239"/>
      <c r="Q74" s="239"/>
      <c r="R74" s="239"/>
      <c r="S74" s="239"/>
      <c r="T74" s="239"/>
      <c r="U74" s="239"/>
      <c r="V74" s="239"/>
      <c r="W74" s="239"/>
      <c r="X74" s="239"/>
      <c r="Y74" s="239"/>
      <c r="Z74" s="239"/>
      <c r="AA74" s="239"/>
      <c r="AB74" s="239"/>
      <c r="AC74" s="239"/>
      <c r="AD74" s="239"/>
    </row>
    <row r="75" spans="1:30" x14ac:dyDescent="0.3">
      <c r="A75" s="363"/>
      <c r="B75" s="681"/>
      <c r="C75" s="680"/>
      <c r="D75" s="680"/>
      <c r="E75" s="319"/>
      <c r="F75" s="363"/>
      <c r="G75" s="319"/>
      <c r="H75" s="319"/>
      <c r="I75" s="113"/>
      <c r="J75" s="679"/>
      <c r="K75" s="319"/>
      <c r="M75" s="239"/>
      <c r="N75" s="239"/>
      <c r="O75" s="239"/>
      <c r="P75" s="239"/>
      <c r="Q75" s="239"/>
      <c r="R75" s="239"/>
      <c r="S75" s="239"/>
      <c r="T75" s="239"/>
      <c r="U75" s="239"/>
      <c r="V75" s="239"/>
      <c r="W75" s="239"/>
      <c r="X75" s="239"/>
      <c r="Y75" s="239"/>
      <c r="Z75" s="239"/>
      <c r="AA75" s="239"/>
      <c r="AB75" s="239"/>
      <c r="AC75" s="239"/>
      <c r="AD75" s="239"/>
    </row>
    <row r="76" spans="1:30" x14ac:dyDescent="0.3">
      <c r="A76" s="363"/>
      <c r="B76" s="681"/>
      <c r="C76" s="680"/>
      <c r="D76" s="680"/>
      <c r="E76" s="319"/>
      <c r="F76" s="363"/>
      <c r="G76" s="319"/>
      <c r="H76" s="319"/>
      <c r="I76" s="113"/>
      <c r="J76" s="679"/>
      <c r="K76" s="319"/>
      <c r="M76" s="239"/>
      <c r="N76" s="239"/>
      <c r="O76" s="239"/>
      <c r="P76" s="239"/>
      <c r="Q76" s="239"/>
      <c r="R76" s="239"/>
      <c r="S76" s="239"/>
      <c r="T76" s="239"/>
      <c r="U76" s="239"/>
      <c r="V76" s="239"/>
      <c r="W76" s="239"/>
      <c r="X76" s="239"/>
      <c r="Y76" s="239"/>
      <c r="Z76" s="239"/>
      <c r="AA76" s="239"/>
      <c r="AB76" s="239"/>
      <c r="AC76" s="239"/>
      <c r="AD76" s="239"/>
    </row>
    <row r="77" spans="1:30" x14ac:dyDescent="0.3">
      <c r="A77" s="363"/>
      <c r="B77" s="681"/>
      <c r="C77" s="680"/>
      <c r="D77" s="680"/>
      <c r="E77" s="319"/>
      <c r="F77" s="363"/>
      <c r="G77" s="319"/>
      <c r="H77" s="319"/>
      <c r="I77" s="113"/>
      <c r="J77" s="679"/>
      <c r="K77" s="319"/>
      <c r="M77" s="239"/>
      <c r="N77" s="239"/>
      <c r="O77" s="239"/>
      <c r="P77" s="239"/>
      <c r="Q77" s="239"/>
      <c r="R77" s="239"/>
      <c r="S77" s="239"/>
      <c r="T77" s="239"/>
      <c r="U77" s="239"/>
      <c r="V77" s="239"/>
      <c r="W77" s="239"/>
      <c r="X77" s="239"/>
      <c r="Y77" s="239"/>
      <c r="Z77" s="239"/>
      <c r="AA77" s="239"/>
      <c r="AB77" s="239"/>
      <c r="AC77" s="239"/>
      <c r="AD77" s="239"/>
    </row>
    <row r="78" spans="1:30" x14ac:dyDescent="0.3">
      <c r="A78" s="363"/>
      <c r="B78" s="681"/>
      <c r="C78" s="680"/>
      <c r="D78" s="680"/>
      <c r="E78" s="319"/>
      <c r="F78" s="363"/>
      <c r="G78" s="319"/>
      <c r="H78" s="319"/>
      <c r="I78" s="113"/>
      <c r="J78" s="679"/>
      <c r="K78" s="319"/>
      <c r="M78" s="239"/>
      <c r="N78" s="239"/>
      <c r="O78" s="239"/>
      <c r="P78" s="239"/>
      <c r="Q78" s="239"/>
      <c r="R78" s="239"/>
      <c r="S78" s="239"/>
      <c r="T78" s="239"/>
      <c r="U78" s="239"/>
      <c r="V78" s="239"/>
      <c r="W78" s="239"/>
      <c r="X78" s="239"/>
      <c r="Y78" s="239"/>
      <c r="Z78" s="239"/>
      <c r="AA78" s="239"/>
      <c r="AB78" s="239"/>
      <c r="AC78" s="239"/>
      <c r="AD78" s="239"/>
    </row>
    <row r="79" spans="1:30" x14ac:dyDescent="0.3">
      <c r="A79" s="363"/>
      <c r="B79" s="681"/>
      <c r="C79" s="680"/>
      <c r="D79" s="680"/>
      <c r="E79" s="319"/>
      <c r="F79" s="363"/>
      <c r="G79" s="319"/>
      <c r="H79" s="319"/>
      <c r="I79" s="113"/>
      <c r="J79" s="679"/>
      <c r="K79" s="319"/>
      <c r="M79" s="239"/>
      <c r="N79" s="239"/>
      <c r="O79" s="239"/>
      <c r="P79" s="239"/>
      <c r="Q79" s="239"/>
      <c r="R79" s="239"/>
      <c r="S79" s="239"/>
      <c r="T79" s="239"/>
      <c r="U79" s="239"/>
      <c r="V79" s="239"/>
      <c r="W79" s="239"/>
      <c r="X79" s="239"/>
      <c r="Y79" s="239"/>
      <c r="Z79" s="239"/>
      <c r="AA79" s="239"/>
      <c r="AB79" s="239"/>
      <c r="AC79" s="239"/>
      <c r="AD79" s="239"/>
    </row>
    <row r="80" spans="1:30" x14ac:dyDescent="0.3">
      <c r="A80" s="363"/>
      <c r="B80" s="681"/>
      <c r="C80" s="680"/>
      <c r="D80" s="680"/>
      <c r="E80" s="319"/>
      <c r="F80" s="363"/>
      <c r="G80" s="319"/>
      <c r="H80" s="319"/>
      <c r="I80" s="113"/>
      <c r="J80" s="679"/>
      <c r="K80" s="319"/>
      <c r="M80" s="239"/>
      <c r="N80" s="239"/>
      <c r="O80" s="239"/>
      <c r="P80" s="239"/>
      <c r="Q80" s="239"/>
      <c r="R80" s="239"/>
      <c r="S80" s="239"/>
      <c r="T80" s="239"/>
      <c r="U80" s="239"/>
      <c r="V80" s="239"/>
      <c r="W80" s="239"/>
      <c r="X80" s="239"/>
      <c r="Y80" s="239"/>
      <c r="Z80" s="239"/>
      <c r="AA80" s="239"/>
      <c r="AB80" s="239"/>
      <c r="AC80" s="239"/>
      <c r="AD80" s="239"/>
    </row>
    <row r="81" spans="1:16" ht="15" thickBot="1" x14ac:dyDescent="0.35">
      <c r="A81" s="363"/>
      <c r="B81" s="683"/>
      <c r="C81" s="684"/>
      <c r="D81" s="684"/>
      <c r="E81" s="684"/>
      <c r="F81" s="684"/>
      <c r="G81" s="685"/>
      <c r="H81" s="685"/>
      <c r="I81" s="684"/>
      <c r="J81" s="686"/>
      <c r="K81" s="319"/>
      <c r="M81" s="239"/>
      <c r="N81" s="239"/>
      <c r="O81" s="239"/>
      <c r="P81" s="239"/>
    </row>
    <row r="82" spans="1:16" ht="29.4" customHeight="1" thickBot="1" x14ac:dyDescent="0.35">
      <c r="A82" s="359"/>
      <c r="B82" s="1001" t="s">
        <v>877</v>
      </c>
      <c r="C82" s="999"/>
      <c r="D82" s="999"/>
      <c r="E82" s="999"/>
      <c r="F82" s="999"/>
      <c r="G82" s="999"/>
      <c r="H82" s="999"/>
      <c r="I82" s="999"/>
      <c r="J82" s="1000"/>
      <c r="K82" s="319"/>
    </row>
    <row r="83" spans="1:16" x14ac:dyDescent="0.3">
      <c r="A83" s="359"/>
      <c r="B83" s="678"/>
      <c r="C83" s="329"/>
      <c r="D83" s="329"/>
      <c r="E83" s="319"/>
      <c r="F83" s="363"/>
      <c r="G83" s="319"/>
      <c r="H83" s="319"/>
      <c r="I83" s="113"/>
      <c r="J83" s="679"/>
      <c r="K83" s="319"/>
    </row>
    <row r="84" spans="1:16" x14ac:dyDescent="0.3">
      <c r="A84" s="359"/>
      <c r="B84" s="678"/>
      <c r="C84" s="680"/>
      <c r="D84" s="680"/>
      <c r="E84" s="319"/>
      <c r="F84" s="363"/>
      <c r="G84" s="319"/>
      <c r="H84" s="319"/>
      <c r="I84" s="113"/>
      <c r="J84" s="679"/>
      <c r="K84" s="319"/>
    </row>
    <row r="85" spans="1:16" x14ac:dyDescent="0.3">
      <c r="A85" s="359"/>
      <c r="B85" s="681"/>
      <c r="C85" s="680"/>
      <c r="D85" s="680"/>
      <c r="E85" s="319"/>
      <c r="F85" s="363"/>
      <c r="G85" s="319"/>
      <c r="H85" s="319"/>
      <c r="I85" s="113"/>
      <c r="J85" s="679"/>
      <c r="K85" s="319"/>
    </row>
    <row r="86" spans="1:16" x14ac:dyDescent="0.3">
      <c r="A86" s="359"/>
      <c r="B86" s="681"/>
      <c r="C86" s="680"/>
      <c r="D86" s="680"/>
      <c r="E86" s="319"/>
      <c r="F86" s="363"/>
      <c r="G86" s="319"/>
      <c r="H86" s="319"/>
      <c r="I86" s="113"/>
      <c r="J86" s="679"/>
      <c r="K86" s="319"/>
    </row>
    <row r="87" spans="1:16" x14ac:dyDescent="0.3">
      <c r="A87" s="359"/>
      <c r="B87" s="681"/>
      <c r="C87" s="680"/>
      <c r="D87" s="680"/>
      <c r="E87" s="319"/>
      <c r="F87" s="363"/>
      <c r="G87" s="319"/>
      <c r="H87" s="319"/>
      <c r="I87" s="113"/>
      <c r="J87" s="679"/>
      <c r="K87" s="319"/>
    </row>
    <row r="88" spans="1:16" x14ac:dyDescent="0.3">
      <c r="A88" s="359"/>
      <c r="B88" s="681"/>
      <c r="C88" s="680"/>
      <c r="D88" s="680"/>
      <c r="E88" s="319"/>
      <c r="F88" s="363"/>
      <c r="G88" s="319"/>
      <c r="H88" s="319"/>
      <c r="I88" s="113"/>
      <c r="J88" s="679"/>
      <c r="K88" s="319"/>
    </row>
    <row r="89" spans="1:16" x14ac:dyDescent="0.3">
      <c r="A89" s="359"/>
      <c r="B89" s="681"/>
      <c r="C89" s="680"/>
      <c r="D89" s="680"/>
      <c r="E89" s="319"/>
      <c r="F89" s="363"/>
      <c r="G89" s="319"/>
      <c r="H89" s="319"/>
      <c r="I89" s="113"/>
      <c r="J89" s="679"/>
      <c r="K89" s="319"/>
    </row>
    <row r="90" spans="1:16" x14ac:dyDescent="0.3">
      <c r="A90" s="359"/>
      <c r="B90" s="681"/>
      <c r="C90" s="680"/>
      <c r="D90" s="680"/>
      <c r="E90" s="319"/>
      <c r="F90" s="363"/>
      <c r="G90" s="319"/>
      <c r="H90" s="319"/>
      <c r="I90" s="113"/>
      <c r="J90" s="679"/>
      <c r="K90" s="319"/>
    </row>
    <row r="91" spans="1:16" x14ac:dyDescent="0.3">
      <c r="A91" s="359"/>
      <c r="B91" s="681"/>
      <c r="C91" s="680"/>
      <c r="D91" s="680"/>
      <c r="E91" s="319"/>
      <c r="F91" s="363"/>
      <c r="G91" s="319"/>
      <c r="H91" s="319"/>
      <c r="I91" s="113"/>
      <c r="J91" s="679"/>
      <c r="K91" s="319"/>
    </row>
    <row r="92" spans="1:16" x14ac:dyDescent="0.3">
      <c r="A92" s="359"/>
      <c r="B92" s="681"/>
      <c r="C92" s="680"/>
      <c r="D92" s="680"/>
      <c r="E92" s="319"/>
      <c r="F92" s="363"/>
      <c r="G92" s="319"/>
      <c r="H92" s="319"/>
      <c r="I92" s="113"/>
      <c r="J92" s="679"/>
      <c r="K92" s="319"/>
    </row>
    <row r="93" spans="1:16" x14ac:dyDescent="0.3">
      <c r="A93" s="359"/>
      <c r="B93" s="681"/>
      <c r="C93" s="680"/>
      <c r="D93" s="680"/>
      <c r="E93" s="319"/>
      <c r="F93" s="363"/>
      <c r="G93" s="319"/>
      <c r="H93" s="319"/>
      <c r="I93" s="113"/>
      <c r="J93" s="679"/>
      <c r="K93" s="319"/>
    </row>
    <row r="94" spans="1:16" x14ac:dyDescent="0.3">
      <c r="A94" s="359"/>
      <c r="B94" s="681"/>
      <c r="C94" s="680"/>
      <c r="D94" s="680"/>
      <c r="E94" s="319"/>
      <c r="F94" s="363"/>
      <c r="G94" s="319"/>
      <c r="H94" s="319"/>
      <c r="I94" s="113"/>
      <c r="J94" s="679"/>
      <c r="K94" s="319"/>
    </row>
    <row r="95" spans="1:16" x14ac:dyDescent="0.3">
      <c r="A95" s="359"/>
      <c r="B95" s="681"/>
      <c r="C95" s="680"/>
      <c r="D95" s="680"/>
      <c r="E95" s="319"/>
      <c r="F95" s="363"/>
      <c r="G95" s="319"/>
      <c r="H95" s="319"/>
      <c r="I95" s="113"/>
      <c r="J95" s="679"/>
      <c r="K95" s="319"/>
    </row>
    <row r="96" spans="1:16" x14ac:dyDescent="0.3">
      <c r="A96" s="359"/>
      <c r="B96" s="681"/>
      <c r="C96" s="680"/>
      <c r="D96" s="680"/>
      <c r="E96" s="319"/>
      <c r="F96" s="363"/>
      <c r="G96" s="319"/>
      <c r="H96" s="319"/>
      <c r="I96" s="113"/>
      <c r="J96" s="679"/>
      <c r="K96" s="319"/>
    </row>
    <row r="97" spans="1:11" x14ac:dyDescent="0.3">
      <c r="A97" s="359"/>
      <c r="B97" s="681"/>
      <c r="C97" s="680"/>
      <c r="D97" s="680"/>
      <c r="E97" s="319"/>
      <c r="F97" s="363"/>
      <c r="G97" s="319"/>
      <c r="H97" s="319"/>
      <c r="I97" s="113"/>
      <c r="J97" s="679"/>
      <c r="K97" s="319"/>
    </row>
    <row r="98" spans="1:11" x14ac:dyDescent="0.3">
      <c r="A98" s="359"/>
      <c r="B98" s="681"/>
      <c r="C98" s="680"/>
      <c r="D98" s="680"/>
      <c r="E98" s="319"/>
      <c r="F98" s="363"/>
      <c r="G98" s="319"/>
      <c r="H98" s="319"/>
      <c r="I98" s="113"/>
      <c r="J98" s="679"/>
      <c r="K98" s="319"/>
    </row>
    <row r="99" spans="1:11" x14ac:dyDescent="0.3">
      <c r="A99" s="359"/>
      <c r="B99" s="681"/>
      <c r="C99" s="680"/>
      <c r="D99" s="680"/>
      <c r="E99" s="319"/>
      <c r="F99" s="363"/>
      <c r="G99" s="319"/>
      <c r="H99" s="319"/>
      <c r="I99" s="113"/>
      <c r="J99" s="679"/>
      <c r="K99" s="319"/>
    </row>
    <row r="100" spans="1:11" x14ac:dyDescent="0.3">
      <c r="A100" s="359"/>
      <c r="B100" s="681"/>
      <c r="C100" s="680"/>
      <c r="D100" s="680"/>
      <c r="E100" s="319"/>
      <c r="F100" s="363"/>
      <c r="G100" s="319"/>
      <c r="H100" s="319"/>
      <c r="I100" s="113"/>
      <c r="J100" s="679"/>
      <c r="K100" s="319"/>
    </row>
    <row r="101" spans="1:11" x14ac:dyDescent="0.3">
      <c r="A101" s="359"/>
      <c r="B101" s="681"/>
      <c r="C101" s="680"/>
      <c r="D101" s="680"/>
      <c r="E101" s="319"/>
      <c r="F101" s="363"/>
      <c r="G101" s="319"/>
      <c r="H101" s="319"/>
      <c r="I101" s="113"/>
      <c r="J101" s="679"/>
      <c r="K101" s="319"/>
    </row>
    <row r="102" spans="1:11" x14ac:dyDescent="0.3">
      <c r="A102" s="359"/>
      <c r="B102" s="681"/>
      <c r="C102" s="680"/>
      <c r="D102" s="680"/>
      <c r="E102" s="319"/>
      <c r="F102" s="363"/>
      <c r="G102" s="319"/>
      <c r="H102" s="319"/>
      <c r="I102" s="113"/>
      <c r="J102" s="679"/>
      <c r="K102" s="319"/>
    </row>
    <row r="103" spans="1:11" ht="15" thickBot="1" x14ac:dyDescent="0.35">
      <c r="A103" s="359"/>
      <c r="B103" s="687"/>
      <c r="C103" s="688"/>
      <c r="D103" s="688"/>
      <c r="E103" s="689"/>
      <c r="F103" s="689"/>
      <c r="G103" s="684"/>
      <c r="H103" s="684"/>
      <c r="I103" s="690"/>
      <c r="J103" s="691"/>
      <c r="K103" s="319"/>
    </row>
    <row r="104" spans="1:11" x14ac:dyDescent="0.3">
      <c r="A104" s="359"/>
      <c r="B104" s="319"/>
      <c r="C104" s="319"/>
      <c r="D104" s="319"/>
      <c r="E104" s="319"/>
      <c r="F104" s="319"/>
      <c r="G104" s="360"/>
      <c r="H104" s="360"/>
      <c r="I104" s="319"/>
      <c r="J104" s="319"/>
      <c r="K104" s="319"/>
    </row>
  </sheetData>
  <mergeCells count="23">
    <mergeCell ref="A1:K1"/>
    <mergeCell ref="B82:J82"/>
    <mergeCell ref="B38:J38"/>
    <mergeCell ref="G11:H11"/>
    <mergeCell ref="Q15:X15"/>
    <mergeCell ref="Q37:X37"/>
    <mergeCell ref="B60:J60"/>
    <mergeCell ref="B3:E14"/>
    <mergeCell ref="Z40:AA40"/>
    <mergeCell ref="Z18:AA18"/>
    <mergeCell ref="I3:J3"/>
    <mergeCell ref="I8:J8"/>
    <mergeCell ref="B16:J16"/>
    <mergeCell ref="G4:H4"/>
    <mergeCell ref="G5:H5"/>
    <mergeCell ref="G12:H12"/>
    <mergeCell ref="G13:H13"/>
    <mergeCell ref="G14:H14"/>
    <mergeCell ref="G6:H6"/>
    <mergeCell ref="G3:H3"/>
    <mergeCell ref="G8:H8"/>
    <mergeCell ref="G9:H9"/>
    <mergeCell ref="G10:H10"/>
  </mergeCells>
  <pageMargins left="0.25" right="0.25" top="0.25" bottom="0.5" header="0.25" footer="0.25"/>
  <pageSetup scale="77" fitToHeight="0" orientation="portrait" horizontalDpi="1200" verticalDpi="1200" r:id="rId1"/>
  <headerFooter>
    <oddFooter>&amp;CPage &amp;P of &amp;N</oddFooter>
  </headerFooter>
  <rowBreaks count="1" manualBreakCount="1">
    <brk id="59"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49"/>
  <sheetViews>
    <sheetView showGridLines="0" zoomScaleNormal="100" workbookViewId="0">
      <pane ySplit="35" topLeftCell="A36" activePane="bottomLeft" state="frozen"/>
      <selection pane="bottomLeft" activeCell="A36" sqref="A36"/>
    </sheetView>
  </sheetViews>
  <sheetFormatPr defaultRowHeight="14.4" x14ac:dyDescent="0.3"/>
  <cols>
    <col min="1" max="1" width="2.88671875" customWidth="1"/>
    <col min="2" max="2" width="10.5546875" customWidth="1"/>
    <col min="3" max="3" width="25.5546875" customWidth="1"/>
    <col min="4" max="4" width="35.5546875" customWidth="1"/>
    <col min="5" max="5" width="60.5546875" customWidth="1"/>
    <col min="6" max="6" width="18.44140625" bestFit="1" customWidth="1"/>
    <col min="7" max="8" width="15.88671875" customWidth="1"/>
    <col min="9" max="9" width="20.88671875" customWidth="1"/>
    <col min="10" max="10" width="25.88671875" customWidth="1"/>
    <col min="11" max="11" width="10.88671875" customWidth="1"/>
    <col min="12" max="12" width="20.5546875" customWidth="1"/>
    <col min="13" max="13" width="2.88671875" customWidth="1"/>
  </cols>
  <sheetData>
    <row r="1" spans="1:13" ht="21" x14ac:dyDescent="0.4">
      <c r="A1" s="1010" t="s">
        <v>1337</v>
      </c>
      <c r="B1" s="1010"/>
      <c r="C1" s="1010"/>
      <c r="D1" s="1010"/>
      <c r="E1" s="1010"/>
      <c r="F1" s="1010"/>
      <c r="G1" s="1010"/>
      <c r="H1" s="1010"/>
      <c r="I1" s="1010"/>
      <c r="J1" s="1010"/>
      <c r="K1" s="1010"/>
      <c r="L1" s="1010"/>
      <c r="M1" s="1010"/>
    </row>
    <row r="2" spans="1:13" ht="15" thickBot="1" x14ac:dyDescent="0.35">
      <c r="A2" s="319"/>
      <c r="B2" s="319"/>
      <c r="C2" s="319"/>
      <c r="D2" s="319"/>
      <c r="E2" s="319"/>
      <c r="F2" s="319"/>
      <c r="G2" s="319"/>
      <c r="H2" s="319"/>
      <c r="I2" s="319"/>
      <c r="J2" s="319"/>
      <c r="K2" s="319"/>
      <c r="L2" s="319"/>
      <c r="M2" s="319"/>
    </row>
    <row r="3" spans="1:13" ht="15" thickBot="1" x14ac:dyDescent="0.35">
      <c r="A3" s="320"/>
      <c r="B3" s="324" t="s">
        <v>643</v>
      </c>
      <c r="C3" s="1055" t="str">
        <f>'D-Project Data'!C9</f>
        <v>Project Name</v>
      </c>
      <c r="D3" s="1055"/>
      <c r="E3" s="1055"/>
      <c r="F3" s="627"/>
      <c r="G3" s="497" t="str">
        <f>'J-Sensitivity Charts'!G3</f>
        <v>Contingency on Base Estimate</v>
      </c>
      <c r="H3" s="455"/>
      <c r="I3" s="490"/>
      <c r="J3" s="1066">
        <f>'J-Sensitivity Charts'!I3</f>
        <v>0.8</v>
      </c>
      <c r="K3" s="1067"/>
      <c r="L3" s="319"/>
      <c r="M3" s="319"/>
    </row>
    <row r="4" spans="1:13" x14ac:dyDescent="0.3">
      <c r="A4" s="320"/>
      <c r="B4" s="324" t="s">
        <v>892</v>
      </c>
      <c r="C4" s="1055" t="str">
        <f>'D-Project Data'!$C$10</f>
        <v>Walla Walla, WA</v>
      </c>
      <c r="D4" s="1055"/>
      <c r="E4" s="1055"/>
      <c r="F4" s="627"/>
      <c r="G4" s="340"/>
      <c r="H4" s="341"/>
      <c r="I4" s="342" t="str">
        <f>'J-Sensitivity Charts'!G4</f>
        <v>Base Estimate</v>
      </c>
      <c r="J4" s="283">
        <f>'J-Sensitivity Charts'!I4</f>
        <v>28979098.489999998</v>
      </c>
      <c r="K4" s="1056">
        <f>'J-Sensitivity Charts'!J5</f>
        <v>0.3</v>
      </c>
      <c r="L4" s="319"/>
      <c r="M4" s="319"/>
    </row>
    <row r="5" spans="1:13" x14ac:dyDescent="0.3">
      <c r="A5" s="320"/>
      <c r="B5" s="320"/>
      <c r="C5" s="320"/>
      <c r="D5" s="320"/>
      <c r="E5" s="320"/>
      <c r="F5" s="320"/>
      <c r="G5" s="340"/>
      <c r="H5" s="341"/>
      <c r="I5" s="342" t="str">
        <f>'J-Sensitivity Charts'!G5</f>
        <v>Estimate Contingency</v>
      </c>
      <c r="J5" s="283">
        <f>'J-Sensitivity Charts'!I5</f>
        <v>8693729.5469999984</v>
      </c>
      <c r="K5" s="1056"/>
      <c r="L5" s="319"/>
      <c r="M5" s="319"/>
    </row>
    <row r="6" spans="1:13" ht="15" thickBot="1" x14ac:dyDescent="0.35">
      <c r="A6" s="320"/>
      <c r="B6" s="320"/>
      <c r="C6" s="320"/>
      <c r="D6" s="320"/>
      <c r="E6" s="320"/>
      <c r="F6" s="320"/>
      <c r="G6" s="1025">
        <f>'J-Sensitivity Charts'!G6</f>
        <v>0.8</v>
      </c>
      <c r="H6" s="1026"/>
      <c r="I6" s="1026"/>
      <c r="J6" s="285">
        <f>'J-Sensitivity Charts'!I6</f>
        <v>37672828.037</v>
      </c>
      <c r="K6" s="1057"/>
      <c r="L6" s="319"/>
      <c r="M6" s="319"/>
    </row>
    <row r="7" spans="1:13" x14ac:dyDescent="0.3">
      <c r="A7" s="320"/>
      <c r="B7" s="320"/>
      <c r="C7" s="320"/>
      <c r="D7" s="320"/>
      <c r="E7" s="320"/>
      <c r="F7" s="320"/>
      <c r="G7" s="319"/>
      <c r="H7" s="319"/>
      <c r="I7" s="319"/>
      <c r="J7" s="319"/>
      <c r="K7" s="319"/>
      <c r="L7" s="319"/>
      <c r="M7" s="319"/>
    </row>
    <row r="8" spans="1:13" x14ac:dyDescent="0.3">
      <c r="A8" s="320"/>
      <c r="B8" s="320"/>
      <c r="C8" s="320"/>
      <c r="D8" s="320"/>
      <c r="E8" s="320"/>
      <c r="F8" s="320"/>
      <c r="G8" s="319"/>
      <c r="H8" s="319"/>
      <c r="I8" s="319"/>
      <c r="J8" s="319"/>
      <c r="K8" s="319"/>
      <c r="L8" s="319"/>
      <c r="M8" s="319"/>
    </row>
    <row r="9" spans="1:13" x14ac:dyDescent="0.3">
      <c r="A9" s="320"/>
      <c r="B9" s="320"/>
      <c r="C9" s="320"/>
      <c r="D9" s="320"/>
      <c r="E9" s="320"/>
      <c r="F9" s="320"/>
      <c r="G9" s="319"/>
      <c r="H9" s="319"/>
      <c r="I9" s="319"/>
      <c r="J9" s="319"/>
      <c r="K9" s="319"/>
      <c r="L9" s="319"/>
      <c r="M9" s="319"/>
    </row>
    <row r="10" spans="1:13" x14ac:dyDescent="0.3">
      <c r="A10" s="320"/>
      <c r="B10" s="320"/>
      <c r="C10" s="320"/>
      <c r="D10" s="320"/>
      <c r="E10" s="320"/>
      <c r="F10" s="320"/>
      <c r="G10" s="320"/>
      <c r="H10" s="320"/>
      <c r="I10" s="320"/>
      <c r="J10" s="321"/>
      <c r="K10" s="320"/>
      <c r="L10" s="319"/>
      <c r="M10" s="319"/>
    </row>
    <row r="11" spans="1:13" x14ac:dyDescent="0.3">
      <c r="A11" s="320"/>
      <c r="B11" s="320"/>
      <c r="C11" s="320"/>
      <c r="D11" s="320"/>
      <c r="E11" s="320"/>
      <c r="F11" s="319"/>
      <c r="G11" s="319"/>
      <c r="H11" s="319"/>
      <c r="I11" s="319"/>
      <c r="J11" s="319"/>
      <c r="K11" s="319"/>
      <c r="L11" s="319"/>
      <c r="M11" s="319"/>
    </row>
    <row r="12" spans="1:13" x14ac:dyDescent="0.3">
      <c r="A12" s="320"/>
      <c r="B12" s="320"/>
      <c r="C12" s="320"/>
      <c r="D12" s="320"/>
      <c r="E12" s="320"/>
      <c r="F12" s="319"/>
      <c r="G12" s="319"/>
      <c r="H12" s="319"/>
      <c r="I12" s="319"/>
      <c r="J12" s="319"/>
      <c r="K12" s="319"/>
      <c r="L12" s="319"/>
      <c r="M12" s="319"/>
    </row>
    <row r="13" spans="1:13" x14ac:dyDescent="0.3">
      <c r="A13" s="320"/>
      <c r="B13" s="320"/>
      <c r="C13" s="320"/>
      <c r="D13" s="320"/>
      <c r="E13" s="320"/>
      <c r="F13" s="319"/>
      <c r="G13" s="319"/>
      <c r="H13" s="319"/>
      <c r="I13" s="319"/>
      <c r="J13" s="319"/>
      <c r="K13" s="319"/>
      <c r="L13" s="319"/>
      <c r="M13" s="319"/>
    </row>
    <row r="14" spans="1:13" x14ac:dyDescent="0.3">
      <c r="A14" s="320"/>
      <c r="B14" s="320"/>
      <c r="C14" s="320"/>
      <c r="D14" s="320"/>
      <c r="E14" s="320"/>
      <c r="F14" s="319"/>
      <c r="G14" s="319"/>
      <c r="H14" s="319"/>
      <c r="I14" s="319"/>
      <c r="J14" s="319"/>
      <c r="K14" s="319"/>
      <c r="L14" s="319"/>
      <c r="M14" s="319"/>
    </row>
    <row r="15" spans="1:13" x14ac:dyDescent="0.3">
      <c r="A15" s="320"/>
      <c r="B15" s="320"/>
      <c r="C15" s="320"/>
      <c r="D15" s="320"/>
      <c r="E15" s="320"/>
      <c r="F15" s="319"/>
      <c r="G15" s="319"/>
      <c r="H15" s="319"/>
      <c r="I15" s="319"/>
      <c r="J15" s="319"/>
      <c r="K15" s="319"/>
      <c r="L15" s="319"/>
      <c r="M15" s="319"/>
    </row>
    <row r="16" spans="1:13" x14ac:dyDescent="0.3">
      <c r="A16" s="320"/>
      <c r="B16" s="320"/>
      <c r="C16" s="320"/>
      <c r="D16" s="320"/>
      <c r="E16" s="320"/>
      <c r="F16" s="319"/>
      <c r="G16" s="319"/>
      <c r="H16" s="319"/>
      <c r="I16" s="319"/>
      <c r="J16" s="319"/>
      <c r="K16" s="319"/>
      <c r="L16" s="319"/>
      <c r="M16" s="319"/>
    </row>
    <row r="17" spans="1:13" x14ac:dyDescent="0.3">
      <c r="A17" s="320"/>
      <c r="B17" s="320"/>
      <c r="C17" s="320"/>
      <c r="D17" s="320"/>
      <c r="E17" s="320"/>
      <c r="F17" s="319"/>
      <c r="G17" s="319"/>
      <c r="H17" s="319"/>
      <c r="I17" s="319"/>
      <c r="J17" s="319"/>
      <c r="K17" s="319"/>
      <c r="L17" s="319"/>
      <c r="M17" s="319"/>
    </row>
    <row r="18" spans="1:13" x14ac:dyDescent="0.3">
      <c r="A18" s="320"/>
      <c r="B18" s="320"/>
      <c r="C18" s="320"/>
      <c r="D18" s="320"/>
      <c r="E18" s="320"/>
      <c r="F18" s="319"/>
      <c r="G18" s="319"/>
      <c r="H18" s="319"/>
      <c r="I18" s="319"/>
      <c r="J18" s="319"/>
      <c r="K18" s="319"/>
      <c r="L18" s="319"/>
      <c r="M18" s="319"/>
    </row>
    <row r="19" spans="1:13" x14ac:dyDescent="0.3">
      <c r="A19" s="320"/>
      <c r="B19" s="320"/>
      <c r="C19" s="320"/>
      <c r="D19" s="320"/>
      <c r="E19" s="320"/>
      <c r="F19" s="319"/>
      <c r="G19" s="319"/>
      <c r="H19" s="319"/>
      <c r="I19" s="319"/>
      <c r="J19" s="319"/>
      <c r="K19" s="319"/>
      <c r="L19" s="319"/>
      <c r="M19" s="319"/>
    </row>
    <row r="20" spans="1:13" x14ac:dyDescent="0.3">
      <c r="A20" s="320"/>
      <c r="B20" s="320"/>
      <c r="C20" s="320"/>
      <c r="D20" s="320"/>
      <c r="E20" s="320"/>
      <c r="F20" s="319"/>
      <c r="G20" s="319"/>
      <c r="H20" s="319"/>
      <c r="I20" s="319"/>
      <c r="J20" s="319"/>
      <c r="K20" s="319"/>
      <c r="L20" s="319"/>
      <c r="M20" s="319"/>
    </row>
    <row r="21" spans="1:13" x14ac:dyDescent="0.3">
      <c r="A21" s="320"/>
      <c r="B21" s="320"/>
      <c r="C21" s="320"/>
      <c r="D21" s="320"/>
      <c r="E21" s="320"/>
      <c r="F21" s="319"/>
      <c r="G21" s="319"/>
      <c r="H21" s="319"/>
      <c r="I21" s="319"/>
      <c r="J21" s="319"/>
      <c r="K21" s="319"/>
      <c r="L21" s="319"/>
      <c r="M21" s="319"/>
    </row>
    <row r="22" spans="1:13" x14ac:dyDescent="0.3">
      <c r="A22" s="320"/>
      <c r="B22" s="320"/>
      <c r="C22" s="320"/>
      <c r="D22" s="320"/>
      <c r="E22" s="320"/>
      <c r="F22" s="319"/>
      <c r="G22" s="319"/>
      <c r="H22" s="319"/>
      <c r="I22" s="319"/>
      <c r="J22" s="319"/>
      <c r="K22" s="319"/>
      <c r="L22" s="319"/>
      <c r="M22" s="319"/>
    </row>
    <row r="23" spans="1:13" x14ac:dyDescent="0.3">
      <c r="A23" s="320"/>
      <c r="B23" s="320"/>
      <c r="C23" s="320"/>
      <c r="D23" s="320"/>
      <c r="E23" s="320"/>
      <c r="F23" s="319"/>
      <c r="G23" s="319"/>
      <c r="H23" s="319"/>
      <c r="I23" s="319"/>
      <c r="J23" s="319"/>
      <c r="K23" s="319"/>
      <c r="L23" s="319"/>
      <c r="M23" s="319"/>
    </row>
    <row r="24" spans="1:13" x14ac:dyDescent="0.3">
      <c r="A24" s="320"/>
      <c r="B24" s="320"/>
      <c r="C24" s="320"/>
      <c r="D24" s="320"/>
      <c r="E24" s="320"/>
      <c r="F24" s="319"/>
      <c r="G24" s="319"/>
      <c r="H24" s="319"/>
      <c r="I24" s="319"/>
      <c r="J24" s="319"/>
      <c r="K24" s="319"/>
      <c r="L24" s="319"/>
      <c r="M24" s="319"/>
    </row>
    <row r="25" spans="1:13" x14ac:dyDescent="0.3">
      <c r="A25" s="320"/>
      <c r="B25" s="320"/>
      <c r="C25" s="320"/>
      <c r="D25" s="320"/>
      <c r="E25" s="320"/>
      <c r="F25" s="320"/>
      <c r="G25" s="319"/>
      <c r="H25" s="319"/>
      <c r="I25" s="319"/>
      <c r="J25" s="319"/>
      <c r="K25" s="319"/>
      <c r="L25" s="319"/>
      <c r="M25" s="319"/>
    </row>
    <row r="26" spans="1:13" ht="14.4" customHeight="1" x14ac:dyDescent="0.3">
      <c r="A26" s="320"/>
      <c r="B26" s="320"/>
      <c r="C26" s="320"/>
      <c r="D26" s="320"/>
      <c r="E26" s="320"/>
      <c r="F26" s="320"/>
      <c r="G26" s="319"/>
      <c r="H26" s="319"/>
      <c r="I26" s="319"/>
      <c r="J26" s="319"/>
      <c r="K26" s="319"/>
      <c r="L26" s="319"/>
      <c r="M26" s="319"/>
    </row>
    <row r="27" spans="1:13" x14ac:dyDescent="0.3">
      <c r="A27" s="320"/>
      <c r="B27" s="320"/>
      <c r="C27" s="320"/>
      <c r="D27" s="320"/>
      <c r="E27" s="320"/>
      <c r="F27" s="320"/>
      <c r="G27" s="319"/>
      <c r="H27" s="319"/>
      <c r="I27" s="319"/>
      <c r="J27" s="319"/>
      <c r="K27" s="319"/>
      <c r="L27" s="319"/>
      <c r="M27" s="319"/>
    </row>
    <row r="28" spans="1:13" x14ac:dyDescent="0.3">
      <c r="A28" s="320"/>
      <c r="B28" s="320"/>
      <c r="C28" s="320"/>
      <c r="D28" s="320"/>
      <c r="E28" s="320"/>
      <c r="F28" s="320"/>
      <c r="G28" s="319"/>
      <c r="H28" s="319"/>
      <c r="I28" s="319"/>
      <c r="J28" s="319"/>
      <c r="K28" s="319"/>
      <c r="L28" s="319"/>
      <c r="M28" s="319"/>
    </row>
    <row r="29" spans="1:13" x14ac:dyDescent="0.3">
      <c r="A29" s="320"/>
      <c r="B29" s="320"/>
      <c r="C29" s="320"/>
      <c r="D29" s="320"/>
      <c r="E29" s="320"/>
      <c r="F29" s="320"/>
      <c r="G29" s="319"/>
      <c r="H29" s="319"/>
      <c r="I29" s="319"/>
      <c r="J29" s="319"/>
      <c r="K29" s="319"/>
      <c r="L29" s="319"/>
      <c r="M29" s="319"/>
    </row>
    <row r="30" spans="1:13" x14ac:dyDescent="0.3">
      <c r="A30" s="320"/>
      <c r="B30" s="320"/>
      <c r="C30" s="320"/>
      <c r="D30" s="320"/>
      <c r="E30" s="320"/>
      <c r="F30" s="320"/>
      <c r="G30" s="319"/>
      <c r="H30" s="319"/>
      <c r="I30" s="319"/>
      <c r="J30" s="319"/>
      <c r="K30" s="319"/>
      <c r="L30" s="319"/>
      <c r="M30" s="319"/>
    </row>
    <row r="31" spans="1:13" x14ac:dyDescent="0.3">
      <c r="A31" s="320"/>
      <c r="B31" s="320"/>
      <c r="C31" s="320"/>
      <c r="D31" s="320"/>
      <c r="E31" s="320"/>
      <c r="F31" s="320"/>
      <c r="G31" s="319"/>
      <c r="H31" s="319"/>
      <c r="I31" s="319"/>
      <c r="J31" s="319"/>
      <c r="K31" s="319"/>
      <c r="L31" s="319"/>
      <c r="M31" s="319"/>
    </row>
    <row r="32" spans="1:13" x14ac:dyDescent="0.3">
      <c r="A32" s="320"/>
      <c r="B32" s="320"/>
      <c r="C32" s="320"/>
      <c r="D32" s="320"/>
      <c r="E32" s="320"/>
      <c r="F32" s="320"/>
      <c r="G32" s="319"/>
      <c r="H32" s="319"/>
      <c r="I32" s="319"/>
      <c r="J32" s="319"/>
      <c r="K32" s="319"/>
      <c r="L32" s="319"/>
      <c r="M32" s="319"/>
    </row>
    <row r="33" spans="1:22" x14ac:dyDescent="0.3">
      <c r="A33" s="320"/>
      <c r="B33" s="320"/>
      <c r="C33" s="320"/>
      <c r="D33" s="320"/>
      <c r="E33" s="320"/>
      <c r="F33" s="320"/>
      <c r="G33" s="319"/>
      <c r="H33" s="319"/>
      <c r="I33" s="319"/>
      <c r="J33" s="319"/>
      <c r="K33" s="319"/>
      <c r="L33" s="319"/>
      <c r="M33" s="319"/>
    </row>
    <row r="34" spans="1:22" x14ac:dyDescent="0.3">
      <c r="A34" s="320"/>
      <c r="B34" s="320"/>
      <c r="C34" s="320"/>
      <c r="D34" s="320"/>
      <c r="E34" s="320"/>
      <c r="F34" s="320"/>
      <c r="G34" s="319"/>
      <c r="H34" s="319"/>
      <c r="I34" s="319"/>
      <c r="J34" s="319"/>
      <c r="K34" s="319"/>
      <c r="L34" s="319"/>
      <c r="M34" s="319"/>
    </row>
    <row r="35" spans="1:22" x14ac:dyDescent="0.3">
      <c r="A35" s="320"/>
      <c r="B35" s="320"/>
      <c r="C35" s="320"/>
      <c r="D35" s="320"/>
      <c r="E35" s="320"/>
      <c r="F35" s="320"/>
      <c r="G35" s="325"/>
      <c r="H35" s="325"/>
      <c r="I35" s="325"/>
      <c r="J35" s="325"/>
      <c r="K35" s="325"/>
      <c r="L35" s="319"/>
      <c r="M35" s="319"/>
    </row>
    <row r="36" spans="1:22" s="35" customFormat="1" ht="18.600000000000001" thickBot="1" x14ac:dyDescent="0.4">
      <c r="A36" s="343"/>
      <c r="B36" s="322" t="s">
        <v>891</v>
      </c>
      <c r="C36" s="322"/>
      <c r="D36" s="322"/>
      <c r="E36" s="322"/>
      <c r="F36" s="322"/>
      <c r="G36" s="344" t="str">
        <f>'H-Risk Register-Model'!H17</f>
        <v>Risk Level (C)</v>
      </c>
      <c r="H36" s="344" t="str">
        <f>'H-Risk Register-Model'!J17</f>
        <v>Risk Level (S)</v>
      </c>
      <c r="I36" s="322"/>
      <c r="J36" s="343"/>
      <c r="K36" s="345"/>
      <c r="L36" s="345"/>
      <c r="M36" s="345"/>
    </row>
    <row r="37" spans="1:22" ht="15" thickBot="1" x14ac:dyDescent="0.35">
      <c r="A37" s="320"/>
      <c r="B37" s="1068" t="str">
        <f>'H-Risk Register-Model'!C17</f>
        <v>Risk/Opportunity Event</v>
      </c>
      <c r="C37" s="1070"/>
      <c r="D37" s="1068" t="str">
        <f>'H-Risk Register-Model'!D17</f>
        <v>Risk Event Description</v>
      </c>
      <c r="E37" s="1068" t="str">
        <f>'H-Risk Register-Model'!E17</f>
        <v>PDT Discussions on Impact and Likelihood</v>
      </c>
      <c r="F37" s="1068" t="str">
        <f>'H-Risk Register-Model'!$N$17</f>
        <v>Responsibility/ POC</v>
      </c>
      <c r="G37" s="1058" t="s">
        <v>889</v>
      </c>
      <c r="H37" s="1059"/>
      <c r="I37" s="1060" t="str">
        <f>'H-Risk Register-Model'!AI17</f>
        <v>Suggested Risk Reduction Measures
(Avoid, Escalate, Exploit, Transfer/Share, Mitigate/Enhance, or Accept)</v>
      </c>
      <c r="J37" s="1061"/>
      <c r="K37" s="1061"/>
      <c r="L37" s="1062"/>
      <c r="M37" s="326"/>
      <c r="V37" s="330"/>
    </row>
    <row r="38" spans="1:22" ht="15" thickBot="1" x14ac:dyDescent="0.35">
      <c r="A38" s="327" t="s">
        <v>665</v>
      </c>
      <c r="B38" s="1069"/>
      <c r="C38" s="1071"/>
      <c r="D38" s="1069"/>
      <c r="E38" s="1069"/>
      <c r="F38" s="1069"/>
      <c r="G38" s="701" t="s">
        <v>888</v>
      </c>
      <c r="H38" s="694" t="s">
        <v>887</v>
      </c>
      <c r="I38" s="1063"/>
      <c r="J38" s="1064"/>
      <c r="K38" s="1064"/>
      <c r="L38" s="1065"/>
      <c r="M38" s="326"/>
    </row>
    <row r="39" spans="1:22" ht="96" x14ac:dyDescent="0.3">
      <c r="A39" s="328"/>
      <c r="B39" s="702">
        <f ca="1">IF('J-Sensitivity Charts'!M19="","",'J-Sensitivity Charts'!M19)</f>
        <v>1</v>
      </c>
      <c r="C39" s="703" t="str">
        <f ca="1">IFERROR(VLOOKUP($B39,'H-Risk Register-Model'!$A$17:$AI$953,MATCH(B$37,'H-Risk Register-Model'!$17:$17,0),FALSE),"")</f>
        <v>Example Variation Risk of Relatively Known Quantities</v>
      </c>
      <c r="D39" s="704" t="str">
        <f ca="1">IFERROR(VLOOKUP($B39,'H-Risk Register-Model'!$A$17:$AI$953,MATCH(D$37,'H-Risk Register-Model'!$17:$17,0),FALSE),"")</f>
        <v>Example variation risk (such as quantity variation).</v>
      </c>
      <c r="E39" s="705" t="str">
        <f ca="1">IFERROR(VLOOKUP($B39,'H-Risk Register-Model'!$A$17:$AI$953,MATCH(E$37,'H-Risk Register-Model'!$17:$17,0),FALSE),"")</f>
        <v>Best practice is to state what the current design, estimate, and schedule assumptions are and challenge your team on the Low Variance (LV) and High Variance (HV) ranges.
Example:
The base estimate &amp; schedule assumes 1M CY of excavation for 12 MO.
LV:  Assume 750k CY of excavation for 9 MO.
HV:  Assume 1.5M CY of excavation for 18 MO.</v>
      </c>
      <c r="F39" s="706" t="str">
        <f ca="1">IFERROR(VLOOKUP($B39,'H-Risk Register-Model'!$A$17:$AI$953,MATCH(F$37,'H-Risk Register-Model'!$17:$17,0),FALSE),"")</f>
        <v>Select From List</v>
      </c>
      <c r="G39" s="707" t="str">
        <f ca="1">IF(IFERROR(VLOOKUP($B39,'H-Risk Register-Model'!$A$17:$AI$953,MATCH(G$36,'H-Risk Register-Model'!$17:$17,0),FALSE),"")="","",IFERROR(VLOOKUP($B39,'H-Risk Register-Model'!$A$17:$AI$953,MATCH(G$36,'H-Risk Register-Model'!$17:$17,0),FALSE),""))</f>
        <v>High</v>
      </c>
      <c r="H39" s="707" t="str">
        <f ca="1">IF(IFERROR(VLOOKUP($B39,'H-Risk Register-Model'!$A$17:$AI$953,MATCH(H$36,'H-Risk Register-Model'!$17:$17,0),FALSE),"")="","",IFERROR(VLOOKUP($B39,'H-Risk Register-Model'!$A$17:$AI$953,MATCH(H$36,'H-Risk Register-Model'!$17:$17,0),FALSE),""))</f>
        <v>High</v>
      </c>
      <c r="I39" s="1053" t="str">
        <f ca="1">IF(IFERROR(VLOOKUP($B39,'H-Risk Register-Model'!$A$17:$AI$953,MATCH(I$37,'H-Risk Register-Model'!$17:$17,0),FALSE),"")="","",IFERROR(VLOOKUP($B39,'H-Risk Register-Model'!$A$17:$AI$953,MATCH(I$37,'H-Risk Register-Model'!$17:$17,0),FALSE),""))</f>
        <v>For Medium &amp; High Risk Items, the team needs to identify suggested risk reduction measures...Avoid, Escalate, Exploit, Transfer/Share, Mitigate/Enhance, or Accept.</v>
      </c>
      <c r="J39" s="1053"/>
      <c r="K39" s="1053"/>
      <c r="L39" s="1054"/>
      <c r="M39" s="326"/>
    </row>
    <row r="40" spans="1:22" ht="108" x14ac:dyDescent="0.3">
      <c r="A40" s="320"/>
      <c r="B40" s="628">
        <f>IF('J-Sensitivity Charts'!M20="","",'J-Sensitivity Charts'!M20)</f>
        <v>3</v>
      </c>
      <c r="C40" s="695" t="str">
        <f>IFERROR(VLOOKUP($B40,'H-Risk Register-Model'!$A$17:$AI$953,MATCH(B$37,'H-Risk Register-Model'!$17:$17,0),FALSE),"")</f>
        <v>Example Event Risk with Range of Costs</v>
      </c>
      <c r="D40" s="629" t="str">
        <f>IFERROR(VLOOKUP($B40,'H-Risk Register-Model'!$A$17:$AI$953,MATCH(D$37,'H-Risk Register-Model'!$17:$17,0),FALSE),"")</f>
        <v>Example event risk (may or may not happen).</v>
      </c>
      <c r="E40" s="696" t="str">
        <f>IFERROR(VLOOKUP($B40,'H-Risk Register-Model'!$A$17:$AI$953,MATCH(E$37,'H-Risk Register-Model'!$17:$17,0),FALSE),"")</f>
        <v>Best practice is to state what the current design, estimate, and schedule assumptions are and challenge your team on the Low Variance (LV) and High Variance (HV) ranges.
Example:
The base estimate &amp; schedule assumes no hurricane events.
LV:  Assume no hurricane events.
HV:  Assume 1 hurricane event with a 3-6 MO delay (25% chance of occurrence) plus $500k to $1M in cleanup costs.</v>
      </c>
      <c r="F40" s="697" t="str">
        <f>IFERROR(VLOOKUP($B40,'H-Risk Register-Model'!$A$17:$AI$953,MATCH(F$37,'H-Risk Register-Model'!$17:$17,0),FALSE),"")</f>
        <v>Select From List</v>
      </c>
      <c r="G40" s="630" t="str">
        <f>IF(IFERROR(VLOOKUP($B40,'H-Risk Register-Model'!$A$17:$AI$953,MATCH(G$36,'H-Risk Register-Model'!$17:$17,0),FALSE),"")="","",IFERROR(VLOOKUP($B40,'H-Risk Register-Model'!$A$17:$AI$953,MATCH(G$36,'H-Risk Register-Model'!$17:$17,0),FALSE),""))</f>
        <v>Medium</v>
      </c>
      <c r="H40" s="630" t="str">
        <f>IF(IFERROR(VLOOKUP($B40,'H-Risk Register-Model'!$A$17:$AI$953,MATCH(H$36,'H-Risk Register-Model'!$17:$17,0),FALSE),"")="","",IFERROR(VLOOKUP($B40,'H-Risk Register-Model'!$A$17:$AI$953,MATCH(H$36,'H-Risk Register-Model'!$17:$17,0),FALSE),""))</f>
        <v>Medium</v>
      </c>
      <c r="I40" s="1049" t="str">
        <f>IF(IFERROR(VLOOKUP($B40,'H-Risk Register-Model'!$A$17:$AI$953,MATCH(I$37,'H-Risk Register-Model'!$17:$17,0),FALSE),"")="","",IFERROR(VLOOKUP($B40,'H-Risk Register-Model'!$A$17:$AI$953,MATCH(I$37,'H-Risk Register-Model'!$17:$17,0),FALSE),""))</f>
        <v>For Medium &amp; High Risk Items, the team needs to identify suggested risk reduction measures...Avoid, Escalate, Exploit, Transfer/Share, Mitigate/Enhance, or Accept.</v>
      </c>
      <c r="J40" s="1049"/>
      <c r="K40" s="1049"/>
      <c r="L40" s="1050"/>
      <c r="M40" s="326"/>
    </row>
    <row r="41" spans="1:22" ht="108" x14ac:dyDescent="0.3">
      <c r="A41" s="320"/>
      <c r="B41" s="628">
        <f>IF('J-Sensitivity Charts'!M21="","",'J-Sensitivity Charts'!M21)</f>
        <v>2</v>
      </c>
      <c r="C41" s="695" t="str">
        <f>IFERROR(VLOOKUP($B41,'H-Risk Register-Model'!$A$17:$AI$953,MATCH(B$37,'H-Risk Register-Model'!$17:$17,0),FALSE),"")</f>
        <v>Example Variation Risk with Placeholder Costs</v>
      </c>
      <c r="D41" s="629" t="str">
        <f>IFERROR(VLOOKUP($B41,'H-Risk Register-Model'!$A$17:$AI$953,MATCH(D$37,'H-Risk Register-Model'!$17:$17,0),FALSE),"")</f>
        <v>Example variation risk on allowances for unknown scope.</v>
      </c>
      <c r="E41" s="696" t="str">
        <f>IFERROR(VLOOKUP($B41,'H-Risk Register-Model'!$A$17:$AI$953,MATCH(E$37,'H-Risk Register-Model'!$17:$17,0),FALSE),"")</f>
        <v>Best practice is to state what the current design, estimate, and schedule assumptions are and challenge your team on the Low Variance (LV) and High Variance (HV) ranges.
Example:
The base estimate &amp; schedule assumes $2M for electrical work but scope is unknown.  Work is not on critical path therefore there is no schedule risk.
LV:  Assume $1M based on low end costs of similar project recently completed.
HV:  Assume $3M based on low end costs of similar project recently completed.</v>
      </c>
      <c r="F41" s="697" t="str">
        <f>IFERROR(VLOOKUP($B41,'H-Risk Register-Model'!$A$17:$AI$953,MATCH(F$37,'H-Risk Register-Model'!$17:$17,0),FALSE),"")</f>
        <v>Select From List</v>
      </c>
      <c r="G41" s="630" t="str">
        <f>IF(IFERROR(VLOOKUP($B41,'H-Risk Register-Model'!$A$17:$AI$953,MATCH(G$36,'H-Risk Register-Model'!$17:$17,0),FALSE),"")="","",IFERROR(VLOOKUP($B41,'H-Risk Register-Model'!$A$17:$AI$953,MATCH(G$36,'H-Risk Register-Model'!$17:$17,0),FALSE),""))</f>
        <v>Medium</v>
      </c>
      <c r="H41" s="630" t="str">
        <f>IF(IFERROR(VLOOKUP($B41,'H-Risk Register-Model'!$A$17:$AI$953,MATCH(H$36,'H-Risk Register-Model'!$17:$17,0),FALSE),"")="","",IFERROR(VLOOKUP($B41,'H-Risk Register-Model'!$A$17:$AI$953,MATCH(H$36,'H-Risk Register-Model'!$17:$17,0),FALSE),""))</f>
        <v>Low</v>
      </c>
      <c r="I41" s="1049" t="str">
        <f>IF(IFERROR(VLOOKUP($B41,'H-Risk Register-Model'!$A$17:$AI$953,MATCH(I$37,'H-Risk Register-Model'!$17:$17,0),FALSE),"")="","",IFERROR(VLOOKUP($B41,'H-Risk Register-Model'!$A$17:$AI$953,MATCH(I$37,'H-Risk Register-Model'!$17:$17,0),FALSE),""))</f>
        <v>For Medium &amp; High Risk Items, the team needs to identify suggested risk reduction measures...Avoid, Escalate, Exploit, Transfer/Share, Mitigate/Enhance, or Accept.</v>
      </c>
      <c r="J41" s="1049"/>
      <c r="K41" s="1049"/>
      <c r="L41" s="1050"/>
      <c r="M41" s="326"/>
    </row>
    <row r="42" spans="1:22" x14ac:dyDescent="0.3">
      <c r="A42" s="320"/>
      <c r="B42" s="628" t="str">
        <f>IF('J-Sensitivity Charts'!M22="","",'J-Sensitivity Charts'!M22)</f>
        <v>N/A</v>
      </c>
      <c r="C42" s="695" t="str">
        <f>IFERROR(VLOOKUP($B42,'H-Risk Register-Model'!$A$17:$AI$953,MATCH(B$37,'H-Risk Register-Model'!$17:$17,0),FALSE),"")</f>
        <v/>
      </c>
      <c r="D42" s="629" t="str">
        <f>IFERROR(VLOOKUP($B42,'H-Risk Register-Model'!$A$17:$AI$953,MATCH(D$37,'H-Risk Register-Model'!$17:$17,0),FALSE),"")</f>
        <v/>
      </c>
      <c r="E42" s="696" t="str">
        <f>IFERROR(VLOOKUP($B42,'H-Risk Register-Model'!$A$17:$AI$953,MATCH(E$37,'H-Risk Register-Model'!$17:$17,0),FALSE),"")</f>
        <v/>
      </c>
      <c r="F42" s="697" t="str">
        <f>IFERROR(VLOOKUP($B42,'H-Risk Register-Model'!$A$17:$AI$953,MATCH(F$37,'H-Risk Register-Model'!$17:$17,0),FALSE),"")</f>
        <v/>
      </c>
      <c r="G42" s="630" t="str">
        <f>IF(IFERROR(VLOOKUP($B42,'H-Risk Register-Model'!$A$17:$AI$953,MATCH(G$36,'H-Risk Register-Model'!$17:$17,0),FALSE),"")="","",IFERROR(VLOOKUP($B42,'H-Risk Register-Model'!$A$17:$AI$953,MATCH(G$36,'H-Risk Register-Model'!$17:$17,0),FALSE),""))</f>
        <v/>
      </c>
      <c r="H42" s="630" t="str">
        <f>IF(IFERROR(VLOOKUP($B42,'H-Risk Register-Model'!$A$17:$AI$953,MATCH(H$36,'H-Risk Register-Model'!$17:$17,0),FALSE),"")="","",IFERROR(VLOOKUP($B42,'H-Risk Register-Model'!$A$17:$AI$953,MATCH(H$36,'H-Risk Register-Model'!$17:$17,0),FALSE),""))</f>
        <v/>
      </c>
      <c r="I42" s="1049" t="str">
        <f>IF(IFERROR(VLOOKUP($B42,'H-Risk Register-Model'!$A$17:$AI$953,MATCH(I$37,'H-Risk Register-Model'!$17:$17,0),FALSE),"")="","",IFERROR(VLOOKUP($B42,'H-Risk Register-Model'!$A$17:$AI$953,MATCH(I$37,'H-Risk Register-Model'!$17:$17,0),FALSE),""))</f>
        <v/>
      </c>
      <c r="J42" s="1049"/>
      <c r="K42" s="1049"/>
      <c r="L42" s="1050"/>
      <c r="M42" s="326"/>
    </row>
    <row r="43" spans="1:22" x14ac:dyDescent="0.3">
      <c r="A43" s="320"/>
      <c r="B43" s="628" t="str">
        <f>IF('J-Sensitivity Charts'!M23="","",'J-Sensitivity Charts'!M23)</f>
        <v>N/A</v>
      </c>
      <c r="C43" s="695" t="str">
        <f>IFERROR(VLOOKUP($B43,'H-Risk Register-Model'!$A$17:$AI$953,MATCH(B$37,'H-Risk Register-Model'!$17:$17,0),FALSE),"")</f>
        <v/>
      </c>
      <c r="D43" s="629" t="str">
        <f>IFERROR(VLOOKUP($B43,'H-Risk Register-Model'!$A$17:$AI$953,MATCH(D$37,'H-Risk Register-Model'!$17:$17,0),FALSE),"")</f>
        <v/>
      </c>
      <c r="E43" s="696" t="str">
        <f>IFERROR(VLOOKUP($B43,'H-Risk Register-Model'!$A$17:$AI$953,MATCH(E$37,'H-Risk Register-Model'!$17:$17,0),FALSE),"")</f>
        <v/>
      </c>
      <c r="F43" s="697" t="str">
        <f>IFERROR(VLOOKUP($B43,'H-Risk Register-Model'!$A$17:$AI$953,MATCH(F$37,'H-Risk Register-Model'!$17:$17,0),FALSE),"")</f>
        <v/>
      </c>
      <c r="G43" s="630" t="str">
        <f>IF(IFERROR(VLOOKUP($B43,'H-Risk Register-Model'!$A$17:$AI$953,MATCH(G$36,'H-Risk Register-Model'!$17:$17,0),FALSE),"")="","",IFERROR(VLOOKUP($B43,'H-Risk Register-Model'!$A$17:$AI$953,MATCH(G$36,'H-Risk Register-Model'!$17:$17,0),FALSE),""))</f>
        <v/>
      </c>
      <c r="H43" s="630" t="str">
        <f>IF(IFERROR(VLOOKUP($B43,'H-Risk Register-Model'!$A$17:$AI$953,MATCH(H$36,'H-Risk Register-Model'!$17:$17,0),FALSE),"")="","",IFERROR(VLOOKUP($B43,'H-Risk Register-Model'!$A$17:$AI$953,MATCH(H$36,'H-Risk Register-Model'!$17:$17,0),FALSE),""))</f>
        <v/>
      </c>
      <c r="I43" s="1049" t="str">
        <f>IF(IFERROR(VLOOKUP($B43,'H-Risk Register-Model'!$A$17:$AI$953,MATCH(I$37,'H-Risk Register-Model'!$17:$17,0),FALSE),"")="","",IFERROR(VLOOKUP($B43,'H-Risk Register-Model'!$A$17:$AI$953,MATCH(I$37,'H-Risk Register-Model'!$17:$17,0),FALSE),""))</f>
        <v/>
      </c>
      <c r="J43" s="1049"/>
      <c r="K43" s="1049"/>
      <c r="L43" s="1050"/>
      <c r="M43" s="326"/>
    </row>
    <row r="44" spans="1:22" x14ac:dyDescent="0.3">
      <c r="A44" s="328"/>
      <c r="B44" s="628" t="str">
        <f>IF('J-Sensitivity Charts'!M24="","",'J-Sensitivity Charts'!M24)</f>
        <v>N/A</v>
      </c>
      <c r="C44" s="695" t="str">
        <f>IFERROR(VLOOKUP($B44,'H-Risk Register-Model'!$A$17:$AI$953,MATCH(B$37,'H-Risk Register-Model'!$17:$17,0),FALSE),"")</f>
        <v/>
      </c>
      <c r="D44" s="629" t="str">
        <f>IFERROR(VLOOKUP($B44,'H-Risk Register-Model'!$A$17:$AI$953,MATCH(D$37,'H-Risk Register-Model'!$17:$17,0),FALSE),"")</f>
        <v/>
      </c>
      <c r="E44" s="696" t="str">
        <f>IFERROR(VLOOKUP($B44,'H-Risk Register-Model'!$A$17:$AI$953,MATCH(E$37,'H-Risk Register-Model'!$17:$17,0),FALSE),"")</f>
        <v/>
      </c>
      <c r="F44" s="697" t="str">
        <f>IFERROR(VLOOKUP($B44,'H-Risk Register-Model'!$A$17:$AI$953,MATCH(F$37,'H-Risk Register-Model'!$17:$17,0),FALSE),"")</f>
        <v/>
      </c>
      <c r="G44" s="630" t="str">
        <f>IF(IFERROR(VLOOKUP($B44,'H-Risk Register-Model'!$A$17:$AI$953,MATCH(G$36,'H-Risk Register-Model'!$17:$17,0),FALSE),"")="","",IFERROR(VLOOKUP($B44,'H-Risk Register-Model'!$A$17:$AI$953,MATCH(G$36,'H-Risk Register-Model'!$17:$17,0),FALSE),""))</f>
        <v/>
      </c>
      <c r="H44" s="630" t="str">
        <f>IF(IFERROR(VLOOKUP($B44,'H-Risk Register-Model'!$A$17:$AI$953,MATCH(H$36,'H-Risk Register-Model'!$17:$17,0),FALSE),"")="","",IFERROR(VLOOKUP($B44,'H-Risk Register-Model'!$A$17:$AI$953,MATCH(H$36,'H-Risk Register-Model'!$17:$17,0),FALSE),""))</f>
        <v/>
      </c>
      <c r="I44" s="1049" t="str">
        <f>IF(IFERROR(VLOOKUP($B44,'H-Risk Register-Model'!$A$17:$AI$953,MATCH(I$37,'H-Risk Register-Model'!$17:$17,0),FALSE),"")="","",IFERROR(VLOOKUP($B44,'H-Risk Register-Model'!$A$17:$AI$953,MATCH(I$37,'H-Risk Register-Model'!$17:$17,0),FALSE),""))</f>
        <v/>
      </c>
      <c r="J44" s="1049"/>
      <c r="K44" s="1049"/>
      <c r="L44" s="1050"/>
      <c r="M44" s="326"/>
    </row>
    <row r="45" spans="1:22" x14ac:dyDescent="0.3">
      <c r="A45" s="320"/>
      <c r="B45" s="628" t="str">
        <f>IF('J-Sensitivity Charts'!M25="","",'J-Sensitivity Charts'!M25)</f>
        <v>N/A</v>
      </c>
      <c r="C45" s="695" t="str">
        <f>IFERROR(VLOOKUP($B45,'H-Risk Register-Model'!$A$17:$AI$953,MATCH(B$37,'H-Risk Register-Model'!$17:$17,0),FALSE),"")</f>
        <v/>
      </c>
      <c r="D45" s="629" t="str">
        <f>IFERROR(VLOOKUP($B45,'H-Risk Register-Model'!$A$17:$AI$953,MATCH(D$37,'H-Risk Register-Model'!$17:$17,0),FALSE),"")</f>
        <v/>
      </c>
      <c r="E45" s="696" t="str">
        <f>IFERROR(VLOOKUP($B45,'H-Risk Register-Model'!$A$17:$AI$953,MATCH(E$37,'H-Risk Register-Model'!$17:$17,0),FALSE),"")</f>
        <v/>
      </c>
      <c r="F45" s="697" t="str">
        <f>IFERROR(VLOOKUP($B45,'H-Risk Register-Model'!$A$17:$AI$953,MATCH(F$37,'H-Risk Register-Model'!$17:$17,0),FALSE),"")</f>
        <v/>
      </c>
      <c r="G45" s="630" t="str">
        <f>IF(IFERROR(VLOOKUP($B45,'H-Risk Register-Model'!$A$17:$AI$953,MATCH(G$36,'H-Risk Register-Model'!$17:$17,0),FALSE),"")="","",IFERROR(VLOOKUP($B45,'H-Risk Register-Model'!$A$17:$AI$953,MATCH(G$36,'H-Risk Register-Model'!$17:$17,0),FALSE),""))</f>
        <v/>
      </c>
      <c r="H45" s="630" t="str">
        <f>IF(IFERROR(VLOOKUP($B45,'H-Risk Register-Model'!$A$17:$AI$953,MATCH(H$36,'H-Risk Register-Model'!$17:$17,0),FALSE),"")="","",IFERROR(VLOOKUP($B45,'H-Risk Register-Model'!$A$17:$AI$953,MATCH(H$36,'H-Risk Register-Model'!$17:$17,0),FALSE),""))</f>
        <v/>
      </c>
      <c r="I45" s="1049" t="str">
        <f>IF(IFERROR(VLOOKUP($B45,'H-Risk Register-Model'!$A$17:$AI$953,MATCH(I$37,'H-Risk Register-Model'!$17:$17,0),FALSE),"")="","",IFERROR(VLOOKUP($B45,'H-Risk Register-Model'!$A$17:$AI$953,MATCH(I$37,'H-Risk Register-Model'!$17:$17,0),FALSE),""))</f>
        <v/>
      </c>
      <c r="J45" s="1049"/>
      <c r="K45" s="1049"/>
      <c r="L45" s="1050"/>
      <c r="M45" s="326"/>
    </row>
    <row r="46" spans="1:22" x14ac:dyDescent="0.3">
      <c r="A46" s="320"/>
      <c r="B46" s="628" t="str">
        <f>IF('J-Sensitivity Charts'!M26="","",'J-Sensitivity Charts'!M26)</f>
        <v>N/A</v>
      </c>
      <c r="C46" s="695" t="str">
        <f>IFERROR(VLOOKUP($B46,'H-Risk Register-Model'!$A$17:$AI$953,MATCH(B$37,'H-Risk Register-Model'!$17:$17,0),FALSE),"")</f>
        <v/>
      </c>
      <c r="D46" s="629" t="str">
        <f>IFERROR(VLOOKUP($B46,'H-Risk Register-Model'!$A$17:$AI$953,MATCH(D$37,'H-Risk Register-Model'!$17:$17,0),FALSE),"")</f>
        <v/>
      </c>
      <c r="E46" s="696" t="str">
        <f>IFERROR(VLOOKUP($B46,'H-Risk Register-Model'!$A$17:$AI$953,MATCH(E$37,'H-Risk Register-Model'!$17:$17,0),FALSE),"")</f>
        <v/>
      </c>
      <c r="F46" s="697" t="str">
        <f>IFERROR(VLOOKUP($B46,'H-Risk Register-Model'!$A$17:$AI$953,MATCH(F$37,'H-Risk Register-Model'!$17:$17,0),FALSE),"")</f>
        <v/>
      </c>
      <c r="G46" s="630" t="str">
        <f>IF(IFERROR(VLOOKUP($B46,'H-Risk Register-Model'!$A$17:$AI$953,MATCH(G$36,'H-Risk Register-Model'!$17:$17,0),FALSE),"")="","",IFERROR(VLOOKUP($B46,'H-Risk Register-Model'!$A$17:$AI$953,MATCH(G$36,'H-Risk Register-Model'!$17:$17,0),FALSE),""))</f>
        <v/>
      </c>
      <c r="H46" s="630" t="str">
        <f>IF(IFERROR(VLOOKUP($B46,'H-Risk Register-Model'!$A$17:$AI$953,MATCH(H$36,'H-Risk Register-Model'!$17:$17,0),FALSE),"")="","",IFERROR(VLOOKUP($B46,'H-Risk Register-Model'!$A$17:$AI$953,MATCH(H$36,'H-Risk Register-Model'!$17:$17,0),FALSE),""))</f>
        <v/>
      </c>
      <c r="I46" s="1049" t="str">
        <f>IF(IFERROR(VLOOKUP($B46,'H-Risk Register-Model'!$A$17:$AI$953,MATCH(I$37,'H-Risk Register-Model'!$17:$17,0),FALSE),"")="","",IFERROR(VLOOKUP($B46,'H-Risk Register-Model'!$A$17:$AI$953,MATCH(I$37,'H-Risk Register-Model'!$17:$17,0),FALSE),""))</f>
        <v/>
      </c>
      <c r="J46" s="1049"/>
      <c r="K46" s="1049"/>
      <c r="L46" s="1050"/>
      <c r="M46" s="326"/>
    </row>
    <row r="47" spans="1:22" x14ac:dyDescent="0.3">
      <c r="A47" s="320"/>
      <c r="B47" s="628" t="str">
        <f>IF('J-Sensitivity Charts'!M27="","",'J-Sensitivity Charts'!M27)</f>
        <v>N/A</v>
      </c>
      <c r="C47" s="695" t="str">
        <f>IFERROR(VLOOKUP($B47,'H-Risk Register-Model'!$A$17:$AI$953,MATCH(B$37,'H-Risk Register-Model'!$17:$17,0),FALSE),"")</f>
        <v/>
      </c>
      <c r="D47" s="629" t="str">
        <f>IFERROR(VLOOKUP($B47,'H-Risk Register-Model'!$A$17:$AI$953,MATCH(D$37,'H-Risk Register-Model'!$17:$17,0),FALSE),"")</f>
        <v/>
      </c>
      <c r="E47" s="696" t="str">
        <f>IFERROR(VLOOKUP($B47,'H-Risk Register-Model'!$A$17:$AI$953,MATCH(E$37,'H-Risk Register-Model'!$17:$17,0),FALSE),"")</f>
        <v/>
      </c>
      <c r="F47" s="697" t="str">
        <f>IFERROR(VLOOKUP($B47,'H-Risk Register-Model'!$A$17:$AI$953,MATCH(F$37,'H-Risk Register-Model'!$17:$17,0),FALSE),"")</f>
        <v/>
      </c>
      <c r="G47" s="630" t="str">
        <f>IF(IFERROR(VLOOKUP($B47,'H-Risk Register-Model'!$A$17:$AI$953,MATCH(G$36,'H-Risk Register-Model'!$17:$17,0),FALSE),"")="","",IFERROR(VLOOKUP($B47,'H-Risk Register-Model'!$A$17:$AI$953,MATCH(G$36,'H-Risk Register-Model'!$17:$17,0),FALSE),""))</f>
        <v/>
      </c>
      <c r="H47" s="630" t="str">
        <f>IF(IFERROR(VLOOKUP($B47,'H-Risk Register-Model'!$A$17:$AI$953,MATCH(H$36,'H-Risk Register-Model'!$17:$17,0),FALSE),"")="","",IFERROR(VLOOKUP($B47,'H-Risk Register-Model'!$A$17:$AI$953,MATCH(H$36,'H-Risk Register-Model'!$17:$17,0),FALSE),""))</f>
        <v/>
      </c>
      <c r="I47" s="1049" t="str">
        <f>IF(IFERROR(VLOOKUP($B47,'H-Risk Register-Model'!$A$17:$AI$953,MATCH(I$37,'H-Risk Register-Model'!$17:$17,0),FALSE),"")="","",IFERROR(VLOOKUP($B47,'H-Risk Register-Model'!$A$17:$AI$953,MATCH(I$37,'H-Risk Register-Model'!$17:$17,0),FALSE),""))</f>
        <v/>
      </c>
      <c r="J47" s="1049"/>
      <c r="K47" s="1049"/>
      <c r="L47" s="1050"/>
      <c r="M47" s="326"/>
    </row>
    <row r="48" spans="1:22" ht="15" thickBot="1" x14ac:dyDescent="0.35">
      <c r="A48" s="320"/>
      <c r="B48" s="331" t="str">
        <f>IF('J-Sensitivity Charts'!M28="","",'J-Sensitivity Charts'!M28)</f>
        <v>N/A</v>
      </c>
      <c r="C48" s="698" t="str">
        <f>IFERROR(VLOOKUP($B48,'H-Risk Register-Model'!$A$17:$AI$953,MATCH(B$37,'H-Risk Register-Model'!$17:$17,0),FALSE),"")</f>
        <v/>
      </c>
      <c r="D48" s="348" t="str">
        <f>IFERROR(VLOOKUP($B48,'H-Risk Register-Model'!$A$17:$AI$953,MATCH(D$37,'H-Risk Register-Model'!$17:$17,0),FALSE),"")</f>
        <v/>
      </c>
      <c r="E48" s="699" t="str">
        <f>IFERROR(VLOOKUP($B48,'H-Risk Register-Model'!$A$17:$AI$953,MATCH(E$37,'H-Risk Register-Model'!$17:$17,0),FALSE),"")</f>
        <v/>
      </c>
      <c r="F48" s="700" t="str">
        <f>IFERROR(VLOOKUP($B48,'H-Risk Register-Model'!$A$17:$AI$953,MATCH(F$37,'H-Risk Register-Model'!$17:$17,0),FALSE),"")</f>
        <v/>
      </c>
      <c r="G48" s="191" t="str">
        <f>IF(IFERROR(VLOOKUP($B48,'H-Risk Register-Model'!$A$17:$AI$953,MATCH(G$36,'H-Risk Register-Model'!$17:$17,0),FALSE),"")="","",IFERROR(VLOOKUP($B48,'H-Risk Register-Model'!$A$17:$AI$953,MATCH(G$36,'H-Risk Register-Model'!$17:$17,0),FALSE),""))</f>
        <v/>
      </c>
      <c r="H48" s="191" t="str">
        <f>IF(IFERROR(VLOOKUP($B48,'H-Risk Register-Model'!$A$17:$AI$953,MATCH(H$36,'H-Risk Register-Model'!$17:$17,0),FALSE),"")="","",IFERROR(VLOOKUP($B48,'H-Risk Register-Model'!$A$17:$AI$953,MATCH(H$36,'H-Risk Register-Model'!$17:$17,0),FALSE),""))</f>
        <v/>
      </c>
      <c r="I48" s="1051" t="str">
        <f>IF(IFERROR(VLOOKUP($B48,'H-Risk Register-Model'!$A$17:$AI$953,MATCH(I$37,'H-Risk Register-Model'!$17:$17,0),FALSE),"")="","",IFERROR(VLOOKUP($B48,'H-Risk Register-Model'!$A$17:$AI$953,MATCH(I$37,'H-Risk Register-Model'!$17:$17,0),FALSE),""))</f>
        <v/>
      </c>
      <c r="J48" s="1051"/>
      <c r="K48" s="1051"/>
      <c r="L48" s="1052"/>
      <c r="M48" s="326"/>
    </row>
    <row r="49" spans="1:13" x14ac:dyDescent="0.3">
      <c r="A49" s="320"/>
      <c r="B49" s="320"/>
      <c r="C49" s="320"/>
      <c r="D49" s="320"/>
      <c r="E49" s="320"/>
      <c r="F49" s="320"/>
      <c r="G49" s="320"/>
      <c r="H49" s="320"/>
      <c r="I49" s="320"/>
      <c r="J49" s="320"/>
      <c r="K49" s="320"/>
      <c r="L49" s="320"/>
      <c r="M49" s="320"/>
    </row>
  </sheetData>
  <mergeCells count="22">
    <mergeCell ref="A1:M1"/>
    <mergeCell ref="C3:E3"/>
    <mergeCell ref="C4:E4"/>
    <mergeCell ref="K4:K6"/>
    <mergeCell ref="G37:H37"/>
    <mergeCell ref="I37:L38"/>
    <mergeCell ref="J3:K3"/>
    <mergeCell ref="G6:I6"/>
    <mergeCell ref="F37:F38"/>
    <mergeCell ref="B37:C38"/>
    <mergeCell ref="D37:D38"/>
    <mergeCell ref="E37:E38"/>
    <mergeCell ref="I39:L39"/>
    <mergeCell ref="I40:L40"/>
    <mergeCell ref="I41:L41"/>
    <mergeCell ref="I42:L42"/>
    <mergeCell ref="I43:L43"/>
    <mergeCell ref="I44:L44"/>
    <mergeCell ref="I45:L45"/>
    <mergeCell ref="I46:L46"/>
    <mergeCell ref="I47:L47"/>
    <mergeCell ref="I48:L48"/>
  </mergeCells>
  <conditionalFormatting sqref="G39:H48">
    <cfRule type="expression" dxfId="33" priority="5" stopIfTrue="1">
      <formula>LEFT(D39,3)="Cer"</formula>
    </cfRule>
    <cfRule type="expression" dxfId="32" priority="6" stopIfTrue="1">
      <formula>LEFT(G39,1)="H"</formula>
    </cfRule>
    <cfRule type="expression" dxfId="31" priority="7" stopIfTrue="1">
      <formula>LEFT(G39,1)="M"</formula>
    </cfRule>
    <cfRule type="expression" dxfId="30" priority="8" stopIfTrue="1">
      <formula>LEFT(G39,1)="L"</formula>
    </cfRule>
  </conditionalFormatting>
  <pageMargins left="0.25" right="0.25" top="0.25" bottom="0.5" header="0.25" footer="0.25"/>
  <pageSetup scale="50" fitToHeight="0" orientation="landscape" horizontalDpi="1200" verticalDpi="1200" r:id="rId1"/>
  <headerFooter>
    <oddFooter>&amp;CPage &amp;P of &amp;N</oddFooter>
  </headerFooter>
  <colBreaks count="1" manualBreakCount="1">
    <brk id="1" max="5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49"/>
  <sheetViews>
    <sheetView showGridLines="0" zoomScaleNormal="100" workbookViewId="0">
      <pane ySplit="35" topLeftCell="A36" activePane="bottomLeft" state="frozen"/>
      <selection pane="bottomLeft" activeCell="A36" sqref="A36"/>
    </sheetView>
  </sheetViews>
  <sheetFormatPr defaultRowHeight="14.4" x14ac:dyDescent="0.3"/>
  <cols>
    <col min="1" max="1" width="2.88671875" customWidth="1"/>
    <col min="2" max="2" width="10.5546875" customWidth="1"/>
    <col min="3" max="3" width="25.5546875" customWidth="1"/>
    <col min="4" max="4" width="35.5546875" customWidth="1"/>
    <col min="5" max="5" width="60.5546875" customWidth="1"/>
    <col min="6" max="6" width="18.44140625" bestFit="1" customWidth="1"/>
    <col min="7" max="8" width="15.88671875" customWidth="1"/>
    <col min="9" max="9" width="20.88671875" customWidth="1"/>
    <col min="10" max="10" width="25.88671875" customWidth="1"/>
    <col min="11" max="11" width="10.88671875" customWidth="1"/>
    <col min="12" max="12" width="20.5546875" customWidth="1"/>
    <col min="13" max="13" width="2.88671875" customWidth="1"/>
  </cols>
  <sheetData>
    <row r="1" spans="1:13" ht="21" x14ac:dyDescent="0.4">
      <c r="A1" s="1010" t="s">
        <v>1338</v>
      </c>
      <c r="B1" s="1010"/>
      <c r="C1" s="1010"/>
      <c r="D1" s="1010"/>
      <c r="E1" s="1010"/>
      <c r="F1" s="1010"/>
      <c r="G1" s="1010"/>
      <c r="H1" s="1010"/>
      <c r="I1" s="1010"/>
      <c r="J1" s="1010"/>
      <c r="K1" s="1010"/>
      <c r="L1" s="1010"/>
      <c r="M1" s="1010"/>
    </row>
    <row r="2" spans="1:13" ht="15" thickBot="1" x14ac:dyDescent="0.35">
      <c r="A2" s="319"/>
      <c r="B2" s="319"/>
      <c r="C2" s="319"/>
      <c r="D2" s="319"/>
      <c r="E2" s="319"/>
      <c r="F2" s="319"/>
      <c r="G2" s="319"/>
      <c r="H2" s="319"/>
      <c r="I2" s="319"/>
      <c r="J2" s="319"/>
      <c r="K2" s="319"/>
      <c r="L2" s="319"/>
      <c r="M2" s="319"/>
    </row>
    <row r="3" spans="1:13" ht="15" thickBot="1" x14ac:dyDescent="0.35">
      <c r="A3" s="320"/>
      <c r="B3" s="324" t="s">
        <v>643</v>
      </c>
      <c r="C3" s="1055" t="str">
        <f>'D-Project Data'!C9</f>
        <v>Project Name</v>
      </c>
      <c r="D3" s="1055"/>
      <c r="E3" s="1055"/>
      <c r="F3" s="627"/>
      <c r="G3" s="497" t="str">
        <f>'J-Sensitivity Charts'!G8</f>
        <v>Contingency on Base Schedule</v>
      </c>
      <c r="H3" s="455"/>
      <c r="I3" s="490"/>
      <c r="J3" s="1088">
        <f>'J-Sensitivity Charts'!I8</f>
        <v>0.8</v>
      </c>
      <c r="K3" s="1089"/>
      <c r="L3" s="319"/>
      <c r="M3" s="319"/>
    </row>
    <row r="4" spans="1:13" x14ac:dyDescent="0.3">
      <c r="A4" s="320"/>
      <c r="B4" s="324" t="s">
        <v>892</v>
      </c>
      <c r="C4" s="1055" t="str">
        <f>'D-Project Data'!$C$10</f>
        <v>Walla Walla, WA</v>
      </c>
      <c r="D4" s="1055"/>
      <c r="E4" s="1055"/>
      <c r="F4" s="627"/>
      <c r="G4" s="332"/>
      <c r="H4" s="333"/>
      <c r="I4" s="334" t="str">
        <f>'J-Sensitivity Charts'!G9</f>
        <v>Base Schedule Start Date</v>
      </c>
      <c r="J4" s="335">
        <f>'J-Sensitivity Charts'!I9</f>
        <v>44470</v>
      </c>
      <c r="K4" s="1082">
        <f>'J-Sensitivity Charts'!J12</f>
        <v>6.9999999999999993E-2</v>
      </c>
      <c r="L4" s="319"/>
      <c r="M4" s="319"/>
    </row>
    <row r="5" spans="1:13" x14ac:dyDescent="0.3">
      <c r="A5" s="320"/>
      <c r="B5" s="320"/>
      <c r="C5" s="320"/>
      <c r="D5" s="320"/>
      <c r="E5" s="320"/>
      <c r="F5" s="320"/>
      <c r="G5" s="332"/>
      <c r="H5" s="336"/>
      <c r="I5" s="334" t="str">
        <f>'J-Sensitivity Charts'!G10</f>
        <v>Base Schedule Finish Date</v>
      </c>
      <c r="J5" s="337">
        <f>'J-Sensitivity Charts'!I10</f>
        <v>46447</v>
      </c>
      <c r="K5" s="1082"/>
      <c r="L5" s="319"/>
      <c r="M5" s="319"/>
    </row>
    <row r="6" spans="1:13" x14ac:dyDescent="0.3">
      <c r="A6" s="320"/>
      <c r="B6" s="320"/>
      <c r="C6" s="320"/>
      <c r="D6" s="320"/>
      <c r="E6" s="320"/>
      <c r="F6" s="320"/>
      <c r="G6" s="332"/>
      <c r="H6" s="333"/>
      <c r="I6" s="334" t="str">
        <f>'J-Sensitivity Charts'!G11</f>
        <v>Base Schedule Duration</v>
      </c>
      <c r="J6" s="338">
        <f>'J-Sensitivity Charts'!I11</f>
        <v>64.971830985915489</v>
      </c>
      <c r="K6" s="1082"/>
      <c r="L6" s="319"/>
      <c r="M6" s="319"/>
    </row>
    <row r="7" spans="1:13" x14ac:dyDescent="0.3">
      <c r="A7" s="320"/>
      <c r="B7" s="320"/>
      <c r="C7" s="320"/>
      <c r="D7" s="320"/>
      <c r="E7" s="320"/>
      <c r="F7" s="320"/>
      <c r="G7" s="332"/>
      <c r="H7" s="333"/>
      <c r="I7" s="334" t="str">
        <f>'J-Sensitivity Charts'!G12</f>
        <v>Schedule Contingency Duration</v>
      </c>
      <c r="J7" s="338">
        <f>'J-Sensitivity Charts'!I12</f>
        <v>4.548028169014084</v>
      </c>
      <c r="K7" s="1082"/>
      <c r="L7" s="319"/>
      <c r="M7" s="319"/>
    </row>
    <row r="8" spans="1:13" x14ac:dyDescent="0.3">
      <c r="A8" s="320"/>
      <c r="B8" s="320"/>
      <c r="C8" s="320"/>
      <c r="D8" s="320"/>
      <c r="E8" s="320"/>
      <c r="F8" s="320"/>
      <c r="G8" s="1084">
        <f>'J-Sensitivity Charts'!G13</f>
        <v>0.8</v>
      </c>
      <c r="H8" s="1085"/>
      <c r="I8" s="1085"/>
      <c r="J8" s="338">
        <f>'J-Sensitivity Charts'!I13</f>
        <v>69.519859154929577</v>
      </c>
      <c r="K8" s="1082"/>
      <c r="L8" s="319"/>
      <c r="M8" s="319"/>
    </row>
    <row r="9" spans="1:13" ht="15" thickBot="1" x14ac:dyDescent="0.35">
      <c r="A9" s="320"/>
      <c r="B9" s="320"/>
      <c r="C9" s="320"/>
      <c r="D9" s="320"/>
      <c r="E9" s="320"/>
      <c r="F9" s="320"/>
      <c r="G9" s="1086">
        <f>'J-Sensitivity Charts'!G14</f>
        <v>0.8</v>
      </c>
      <c r="H9" s="1087"/>
      <c r="I9" s="1087"/>
      <c r="J9" s="339">
        <f>'J-Sensitivity Charts'!I14</f>
        <v>46586</v>
      </c>
      <c r="K9" s="1083"/>
      <c r="L9" s="319"/>
      <c r="M9" s="319"/>
    </row>
    <row r="10" spans="1:13" x14ac:dyDescent="0.3">
      <c r="A10" s="320"/>
      <c r="B10" s="320"/>
      <c r="C10" s="320"/>
      <c r="D10" s="320"/>
      <c r="E10" s="320"/>
      <c r="F10" s="320"/>
      <c r="G10" s="320"/>
      <c r="H10" s="320"/>
      <c r="I10" s="320"/>
      <c r="J10" s="320"/>
      <c r="K10" s="320"/>
      <c r="L10" s="319"/>
      <c r="M10" s="319"/>
    </row>
    <row r="11" spans="1:13" x14ac:dyDescent="0.3">
      <c r="A11" s="320"/>
      <c r="B11" s="320"/>
      <c r="C11" s="320"/>
      <c r="D11" s="320"/>
      <c r="E11" s="320"/>
      <c r="F11" s="320"/>
      <c r="G11" s="320"/>
      <c r="H11" s="320"/>
      <c r="I11" s="320"/>
      <c r="J11" s="320"/>
      <c r="K11" s="320"/>
      <c r="L11" s="319"/>
      <c r="M11" s="319"/>
    </row>
    <row r="12" spans="1:13" x14ac:dyDescent="0.3">
      <c r="A12" s="320"/>
      <c r="B12" s="320"/>
      <c r="C12" s="320"/>
      <c r="D12" s="320"/>
      <c r="E12" s="320"/>
      <c r="F12" s="320"/>
      <c r="G12" s="320"/>
      <c r="H12" s="320"/>
      <c r="I12" s="320"/>
      <c r="J12" s="320"/>
      <c r="K12" s="320"/>
      <c r="L12" s="319"/>
      <c r="M12" s="319"/>
    </row>
    <row r="13" spans="1:13" x14ac:dyDescent="0.3">
      <c r="A13" s="320"/>
      <c r="B13" s="320"/>
      <c r="C13" s="320"/>
      <c r="D13" s="320"/>
      <c r="E13" s="320"/>
      <c r="F13" s="320"/>
      <c r="G13" s="319"/>
      <c r="H13" s="319"/>
      <c r="I13" s="319"/>
      <c r="J13" s="319"/>
      <c r="K13" s="319"/>
      <c r="L13" s="319"/>
      <c r="M13" s="319"/>
    </row>
    <row r="14" spans="1:13" x14ac:dyDescent="0.3">
      <c r="A14" s="320"/>
      <c r="B14" s="320"/>
      <c r="C14" s="320"/>
      <c r="D14" s="320"/>
      <c r="E14" s="320"/>
      <c r="F14" s="320"/>
      <c r="G14" s="319"/>
      <c r="H14" s="319"/>
      <c r="I14" s="319"/>
      <c r="J14" s="319"/>
      <c r="K14" s="319"/>
      <c r="L14" s="319"/>
      <c r="M14" s="319"/>
    </row>
    <row r="15" spans="1:13" x14ac:dyDescent="0.3">
      <c r="A15" s="320"/>
      <c r="B15" s="320"/>
      <c r="C15" s="320"/>
      <c r="D15" s="320"/>
      <c r="E15" s="320"/>
      <c r="F15" s="320"/>
      <c r="G15" s="319"/>
      <c r="H15" s="319"/>
      <c r="I15" s="319"/>
      <c r="J15" s="319"/>
      <c r="K15" s="319"/>
      <c r="L15" s="319"/>
      <c r="M15" s="319"/>
    </row>
    <row r="16" spans="1:13" x14ac:dyDescent="0.3">
      <c r="A16" s="320"/>
      <c r="B16" s="320"/>
      <c r="C16" s="320"/>
      <c r="D16" s="320"/>
      <c r="E16" s="320"/>
      <c r="F16" s="320"/>
      <c r="G16" s="319"/>
      <c r="H16" s="319"/>
      <c r="I16" s="319"/>
      <c r="J16" s="319"/>
      <c r="K16" s="319"/>
      <c r="L16" s="319"/>
      <c r="M16" s="319"/>
    </row>
    <row r="17" spans="1:13" x14ac:dyDescent="0.3">
      <c r="A17" s="320"/>
      <c r="B17" s="320"/>
      <c r="C17" s="320"/>
      <c r="D17" s="320"/>
      <c r="E17" s="320"/>
      <c r="F17" s="320"/>
      <c r="G17" s="319"/>
      <c r="H17" s="319"/>
      <c r="I17" s="319"/>
      <c r="J17" s="319"/>
      <c r="K17" s="319"/>
      <c r="L17" s="319"/>
      <c r="M17" s="319"/>
    </row>
    <row r="18" spans="1:13" x14ac:dyDescent="0.3">
      <c r="A18" s="320"/>
      <c r="B18" s="320"/>
      <c r="C18" s="320"/>
      <c r="D18" s="320"/>
      <c r="E18" s="320"/>
      <c r="F18" s="320"/>
      <c r="G18" s="319"/>
      <c r="H18" s="319"/>
      <c r="I18" s="319"/>
      <c r="J18" s="319"/>
      <c r="K18" s="319"/>
      <c r="L18" s="319"/>
      <c r="M18" s="319"/>
    </row>
    <row r="19" spans="1:13" x14ac:dyDescent="0.3">
      <c r="A19" s="320"/>
      <c r="B19" s="320"/>
      <c r="C19" s="320"/>
      <c r="D19" s="320"/>
      <c r="E19" s="320"/>
      <c r="F19" s="320"/>
      <c r="G19" s="319"/>
      <c r="H19" s="319"/>
      <c r="I19" s="319"/>
      <c r="J19" s="319"/>
      <c r="K19" s="319"/>
      <c r="L19" s="319"/>
      <c r="M19" s="319"/>
    </row>
    <row r="20" spans="1:13" ht="14.4" customHeight="1" x14ac:dyDescent="0.3">
      <c r="A20" s="320"/>
      <c r="B20" s="320"/>
      <c r="C20" s="320"/>
      <c r="D20" s="320"/>
      <c r="E20" s="320"/>
      <c r="F20" s="320"/>
      <c r="G20" s="319"/>
      <c r="H20" s="319"/>
      <c r="I20" s="319"/>
      <c r="J20" s="319"/>
      <c r="K20" s="319"/>
      <c r="L20" s="319"/>
      <c r="M20" s="319"/>
    </row>
    <row r="21" spans="1:13" x14ac:dyDescent="0.3">
      <c r="A21" s="320"/>
      <c r="B21" s="320"/>
      <c r="C21" s="320"/>
      <c r="D21" s="320"/>
      <c r="E21" s="320"/>
      <c r="F21" s="320"/>
      <c r="G21" s="319"/>
      <c r="H21" s="319"/>
      <c r="I21" s="319"/>
      <c r="J21" s="319"/>
      <c r="K21" s="319"/>
      <c r="L21" s="319"/>
      <c r="M21" s="319"/>
    </row>
    <row r="22" spans="1:13" x14ac:dyDescent="0.3">
      <c r="A22" s="320"/>
      <c r="B22" s="320"/>
      <c r="C22" s="320"/>
      <c r="D22" s="320"/>
      <c r="E22" s="320"/>
      <c r="F22" s="320"/>
      <c r="G22" s="319"/>
      <c r="H22" s="319"/>
      <c r="I22" s="319"/>
      <c r="J22" s="319"/>
      <c r="K22" s="319"/>
      <c r="L22" s="319"/>
      <c r="M22" s="319"/>
    </row>
    <row r="23" spans="1:13" x14ac:dyDescent="0.3">
      <c r="A23" s="320"/>
      <c r="B23" s="320"/>
      <c r="C23" s="320"/>
      <c r="D23" s="320"/>
      <c r="E23" s="320"/>
      <c r="F23" s="320"/>
      <c r="G23" s="319"/>
      <c r="H23" s="319"/>
      <c r="I23" s="319"/>
      <c r="J23" s="319"/>
      <c r="K23" s="319"/>
      <c r="L23" s="319"/>
      <c r="M23" s="319"/>
    </row>
    <row r="24" spans="1:13" x14ac:dyDescent="0.3">
      <c r="A24" s="320"/>
      <c r="B24" s="320"/>
      <c r="C24" s="320"/>
      <c r="D24" s="320"/>
      <c r="E24" s="320"/>
      <c r="F24" s="320"/>
      <c r="G24" s="319"/>
      <c r="H24" s="319"/>
      <c r="I24" s="319"/>
      <c r="J24" s="319"/>
      <c r="K24" s="319"/>
      <c r="L24" s="319"/>
      <c r="M24" s="319"/>
    </row>
    <row r="25" spans="1:13" x14ac:dyDescent="0.3">
      <c r="A25" s="320"/>
      <c r="B25" s="320"/>
      <c r="C25" s="320"/>
      <c r="D25" s="320"/>
      <c r="E25" s="320"/>
      <c r="F25" s="320"/>
      <c r="G25" s="319"/>
      <c r="H25" s="319"/>
      <c r="I25" s="319"/>
      <c r="J25" s="319"/>
      <c r="K25" s="319"/>
      <c r="L25" s="319"/>
      <c r="M25" s="319"/>
    </row>
    <row r="26" spans="1:13" x14ac:dyDescent="0.3">
      <c r="A26" s="320"/>
      <c r="B26" s="320"/>
      <c r="C26" s="320"/>
      <c r="D26" s="320"/>
      <c r="E26" s="320"/>
      <c r="F26" s="320"/>
      <c r="G26" s="319"/>
      <c r="H26" s="319"/>
      <c r="I26" s="319"/>
      <c r="J26" s="319"/>
      <c r="K26" s="319"/>
      <c r="L26" s="319"/>
      <c r="M26" s="319"/>
    </row>
    <row r="27" spans="1:13" x14ac:dyDescent="0.3">
      <c r="A27" s="320"/>
      <c r="B27" s="320"/>
      <c r="C27" s="320"/>
      <c r="D27" s="320"/>
      <c r="E27" s="320"/>
      <c r="F27" s="320"/>
      <c r="G27" s="319"/>
      <c r="H27" s="319"/>
      <c r="I27" s="319"/>
      <c r="J27" s="319"/>
      <c r="K27" s="319"/>
      <c r="L27" s="319"/>
      <c r="M27" s="319"/>
    </row>
    <row r="28" spans="1:13" x14ac:dyDescent="0.3">
      <c r="A28" s="320"/>
      <c r="B28" s="320"/>
      <c r="C28" s="320"/>
      <c r="D28" s="320"/>
      <c r="E28" s="320"/>
      <c r="F28" s="320"/>
      <c r="G28" s="319"/>
      <c r="H28" s="319"/>
      <c r="I28" s="319"/>
      <c r="J28" s="319"/>
      <c r="K28" s="319"/>
      <c r="L28" s="319"/>
      <c r="M28" s="319"/>
    </row>
    <row r="29" spans="1:13" x14ac:dyDescent="0.3">
      <c r="A29" s="320"/>
      <c r="B29" s="320"/>
      <c r="C29" s="320"/>
      <c r="D29" s="320"/>
      <c r="E29" s="320"/>
      <c r="F29" s="320"/>
      <c r="G29" s="319"/>
      <c r="H29" s="319"/>
      <c r="I29" s="319"/>
      <c r="J29" s="319"/>
      <c r="K29" s="319"/>
      <c r="L29" s="319"/>
      <c r="M29" s="319"/>
    </row>
    <row r="30" spans="1:13" x14ac:dyDescent="0.3">
      <c r="A30" s="320"/>
      <c r="B30" s="320"/>
      <c r="C30" s="320"/>
      <c r="D30" s="320"/>
      <c r="E30" s="320"/>
      <c r="F30" s="320"/>
      <c r="G30" s="319"/>
      <c r="H30" s="319"/>
      <c r="I30" s="319"/>
      <c r="J30" s="319"/>
      <c r="K30" s="319"/>
      <c r="L30" s="319"/>
      <c r="M30" s="319"/>
    </row>
    <row r="31" spans="1:13" x14ac:dyDescent="0.3">
      <c r="A31" s="320"/>
      <c r="B31" s="320"/>
      <c r="C31" s="320"/>
      <c r="D31" s="320"/>
      <c r="E31" s="320"/>
      <c r="F31" s="320"/>
      <c r="G31" s="319"/>
      <c r="H31" s="319"/>
      <c r="I31" s="319"/>
      <c r="J31" s="319"/>
      <c r="K31" s="319"/>
      <c r="L31" s="319"/>
      <c r="M31" s="319"/>
    </row>
    <row r="32" spans="1:13" x14ac:dyDescent="0.3">
      <c r="A32" s="320"/>
      <c r="B32" s="320"/>
      <c r="C32" s="320"/>
      <c r="D32" s="320"/>
      <c r="E32" s="320"/>
      <c r="F32" s="320"/>
      <c r="G32" s="319"/>
      <c r="H32" s="319"/>
      <c r="I32" s="319"/>
      <c r="J32" s="319"/>
      <c r="K32" s="319"/>
      <c r="L32" s="319"/>
      <c r="M32" s="319"/>
    </row>
    <row r="33" spans="1:13" x14ac:dyDescent="0.3">
      <c r="A33" s="320"/>
      <c r="B33" s="320"/>
      <c r="C33" s="320"/>
      <c r="D33" s="320"/>
      <c r="E33" s="320"/>
      <c r="F33" s="320"/>
      <c r="G33" s="319"/>
      <c r="H33" s="319"/>
      <c r="I33" s="319"/>
      <c r="J33" s="319"/>
      <c r="K33" s="319"/>
      <c r="L33" s="319"/>
      <c r="M33" s="319"/>
    </row>
    <row r="34" spans="1:13" x14ac:dyDescent="0.3">
      <c r="A34" s="320"/>
      <c r="B34" s="320"/>
      <c r="C34" s="320"/>
      <c r="D34" s="320"/>
      <c r="E34" s="320"/>
      <c r="F34" s="320"/>
      <c r="G34" s="319"/>
      <c r="H34" s="319"/>
      <c r="I34" s="319"/>
      <c r="J34" s="319"/>
      <c r="K34" s="319"/>
      <c r="L34" s="319"/>
      <c r="M34" s="319"/>
    </row>
    <row r="35" spans="1:13" x14ac:dyDescent="0.3">
      <c r="A35" s="320"/>
      <c r="B35" s="320"/>
      <c r="C35" s="320"/>
      <c r="D35" s="320"/>
      <c r="E35" s="320"/>
      <c r="F35" s="320"/>
      <c r="G35" s="325"/>
      <c r="H35" s="325"/>
      <c r="I35" s="325"/>
      <c r="J35" s="325"/>
      <c r="K35" s="325"/>
      <c r="L35" s="319"/>
      <c r="M35" s="319"/>
    </row>
    <row r="36" spans="1:13" s="35" customFormat="1" ht="18.600000000000001" thickBot="1" x14ac:dyDescent="0.4">
      <c r="A36" s="346"/>
      <c r="B36" s="323" t="s">
        <v>890</v>
      </c>
      <c r="C36" s="323"/>
      <c r="D36" s="323"/>
      <c r="E36" s="323"/>
      <c r="F36" s="323"/>
      <c r="G36" s="344" t="str">
        <f>'K1-Risk Dashboard (Cost)'!G36</f>
        <v>Risk Level (C)</v>
      </c>
      <c r="H36" s="344" t="str">
        <f>'K1-Risk Dashboard (Cost)'!H36</f>
        <v>Risk Level (S)</v>
      </c>
      <c r="I36" s="343"/>
      <c r="J36" s="343"/>
      <c r="K36" s="343"/>
      <c r="L36" s="343"/>
      <c r="M36" s="343"/>
    </row>
    <row r="37" spans="1:13" ht="15" thickBot="1" x14ac:dyDescent="0.35">
      <c r="A37" s="320"/>
      <c r="B37" s="1072" t="str">
        <f>'K1-Risk Dashboard (Cost)'!B37</f>
        <v>Risk/Opportunity Event</v>
      </c>
      <c r="C37" s="1073"/>
      <c r="D37" s="1076" t="str">
        <f>'K1-Risk Dashboard (Cost)'!D37</f>
        <v>Risk Event Description</v>
      </c>
      <c r="E37" s="1076" t="str">
        <f>'K1-Risk Dashboard (Cost)'!E37</f>
        <v>PDT Discussions on Impact and Likelihood</v>
      </c>
      <c r="F37" s="1068" t="str">
        <f>'K1-Risk Dashboard (Cost)'!F37</f>
        <v>Responsibility/ POC</v>
      </c>
      <c r="G37" s="1058" t="str">
        <f>'K1-Risk Dashboard (Cost)'!G37</f>
        <v>Risk Level</v>
      </c>
      <c r="H37" s="1059"/>
      <c r="I37" s="1078" t="str">
        <f>'K1-Risk Dashboard (Cost)'!I37</f>
        <v>Suggested Risk Reduction Measures
(Avoid, Escalate, Exploit, Transfer/Share, Mitigate/Enhance, or Accept)</v>
      </c>
      <c r="J37" s="1078"/>
      <c r="K37" s="1078"/>
      <c r="L37" s="1079"/>
      <c r="M37" s="326"/>
    </row>
    <row r="38" spans="1:13" ht="15" thickBot="1" x14ac:dyDescent="0.35">
      <c r="A38" s="327" t="s">
        <v>665</v>
      </c>
      <c r="B38" s="1074"/>
      <c r="C38" s="1075"/>
      <c r="D38" s="1077"/>
      <c r="E38" s="1077"/>
      <c r="F38" s="1069"/>
      <c r="G38" s="693" t="str">
        <f>'K1-Risk Dashboard (Cost)'!G38</f>
        <v>Cost</v>
      </c>
      <c r="H38" s="694" t="str">
        <f>'K1-Risk Dashboard (Cost)'!H38</f>
        <v>Schedule</v>
      </c>
      <c r="I38" s="1080"/>
      <c r="J38" s="1080"/>
      <c r="K38" s="1080"/>
      <c r="L38" s="1081"/>
      <c r="M38" s="326"/>
    </row>
    <row r="39" spans="1:13" ht="108" x14ac:dyDescent="0.3">
      <c r="A39" s="328"/>
      <c r="B39" s="702">
        <f>IF('J-Sensitivity Charts'!M41="","",'J-Sensitivity Charts'!M41)</f>
        <v>3</v>
      </c>
      <c r="C39" s="703" t="str">
        <f>IFERROR(VLOOKUP($B39,'H-Risk Register-Model'!$A$17:$AI$953,MATCH(B$37,'H-Risk Register-Model'!$17:$17,0),FALSE),"")</f>
        <v>Example Event Risk with Range of Costs</v>
      </c>
      <c r="D39" s="704" t="str">
        <f>IFERROR(VLOOKUP($B39,'H-Risk Register-Model'!$A$17:$AI$953,MATCH(D$37,'H-Risk Register-Model'!$17:$17,0),FALSE),"")</f>
        <v>Example event risk (may or may not happen).</v>
      </c>
      <c r="E39" s="705" t="str">
        <f>IFERROR(VLOOKUP($B39,'H-Risk Register-Model'!$A$17:$AI$953,MATCH(E$37,'H-Risk Register-Model'!$17:$17,0),FALSE),"")</f>
        <v>Best practice is to state what the current design, estimate, and schedule assumptions are and challenge your team on the Low Variance (LV) and High Variance (HV) ranges.
Example:
The base estimate &amp; schedule assumes no hurricane events.
LV:  Assume no hurricane events.
HV:  Assume 1 hurricane event with a 3-6 MO delay (25% chance of occurrence) plus $500k to $1M in cleanup costs.</v>
      </c>
      <c r="F39" s="706" t="str">
        <f>IFERROR(VLOOKUP($B39,'H-Risk Register-Model'!$A$17:$AI$953,MATCH(F$37,'H-Risk Register-Model'!$17:$17,0),FALSE),"")</f>
        <v>Select From List</v>
      </c>
      <c r="G39" s="707" t="str">
        <f>IF(IFERROR(VLOOKUP($B39,'H-Risk Register-Model'!$A$17:$AI$953,MATCH(G$36,'H-Risk Register-Model'!$17:$17,0),FALSE),"")="","",IFERROR(VLOOKUP($B39,'H-Risk Register-Model'!$A$17:$AI$953,MATCH(G$36,'H-Risk Register-Model'!$17:$17,0),FALSE),""))</f>
        <v>Medium</v>
      </c>
      <c r="H39" s="707" t="str">
        <f>IF(IFERROR(VLOOKUP($B39,'H-Risk Register-Model'!$A$17:$AI$953,MATCH(H$36,'H-Risk Register-Model'!$17:$17,0),FALSE),"")="","",IFERROR(VLOOKUP($B39,'H-Risk Register-Model'!$A$17:$AI$953,MATCH(H$36,'H-Risk Register-Model'!$17:$17,0),FALSE),""))</f>
        <v>Medium</v>
      </c>
      <c r="I39" s="1053" t="str">
        <f>IF(IFERROR(VLOOKUP($B39,'H-Risk Register-Model'!$A$17:$AI$953,MATCH(I$37,'H-Risk Register-Model'!$17:$17,0),FALSE),"")="","",IFERROR(VLOOKUP($B39,'H-Risk Register-Model'!$A$17:$AI$953,MATCH(I$37,'H-Risk Register-Model'!$17:$17,0),FALSE),""))</f>
        <v>For Medium &amp; High Risk Items, the team needs to identify suggested risk reduction measures...Avoid, Escalate, Exploit, Transfer/Share, Mitigate/Enhance, or Accept.</v>
      </c>
      <c r="J39" s="1053"/>
      <c r="K39" s="1053"/>
      <c r="L39" s="1054"/>
      <c r="M39" s="326"/>
    </row>
    <row r="40" spans="1:13" ht="96" x14ac:dyDescent="0.3">
      <c r="A40" s="320"/>
      <c r="B40" s="628">
        <f ca="1">IF('J-Sensitivity Charts'!M42="","",'J-Sensitivity Charts'!M42)</f>
        <v>1</v>
      </c>
      <c r="C40" s="695" t="str">
        <f ca="1">IFERROR(VLOOKUP($B40,'H-Risk Register-Model'!$A$17:$AI$953,MATCH(B$37,'H-Risk Register-Model'!$17:$17,0),FALSE),"")</f>
        <v>Example Variation Risk of Relatively Known Quantities</v>
      </c>
      <c r="D40" s="629" t="str">
        <f ca="1">IFERROR(VLOOKUP($B40,'H-Risk Register-Model'!$A$17:$AI$953,MATCH(D$37,'H-Risk Register-Model'!$17:$17,0),FALSE),"")</f>
        <v>Example variation risk (such as quantity variation).</v>
      </c>
      <c r="E40" s="696" t="str">
        <f ca="1">IFERROR(VLOOKUP($B40,'H-Risk Register-Model'!$A$17:$AI$953,MATCH(E$37,'H-Risk Register-Model'!$17:$17,0),FALSE),"")</f>
        <v>Best practice is to state what the current design, estimate, and schedule assumptions are and challenge your team on the Low Variance (LV) and High Variance (HV) ranges.
Example:
The base estimate &amp; schedule assumes 1M CY of excavation for 12 MO.
LV:  Assume 750k CY of excavation for 9 MO.
HV:  Assume 1.5M CY of excavation for 18 MO.</v>
      </c>
      <c r="F40" s="697" t="str">
        <f ca="1">IFERROR(VLOOKUP($B40,'H-Risk Register-Model'!$A$17:$AI$953,MATCH(F$37,'H-Risk Register-Model'!$17:$17,0),FALSE),"")</f>
        <v>Select From List</v>
      </c>
      <c r="G40" s="630" t="str">
        <f ca="1">IF(IFERROR(VLOOKUP($B40,'H-Risk Register-Model'!$A$17:$AI$953,MATCH(G$36,'H-Risk Register-Model'!$17:$17,0),FALSE),"")="","",IFERROR(VLOOKUP($B40,'H-Risk Register-Model'!$A$17:$AI$953,MATCH(G$36,'H-Risk Register-Model'!$17:$17,0),FALSE),""))</f>
        <v>High</v>
      </c>
      <c r="H40" s="630" t="str">
        <f ca="1">IF(IFERROR(VLOOKUP($B40,'H-Risk Register-Model'!$A$17:$AI$953,MATCH(H$36,'H-Risk Register-Model'!$17:$17,0),FALSE),"")="","",IFERROR(VLOOKUP($B40,'H-Risk Register-Model'!$A$17:$AI$953,MATCH(H$36,'H-Risk Register-Model'!$17:$17,0),FALSE),""))</f>
        <v>High</v>
      </c>
      <c r="I40" s="1049" t="str">
        <f ca="1">IF(IFERROR(VLOOKUP($B40,'H-Risk Register-Model'!$A$17:$AI$953,MATCH(I$37,'H-Risk Register-Model'!$17:$17,0),FALSE),"")="","",IFERROR(VLOOKUP($B40,'H-Risk Register-Model'!$A$17:$AI$953,MATCH(I$37,'H-Risk Register-Model'!$17:$17,0),FALSE),""))</f>
        <v>For Medium &amp; High Risk Items, the team needs to identify suggested risk reduction measures...Avoid, Escalate, Exploit, Transfer/Share, Mitigate/Enhance, or Accept.</v>
      </c>
      <c r="J40" s="1049"/>
      <c r="K40" s="1049"/>
      <c r="L40" s="1050"/>
      <c r="M40" s="326"/>
    </row>
    <row r="41" spans="1:13" x14ac:dyDescent="0.3">
      <c r="A41" s="320"/>
      <c r="B41" s="628" t="str">
        <f>IF('J-Sensitivity Charts'!M43="","",'J-Sensitivity Charts'!M43)</f>
        <v>N/A</v>
      </c>
      <c r="C41" s="695" t="str">
        <f>IFERROR(VLOOKUP($B41,'H-Risk Register-Model'!$A$17:$AI$953,MATCH(B$37,'H-Risk Register-Model'!$17:$17,0),FALSE),"")</f>
        <v/>
      </c>
      <c r="D41" s="629" t="str">
        <f>IFERROR(VLOOKUP($B41,'H-Risk Register-Model'!$A$17:$AI$953,MATCH(D$37,'H-Risk Register-Model'!$17:$17,0),FALSE),"")</f>
        <v/>
      </c>
      <c r="E41" s="696" t="str">
        <f>IFERROR(VLOOKUP($B41,'H-Risk Register-Model'!$A$17:$AI$953,MATCH(E$37,'H-Risk Register-Model'!$17:$17,0),FALSE),"")</f>
        <v/>
      </c>
      <c r="F41" s="697" t="str">
        <f>IFERROR(VLOOKUP($B41,'H-Risk Register-Model'!$A$17:$AI$953,MATCH(F$37,'H-Risk Register-Model'!$17:$17,0),FALSE),"")</f>
        <v/>
      </c>
      <c r="G41" s="630" t="str">
        <f>IF(IFERROR(VLOOKUP($B41,'H-Risk Register-Model'!$A$17:$AI$953,MATCH(G$36,'H-Risk Register-Model'!$17:$17,0),FALSE),"")="","",IFERROR(VLOOKUP($B41,'H-Risk Register-Model'!$A$17:$AI$953,MATCH(G$36,'H-Risk Register-Model'!$17:$17,0),FALSE),""))</f>
        <v/>
      </c>
      <c r="H41" s="630" t="str">
        <f>IF(IFERROR(VLOOKUP($B41,'H-Risk Register-Model'!$A$17:$AI$953,MATCH(H$36,'H-Risk Register-Model'!$17:$17,0),FALSE),"")="","",IFERROR(VLOOKUP($B41,'H-Risk Register-Model'!$A$17:$AI$953,MATCH(H$36,'H-Risk Register-Model'!$17:$17,0),FALSE),""))</f>
        <v/>
      </c>
      <c r="I41" s="1049" t="str">
        <f>IF(IFERROR(VLOOKUP($B41,'H-Risk Register-Model'!$A$17:$AI$953,MATCH(I$37,'H-Risk Register-Model'!$17:$17,0),FALSE),"")="","",IFERROR(VLOOKUP($B41,'H-Risk Register-Model'!$A$17:$AI$953,MATCH(I$37,'H-Risk Register-Model'!$17:$17,0),FALSE),""))</f>
        <v/>
      </c>
      <c r="J41" s="1049"/>
      <c r="K41" s="1049"/>
      <c r="L41" s="1050"/>
      <c r="M41" s="326"/>
    </row>
    <row r="42" spans="1:13" x14ac:dyDescent="0.3">
      <c r="A42" s="320"/>
      <c r="B42" s="628" t="str">
        <f>IF('J-Sensitivity Charts'!M44="","",'J-Sensitivity Charts'!M44)</f>
        <v>N/A</v>
      </c>
      <c r="C42" s="695" t="str">
        <f>IFERROR(VLOOKUP($B42,'H-Risk Register-Model'!$A$17:$AI$953,MATCH(B$37,'H-Risk Register-Model'!$17:$17,0),FALSE),"")</f>
        <v/>
      </c>
      <c r="D42" s="629" t="str">
        <f>IFERROR(VLOOKUP($B42,'H-Risk Register-Model'!$A$17:$AI$953,MATCH(D$37,'H-Risk Register-Model'!$17:$17,0),FALSE),"")</f>
        <v/>
      </c>
      <c r="E42" s="696" t="str">
        <f>IFERROR(VLOOKUP($B42,'H-Risk Register-Model'!$A$17:$AI$953,MATCH(E$37,'H-Risk Register-Model'!$17:$17,0),FALSE),"")</f>
        <v/>
      </c>
      <c r="F42" s="697" t="str">
        <f>IFERROR(VLOOKUP($B42,'H-Risk Register-Model'!$A$17:$AI$953,MATCH(F$37,'H-Risk Register-Model'!$17:$17,0),FALSE),"")</f>
        <v/>
      </c>
      <c r="G42" s="630" t="str">
        <f>IF(IFERROR(VLOOKUP($B42,'H-Risk Register-Model'!$A$17:$AI$953,MATCH(G$36,'H-Risk Register-Model'!$17:$17,0),FALSE),"")="","",IFERROR(VLOOKUP($B42,'H-Risk Register-Model'!$A$17:$AI$953,MATCH(G$36,'H-Risk Register-Model'!$17:$17,0),FALSE),""))</f>
        <v/>
      </c>
      <c r="H42" s="630" t="str">
        <f>IF(IFERROR(VLOOKUP($B42,'H-Risk Register-Model'!$A$17:$AI$953,MATCH(H$36,'H-Risk Register-Model'!$17:$17,0),FALSE),"")="","",IFERROR(VLOOKUP($B42,'H-Risk Register-Model'!$A$17:$AI$953,MATCH(H$36,'H-Risk Register-Model'!$17:$17,0),FALSE),""))</f>
        <v/>
      </c>
      <c r="I42" s="1049" t="str">
        <f>IF(IFERROR(VLOOKUP($B42,'H-Risk Register-Model'!$A$17:$AI$953,MATCH(I$37,'H-Risk Register-Model'!$17:$17,0),FALSE),"")="","",IFERROR(VLOOKUP($B42,'H-Risk Register-Model'!$A$17:$AI$953,MATCH(I$37,'H-Risk Register-Model'!$17:$17,0),FALSE),""))</f>
        <v/>
      </c>
      <c r="J42" s="1049"/>
      <c r="K42" s="1049"/>
      <c r="L42" s="1050"/>
      <c r="M42" s="326"/>
    </row>
    <row r="43" spans="1:13" x14ac:dyDescent="0.3">
      <c r="A43" s="320"/>
      <c r="B43" s="628" t="str">
        <f>IF('J-Sensitivity Charts'!M45="","",'J-Sensitivity Charts'!M45)</f>
        <v>N/A</v>
      </c>
      <c r="C43" s="695" t="str">
        <f>IFERROR(VLOOKUP($B43,'H-Risk Register-Model'!$A$17:$AI$953,MATCH(B$37,'H-Risk Register-Model'!$17:$17,0),FALSE),"")</f>
        <v/>
      </c>
      <c r="D43" s="629" t="str">
        <f>IFERROR(VLOOKUP($B43,'H-Risk Register-Model'!$A$17:$AI$953,MATCH(D$37,'H-Risk Register-Model'!$17:$17,0),FALSE),"")</f>
        <v/>
      </c>
      <c r="E43" s="696" t="str">
        <f>IFERROR(VLOOKUP($B43,'H-Risk Register-Model'!$A$17:$AI$953,MATCH(E$37,'H-Risk Register-Model'!$17:$17,0),FALSE),"")</f>
        <v/>
      </c>
      <c r="F43" s="697" t="str">
        <f>IFERROR(VLOOKUP($B43,'H-Risk Register-Model'!$A$17:$AI$953,MATCH(F$37,'H-Risk Register-Model'!$17:$17,0),FALSE),"")</f>
        <v/>
      </c>
      <c r="G43" s="630" t="str">
        <f>IF(IFERROR(VLOOKUP($B43,'H-Risk Register-Model'!$A$17:$AI$953,MATCH(G$36,'H-Risk Register-Model'!$17:$17,0),FALSE),"")="","",IFERROR(VLOOKUP($B43,'H-Risk Register-Model'!$A$17:$AI$953,MATCH(G$36,'H-Risk Register-Model'!$17:$17,0),FALSE),""))</f>
        <v/>
      </c>
      <c r="H43" s="630" t="str">
        <f>IF(IFERROR(VLOOKUP($B43,'H-Risk Register-Model'!$A$17:$AI$953,MATCH(H$36,'H-Risk Register-Model'!$17:$17,0),FALSE),"")="","",IFERROR(VLOOKUP($B43,'H-Risk Register-Model'!$A$17:$AI$953,MATCH(H$36,'H-Risk Register-Model'!$17:$17,0),FALSE),""))</f>
        <v/>
      </c>
      <c r="I43" s="1049" t="str">
        <f>IF(IFERROR(VLOOKUP($B43,'H-Risk Register-Model'!$A$17:$AI$953,MATCH(I$37,'H-Risk Register-Model'!$17:$17,0),FALSE),"")="","",IFERROR(VLOOKUP($B43,'H-Risk Register-Model'!$A$17:$AI$953,MATCH(I$37,'H-Risk Register-Model'!$17:$17,0),FALSE),""))</f>
        <v/>
      </c>
      <c r="J43" s="1049"/>
      <c r="K43" s="1049"/>
      <c r="L43" s="1050"/>
      <c r="M43" s="326"/>
    </row>
    <row r="44" spans="1:13" x14ac:dyDescent="0.3">
      <c r="A44" s="328"/>
      <c r="B44" s="628" t="str">
        <f>IF('J-Sensitivity Charts'!M46="","",'J-Sensitivity Charts'!M46)</f>
        <v>N/A</v>
      </c>
      <c r="C44" s="695" t="str">
        <f>IFERROR(VLOOKUP($B44,'H-Risk Register-Model'!$A$17:$AI$953,MATCH(B$37,'H-Risk Register-Model'!$17:$17,0),FALSE),"")</f>
        <v/>
      </c>
      <c r="D44" s="629" t="str">
        <f>IFERROR(VLOOKUP($B44,'H-Risk Register-Model'!$A$17:$AI$953,MATCH(D$37,'H-Risk Register-Model'!$17:$17,0),FALSE),"")</f>
        <v/>
      </c>
      <c r="E44" s="696" t="str">
        <f>IFERROR(VLOOKUP($B44,'H-Risk Register-Model'!$A$17:$AI$953,MATCH(E$37,'H-Risk Register-Model'!$17:$17,0),FALSE),"")</f>
        <v/>
      </c>
      <c r="F44" s="697" t="str">
        <f>IFERROR(VLOOKUP($B44,'H-Risk Register-Model'!$A$17:$AI$953,MATCH(F$37,'H-Risk Register-Model'!$17:$17,0),FALSE),"")</f>
        <v/>
      </c>
      <c r="G44" s="630" t="str">
        <f>IF(IFERROR(VLOOKUP($B44,'H-Risk Register-Model'!$A$17:$AI$953,MATCH(G$36,'H-Risk Register-Model'!$17:$17,0),FALSE),"")="","",IFERROR(VLOOKUP($B44,'H-Risk Register-Model'!$A$17:$AI$953,MATCH(G$36,'H-Risk Register-Model'!$17:$17,0),FALSE),""))</f>
        <v/>
      </c>
      <c r="H44" s="630" t="str">
        <f>IF(IFERROR(VLOOKUP($B44,'H-Risk Register-Model'!$A$17:$AI$953,MATCH(H$36,'H-Risk Register-Model'!$17:$17,0),FALSE),"")="","",IFERROR(VLOOKUP($B44,'H-Risk Register-Model'!$A$17:$AI$953,MATCH(H$36,'H-Risk Register-Model'!$17:$17,0),FALSE),""))</f>
        <v/>
      </c>
      <c r="I44" s="1049" t="str">
        <f>IF(IFERROR(VLOOKUP($B44,'H-Risk Register-Model'!$A$17:$AI$953,MATCH(I$37,'H-Risk Register-Model'!$17:$17,0),FALSE),"")="","",IFERROR(VLOOKUP($B44,'H-Risk Register-Model'!$A$17:$AI$953,MATCH(I$37,'H-Risk Register-Model'!$17:$17,0),FALSE),""))</f>
        <v/>
      </c>
      <c r="J44" s="1049"/>
      <c r="K44" s="1049"/>
      <c r="L44" s="1050"/>
      <c r="M44" s="326"/>
    </row>
    <row r="45" spans="1:13" x14ac:dyDescent="0.3">
      <c r="A45" s="320"/>
      <c r="B45" s="628" t="str">
        <f>IF('J-Sensitivity Charts'!M47="","",'J-Sensitivity Charts'!M47)</f>
        <v>N/A</v>
      </c>
      <c r="C45" s="695" t="str">
        <f>IFERROR(VLOOKUP($B45,'H-Risk Register-Model'!$A$17:$AI$953,MATCH(B$37,'H-Risk Register-Model'!$17:$17,0),FALSE),"")</f>
        <v/>
      </c>
      <c r="D45" s="629" t="str">
        <f>IFERROR(VLOOKUP($B45,'H-Risk Register-Model'!$A$17:$AI$953,MATCH(D$37,'H-Risk Register-Model'!$17:$17,0),FALSE),"")</f>
        <v/>
      </c>
      <c r="E45" s="696" t="str">
        <f>IFERROR(VLOOKUP($B45,'H-Risk Register-Model'!$A$17:$AI$953,MATCH(E$37,'H-Risk Register-Model'!$17:$17,0),FALSE),"")</f>
        <v/>
      </c>
      <c r="F45" s="697" t="str">
        <f>IFERROR(VLOOKUP($B45,'H-Risk Register-Model'!$A$17:$AI$953,MATCH(F$37,'H-Risk Register-Model'!$17:$17,0),FALSE),"")</f>
        <v/>
      </c>
      <c r="G45" s="630" t="str">
        <f>IF(IFERROR(VLOOKUP($B45,'H-Risk Register-Model'!$A$17:$AI$953,MATCH(G$36,'H-Risk Register-Model'!$17:$17,0),FALSE),"")="","",IFERROR(VLOOKUP($B45,'H-Risk Register-Model'!$A$17:$AI$953,MATCH(G$36,'H-Risk Register-Model'!$17:$17,0),FALSE),""))</f>
        <v/>
      </c>
      <c r="H45" s="630" t="str">
        <f>IF(IFERROR(VLOOKUP($B45,'H-Risk Register-Model'!$A$17:$AI$953,MATCH(H$36,'H-Risk Register-Model'!$17:$17,0),FALSE),"")="","",IFERROR(VLOOKUP($B45,'H-Risk Register-Model'!$A$17:$AI$953,MATCH(H$36,'H-Risk Register-Model'!$17:$17,0),FALSE),""))</f>
        <v/>
      </c>
      <c r="I45" s="1049" t="str">
        <f>IF(IFERROR(VLOOKUP($B45,'H-Risk Register-Model'!$A$17:$AI$953,MATCH(I$37,'H-Risk Register-Model'!$17:$17,0),FALSE),"")="","",IFERROR(VLOOKUP($B45,'H-Risk Register-Model'!$A$17:$AI$953,MATCH(I$37,'H-Risk Register-Model'!$17:$17,0),FALSE),""))</f>
        <v/>
      </c>
      <c r="J45" s="1049"/>
      <c r="K45" s="1049"/>
      <c r="L45" s="1050"/>
      <c r="M45" s="326"/>
    </row>
    <row r="46" spans="1:13" x14ac:dyDescent="0.3">
      <c r="A46" s="320"/>
      <c r="B46" s="628" t="str">
        <f>IF('J-Sensitivity Charts'!M48="","",'J-Sensitivity Charts'!M48)</f>
        <v>N/A</v>
      </c>
      <c r="C46" s="695" t="str">
        <f>IFERROR(VLOOKUP($B46,'H-Risk Register-Model'!$A$17:$AI$953,MATCH(B$37,'H-Risk Register-Model'!$17:$17,0),FALSE),"")</f>
        <v/>
      </c>
      <c r="D46" s="629" t="str">
        <f>IFERROR(VLOOKUP($B46,'H-Risk Register-Model'!$A$17:$AI$953,MATCH(D$37,'H-Risk Register-Model'!$17:$17,0),FALSE),"")</f>
        <v/>
      </c>
      <c r="E46" s="696" t="str">
        <f>IFERROR(VLOOKUP($B46,'H-Risk Register-Model'!$A$17:$AI$953,MATCH(E$37,'H-Risk Register-Model'!$17:$17,0),FALSE),"")</f>
        <v/>
      </c>
      <c r="F46" s="697" t="str">
        <f>IFERROR(VLOOKUP($B46,'H-Risk Register-Model'!$A$17:$AI$953,MATCH(F$37,'H-Risk Register-Model'!$17:$17,0),FALSE),"")</f>
        <v/>
      </c>
      <c r="G46" s="630" t="str">
        <f>IF(IFERROR(VLOOKUP($B46,'H-Risk Register-Model'!$A$17:$AI$953,MATCH(G$36,'H-Risk Register-Model'!$17:$17,0),FALSE),"")="","",IFERROR(VLOOKUP($B46,'H-Risk Register-Model'!$A$17:$AI$953,MATCH(G$36,'H-Risk Register-Model'!$17:$17,0),FALSE),""))</f>
        <v/>
      </c>
      <c r="H46" s="630" t="str">
        <f>IF(IFERROR(VLOOKUP($B46,'H-Risk Register-Model'!$A$17:$AI$953,MATCH(H$36,'H-Risk Register-Model'!$17:$17,0),FALSE),"")="","",IFERROR(VLOOKUP($B46,'H-Risk Register-Model'!$A$17:$AI$953,MATCH(H$36,'H-Risk Register-Model'!$17:$17,0),FALSE),""))</f>
        <v/>
      </c>
      <c r="I46" s="1049" t="str">
        <f>IF(IFERROR(VLOOKUP($B46,'H-Risk Register-Model'!$A$17:$AI$953,MATCH(I$37,'H-Risk Register-Model'!$17:$17,0),FALSE),"")="","",IFERROR(VLOOKUP($B46,'H-Risk Register-Model'!$A$17:$AI$953,MATCH(I$37,'H-Risk Register-Model'!$17:$17,0),FALSE),""))</f>
        <v/>
      </c>
      <c r="J46" s="1049"/>
      <c r="K46" s="1049"/>
      <c r="L46" s="1050"/>
      <c r="M46" s="326"/>
    </row>
    <row r="47" spans="1:13" x14ac:dyDescent="0.3">
      <c r="A47" s="320"/>
      <c r="B47" s="628" t="str">
        <f>IF('J-Sensitivity Charts'!M49="","",'J-Sensitivity Charts'!M49)</f>
        <v>N/A</v>
      </c>
      <c r="C47" s="695" t="str">
        <f>IFERROR(VLOOKUP($B47,'H-Risk Register-Model'!$A$17:$AI$953,MATCH(B$37,'H-Risk Register-Model'!$17:$17,0),FALSE),"")</f>
        <v/>
      </c>
      <c r="D47" s="629" t="str">
        <f>IFERROR(VLOOKUP($B47,'H-Risk Register-Model'!$A$17:$AI$953,MATCH(D$37,'H-Risk Register-Model'!$17:$17,0),FALSE),"")</f>
        <v/>
      </c>
      <c r="E47" s="696" t="str">
        <f>IFERROR(VLOOKUP($B47,'H-Risk Register-Model'!$A$17:$AI$953,MATCH(E$37,'H-Risk Register-Model'!$17:$17,0),FALSE),"")</f>
        <v/>
      </c>
      <c r="F47" s="697" t="str">
        <f>IFERROR(VLOOKUP($B47,'H-Risk Register-Model'!$A$17:$AI$953,MATCH(F$37,'H-Risk Register-Model'!$17:$17,0),FALSE),"")</f>
        <v/>
      </c>
      <c r="G47" s="630" t="str">
        <f>IF(IFERROR(VLOOKUP($B47,'H-Risk Register-Model'!$A$17:$AI$953,MATCH(G$36,'H-Risk Register-Model'!$17:$17,0),FALSE),"")="","",IFERROR(VLOOKUP($B47,'H-Risk Register-Model'!$A$17:$AI$953,MATCH(G$36,'H-Risk Register-Model'!$17:$17,0),FALSE),""))</f>
        <v/>
      </c>
      <c r="H47" s="630" t="str">
        <f>IF(IFERROR(VLOOKUP($B47,'H-Risk Register-Model'!$A$17:$AI$953,MATCH(H$36,'H-Risk Register-Model'!$17:$17,0),FALSE),"")="","",IFERROR(VLOOKUP($B47,'H-Risk Register-Model'!$A$17:$AI$953,MATCH(H$36,'H-Risk Register-Model'!$17:$17,0),FALSE),""))</f>
        <v/>
      </c>
      <c r="I47" s="1049" t="str">
        <f>IF(IFERROR(VLOOKUP($B47,'H-Risk Register-Model'!$A$17:$AI$953,MATCH(I$37,'H-Risk Register-Model'!$17:$17,0),FALSE),"")="","",IFERROR(VLOOKUP($B47,'H-Risk Register-Model'!$A$17:$AI$953,MATCH(I$37,'H-Risk Register-Model'!$17:$17,0),FALSE),""))</f>
        <v/>
      </c>
      <c r="J47" s="1049"/>
      <c r="K47" s="1049"/>
      <c r="L47" s="1050"/>
      <c r="M47" s="326"/>
    </row>
    <row r="48" spans="1:13" ht="15" thickBot="1" x14ac:dyDescent="0.35">
      <c r="A48" s="320"/>
      <c r="B48" s="331" t="str">
        <f>IF('J-Sensitivity Charts'!M50="","",'J-Sensitivity Charts'!M50)</f>
        <v>N/A</v>
      </c>
      <c r="C48" s="698" t="str">
        <f>IFERROR(VLOOKUP($B48,'H-Risk Register-Model'!$A$17:$AI$953,MATCH(B$37,'H-Risk Register-Model'!$17:$17,0),FALSE),"")</f>
        <v/>
      </c>
      <c r="D48" s="348" t="str">
        <f>IFERROR(VLOOKUP($B48,'H-Risk Register-Model'!$A$17:$AI$953,MATCH(D$37,'H-Risk Register-Model'!$17:$17,0),FALSE),"")</f>
        <v/>
      </c>
      <c r="E48" s="699" t="str">
        <f>IFERROR(VLOOKUP($B48,'H-Risk Register-Model'!$A$17:$AI$953,MATCH(E$37,'H-Risk Register-Model'!$17:$17,0),FALSE),"")</f>
        <v/>
      </c>
      <c r="F48" s="700" t="str">
        <f>IFERROR(VLOOKUP($B48,'H-Risk Register-Model'!$A$17:$AI$953,MATCH(F$37,'H-Risk Register-Model'!$17:$17,0),FALSE),"")</f>
        <v/>
      </c>
      <c r="G48" s="191" t="str">
        <f>IF(IFERROR(VLOOKUP($B48,'H-Risk Register-Model'!$A$17:$AI$953,MATCH(G$36,'H-Risk Register-Model'!$17:$17,0),FALSE),"")="","",IFERROR(VLOOKUP($B48,'H-Risk Register-Model'!$A$17:$AI$953,MATCH(G$36,'H-Risk Register-Model'!$17:$17,0),FALSE),""))</f>
        <v/>
      </c>
      <c r="H48" s="191" t="str">
        <f>IF(IFERROR(VLOOKUP($B48,'H-Risk Register-Model'!$A$17:$AI$953,MATCH(H$36,'H-Risk Register-Model'!$17:$17,0),FALSE),"")="","",IFERROR(VLOOKUP($B48,'H-Risk Register-Model'!$A$17:$AI$953,MATCH(H$36,'H-Risk Register-Model'!$17:$17,0),FALSE),""))</f>
        <v/>
      </c>
      <c r="I48" s="1051" t="str">
        <f>IF(IFERROR(VLOOKUP($B48,'H-Risk Register-Model'!$A$17:$AI$953,MATCH(I$37,'H-Risk Register-Model'!$17:$17,0),FALSE),"")="","",IFERROR(VLOOKUP($B48,'H-Risk Register-Model'!$A$17:$AI$953,MATCH(I$37,'H-Risk Register-Model'!$17:$17,0),FALSE),""))</f>
        <v/>
      </c>
      <c r="J48" s="1051"/>
      <c r="K48" s="1051"/>
      <c r="L48" s="1052"/>
      <c r="M48" s="326"/>
    </row>
    <row r="49" spans="1:13" x14ac:dyDescent="0.3">
      <c r="A49" s="319"/>
      <c r="B49" s="319"/>
      <c r="C49" s="319"/>
      <c r="D49" s="319"/>
      <c r="E49" s="319"/>
      <c r="F49" s="319"/>
      <c r="G49" s="319"/>
      <c r="H49" s="319"/>
      <c r="I49" s="319"/>
      <c r="J49" s="319"/>
      <c r="K49" s="319"/>
      <c r="L49" s="319"/>
      <c r="M49" s="319"/>
    </row>
  </sheetData>
  <mergeCells count="23">
    <mergeCell ref="I44:L44"/>
    <mergeCell ref="I45:L45"/>
    <mergeCell ref="I46:L46"/>
    <mergeCell ref="I47:L47"/>
    <mergeCell ref="I48:L48"/>
    <mergeCell ref="A1:M1"/>
    <mergeCell ref="I37:L38"/>
    <mergeCell ref="I39:L39"/>
    <mergeCell ref="I40:L40"/>
    <mergeCell ref="I41:L41"/>
    <mergeCell ref="K4:K9"/>
    <mergeCell ref="G8:I8"/>
    <mergeCell ref="G9:I9"/>
    <mergeCell ref="C3:E3"/>
    <mergeCell ref="C4:E4"/>
    <mergeCell ref="J3:K3"/>
    <mergeCell ref="I42:L42"/>
    <mergeCell ref="I43:L43"/>
    <mergeCell ref="B37:C38"/>
    <mergeCell ref="D37:D38"/>
    <mergeCell ref="E37:E38"/>
    <mergeCell ref="F37:F38"/>
    <mergeCell ref="G37:H37"/>
  </mergeCells>
  <conditionalFormatting sqref="G39:H48">
    <cfRule type="expression" dxfId="29" priority="1" stopIfTrue="1">
      <formula>LEFT(D39,3)="Cer"</formula>
    </cfRule>
    <cfRule type="expression" dxfId="28" priority="2" stopIfTrue="1">
      <formula>LEFT(G39,1)="H"</formula>
    </cfRule>
    <cfRule type="expression" dxfId="27" priority="3" stopIfTrue="1">
      <formula>LEFT(G39,1)="M"</formula>
    </cfRule>
    <cfRule type="expression" dxfId="26" priority="4" stopIfTrue="1">
      <formula>LEFT(G39,1)="L"</formula>
    </cfRule>
  </conditionalFormatting>
  <pageMargins left="0.25" right="0.25" top="0.25" bottom="0.5" header="0.25" footer="0.25"/>
  <pageSetup scale="50" fitToHeight="0" orientation="landscape" horizontalDpi="1200" verticalDpi="1200" r:id="rId1"/>
  <headerFooter>
    <oddFooter>&amp;CPage &amp;P of &amp;N</oddFooter>
  </headerFooter>
  <colBreaks count="1" manualBreakCount="1">
    <brk id="1" max="4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26"/>
  <sheetViews>
    <sheetView showGridLines="0" workbookViewId="0">
      <pane ySplit="2" topLeftCell="A3" activePane="bottomLeft" state="frozen"/>
      <selection pane="bottomLeft" activeCell="A3" sqref="A3"/>
    </sheetView>
  </sheetViews>
  <sheetFormatPr defaultRowHeight="14.4" x14ac:dyDescent="0.3"/>
  <cols>
    <col min="1" max="1" width="150.88671875" customWidth="1"/>
  </cols>
  <sheetData>
    <row r="1" spans="1:1" s="7" customFormat="1" ht="21" x14ac:dyDescent="0.4">
      <c r="A1" s="7" t="s">
        <v>898</v>
      </c>
    </row>
    <row r="3" spans="1:1" ht="15" thickBot="1" x14ac:dyDescent="0.35"/>
    <row r="4" spans="1:1" ht="15" thickBot="1" x14ac:dyDescent="0.35">
      <c r="A4" s="498" t="s">
        <v>1031</v>
      </c>
    </row>
    <row r="5" spans="1:1" x14ac:dyDescent="0.3">
      <c r="A5" s="355" t="str">
        <f ca="1">"Risk "&amp;'K1-Risk Dashboard (Cost)'!B39&amp;":  "&amp;'K1-Risk Dashboard (Cost)'!C39&amp;".  "&amp;'K1-Risk Dashboard (Cost)'!D39</f>
        <v>Risk 1:  Example Variation Risk of Relatively Known Quantities.  Example variation risk (such as quantity variation).</v>
      </c>
    </row>
    <row r="6" spans="1:1" x14ac:dyDescent="0.3">
      <c r="A6" s="356" t="str">
        <f>"Risk "&amp;'K1-Risk Dashboard (Cost)'!B40&amp;":  "&amp;'K1-Risk Dashboard (Cost)'!C40&amp;".  "&amp;'K1-Risk Dashboard (Cost)'!D40</f>
        <v>Risk 3:  Example Event Risk with Range of Costs.  Example event risk (may or may not happen).</v>
      </c>
    </row>
    <row r="7" spans="1:1" x14ac:dyDescent="0.3">
      <c r="A7" s="356" t="str">
        <f>"Risk "&amp;'K1-Risk Dashboard (Cost)'!B41&amp;":  "&amp;'K1-Risk Dashboard (Cost)'!C41&amp;".  "&amp;'K1-Risk Dashboard (Cost)'!D41</f>
        <v>Risk 2:  Example Variation Risk with Placeholder Costs.  Example variation risk on allowances for unknown scope.</v>
      </c>
    </row>
    <row r="8" spans="1:1" x14ac:dyDescent="0.3">
      <c r="A8" s="356" t="str">
        <f>"Risk "&amp;'K1-Risk Dashboard (Cost)'!B42&amp;":  "&amp;'K1-Risk Dashboard (Cost)'!C42&amp;".  "&amp;'K1-Risk Dashboard (Cost)'!D42</f>
        <v xml:space="preserve">Risk N/A:  .  </v>
      </c>
    </row>
    <row r="9" spans="1:1" x14ac:dyDescent="0.3">
      <c r="A9" s="356" t="str">
        <f>"Risk "&amp;'K1-Risk Dashboard (Cost)'!B43&amp;":  "&amp;'K1-Risk Dashboard (Cost)'!C43&amp;".  "&amp;'K1-Risk Dashboard (Cost)'!D43</f>
        <v xml:space="preserve">Risk N/A:  .  </v>
      </c>
    </row>
    <row r="10" spans="1:1" x14ac:dyDescent="0.3">
      <c r="A10" s="356" t="str">
        <f>"Risk "&amp;'K1-Risk Dashboard (Cost)'!B44&amp;":  "&amp;'K1-Risk Dashboard (Cost)'!C44&amp;".  "&amp;'K1-Risk Dashboard (Cost)'!D44</f>
        <v xml:space="preserve">Risk N/A:  .  </v>
      </c>
    </row>
    <row r="11" spans="1:1" x14ac:dyDescent="0.3">
      <c r="A11" s="356" t="str">
        <f>"Risk "&amp;'K1-Risk Dashboard (Cost)'!B45&amp;":  "&amp;'K1-Risk Dashboard (Cost)'!C45&amp;".  "&amp;'K1-Risk Dashboard (Cost)'!D45</f>
        <v xml:space="preserve">Risk N/A:  .  </v>
      </c>
    </row>
    <row r="12" spans="1:1" x14ac:dyDescent="0.3">
      <c r="A12" s="356" t="str">
        <f>"Risk "&amp;'K1-Risk Dashboard (Cost)'!B46&amp;":  "&amp;'K1-Risk Dashboard (Cost)'!C46&amp;".  "&amp;'K1-Risk Dashboard (Cost)'!D46</f>
        <v xml:space="preserve">Risk N/A:  .  </v>
      </c>
    </row>
    <row r="13" spans="1:1" x14ac:dyDescent="0.3">
      <c r="A13" s="356" t="str">
        <f>"Risk "&amp;'K1-Risk Dashboard (Cost)'!B47&amp;":  "&amp;'K1-Risk Dashboard (Cost)'!C47&amp;".  "&amp;'K1-Risk Dashboard (Cost)'!D47</f>
        <v xml:space="preserve">Risk N/A:  .  </v>
      </c>
    </row>
    <row r="14" spans="1:1" ht="15" thickBot="1" x14ac:dyDescent="0.35">
      <c r="A14" s="357" t="str">
        <f>"Risk "&amp;'K1-Risk Dashboard (Cost)'!B48&amp;":  "&amp;'K1-Risk Dashboard (Cost)'!C48&amp;".  "&amp;'K1-Risk Dashboard (Cost)'!D48</f>
        <v xml:space="preserve">Risk N/A:  .  </v>
      </c>
    </row>
    <row r="15" spans="1:1" ht="15" thickBot="1" x14ac:dyDescent="0.35"/>
    <row r="16" spans="1:1" ht="15" thickBot="1" x14ac:dyDescent="0.35">
      <c r="A16" s="498" t="s">
        <v>1032</v>
      </c>
    </row>
    <row r="17" spans="1:1" x14ac:dyDescent="0.3">
      <c r="A17" s="355" t="str">
        <f>"Risk "&amp;'K2-Risk Dashboard (Schedule)'!B39&amp;":  "&amp;'K2-Risk Dashboard (Schedule)'!C39&amp;".  "&amp;'K2-Risk Dashboard (Schedule)'!D39</f>
        <v>Risk 3:  Example Event Risk with Range of Costs.  Example event risk (may or may not happen).</v>
      </c>
    </row>
    <row r="18" spans="1:1" x14ac:dyDescent="0.3">
      <c r="A18" s="356" t="str">
        <f ca="1">"Risk "&amp;'K2-Risk Dashboard (Schedule)'!B40&amp;":  "&amp;'K2-Risk Dashboard (Schedule)'!C40&amp;".  "&amp;'K2-Risk Dashboard (Schedule)'!D40</f>
        <v>Risk 1:  Example Variation Risk of Relatively Known Quantities.  Example variation risk (such as quantity variation).</v>
      </c>
    </row>
    <row r="19" spans="1:1" x14ac:dyDescent="0.3">
      <c r="A19" s="356" t="str">
        <f>"Risk "&amp;'K2-Risk Dashboard (Schedule)'!B41&amp;":  "&amp;'K2-Risk Dashboard (Schedule)'!C41&amp;".  "&amp;'K2-Risk Dashboard (Schedule)'!D41</f>
        <v xml:space="preserve">Risk N/A:  .  </v>
      </c>
    </row>
    <row r="20" spans="1:1" x14ac:dyDescent="0.3">
      <c r="A20" s="356" t="str">
        <f>"Risk "&amp;'K2-Risk Dashboard (Schedule)'!B42&amp;":  "&amp;'K2-Risk Dashboard (Schedule)'!C42&amp;".  "&amp;'K2-Risk Dashboard (Schedule)'!D42</f>
        <v xml:space="preserve">Risk N/A:  .  </v>
      </c>
    </row>
    <row r="21" spans="1:1" x14ac:dyDescent="0.3">
      <c r="A21" s="356" t="str">
        <f>"Risk "&amp;'K2-Risk Dashboard (Schedule)'!B43&amp;":  "&amp;'K2-Risk Dashboard (Schedule)'!C43&amp;".  "&amp;'K2-Risk Dashboard (Schedule)'!D43</f>
        <v xml:space="preserve">Risk N/A:  .  </v>
      </c>
    </row>
    <row r="22" spans="1:1" x14ac:dyDescent="0.3">
      <c r="A22" s="356" t="str">
        <f>"Risk "&amp;'K2-Risk Dashboard (Schedule)'!B44&amp;":  "&amp;'K2-Risk Dashboard (Schedule)'!C44&amp;".  "&amp;'K2-Risk Dashboard (Schedule)'!D44</f>
        <v xml:space="preserve">Risk N/A:  .  </v>
      </c>
    </row>
    <row r="23" spans="1:1" x14ac:dyDescent="0.3">
      <c r="A23" s="356" t="str">
        <f>"Risk "&amp;'K2-Risk Dashboard (Schedule)'!B45&amp;":  "&amp;'K2-Risk Dashboard (Schedule)'!C45&amp;".  "&amp;'K2-Risk Dashboard (Schedule)'!D45</f>
        <v xml:space="preserve">Risk N/A:  .  </v>
      </c>
    </row>
    <row r="24" spans="1:1" x14ac:dyDescent="0.3">
      <c r="A24" s="356" t="str">
        <f>"Risk "&amp;'K2-Risk Dashboard (Schedule)'!B46&amp;":  "&amp;'K2-Risk Dashboard (Schedule)'!C46&amp;".  "&amp;'K2-Risk Dashboard (Schedule)'!D46</f>
        <v xml:space="preserve">Risk N/A:  .  </v>
      </c>
    </row>
    <row r="25" spans="1:1" x14ac:dyDescent="0.3">
      <c r="A25" s="356" t="str">
        <f>"Risk "&amp;'K2-Risk Dashboard (Schedule)'!B47&amp;":  "&amp;'K2-Risk Dashboard (Schedule)'!C47&amp;".  "&amp;'K2-Risk Dashboard (Schedule)'!D47</f>
        <v xml:space="preserve">Risk N/A:  .  </v>
      </c>
    </row>
    <row r="26" spans="1:1" ht="15" thickBot="1" x14ac:dyDescent="0.35">
      <c r="A26" s="357" t="str">
        <f>"Risk "&amp;'K2-Risk Dashboard (Schedule)'!B48&amp;":  "&amp;'K2-Risk Dashboard (Schedule)'!C48&amp;".  "&amp;'K2-Risk Dashboard (Schedule)'!D48</f>
        <v xml:space="preserve">Risk N/A:  .  </v>
      </c>
    </row>
  </sheetData>
  <pageMargins left="0.25" right="0.25" top="0.25" bottom="0.5" header="0.25" footer="0.25"/>
  <pageSetup scale="85" fitToHeight="0" orientation="portrait" horizontalDpi="1200" verticalDpi="1200" r:id="rId1"/>
  <headerFoot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L101"/>
  <sheetViews>
    <sheetView showGridLines="0" zoomScaleNormal="100" workbookViewId="0">
      <pane ySplit="4" topLeftCell="A5" activePane="bottomLeft" state="frozen"/>
      <selection activeCell="A3" sqref="A3"/>
      <selection pane="bottomLeft" activeCell="A5" sqref="A5"/>
    </sheetView>
  </sheetViews>
  <sheetFormatPr defaultColWidth="8.88671875" defaultRowHeight="14.4" x14ac:dyDescent="0.3"/>
  <cols>
    <col min="1" max="1" width="2.5546875" customWidth="1"/>
    <col min="2" max="4" width="17.44140625" style="83" customWidth="1"/>
    <col min="5" max="5" width="20.44140625" style="83" customWidth="1"/>
    <col min="6" max="6" width="19.5546875" style="83" bestFit="1" customWidth="1"/>
    <col min="7" max="7" width="30.5546875" style="83" customWidth="1"/>
    <col min="8" max="8" width="35.5546875" style="83" customWidth="1"/>
    <col min="9" max="9" width="50.88671875" style="83" customWidth="1"/>
    <col min="10" max="10" width="51.5546875" style="83" customWidth="1"/>
    <col min="11" max="12" width="81.5546875" customWidth="1"/>
  </cols>
  <sheetData>
    <row r="1" spans="1:12" x14ac:dyDescent="0.3">
      <c r="A1" s="851" t="s">
        <v>1007</v>
      </c>
      <c r="B1" s="852"/>
      <c r="C1" s="852"/>
      <c r="D1" s="852"/>
      <c r="E1" s="852"/>
      <c r="F1" s="852"/>
      <c r="G1" s="852"/>
      <c r="H1" s="852"/>
      <c r="I1" s="852"/>
      <c r="J1" s="852"/>
    </row>
    <row r="2" spans="1:12" ht="15" thickBot="1" x14ac:dyDescent="0.35">
      <c r="A2" s="349"/>
      <c r="B2" s="353"/>
      <c r="C2" s="353"/>
      <c r="D2" s="353"/>
      <c r="E2" s="353"/>
      <c r="F2" s="353"/>
      <c r="G2" s="353"/>
      <c r="H2" s="353"/>
      <c r="I2" s="353"/>
      <c r="J2" s="353"/>
      <c r="K2" s="353"/>
      <c r="L2" s="353"/>
    </row>
    <row r="3" spans="1:12" x14ac:dyDescent="0.3">
      <c r="A3" s="349"/>
      <c r="B3" s="808" t="s">
        <v>1003</v>
      </c>
      <c r="C3" s="809" t="s">
        <v>1375</v>
      </c>
      <c r="D3" s="809" t="s">
        <v>719</v>
      </c>
      <c r="E3" s="809" t="s">
        <v>710</v>
      </c>
      <c r="F3" s="809" t="s">
        <v>1006</v>
      </c>
      <c r="G3" s="809" t="s">
        <v>1005</v>
      </c>
      <c r="H3" s="809" t="s">
        <v>816</v>
      </c>
      <c r="I3" s="809" t="s">
        <v>827</v>
      </c>
      <c r="J3" s="809" t="s">
        <v>1004</v>
      </c>
      <c r="K3" s="809" t="s">
        <v>1374</v>
      </c>
      <c r="L3" s="810" t="s">
        <v>1373</v>
      </c>
    </row>
    <row r="4" spans="1:12" x14ac:dyDescent="0.3">
      <c r="A4" s="349"/>
      <c r="B4" s="811" t="s">
        <v>1003</v>
      </c>
      <c r="C4" s="657" t="s">
        <v>1375</v>
      </c>
      <c r="D4" s="657" t="s">
        <v>1002</v>
      </c>
      <c r="E4" s="657" t="s">
        <v>710</v>
      </c>
      <c r="F4" s="657" t="s">
        <v>1001</v>
      </c>
      <c r="G4" s="657" t="s">
        <v>1000</v>
      </c>
      <c r="H4" s="657" t="s">
        <v>999</v>
      </c>
      <c r="I4" s="657" t="s">
        <v>482</v>
      </c>
      <c r="J4" s="657" t="s">
        <v>998</v>
      </c>
      <c r="K4" s="657" t="s">
        <v>1376</v>
      </c>
      <c r="L4" s="654" t="s">
        <v>1377</v>
      </c>
    </row>
    <row r="5" spans="1:12" x14ac:dyDescent="0.3">
      <c r="A5" s="349"/>
      <c r="B5" s="628" t="s">
        <v>997</v>
      </c>
      <c r="C5" s="793" t="s">
        <v>1371</v>
      </c>
      <c r="D5" s="793" t="s">
        <v>716</v>
      </c>
      <c r="E5" s="793" t="s">
        <v>730</v>
      </c>
      <c r="F5" s="794" t="s">
        <v>747</v>
      </c>
      <c r="G5" s="794" t="s">
        <v>747</v>
      </c>
      <c r="H5" s="794" t="s">
        <v>747</v>
      </c>
      <c r="I5" s="795" t="s">
        <v>747</v>
      </c>
      <c r="J5" s="796" t="s">
        <v>995</v>
      </c>
      <c r="K5" s="797" t="s">
        <v>1008</v>
      </c>
      <c r="L5" s="812" t="s">
        <v>1380</v>
      </c>
    </row>
    <row r="6" spans="1:12" x14ac:dyDescent="0.3">
      <c r="A6" s="349"/>
      <c r="B6" s="813" t="s">
        <v>35</v>
      </c>
      <c r="C6" s="794" t="s">
        <v>931</v>
      </c>
      <c r="D6" s="794" t="s">
        <v>715</v>
      </c>
      <c r="E6" s="794" t="s">
        <v>729</v>
      </c>
      <c r="F6" s="794" t="s">
        <v>750</v>
      </c>
      <c r="G6" s="794" t="s">
        <v>765</v>
      </c>
      <c r="H6" s="794" t="s">
        <v>996</v>
      </c>
      <c r="I6" s="795" t="s">
        <v>762</v>
      </c>
      <c r="J6" s="796" t="s">
        <v>992</v>
      </c>
      <c r="K6" s="797" t="s">
        <v>1009</v>
      </c>
      <c r="L6" s="812" t="s">
        <v>1381</v>
      </c>
    </row>
    <row r="7" spans="1:12" x14ac:dyDescent="0.3">
      <c r="A7" s="349"/>
      <c r="B7" s="814"/>
      <c r="C7" s="798"/>
      <c r="D7" s="794" t="s">
        <v>714</v>
      </c>
      <c r="E7" s="794" t="s">
        <v>728</v>
      </c>
      <c r="F7" s="794" t="s">
        <v>1254</v>
      </c>
      <c r="G7" s="794" t="s">
        <v>760</v>
      </c>
      <c r="H7" s="799" t="s">
        <v>993</v>
      </c>
      <c r="I7" s="795" t="s">
        <v>755</v>
      </c>
      <c r="J7" s="796" t="s">
        <v>989</v>
      </c>
      <c r="K7" s="797" t="s">
        <v>1010</v>
      </c>
      <c r="L7" s="812" t="s">
        <v>670</v>
      </c>
    </row>
    <row r="8" spans="1:12" x14ac:dyDescent="0.3">
      <c r="A8" s="349"/>
      <c r="B8" s="814"/>
      <c r="C8" s="798"/>
      <c r="D8" s="794" t="s">
        <v>713</v>
      </c>
      <c r="E8" s="794" t="s">
        <v>727</v>
      </c>
      <c r="F8" s="794" t="s">
        <v>1255</v>
      </c>
      <c r="G8" s="794" t="s">
        <v>756</v>
      </c>
      <c r="H8" s="794" t="s">
        <v>990</v>
      </c>
      <c r="I8" s="795" t="s">
        <v>986</v>
      </c>
      <c r="J8" s="796" t="s">
        <v>1099</v>
      </c>
      <c r="K8" s="797" t="s">
        <v>1011</v>
      </c>
      <c r="L8" s="815" t="s">
        <v>930</v>
      </c>
    </row>
    <row r="9" spans="1:12" x14ac:dyDescent="0.3">
      <c r="A9" s="349"/>
      <c r="B9" s="814"/>
      <c r="C9" s="798"/>
      <c r="D9" s="794" t="s">
        <v>712</v>
      </c>
      <c r="E9" s="794" t="s">
        <v>726</v>
      </c>
      <c r="F9" s="794" t="s">
        <v>1256</v>
      </c>
      <c r="G9" s="794" t="s">
        <v>987</v>
      </c>
      <c r="H9" s="794" t="s">
        <v>748</v>
      </c>
      <c r="I9" s="795" t="s">
        <v>759</v>
      </c>
      <c r="J9" s="796" t="s">
        <v>1100</v>
      </c>
      <c r="K9" s="797" t="s">
        <v>1012</v>
      </c>
      <c r="L9" s="815" t="s">
        <v>929</v>
      </c>
    </row>
    <row r="10" spans="1:12" x14ac:dyDescent="0.3">
      <c r="A10" s="349"/>
      <c r="B10" s="814"/>
      <c r="C10" s="798"/>
      <c r="D10" s="794" t="s">
        <v>983</v>
      </c>
      <c r="E10" s="798"/>
      <c r="F10" s="794" t="s">
        <v>757</v>
      </c>
      <c r="G10" s="794" t="s">
        <v>749</v>
      </c>
      <c r="H10" s="794" t="s">
        <v>830</v>
      </c>
      <c r="I10" s="795" t="s">
        <v>777</v>
      </c>
      <c r="J10" s="796" t="s">
        <v>984</v>
      </c>
      <c r="K10" s="797" t="s">
        <v>1013</v>
      </c>
      <c r="L10" s="815" t="s">
        <v>928</v>
      </c>
    </row>
    <row r="11" spans="1:12" x14ac:dyDescent="0.3">
      <c r="A11" s="349"/>
      <c r="B11" s="814"/>
      <c r="C11" s="798"/>
      <c r="D11" s="798"/>
      <c r="E11" s="798"/>
      <c r="F11" s="794" t="s">
        <v>985</v>
      </c>
      <c r="G11" s="794" t="s">
        <v>754</v>
      </c>
      <c r="H11" s="794" t="s">
        <v>753</v>
      </c>
      <c r="I11" s="795" t="s">
        <v>978</v>
      </c>
      <c r="J11" s="796" t="s">
        <v>981</v>
      </c>
      <c r="K11" s="797" t="s">
        <v>1014</v>
      </c>
      <c r="L11" s="815" t="s">
        <v>927</v>
      </c>
    </row>
    <row r="12" spans="1:12" x14ac:dyDescent="0.3">
      <c r="A12" s="349"/>
      <c r="B12" s="814"/>
      <c r="C12" s="798"/>
      <c r="D12" s="798"/>
      <c r="E12" s="798"/>
      <c r="F12" s="794" t="s">
        <v>951</v>
      </c>
      <c r="G12" s="794" t="s">
        <v>776</v>
      </c>
      <c r="H12" s="794" t="s">
        <v>979</v>
      </c>
      <c r="I12" s="795" t="s">
        <v>752</v>
      </c>
      <c r="J12" s="796" t="s">
        <v>977</v>
      </c>
      <c r="K12" s="797" t="s">
        <v>1015</v>
      </c>
      <c r="L12" s="815" t="s">
        <v>926</v>
      </c>
    </row>
    <row r="13" spans="1:12" x14ac:dyDescent="0.3">
      <c r="A13" s="349"/>
      <c r="B13" s="814"/>
      <c r="C13" s="798"/>
      <c r="D13" s="798"/>
      <c r="E13" s="798"/>
      <c r="F13" s="794" t="s">
        <v>994</v>
      </c>
      <c r="G13" s="794" t="s">
        <v>763</v>
      </c>
      <c r="H13" s="794" t="s">
        <v>750</v>
      </c>
      <c r="I13" s="795" t="s">
        <v>973</v>
      </c>
      <c r="J13" s="796" t="s">
        <v>975</v>
      </c>
      <c r="K13" s="797" t="s">
        <v>1017</v>
      </c>
      <c r="L13" s="812" t="s">
        <v>669</v>
      </c>
    </row>
    <row r="14" spans="1:12" x14ac:dyDescent="0.3">
      <c r="A14" s="349"/>
      <c r="B14" s="814"/>
      <c r="C14" s="798"/>
      <c r="D14" s="798"/>
      <c r="E14" s="798"/>
      <c r="F14" s="794" t="s">
        <v>991</v>
      </c>
      <c r="G14" s="794" t="s">
        <v>772</v>
      </c>
      <c r="H14" s="798"/>
      <c r="I14" s="795" t="s">
        <v>970</v>
      </c>
      <c r="J14" s="796" t="s">
        <v>972</v>
      </c>
      <c r="K14" s="797" t="s">
        <v>1016</v>
      </c>
      <c r="L14" s="815" t="s">
        <v>925</v>
      </c>
    </row>
    <row r="15" spans="1:12" x14ac:dyDescent="0.3">
      <c r="A15" s="349"/>
      <c r="B15" s="814"/>
      <c r="C15" s="798"/>
      <c r="D15" s="798"/>
      <c r="E15" s="798"/>
      <c r="F15" s="794" t="s">
        <v>988</v>
      </c>
      <c r="G15" s="794" t="s">
        <v>770</v>
      </c>
      <c r="H15" s="798"/>
      <c r="I15" s="795" t="s">
        <v>967</v>
      </c>
      <c r="J15" s="796" t="s">
        <v>641</v>
      </c>
      <c r="K15" s="797" t="s">
        <v>1018</v>
      </c>
      <c r="L15" s="815" t="s">
        <v>924</v>
      </c>
    </row>
    <row r="16" spans="1:12" x14ac:dyDescent="0.3">
      <c r="A16" s="349"/>
      <c r="B16" s="814"/>
      <c r="C16" s="798"/>
      <c r="D16" s="798"/>
      <c r="E16" s="798"/>
      <c r="F16" s="794" t="s">
        <v>982</v>
      </c>
      <c r="G16" s="794" t="s">
        <v>968</v>
      </c>
      <c r="H16" s="798"/>
      <c r="I16" s="795" t="s">
        <v>766</v>
      </c>
      <c r="J16" s="796" t="s">
        <v>966</v>
      </c>
      <c r="K16" s="797" t="s">
        <v>1019</v>
      </c>
      <c r="L16" s="815" t="s">
        <v>923</v>
      </c>
    </row>
    <row r="17" spans="1:12" x14ac:dyDescent="0.3">
      <c r="A17" s="349"/>
      <c r="B17" s="814"/>
      <c r="C17" s="798"/>
      <c r="D17" s="798"/>
      <c r="E17" s="798"/>
      <c r="F17" s="794" t="s">
        <v>980</v>
      </c>
      <c r="G17" s="794" t="s">
        <v>773</v>
      </c>
      <c r="H17" s="800"/>
      <c r="I17" s="795" t="s">
        <v>767</v>
      </c>
      <c r="J17" s="796" t="s">
        <v>964</v>
      </c>
      <c r="K17" s="797" t="s">
        <v>1020</v>
      </c>
      <c r="L17" s="812" t="s">
        <v>668</v>
      </c>
    </row>
    <row r="18" spans="1:12" x14ac:dyDescent="0.3">
      <c r="A18" s="349"/>
      <c r="B18" s="814"/>
      <c r="C18" s="798"/>
      <c r="D18" s="798"/>
      <c r="E18" s="798"/>
      <c r="F18" s="794" t="s">
        <v>976</v>
      </c>
      <c r="G18" s="801" t="s">
        <v>962</v>
      </c>
      <c r="H18" s="800"/>
      <c r="I18" s="795" t="s">
        <v>758</v>
      </c>
      <c r="J18" s="796" t="s">
        <v>961</v>
      </c>
      <c r="K18" s="797" t="s">
        <v>1021</v>
      </c>
      <c r="L18" s="815" t="s">
        <v>922</v>
      </c>
    </row>
    <row r="19" spans="1:12" x14ac:dyDescent="0.3">
      <c r="A19" s="349"/>
      <c r="B19" s="816"/>
      <c r="C19" s="802"/>
      <c r="D19" s="802"/>
      <c r="E19" s="802"/>
      <c r="F19" s="794" t="s">
        <v>974</v>
      </c>
      <c r="G19" s="799" t="s">
        <v>959</v>
      </c>
      <c r="H19" s="800"/>
      <c r="I19" s="795" t="s">
        <v>751</v>
      </c>
      <c r="J19" s="796" t="s">
        <v>958</v>
      </c>
      <c r="K19" s="797" t="s">
        <v>1022</v>
      </c>
      <c r="L19" s="815" t="s">
        <v>921</v>
      </c>
    </row>
    <row r="20" spans="1:12" x14ac:dyDescent="0.3">
      <c r="A20" s="349"/>
      <c r="B20" s="816"/>
      <c r="C20" s="802"/>
      <c r="D20" s="802"/>
      <c r="E20" s="802"/>
      <c r="F20" s="794" t="s">
        <v>971</v>
      </c>
      <c r="G20" s="794" t="s">
        <v>956</v>
      </c>
      <c r="H20" s="800"/>
      <c r="I20" s="795" t="s">
        <v>775</v>
      </c>
      <c r="J20" s="803"/>
      <c r="K20" s="797" t="s">
        <v>1023</v>
      </c>
      <c r="L20" s="812" t="s">
        <v>667</v>
      </c>
    </row>
    <row r="21" spans="1:12" x14ac:dyDescent="0.3">
      <c r="A21" s="349"/>
      <c r="B21" s="816"/>
      <c r="C21" s="802"/>
      <c r="D21" s="802"/>
      <c r="E21" s="802"/>
      <c r="F21" s="794" t="s">
        <v>969</v>
      </c>
      <c r="G21" s="794" t="s">
        <v>761</v>
      </c>
      <c r="H21" s="798"/>
      <c r="I21" s="795" t="s">
        <v>774</v>
      </c>
      <c r="J21" s="803"/>
      <c r="K21" s="797" t="s">
        <v>1024</v>
      </c>
      <c r="L21" s="815" t="s">
        <v>920</v>
      </c>
    </row>
    <row r="22" spans="1:12" x14ac:dyDescent="0.3">
      <c r="A22" s="349"/>
      <c r="B22" s="816"/>
      <c r="C22" s="802"/>
      <c r="D22" s="802"/>
      <c r="E22" s="802"/>
      <c r="F22" s="794" t="s">
        <v>965</v>
      </c>
      <c r="G22" s="799" t="s">
        <v>656</v>
      </c>
      <c r="H22" s="798"/>
      <c r="I22" s="795" t="s">
        <v>952</v>
      </c>
      <c r="J22" s="803"/>
      <c r="K22" s="797" t="s">
        <v>1025</v>
      </c>
      <c r="L22" s="815" t="s">
        <v>919</v>
      </c>
    </row>
    <row r="23" spans="1:12" x14ac:dyDescent="0.3">
      <c r="A23" s="349"/>
      <c r="B23" s="814"/>
      <c r="C23" s="798"/>
      <c r="D23" s="798"/>
      <c r="E23" s="798"/>
      <c r="F23" s="794" t="s">
        <v>963</v>
      </c>
      <c r="G23" s="794" t="s">
        <v>771</v>
      </c>
      <c r="H23" s="798"/>
      <c r="I23" s="795" t="s">
        <v>949</v>
      </c>
      <c r="J23" s="803"/>
      <c r="K23" s="797" t="s">
        <v>1026</v>
      </c>
      <c r="L23" s="815" t="s">
        <v>918</v>
      </c>
    </row>
    <row r="24" spans="1:12" x14ac:dyDescent="0.3">
      <c r="A24" s="349"/>
      <c r="B24" s="814"/>
      <c r="C24" s="798"/>
      <c r="D24" s="798"/>
      <c r="E24" s="798"/>
      <c r="F24" s="794" t="s">
        <v>960</v>
      </c>
      <c r="G24" s="794" t="s">
        <v>950</v>
      </c>
      <c r="H24" s="798"/>
      <c r="I24" s="795" t="s">
        <v>768</v>
      </c>
      <c r="J24" s="803"/>
      <c r="K24" s="797" t="s">
        <v>1027</v>
      </c>
      <c r="L24" s="815" t="s">
        <v>917</v>
      </c>
    </row>
    <row r="25" spans="1:12" x14ac:dyDescent="0.3">
      <c r="A25" s="349"/>
      <c r="B25" s="814"/>
      <c r="C25" s="798"/>
      <c r="D25" s="798"/>
      <c r="E25" s="798"/>
      <c r="F25" s="794" t="s">
        <v>957</v>
      </c>
      <c r="G25" s="794" t="s">
        <v>698</v>
      </c>
      <c r="H25" s="798"/>
      <c r="I25" s="795" t="s">
        <v>947</v>
      </c>
      <c r="J25" s="804"/>
      <c r="K25" s="797" t="s">
        <v>1028</v>
      </c>
      <c r="L25" s="815" t="s">
        <v>916</v>
      </c>
    </row>
    <row r="26" spans="1:12" x14ac:dyDescent="0.3">
      <c r="A26" s="349"/>
      <c r="B26" s="814"/>
      <c r="C26" s="798"/>
      <c r="D26" s="798"/>
      <c r="E26" s="798"/>
      <c r="F26" s="794" t="s">
        <v>955</v>
      </c>
      <c r="G26" s="798"/>
      <c r="H26" s="798"/>
      <c r="I26" s="795" t="s">
        <v>769</v>
      </c>
      <c r="J26" s="804"/>
      <c r="K26" s="805" t="s">
        <v>1029</v>
      </c>
      <c r="L26" s="815" t="s">
        <v>915</v>
      </c>
    </row>
    <row r="27" spans="1:12" x14ac:dyDescent="0.3">
      <c r="A27" s="349"/>
      <c r="B27" s="814"/>
      <c r="C27" s="798"/>
      <c r="D27" s="798"/>
      <c r="E27" s="798"/>
      <c r="F27" s="794" t="s">
        <v>954</v>
      </c>
      <c r="G27" s="798"/>
      <c r="H27" s="798"/>
      <c r="I27" s="795" t="s">
        <v>945</v>
      </c>
      <c r="J27" s="803"/>
      <c r="K27" s="805" t="s">
        <v>1030</v>
      </c>
      <c r="L27" s="815" t="s">
        <v>914</v>
      </c>
    </row>
    <row r="28" spans="1:12" x14ac:dyDescent="0.3">
      <c r="A28" s="349"/>
      <c r="B28" s="814"/>
      <c r="C28" s="798"/>
      <c r="D28" s="798"/>
      <c r="E28" s="798"/>
      <c r="F28" s="794" t="s">
        <v>953</v>
      </c>
      <c r="G28" s="798"/>
      <c r="H28" s="798"/>
      <c r="I28" s="795" t="s">
        <v>943</v>
      </c>
      <c r="J28" s="803"/>
      <c r="K28" s="806" t="s">
        <v>660</v>
      </c>
      <c r="L28" s="815" t="s">
        <v>913</v>
      </c>
    </row>
    <row r="29" spans="1:12" x14ac:dyDescent="0.3">
      <c r="A29" s="349"/>
      <c r="B29" s="817"/>
      <c r="C29" s="803"/>
      <c r="D29" s="803"/>
      <c r="E29" s="803"/>
      <c r="F29" s="794" t="s">
        <v>948</v>
      </c>
      <c r="G29" s="803"/>
      <c r="H29" s="803"/>
      <c r="I29" s="795" t="s">
        <v>942</v>
      </c>
      <c r="J29" s="803"/>
      <c r="K29" s="806" t="s">
        <v>659</v>
      </c>
      <c r="L29" s="812" t="s">
        <v>666</v>
      </c>
    </row>
    <row r="30" spans="1:12" x14ac:dyDescent="0.3">
      <c r="B30" s="817"/>
      <c r="C30" s="803"/>
      <c r="D30" s="803"/>
      <c r="E30" s="803"/>
      <c r="F30" s="794" t="s">
        <v>946</v>
      </c>
      <c r="G30" s="803"/>
      <c r="H30" s="803"/>
      <c r="I30" s="795" t="s">
        <v>941</v>
      </c>
      <c r="J30" s="803"/>
      <c r="K30" s="806" t="s">
        <v>901</v>
      </c>
      <c r="L30" s="815" t="s">
        <v>912</v>
      </c>
    </row>
    <row r="31" spans="1:12" x14ac:dyDescent="0.3">
      <c r="B31" s="817"/>
      <c r="C31" s="803"/>
      <c r="D31" s="803"/>
      <c r="E31" s="803"/>
      <c r="F31" s="794" t="s">
        <v>944</v>
      </c>
      <c r="G31" s="803"/>
      <c r="H31" s="803"/>
      <c r="I31" s="795" t="s">
        <v>940</v>
      </c>
      <c r="J31" s="803"/>
      <c r="K31" s="806" t="s">
        <v>900</v>
      </c>
      <c r="L31" s="815" t="s">
        <v>911</v>
      </c>
    </row>
    <row r="32" spans="1:12" x14ac:dyDescent="0.3">
      <c r="B32" s="817"/>
      <c r="C32" s="803"/>
      <c r="D32" s="803"/>
      <c r="E32" s="803"/>
      <c r="F32" s="803"/>
      <c r="G32" s="803"/>
      <c r="H32" s="803"/>
      <c r="I32" s="795" t="s">
        <v>939</v>
      </c>
      <c r="J32" s="803"/>
      <c r="K32" s="806" t="s">
        <v>899</v>
      </c>
      <c r="L32" s="812" t="s">
        <v>664</v>
      </c>
    </row>
    <row r="33" spans="2:12" x14ac:dyDescent="0.3">
      <c r="B33" s="817"/>
      <c r="C33" s="803"/>
      <c r="D33" s="803"/>
      <c r="E33" s="803"/>
      <c r="F33" s="803"/>
      <c r="G33" s="803"/>
      <c r="H33" s="803"/>
      <c r="I33" s="795" t="s">
        <v>938</v>
      </c>
      <c r="J33" s="803"/>
      <c r="K33" s="806" t="s">
        <v>662</v>
      </c>
      <c r="L33" s="815" t="s">
        <v>910</v>
      </c>
    </row>
    <row r="34" spans="2:12" x14ac:dyDescent="0.3">
      <c r="B34" s="817"/>
      <c r="C34" s="803"/>
      <c r="D34" s="803"/>
      <c r="E34" s="803"/>
      <c r="F34" s="803"/>
      <c r="G34" s="803"/>
      <c r="H34" s="803"/>
      <c r="I34" s="795" t="s">
        <v>937</v>
      </c>
      <c r="J34" s="803"/>
      <c r="K34" s="806" t="s">
        <v>661</v>
      </c>
      <c r="L34" s="815" t="s">
        <v>909</v>
      </c>
    </row>
    <row r="35" spans="2:12" x14ac:dyDescent="0.3">
      <c r="B35" s="817"/>
      <c r="C35" s="803"/>
      <c r="D35" s="803"/>
      <c r="E35" s="803"/>
      <c r="F35" s="803"/>
      <c r="G35" s="803"/>
      <c r="H35" s="803"/>
      <c r="I35" s="795" t="s">
        <v>936</v>
      </c>
      <c r="J35" s="803"/>
      <c r="K35" s="803"/>
      <c r="L35" s="815" t="s">
        <v>908</v>
      </c>
    </row>
    <row r="36" spans="2:12" x14ac:dyDescent="0.3">
      <c r="B36" s="817"/>
      <c r="C36" s="803"/>
      <c r="D36" s="803"/>
      <c r="E36" s="803"/>
      <c r="F36" s="803"/>
      <c r="G36" s="803"/>
      <c r="H36" s="803"/>
      <c r="I36" s="795" t="s">
        <v>935</v>
      </c>
      <c r="J36" s="803"/>
      <c r="K36" s="803"/>
      <c r="L36" s="818" t="s">
        <v>663</v>
      </c>
    </row>
    <row r="37" spans="2:12" x14ac:dyDescent="0.3">
      <c r="B37" s="817"/>
      <c r="C37" s="803"/>
      <c r="D37" s="803"/>
      <c r="E37" s="803"/>
      <c r="F37" s="803"/>
      <c r="G37" s="803"/>
      <c r="H37" s="803"/>
      <c r="I37" s="795" t="s">
        <v>934</v>
      </c>
      <c r="J37" s="803"/>
      <c r="K37" s="803"/>
      <c r="L37" s="815" t="s">
        <v>907</v>
      </c>
    </row>
    <row r="38" spans="2:12" x14ac:dyDescent="0.3">
      <c r="B38" s="817"/>
      <c r="C38" s="803"/>
      <c r="D38" s="803"/>
      <c r="E38" s="803"/>
      <c r="F38" s="803"/>
      <c r="G38" s="803"/>
      <c r="H38" s="803"/>
      <c r="I38" s="795" t="s">
        <v>764</v>
      </c>
      <c r="J38" s="803"/>
      <c r="K38" s="803"/>
      <c r="L38" s="815" t="s">
        <v>906</v>
      </c>
    </row>
    <row r="39" spans="2:12" x14ac:dyDescent="0.3">
      <c r="B39" s="817"/>
      <c r="C39" s="803"/>
      <c r="D39" s="803"/>
      <c r="E39" s="803"/>
      <c r="F39" s="803"/>
      <c r="G39" s="803"/>
      <c r="H39" s="803"/>
      <c r="I39" s="795" t="s">
        <v>933</v>
      </c>
      <c r="J39" s="803"/>
      <c r="K39" s="803"/>
      <c r="L39" s="815" t="s">
        <v>905</v>
      </c>
    </row>
    <row r="40" spans="2:12" x14ac:dyDescent="0.3">
      <c r="B40" s="817"/>
      <c r="C40" s="803"/>
      <c r="D40" s="803"/>
      <c r="E40" s="803"/>
      <c r="F40" s="803"/>
      <c r="G40" s="803"/>
      <c r="H40" s="803"/>
      <c r="I40" s="807" t="s">
        <v>932</v>
      </c>
      <c r="J40" s="803"/>
      <c r="K40" s="803"/>
      <c r="L40" s="815" t="s">
        <v>904</v>
      </c>
    </row>
    <row r="41" spans="2:12" x14ac:dyDescent="0.3">
      <c r="B41" s="817"/>
      <c r="C41" s="803"/>
      <c r="D41" s="803"/>
      <c r="E41" s="803"/>
      <c r="F41" s="803"/>
      <c r="G41" s="803"/>
      <c r="H41" s="803"/>
      <c r="I41" s="803"/>
      <c r="J41" s="803"/>
      <c r="K41" s="803"/>
      <c r="L41" s="815" t="s">
        <v>903</v>
      </c>
    </row>
    <row r="42" spans="2:12" x14ac:dyDescent="0.3">
      <c r="B42" s="817"/>
      <c r="C42" s="803"/>
      <c r="D42" s="803"/>
      <c r="E42" s="803"/>
      <c r="F42" s="803"/>
      <c r="G42" s="803"/>
      <c r="H42" s="803"/>
      <c r="I42" s="803"/>
      <c r="J42" s="803"/>
      <c r="K42" s="803"/>
      <c r="L42" s="815" t="s">
        <v>902</v>
      </c>
    </row>
    <row r="43" spans="2:12" x14ac:dyDescent="0.3">
      <c r="B43" s="817"/>
      <c r="C43" s="803"/>
      <c r="D43" s="803"/>
      <c r="E43" s="803"/>
      <c r="F43" s="803"/>
      <c r="G43" s="803"/>
      <c r="H43" s="803"/>
      <c r="I43" s="803"/>
      <c r="J43" s="803"/>
      <c r="K43" s="803"/>
      <c r="L43" s="774" t="s">
        <v>660</v>
      </c>
    </row>
    <row r="44" spans="2:12" x14ac:dyDescent="0.3">
      <c r="B44" s="817"/>
      <c r="C44" s="803"/>
      <c r="D44" s="803"/>
      <c r="E44" s="803"/>
      <c r="F44" s="803"/>
      <c r="G44" s="803"/>
      <c r="H44" s="803"/>
      <c r="I44" s="803"/>
      <c r="J44" s="803"/>
      <c r="K44" s="803"/>
      <c r="L44" s="774" t="s">
        <v>659</v>
      </c>
    </row>
    <row r="45" spans="2:12" x14ac:dyDescent="0.3">
      <c r="B45" s="817"/>
      <c r="C45" s="803"/>
      <c r="D45" s="803"/>
      <c r="E45" s="803"/>
      <c r="F45" s="803"/>
      <c r="G45" s="803"/>
      <c r="H45" s="803"/>
      <c r="I45" s="803"/>
      <c r="J45" s="803"/>
      <c r="K45" s="803"/>
      <c r="L45" s="774" t="s">
        <v>901</v>
      </c>
    </row>
    <row r="46" spans="2:12" x14ac:dyDescent="0.3">
      <c r="B46" s="817"/>
      <c r="C46" s="803"/>
      <c r="D46" s="803"/>
      <c r="E46" s="803"/>
      <c r="F46" s="803"/>
      <c r="G46" s="803"/>
      <c r="H46" s="803"/>
      <c r="I46" s="803"/>
      <c r="J46" s="803"/>
      <c r="K46" s="803"/>
      <c r="L46" s="774" t="s">
        <v>900</v>
      </c>
    </row>
    <row r="47" spans="2:12" x14ac:dyDescent="0.3">
      <c r="B47" s="817"/>
      <c r="C47" s="803"/>
      <c r="D47" s="803"/>
      <c r="E47" s="803"/>
      <c r="F47" s="803"/>
      <c r="G47" s="803"/>
      <c r="H47" s="803"/>
      <c r="I47" s="803"/>
      <c r="J47" s="803"/>
      <c r="K47" s="803"/>
      <c r="L47" s="774" t="s">
        <v>899</v>
      </c>
    </row>
    <row r="48" spans="2:12" x14ac:dyDescent="0.3">
      <c r="B48" s="817"/>
      <c r="C48" s="803"/>
      <c r="D48" s="803"/>
      <c r="E48" s="803"/>
      <c r="F48" s="803"/>
      <c r="G48" s="803"/>
      <c r="H48" s="803"/>
      <c r="I48" s="803"/>
      <c r="J48" s="803"/>
      <c r="K48" s="803"/>
      <c r="L48" s="774" t="s">
        <v>662</v>
      </c>
    </row>
    <row r="49" spans="2:12" x14ac:dyDescent="0.3">
      <c r="B49" s="817"/>
      <c r="C49" s="803"/>
      <c r="D49" s="803"/>
      <c r="E49" s="803"/>
      <c r="F49" s="803"/>
      <c r="G49" s="803"/>
      <c r="H49" s="803"/>
      <c r="I49" s="803"/>
      <c r="J49" s="803"/>
      <c r="K49" s="803"/>
      <c r="L49" s="774" t="s">
        <v>661</v>
      </c>
    </row>
    <row r="50" spans="2:12" x14ac:dyDescent="0.3">
      <c r="B50" s="817"/>
      <c r="C50" s="803"/>
      <c r="D50" s="803"/>
      <c r="E50" s="803"/>
      <c r="F50" s="803"/>
      <c r="G50" s="803"/>
      <c r="H50" s="803"/>
      <c r="I50" s="803"/>
      <c r="J50" s="803"/>
      <c r="K50" s="803"/>
      <c r="L50" s="819"/>
    </row>
    <row r="51" spans="2:12" x14ac:dyDescent="0.3">
      <c r="B51" s="817"/>
      <c r="C51" s="803"/>
      <c r="D51" s="803"/>
      <c r="E51" s="803"/>
      <c r="F51" s="803"/>
      <c r="G51" s="803"/>
      <c r="H51" s="803"/>
      <c r="I51" s="803"/>
      <c r="J51" s="803"/>
      <c r="K51" s="803"/>
      <c r="L51" s="819"/>
    </row>
    <row r="52" spans="2:12" x14ac:dyDescent="0.3">
      <c r="B52" s="817"/>
      <c r="C52" s="803"/>
      <c r="D52" s="803"/>
      <c r="E52" s="803"/>
      <c r="F52" s="803"/>
      <c r="G52" s="803"/>
      <c r="H52" s="803"/>
      <c r="I52" s="803"/>
      <c r="J52" s="803"/>
      <c r="K52" s="803"/>
      <c r="L52" s="819"/>
    </row>
    <row r="53" spans="2:12" x14ac:dyDescent="0.3">
      <c r="B53" s="817"/>
      <c r="C53" s="803"/>
      <c r="D53" s="803"/>
      <c r="E53" s="803"/>
      <c r="F53" s="803"/>
      <c r="G53" s="803"/>
      <c r="H53" s="803"/>
      <c r="I53" s="803"/>
      <c r="J53" s="803"/>
      <c r="K53" s="803"/>
      <c r="L53" s="819"/>
    </row>
    <row r="54" spans="2:12" x14ac:dyDescent="0.3">
      <c r="B54" s="817"/>
      <c r="C54" s="803"/>
      <c r="D54" s="803"/>
      <c r="E54" s="803"/>
      <c r="F54" s="803"/>
      <c r="G54" s="803"/>
      <c r="H54" s="803"/>
      <c r="I54" s="803"/>
      <c r="J54" s="803"/>
      <c r="K54" s="803"/>
      <c r="L54" s="819"/>
    </row>
    <row r="55" spans="2:12" x14ac:dyDescent="0.3">
      <c r="B55" s="817"/>
      <c r="C55" s="803"/>
      <c r="D55" s="803"/>
      <c r="E55" s="803"/>
      <c r="F55" s="803"/>
      <c r="G55" s="803"/>
      <c r="H55" s="803"/>
      <c r="I55" s="803"/>
      <c r="J55" s="803"/>
      <c r="K55" s="803"/>
      <c r="L55" s="819"/>
    </row>
    <row r="56" spans="2:12" x14ac:dyDescent="0.3">
      <c r="B56" s="817"/>
      <c r="C56" s="803"/>
      <c r="D56" s="803"/>
      <c r="E56" s="803"/>
      <c r="F56" s="803"/>
      <c r="G56" s="803"/>
      <c r="H56" s="803"/>
      <c r="I56" s="803"/>
      <c r="J56" s="803"/>
      <c r="K56" s="803"/>
      <c r="L56" s="819"/>
    </row>
    <row r="57" spans="2:12" x14ac:dyDescent="0.3">
      <c r="B57" s="817"/>
      <c r="C57" s="803"/>
      <c r="D57" s="803"/>
      <c r="E57" s="803"/>
      <c r="F57" s="803"/>
      <c r="G57" s="803"/>
      <c r="H57" s="803"/>
      <c r="I57" s="803"/>
      <c r="J57" s="803"/>
      <c r="K57" s="803"/>
      <c r="L57" s="819"/>
    </row>
    <row r="58" spans="2:12" x14ac:dyDescent="0.3">
      <c r="B58" s="817"/>
      <c r="C58" s="803"/>
      <c r="D58" s="803"/>
      <c r="E58" s="803"/>
      <c r="F58" s="803"/>
      <c r="G58" s="803"/>
      <c r="H58" s="803"/>
      <c r="I58" s="803"/>
      <c r="J58" s="803"/>
      <c r="K58" s="803"/>
      <c r="L58" s="819"/>
    </row>
    <row r="59" spans="2:12" x14ac:dyDescent="0.3">
      <c r="B59" s="817"/>
      <c r="C59" s="803"/>
      <c r="D59" s="803"/>
      <c r="E59" s="803"/>
      <c r="F59" s="803"/>
      <c r="G59" s="803"/>
      <c r="H59" s="803"/>
      <c r="I59" s="803"/>
      <c r="J59" s="803"/>
      <c r="K59" s="803"/>
      <c r="L59" s="819"/>
    </row>
    <row r="60" spans="2:12" x14ac:dyDescent="0.3">
      <c r="B60" s="817"/>
      <c r="C60" s="803"/>
      <c r="D60" s="803"/>
      <c r="E60" s="803"/>
      <c r="F60" s="803"/>
      <c r="G60" s="803"/>
      <c r="H60" s="803"/>
      <c r="I60" s="803"/>
      <c r="J60" s="803"/>
      <c r="K60" s="803"/>
      <c r="L60" s="819"/>
    </row>
    <row r="61" spans="2:12" x14ac:dyDescent="0.3">
      <c r="B61" s="817"/>
      <c r="C61" s="803"/>
      <c r="D61" s="803"/>
      <c r="E61" s="803"/>
      <c r="F61" s="803"/>
      <c r="G61" s="803"/>
      <c r="H61" s="803"/>
      <c r="I61" s="803"/>
      <c r="J61" s="803"/>
      <c r="K61" s="803"/>
      <c r="L61" s="819"/>
    </row>
    <row r="62" spans="2:12" x14ac:dyDescent="0.3">
      <c r="B62" s="817"/>
      <c r="C62" s="803"/>
      <c r="D62" s="803"/>
      <c r="E62" s="803"/>
      <c r="F62" s="803"/>
      <c r="G62" s="803"/>
      <c r="H62" s="803"/>
      <c r="I62" s="803"/>
      <c r="J62" s="803"/>
      <c r="K62" s="803"/>
      <c r="L62" s="819"/>
    </row>
    <row r="63" spans="2:12" x14ac:dyDescent="0.3">
      <c r="B63" s="817"/>
      <c r="C63" s="803"/>
      <c r="D63" s="803"/>
      <c r="E63" s="803"/>
      <c r="F63" s="803"/>
      <c r="G63" s="803"/>
      <c r="H63" s="803"/>
      <c r="I63" s="803"/>
      <c r="J63" s="803"/>
      <c r="K63" s="803"/>
      <c r="L63" s="819"/>
    </row>
    <row r="64" spans="2:12" x14ac:dyDescent="0.3">
      <c r="B64" s="817"/>
      <c r="C64" s="803"/>
      <c r="D64" s="803"/>
      <c r="E64" s="803"/>
      <c r="F64" s="803"/>
      <c r="G64" s="803"/>
      <c r="H64" s="803"/>
      <c r="I64" s="803"/>
      <c r="J64" s="803"/>
      <c r="K64" s="803"/>
      <c r="L64" s="819"/>
    </row>
    <row r="65" spans="2:12" x14ac:dyDescent="0.3">
      <c r="B65" s="817"/>
      <c r="C65" s="803"/>
      <c r="D65" s="803"/>
      <c r="E65" s="803"/>
      <c r="F65" s="803"/>
      <c r="G65" s="803"/>
      <c r="H65" s="803"/>
      <c r="I65" s="803"/>
      <c r="J65" s="803"/>
      <c r="K65" s="803"/>
      <c r="L65" s="819"/>
    </row>
    <row r="66" spans="2:12" x14ac:dyDescent="0.3">
      <c r="B66" s="817"/>
      <c r="C66" s="803"/>
      <c r="D66" s="803"/>
      <c r="E66" s="803"/>
      <c r="F66" s="803"/>
      <c r="G66" s="803"/>
      <c r="H66" s="803"/>
      <c r="I66" s="803"/>
      <c r="J66" s="803"/>
      <c r="K66" s="803"/>
      <c r="L66" s="819"/>
    </row>
    <row r="67" spans="2:12" x14ac:dyDescent="0.3">
      <c r="B67" s="817"/>
      <c r="C67" s="803"/>
      <c r="D67" s="803"/>
      <c r="E67" s="803"/>
      <c r="F67" s="803"/>
      <c r="G67" s="803"/>
      <c r="H67" s="803"/>
      <c r="I67" s="803"/>
      <c r="J67" s="803"/>
      <c r="K67" s="803"/>
      <c r="L67" s="819"/>
    </row>
    <row r="68" spans="2:12" x14ac:dyDescent="0.3">
      <c r="B68" s="817"/>
      <c r="C68" s="803"/>
      <c r="D68" s="803"/>
      <c r="E68" s="803"/>
      <c r="F68" s="803"/>
      <c r="G68" s="803"/>
      <c r="H68" s="803"/>
      <c r="I68" s="803"/>
      <c r="J68" s="803"/>
      <c r="K68" s="803"/>
      <c r="L68" s="819"/>
    </row>
    <row r="69" spans="2:12" x14ac:dyDescent="0.3">
      <c r="B69" s="817"/>
      <c r="C69" s="803"/>
      <c r="D69" s="803"/>
      <c r="E69" s="803"/>
      <c r="F69" s="803"/>
      <c r="G69" s="803"/>
      <c r="H69" s="803"/>
      <c r="I69" s="803"/>
      <c r="J69" s="803"/>
      <c r="K69" s="803"/>
      <c r="L69" s="819"/>
    </row>
    <row r="70" spans="2:12" x14ac:dyDescent="0.3">
      <c r="B70" s="817"/>
      <c r="C70" s="803"/>
      <c r="D70" s="803"/>
      <c r="E70" s="803"/>
      <c r="F70" s="803"/>
      <c r="G70" s="803"/>
      <c r="H70" s="803"/>
      <c r="I70" s="803"/>
      <c r="J70" s="803"/>
      <c r="K70" s="803"/>
      <c r="L70" s="819"/>
    </row>
    <row r="71" spans="2:12" x14ac:dyDescent="0.3">
      <c r="B71" s="817"/>
      <c r="C71" s="803"/>
      <c r="D71" s="803"/>
      <c r="E71" s="803"/>
      <c r="F71" s="803"/>
      <c r="G71" s="803"/>
      <c r="H71" s="803"/>
      <c r="I71" s="803"/>
      <c r="J71" s="803"/>
      <c r="K71" s="803"/>
      <c r="L71" s="819"/>
    </row>
    <row r="72" spans="2:12" x14ac:dyDescent="0.3">
      <c r="B72" s="817"/>
      <c r="C72" s="803"/>
      <c r="D72" s="803"/>
      <c r="E72" s="803"/>
      <c r="F72" s="803"/>
      <c r="G72" s="803"/>
      <c r="H72" s="803"/>
      <c r="I72" s="803"/>
      <c r="J72" s="803"/>
      <c r="K72" s="803"/>
      <c r="L72" s="819"/>
    </row>
    <row r="73" spans="2:12" x14ac:dyDescent="0.3">
      <c r="B73" s="817"/>
      <c r="C73" s="803"/>
      <c r="D73" s="803"/>
      <c r="E73" s="803"/>
      <c r="F73" s="803"/>
      <c r="G73" s="803"/>
      <c r="H73" s="803"/>
      <c r="I73" s="803"/>
      <c r="J73" s="803"/>
      <c r="K73" s="803"/>
      <c r="L73" s="819"/>
    </row>
    <row r="74" spans="2:12" x14ac:dyDescent="0.3">
      <c r="B74" s="817"/>
      <c r="C74" s="803"/>
      <c r="D74" s="803"/>
      <c r="E74" s="803"/>
      <c r="F74" s="803"/>
      <c r="G74" s="803"/>
      <c r="H74" s="803"/>
      <c r="I74" s="803"/>
      <c r="J74" s="803"/>
      <c r="K74" s="803"/>
      <c r="L74" s="819"/>
    </row>
    <row r="75" spans="2:12" x14ac:dyDescent="0.3">
      <c r="B75" s="817"/>
      <c r="C75" s="803"/>
      <c r="D75" s="803"/>
      <c r="E75" s="803"/>
      <c r="F75" s="803"/>
      <c r="G75" s="803"/>
      <c r="H75" s="803"/>
      <c r="I75" s="803"/>
      <c r="J75" s="803"/>
      <c r="K75" s="803"/>
      <c r="L75" s="819"/>
    </row>
    <row r="76" spans="2:12" x14ac:dyDescent="0.3">
      <c r="B76" s="817"/>
      <c r="C76" s="803"/>
      <c r="D76" s="803"/>
      <c r="E76" s="803"/>
      <c r="F76" s="803"/>
      <c r="G76" s="803"/>
      <c r="H76" s="803"/>
      <c r="I76" s="803"/>
      <c r="J76" s="803"/>
      <c r="K76" s="803"/>
      <c r="L76" s="819"/>
    </row>
    <row r="77" spans="2:12" x14ac:dyDescent="0.3">
      <c r="B77" s="817"/>
      <c r="C77" s="803"/>
      <c r="D77" s="803"/>
      <c r="E77" s="803"/>
      <c r="F77" s="803"/>
      <c r="G77" s="803"/>
      <c r="H77" s="803"/>
      <c r="I77" s="803"/>
      <c r="J77" s="803"/>
      <c r="K77" s="803"/>
      <c r="L77" s="819"/>
    </row>
    <row r="78" spans="2:12" x14ac:dyDescent="0.3">
      <c r="B78" s="817"/>
      <c r="C78" s="803"/>
      <c r="D78" s="803"/>
      <c r="E78" s="803"/>
      <c r="F78" s="803"/>
      <c r="G78" s="803"/>
      <c r="H78" s="803"/>
      <c r="I78" s="803"/>
      <c r="J78" s="803"/>
      <c r="K78" s="803"/>
      <c r="L78" s="819"/>
    </row>
    <row r="79" spans="2:12" x14ac:dyDescent="0.3">
      <c r="B79" s="817"/>
      <c r="C79" s="803"/>
      <c r="D79" s="803"/>
      <c r="E79" s="803"/>
      <c r="F79" s="803"/>
      <c r="G79" s="803"/>
      <c r="H79" s="803"/>
      <c r="I79" s="803"/>
      <c r="J79" s="803"/>
      <c r="K79" s="803"/>
      <c r="L79" s="819"/>
    </row>
    <row r="80" spans="2:12" x14ac:dyDescent="0.3">
      <c r="B80" s="817"/>
      <c r="C80" s="803"/>
      <c r="D80" s="803"/>
      <c r="E80" s="803"/>
      <c r="F80" s="803"/>
      <c r="G80" s="803"/>
      <c r="H80" s="803"/>
      <c r="I80" s="803"/>
      <c r="J80" s="803"/>
      <c r="K80" s="803"/>
      <c r="L80" s="819"/>
    </row>
    <row r="81" spans="2:12" x14ac:dyDescent="0.3">
      <c r="B81" s="817"/>
      <c r="C81" s="803"/>
      <c r="D81" s="803"/>
      <c r="E81" s="803"/>
      <c r="F81" s="803"/>
      <c r="G81" s="803"/>
      <c r="H81" s="803"/>
      <c r="I81" s="803"/>
      <c r="J81" s="803"/>
      <c r="K81" s="803"/>
      <c r="L81" s="819"/>
    </row>
    <row r="82" spans="2:12" x14ac:dyDescent="0.3">
      <c r="B82" s="817"/>
      <c r="C82" s="803"/>
      <c r="D82" s="803"/>
      <c r="E82" s="803"/>
      <c r="F82" s="803"/>
      <c r="G82" s="803"/>
      <c r="H82" s="803"/>
      <c r="I82" s="803"/>
      <c r="J82" s="803"/>
      <c r="K82" s="803"/>
      <c r="L82" s="819"/>
    </row>
    <row r="83" spans="2:12" x14ac:dyDescent="0.3">
      <c r="B83" s="817"/>
      <c r="C83" s="803"/>
      <c r="D83" s="803"/>
      <c r="E83" s="803"/>
      <c r="F83" s="803"/>
      <c r="G83" s="803"/>
      <c r="H83" s="803"/>
      <c r="I83" s="803"/>
      <c r="J83" s="803"/>
      <c r="K83" s="803"/>
      <c r="L83" s="819"/>
    </row>
    <row r="84" spans="2:12" x14ac:dyDescent="0.3">
      <c r="B84" s="817"/>
      <c r="C84" s="803"/>
      <c r="D84" s="803"/>
      <c r="E84" s="803"/>
      <c r="F84" s="803"/>
      <c r="G84" s="803"/>
      <c r="H84" s="803"/>
      <c r="I84" s="803"/>
      <c r="J84" s="803"/>
      <c r="K84" s="803"/>
      <c r="L84" s="819"/>
    </row>
    <row r="85" spans="2:12" x14ac:dyDescent="0.3">
      <c r="B85" s="817"/>
      <c r="C85" s="803"/>
      <c r="D85" s="803"/>
      <c r="E85" s="803"/>
      <c r="F85" s="803"/>
      <c r="G85" s="803"/>
      <c r="H85" s="803"/>
      <c r="I85" s="803"/>
      <c r="J85" s="803"/>
      <c r="K85" s="803"/>
      <c r="L85" s="819"/>
    </row>
    <row r="86" spans="2:12" x14ac:dyDescent="0.3">
      <c r="B86" s="817"/>
      <c r="C86" s="803"/>
      <c r="D86" s="803"/>
      <c r="E86" s="803"/>
      <c r="F86" s="803"/>
      <c r="G86" s="803"/>
      <c r="H86" s="803"/>
      <c r="I86" s="803"/>
      <c r="J86" s="803"/>
      <c r="K86" s="803"/>
      <c r="L86" s="819"/>
    </row>
    <row r="87" spans="2:12" x14ac:dyDescent="0.3">
      <c r="B87" s="817"/>
      <c r="C87" s="803"/>
      <c r="D87" s="803"/>
      <c r="E87" s="803"/>
      <c r="F87" s="803"/>
      <c r="G87" s="803"/>
      <c r="H87" s="803"/>
      <c r="I87" s="803"/>
      <c r="J87" s="803"/>
      <c r="K87" s="803"/>
      <c r="L87" s="819"/>
    </row>
    <row r="88" spans="2:12" x14ac:dyDescent="0.3">
      <c r="B88" s="817"/>
      <c r="C88" s="803"/>
      <c r="D88" s="803"/>
      <c r="E88" s="803"/>
      <c r="F88" s="803"/>
      <c r="G88" s="803"/>
      <c r="H88" s="803"/>
      <c r="I88" s="803"/>
      <c r="J88" s="803"/>
      <c r="K88" s="803"/>
      <c r="L88" s="819"/>
    </row>
    <row r="89" spans="2:12" x14ac:dyDescent="0.3">
      <c r="B89" s="817"/>
      <c r="C89" s="803"/>
      <c r="D89" s="803"/>
      <c r="E89" s="803"/>
      <c r="F89" s="803"/>
      <c r="G89" s="803"/>
      <c r="H89" s="803"/>
      <c r="I89" s="803"/>
      <c r="J89" s="803"/>
      <c r="K89" s="803"/>
      <c r="L89" s="819"/>
    </row>
    <row r="90" spans="2:12" x14ac:dyDescent="0.3">
      <c r="B90" s="817"/>
      <c r="C90" s="803"/>
      <c r="D90" s="803"/>
      <c r="E90" s="803"/>
      <c r="F90" s="803"/>
      <c r="G90" s="803"/>
      <c r="H90" s="803"/>
      <c r="I90" s="803"/>
      <c r="J90" s="803"/>
      <c r="K90" s="803"/>
      <c r="L90" s="819"/>
    </row>
    <row r="91" spans="2:12" x14ac:dyDescent="0.3">
      <c r="B91" s="817"/>
      <c r="C91" s="803"/>
      <c r="D91" s="803"/>
      <c r="E91" s="803"/>
      <c r="F91" s="803"/>
      <c r="G91" s="803"/>
      <c r="H91" s="803"/>
      <c r="I91" s="803"/>
      <c r="J91" s="803"/>
      <c r="K91" s="803"/>
      <c r="L91" s="819"/>
    </row>
    <row r="92" spans="2:12" x14ac:dyDescent="0.3">
      <c r="B92" s="817"/>
      <c r="C92" s="803"/>
      <c r="D92" s="803"/>
      <c r="E92" s="803"/>
      <c r="F92" s="803"/>
      <c r="G92" s="803"/>
      <c r="H92" s="803"/>
      <c r="I92" s="803"/>
      <c r="J92" s="803"/>
      <c r="K92" s="803"/>
      <c r="L92" s="819"/>
    </row>
    <row r="93" spans="2:12" x14ac:dyDescent="0.3">
      <c r="B93" s="817"/>
      <c r="C93" s="803"/>
      <c r="D93" s="803"/>
      <c r="E93" s="803"/>
      <c r="F93" s="803"/>
      <c r="G93" s="803"/>
      <c r="H93" s="803"/>
      <c r="I93" s="803"/>
      <c r="J93" s="803"/>
      <c r="K93" s="803"/>
      <c r="L93" s="819"/>
    </row>
    <row r="94" spans="2:12" x14ac:dyDescent="0.3">
      <c r="B94" s="817"/>
      <c r="C94" s="803"/>
      <c r="D94" s="803"/>
      <c r="E94" s="803"/>
      <c r="F94" s="803"/>
      <c r="G94" s="803"/>
      <c r="H94" s="803"/>
      <c r="I94" s="803"/>
      <c r="J94" s="803"/>
      <c r="K94" s="803"/>
      <c r="L94" s="819"/>
    </row>
    <row r="95" spans="2:12" x14ac:dyDescent="0.3">
      <c r="B95" s="817"/>
      <c r="C95" s="803"/>
      <c r="D95" s="803"/>
      <c r="E95" s="803"/>
      <c r="F95" s="803"/>
      <c r="G95" s="803"/>
      <c r="H95" s="803"/>
      <c r="I95" s="803"/>
      <c r="J95" s="803"/>
      <c r="K95" s="803"/>
      <c r="L95" s="819"/>
    </row>
    <row r="96" spans="2:12" x14ac:dyDescent="0.3">
      <c r="B96" s="817"/>
      <c r="C96" s="803"/>
      <c r="D96" s="803"/>
      <c r="E96" s="803"/>
      <c r="F96" s="803"/>
      <c r="G96" s="803"/>
      <c r="H96" s="803"/>
      <c r="I96" s="803"/>
      <c r="J96" s="803"/>
      <c r="K96" s="803"/>
      <c r="L96" s="819"/>
    </row>
    <row r="97" spans="2:12" x14ac:dyDescent="0.3">
      <c r="B97" s="817"/>
      <c r="C97" s="803"/>
      <c r="D97" s="803"/>
      <c r="E97" s="803"/>
      <c r="F97" s="803"/>
      <c r="G97" s="803"/>
      <c r="H97" s="803"/>
      <c r="I97" s="803"/>
      <c r="J97" s="803"/>
      <c r="K97" s="803"/>
      <c r="L97" s="819"/>
    </row>
    <row r="98" spans="2:12" x14ac:dyDescent="0.3">
      <c r="B98" s="817"/>
      <c r="C98" s="803"/>
      <c r="D98" s="803"/>
      <c r="E98" s="803"/>
      <c r="F98" s="803"/>
      <c r="G98" s="803"/>
      <c r="H98" s="803"/>
      <c r="I98" s="803"/>
      <c r="J98" s="803"/>
      <c r="K98" s="803"/>
      <c r="L98" s="819"/>
    </row>
    <row r="99" spans="2:12" x14ac:dyDescent="0.3">
      <c r="B99" s="817"/>
      <c r="C99" s="803"/>
      <c r="D99" s="803"/>
      <c r="E99" s="803"/>
      <c r="F99" s="803"/>
      <c r="G99" s="803"/>
      <c r="H99" s="803"/>
      <c r="I99" s="803"/>
      <c r="J99" s="803"/>
      <c r="K99" s="803"/>
      <c r="L99" s="819"/>
    </row>
    <row r="100" spans="2:12" x14ac:dyDescent="0.3">
      <c r="B100" s="817"/>
      <c r="C100" s="803"/>
      <c r="D100" s="803"/>
      <c r="E100" s="803"/>
      <c r="F100" s="803"/>
      <c r="G100" s="803"/>
      <c r="H100" s="803"/>
      <c r="I100" s="803"/>
      <c r="J100" s="803"/>
      <c r="K100" s="803"/>
      <c r="L100" s="819"/>
    </row>
    <row r="101" spans="2:12" ht="15" thickBot="1" x14ac:dyDescent="0.35">
      <c r="B101" s="350"/>
      <c r="C101" s="351"/>
      <c r="D101" s="351"/>
      <c r="E101" s="351"/>
      <c r="F101" s="351"/>
      <c r="G101" s="351"/>
      <c r="H101" s="351"/>
      <c r="I101" s="351"/>
      <c r="J101" s="351"/>
      <c r="K101" s="351"/>
      <c r="L101" s="352"/>
    </row>
  </sheetData>
  <sortState xmlns:xlrd2="http://schemas.microsoft.com/office/spreadsheetml/2017/richdata2" ref="F13:F31">
    <sortCondition ref="F13:F31"/>
  </sortState>
  <mergeCells count="1">
    <mergeCell ref="A1:J1"/>
  </mergeCells>
  <dataValidations disablePrompts="1" count="1">
    <dataValidation type="list" allowBlank="1" showInputMessage="1" showErrorMessage="1" sqref="N20 N7" xr:uid="{00000000-0002-0000-0100-000000000000}">
      <formula1>PROGRAM</formula1>
    </dataValidation>
  </dataValidations>
  <pageMargins left="0.25" right="0.25" top="0.25" bottom="0.5" header="0.25" footer="0.25"/>
  <pageSetup paperSize="3" scale="52" fitToHeight="0"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sheetPr>
  <dimension ref="A1"/>
  <sheetViews>
    <sheetView workbookViewId="0"/>
  </sheetViews>
  <sheetFormatPr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pageSetUpPr fitToPage="1"/>
  </sheetPr>
  <dimension ref="A1:X74"/>
  <sheetViews>
    <sheetView showGridLines="0" zoomScaleNormal="100" workbookViewId="0">
      <pane ySplit="2" topLeftCell="A3" activePane="bottomLeft" state="frozen"/>
      <selection activeCell="A3" sqref="A3"/>
      <selection pane="bottomLeft" activeCell="A3" sqref="A3"/>
    </sheetView>
  </sheetViews>
  <sheetFormatPr defaultColWidth="8.88671875" defaultRowHeight="14.4" x14ac:dyDescent="0.3"/>
  <cols>
    <col min="1" max="1" width="6.109375" style="100" bestFit="1" customWidth="1"/>
    <col min="2" max="2" width="42.88671875" style="100" bestFit="1" customWidth="1"/>
    <col min="3" max="3" width="9.44140625" style="100" bestFit="1" customWidth="1"/>
    <col min="4" max="4" width="11.44140625" style="100" bestFit="1" customWidth="1"/>
    <col min="5" max="5" width="14.88671875" style="100" bestFit="1" customWidth="1"/>
    <col min="6" max="6" width="17.5546875" style="100" bestFit="1" customWidth="1"/>
    <col min="7" max="7" width="14.109375" style="100" bestFit="1" customWidth="1"/>
    <col min="8" max="8" width="13.109375" style="100" bestFit="1" customWidth="1"/>
    <col min="9" max="16" width="8.88671875" style="100"/>
    <col min="17" max="17" width="6.109375" style="100" bestFit="1" customWidth="1"/>
    <col min="18" max="18" width="42.88671875" style="100" bestFit="1" customWidth="1"/>
    <col min="19" max="19" width="9.44140625" style="100" bestFit="1" customWidth="1"/>
    <col min="20" max="20" width="11.44140625" style="100" bestFit="1" customWidth="1"/>
    <col min="21" max="21" width="14.88671875" style="100" bestFit="1" customWidth="1"/>
    <col min="22" max="22" width="17.5546875" style="100" bestFit="1" customWidth="1"/>
    <col min="23" max="23" width="14.109375" style="100" bestFit="1" customWidth="1"/>
    <col min="24" max="24" width="13.109375" style="100" bestFit="1" customWidth="1"/>
    <col min="25" max="16384" width="8.88671875" style="100"/>
  </cols>
  <sheetData>
    <row r="1" spans="1:24" s="7" customFormat="1" ht="21" x14ac:dyDescent="0.4">
      <c r="A1" s="850" t="s">
        <v>690</v>
      </c>
      <c r="B1" s="850"/>
      <c r="C1" s="850"/>
      <c r="D1" s="850"/>
      <c r="E1" s="850"/>
      <c r="F1" s="850"/>
      <c r="Q1" s="850" t="s">
        <v>690</v>
      </c>
      <c r="R1" s="850"/>
      <c r="S1" s="850"/>
      <c r="T1" s="850"/>
      <c r="U1" s="850"/>
      <c r="V1" s="850"/>
    </row>
    <row r="3" spans="1:24" x14ac:dyDescent="0.3">
      <c r="A3" s="212" t="s">
        <v>1249</v>
      </c>
      <c r="B3"/>
      <c r="C3"/>
      <c r="D3"/>
      <c r="E3"/>
      <c r="F3"/>
      <c r="G3"/>
      <c r="H3"/>
      <c r="Q3" s="212"/>
      <c r="R3"/>
      <c r="S3"/>
      <c r="T3"/>
      <c r="U3"/>
      <c r="V3"/>
      <c r="W3"/>
      <c r="X3"/>
    </row>
    <row r="4" spans="1:24" ht="15" thickBot="1" x14ac:dyDescent="0.35">
      <c r="A4" s="535"/>
      <c r="B4" s="535" t="s">
        <v>1112</v>
      </c>
      <c r="C4" s="535" t="s">
        <v>1111</v>
      </c>
      <c r="D4" s="535" t="s">
        <v>1110</v>
      </c>
      <c r="E4" s="535" t="s">
        <v>1109</v>
      </c>
      <c r="F4" s="535" t="s">
        <v>1108</v>
      </c>
      <c r="G4"/>
      <c r="H4"/>
      <c r="Q4" s="792" t="s">
        <v>1420</v>
      </c>
      <c r="R4" s="792" t="s">
        <v>1112</v>
      </c>
      <c r="S4" s="792" t="s">
        <v>1111</v>
      </c>
      <c r="T4" s="792" t="s">
        <v>1110</v>
      </c>
      <c r="U4" s="792" t="s">
        <v>1109</v>
      </c>
      <c r="V4" s="792" t="s">
        <v>1108</v>
      </c>
      <c r="W4"/>
      <c r="X4"/>
    </row>
    <row r="5" spans="1:24" x14ac:dyDescent="0.3">
      <c r="A5"/>
      <c r="B5" s="8" t="s">
        <v>1124</v>
      </c>
      <c r="C5" s="221">
        <v>1</v>
      </c>
      <c r="D5" t="s">
        <v>1120</v>
      </c>
      <c r="E5" s="538">
        <f>2145000</f>
        <v>2145000</v>
      </c>
      <c r="F5" s="153">
        <f>C5*E5</f>
        <v>2145000</v>
      </c>
      <c r="G5"/>
      <c r="H5"/>
      <c r="Q5" s="550" t="s">
        <v>1386</v>
      </c>
      <c r="R5" s="551"/>
      <c r="S5" s="551"/>
      <c r="T5" s="551"/>
      <c r="U5" s="551"/>
      <c r="V5" s="791"/>
      <c r="W5"/>
      <c r="X5"/>
    </row>
    <row r="6" spans="1:24" x14ac:dyDescent="0.3">
      <c r="A6"/>
      <c r="B6" s="8" t="s">
        <v>1122</v>
      </c>
      <c r="C6" s="221">
        <v>1</v>
      </c>
      <c r="D6" t="s">
        <v>1120</v>
      </c>
      <c r="E6" s="538">
        <v>0</v>
      </c>
      <c r="F6" s="153">
        <f>C6*E6</f>
        <v>0</v>
      </c>
      <c r="G6"/>
      <c r="H6"/>
      <c r="Q6" s="543" t="s">
        <v>1417</v>
      </c>
      <c r="R6" t="s">
        <v>1416</v>
      </c>
      <c r="S6" s="221">
        <v>19820</v>
      </c>
      <c r="T6" t="s">
        <v>1407</v>
      </c>
      <c r="U6" s="538">
        <f t="shared" ref="U6:U11" si="0">V6/S6</f>
        <v>48.133819374369324</v>
      </c>
      <c r="V6" s="153">
        <v>954012.3</v>
      </c>
      <c r="W6" s="537">
        <f t="shared" ref="W6:W11" si="1">V6/$V$24</f>
        <v>3.2920703186443398E-2</v>
      </c>
      <c r="X6" s="83">
        <f t="shared" ref="X6:X11" si="2">RANK(V6,$V$6:$V$23,0)</f>
        <v>7</v>
      </c>
    </row>
    <row r="7" spans="1:24" x14ac:dyDescent="0.3">
      <c r="A7"/>
      <c r="B7" s="8" t="s">
        <v>1121</v>
      </c>
      <c r="C7" s="221">
        <v>1</v>
      </c>
      <c r="D7" t="s">
        <v>1120</v>
      </c>
      <c r="E7" s="538">
        <v>0</v>
      </c>
      <c r="F7" s="153">
        <f>C7*E7</f>
        <v>0</v>
      </c>
      <c r="G7"/>
      <c r="H7"/>
      <c r="Q7" s="543" t="s">
        <v>1415</v>
      </c>
      <c r="R7" t="s">
        <v>1414</v>
      </c>
      <c r="S7" s="221">
        <v>19820</v>
      </c>
      <c r="T7" t="s">
        <v>1407</v>
      </c>
      <c r="U7" s="538">
        <f t="shared" si="0"/>
        <v>77.370145812310795</v>
      </c>
      <c r="V7" s="153">
        <v>1533476.29</v>
      </c>
      <c r="W7" s="537">
        <f t="shared" si="1"/>
        <v>5.2916631983191832E-2</v>
      </c>
      <c r="X7" s="83">
        <f t="shared" si="2"/>
        <v>6</v>
      </c>
    </row>
    <row r="8" spans="1:24" x14ac:dyDescent="0.3">
      <c r="A8"/>
      <c r="B8" s="8" t="s">
        <v>1393</v>
      </c>
      <c r="C8" s="221">
        <v>1</v>
      </c>
      <c r="D8" t="s">
        <v>1120</v>
      </c>
      <c r="E8" s="538">
        <v>0</v>
      </c>
      <c r="F8" s="153">
        <f>C8*E8</f>
        <v>0</v>
      </c>
      <c r="G8"/>
      <c r="H8"/>
      <c r="Q8" s="543" t="s">
        <v>1413</v>
      </c>
      <c r="R8" t="s">
        <v>1412</v>
      </c>
      <c r="S8" s="221">
        <v>19820</v>
      </c>
      <c r="T8" t="s">
        <v>1407</v>
      </c>
      <c r="U8" s="538">
        <f t="shared" si="0"/>
        <v>89.824186680121088</v>
      </c>
      <c r="V8" s="153">
        <v>1780315.38</v>
      </c>
      <c r="W8" s="537">
        <f t="shared" si="1"/>
        <v>6.14344638986732E-2</v>
      </c>
      <c r="X8" s="83">
        <f t="shared" si="2"/>
        <v>5</v>
      </c>
    </row>
    <row r="9" spans="1:24" ht="15" thickBot="1" x14ac:dyDescent="0.35">
      <c r="A9" s="539"/>
      <c r="B9" s="539" t="s">
        <v>1119</v>
      </c>
      <c r="C9" s="539"/>
      <c r="D9" s="539"/>
      <c r="E9" s="539"/>
      <c r="F9" s="540">
        <f>SUM(F5:F8)</f>
        <v>2145000</v>
      </c>
      <c r="G9"/>
      <c r="H9"/>
      <c r="Q9" s="543" t="s">
        <v>1411</v>
      </c>
      <c r="R9" t="s">
        <v>1410</v>
      </c>
      <c r="S9" s="221">
        <v>19820</v>
      </c>
      <c r="T9" t="s">
        <v>1407</v>
      </c>
      <c r="U9" s="538">
        <f t="shared" si="0"/>
        <v>319.94111957618566</v>
      </c>
      <c r="V9" s="153">
        <v>6341232.9900000002</v>
      </c>
      <c r="W9" s="537">
        <f t="shared" si="1"/>
        <v>0.21882091991882391</v>
      </c>
      <c r="X9" s="83">
        <f t="shared" si="2"/>
        <v>2</v>
      </c>
    </row>
    <row r="10" spans="1:24" x14ac:dyDescent="0.3">
      <c r="A10"/>
      <c r="B10"/>
      <c r="C10"/>
      <c r="D10"/>
      <c r="E10"/>
      <c r="F10"/>
      <c r="G10"/>
      <c r="H10"/>
      <c r="Q10" s="543" t="s">
        <v>1409</v>
      </c>
      <c r="R10" t="s">
        <v>1408</v>
      </c>
      <c r="S10" s="221">
        <v>19820</v>
      </c>
      <c r="T10" t="s">
        <v>1407</v>
      </c>
      <c r="U10" s="538">
        <f t="shared" si="0"/>
        <v>2.0625544904137234</v>
      </c>
      <c r="V10" s="153">
        <v>40879.83</v>
      </c>
      <c r="W10" s="537">
        <f t="shared" si="1"/>
        <v>1.4106660362159529E-3</v>
      </c>
      <c r="X10" s="83">
        <f t="shared" si="2"/>
        <v>15</v>
      </c>
    </row>
    <row r="11" spans="1:24" x14ac:dyDescent="0.3">
      <c r="A11" s="212" t="s">
        <v>1250</v>
      </c>
      <c r="B11"/>
      <c r="C11"/>
      <c r="D11"/>
      <c r="E11"/>
      <c r="F11"/>
      <c r="G11"/>
      <c r="H11"/>
      <c r="Q11" s="543" t="s">
        <v>1419</v>
      </c>
      <c r="R11" t="s">
        <v>1418</v>
      </c>
      <c r="S11" s="221">
        <v>19820</v>
      </c>
      <c r="T11" t="s">
        <v>1407</v>
      </c>
      <c r="U11" s="538">
        <f t="shared" si="0"/>
        <v>15.739595358224017</v>
      </c>
      <c r="V11" s="153">
        <v>311958.78000000003</v>
      </c>
      <c r="W11" s="537">
        <f t="shared" si="1"/>
        <v>1.0764958064780712E-2</v>
      </c>
      <c r="X11" s="83">
        <f t="shared" si="2"/>
        <v>13</v>
      </c>
    </row>
    <row r="12" spans="1:24" ht="15" thickBot="1" x14ac:dyDescent="0.35">
      <c r="A12" s="535"/>
      <c r="B12" s="535" t="s">
        <v>1112</v>
      </c>
      <c r="C12" s="535" t="s">
        <v>1111</v>
      </c>
      <c r="D12" s="535" t="s">
        <v>1110</v>
      </c>
      <c r="E12" s="535" t="s">
        <v>1109</v>
      </c>
      <c r="F12" s="535" t="s">
        <v>1108</v>
      </c>
      <c r="G12"/>
      <c r="H12"/>
      <c r="Q12" s="550" t="s">
        <v>1387</v>
      </c>
      <c r="R12" s="551"/>
      <c r="S12" s="551"/>
      <c r="T12" s="551"/>
      <c r="U12" s="551"/>
      <c r="V12" s="791"/>
      <c r="W12"/>
      <c r="X12"/>
    </row>
    <row r="13" spans="1:24" x14ac:dyDescent="0.3">
      <c r="A13"/>
      <c r="B13" s="8" t="s">
        <v>1123</v>
      </c>
      <c r="C13" s="221">
        <v>1</v>
      </c>
      <c r="D13" t="s">
        <v>1120</v>
      </c>
      <c r="E13" s="538">
        <v>7056000</v>
      </c>
      <c r="F13" s="153">
        <f>C13*E13</f>
        <v>7056000</v>
      </c>
      <c r="G13"/>
      <c r="H13"/>
      <c r="Q13" s="543" t="s">
        <v>1417</v>
      </c>
      <c r="R13" t="s">
        <v>1416</v>
      </c>
      <c r="S13" s="221">
        <v>33535</v>
      </c>
      <c r="T13" t="s">
        <v>1407</v>
      </c>
      <c r="U13" s="538">
        <f>V13/S13</f>
        <v>15.762862382585357</v>
      </c>
      <c r="V13" s="153">
        <v>528607.59</v>
      </c>
      <c r="W13" s="537">
        <f>V13/$V$24</f>
        <v>1.8240994977204345E-2</v>
      </c>
      <c r="X13" s="83">
        <f>RANK(V13,$V$6:$V$23,0)</f>
        <v>11</v>
      </c>
    </row>
    <row r="14" spans="1:24" x14ac:dyDescent="0.3">
      <c r="A14"/>
      <c r="B14" s="8" t="s">
        <v>1122</v>
      </c>
      <c r="C14" s="221">
        <v>1</v>
      </c>
      <c r="D14" t="s">
        <v>1120</v>
      </c>
      <c r="E14" s="538">
        <v>0</v>
      </c>
      <c r="F14" s="153">
        <f>C14*E14</f>
        <v>0</v>
      </c>
      <c r="G14"/>
      <c r="H14"/>
      <c r="Q14" s="543" t="s">
        <v>1415</v>
      </c>
      <c r="R14" t="s">
        <v>1414</v>
      </c>
      <c r="S14" s="221">
        <v>33535</v>
      </c>
      <c r="T14" t="s">
        <v>1407</v>
      </c>
      <c r="U14" s="538">
        <f>V14/S14</f>
        <v>119.29899150141644</v>
      </c>
      <c r="V14" s="153">
        <v>4000691.68</v>
      </c>
      <c r="W14" s="537">
        <f>V14/$V$24</f>
        <v>0.13805438707420606</v>
      </c>
      <c r="X14" s="83">
        <f>RANK(V14,$V$6:$V$23,0)</f>
        <v>3</v>
      </c>
    </row>
    <row r="15" spans="1:24" x14ac:dyDescent="0.3">
      <c r="A15"/>
      <c r="B15" s="8" t="s">
        <v>1121</v>
      </c>
      <c r="C15" s="221">
        <v>1</v>
      </c>
      <c r="D15" t="s">
        <v>1120</v>
      </c>
      <c r="E15" s="538">
        <v>0</v>
      </c>
      <c r="F15" s="153">
        <f>C15*E15</f>
        <v>0</v>
      </c>
      <c r="G15"/>
      <c r="H15"/>
      <c r="Q15" s="543" t="s">
        <v>1413</v>
      </c>
      <c r="R15" t="s">
        <v>1412</v>
      </c>
      <c r="S15" s="221">
        <v>33535</v>
      </c>
      <c r="T15" t="s">
        <v>1407</v>
      </c>
      <c r="U15" s="538">
        <f>V15/S15</f>
        <v>84.770366780975095</v>
      </c>
      <c r="V15" s="153">
        <v>2842774.25</v>
      </c>
      <c r="W15" s="537">
        <f>V15/$V$24</f>
        <v>9.8097401165911841E-2</v>
      </c>
      <c r="X15" s="83">
        <f>RANK(V15,$V$6:$V$23,0)</f>
        <v>4</v>
      </c>
    </row>
    <row r="16" spans="1:24" x14ac:dyDescent="0.3">
      <c r="A16"/>
      <c r="B16" s="8" t="s">
        <v>1393</v>
      </c>
      <c r="C16" s="221">
        <v>1</v>
      </c>
      <c r="D16" t="s">
        <v>1120</v>
      </c>
      <c r="E16" s="538">
        <v>0</v>
      </c>
      <c r="F16" s="153">
        <f>C16*E16</f>
        <v>0</v>
      </c>
      <c r="G16"/>
      <c r="H16"/>
      <c r="Q16" s="543" t="s">
        <v>1411</v>
      </c>
      <c r="R16" t="s">
        <v>1410</v>
      </c>
      <c r="S16" s="221">
        <v>33535</v>
      </c>
      <c r="T16" t="s">
        <v>1407</v>
      </c>
      <c r="U16" s="538">
        <f>V16/S16</f>
        <v>224.93380050693307</v>
      </c>
      <c r="V16" s="153">
        <v>7543155</v>
      </c>
      <c r="W16" s="537">
        <f>V16/$V$24</f>
        <v>0.26029639957926792</v>
      </c>
      <c r="X16" s="83">
        <f>RANK(V16,$V$6:$V$23,0)</f>
        <v>1</v>
      </c>
    </row>
    <row r="17" spans="1:24" ht="15" thickBot="1" x14ac:dyDescent="0.35">
      <c r="A17" s="539"/>
      <c r="B17" s="539" t="s">
        <v>1119</v>
      </c>
      <c r="C17" s="539"/>
      <c r="D17" s="539"/>
      <c r="E17" s="539"/>
      <c r="F17" s="540">
        <f>SUM(F13:F16)</f>
        <v>7056000</v>
      </c>
      <c r="G17"/>
      <c r="H17"/>
      <c r="Q17" s="543" t="s">
        <v>1409</v>
      </c>
      <c r="R17" t="s">
        <v>1408</v>
      </c>
      <c r="S17" s="221">
        <v>33535</v>
      </c>
      <c r="T17" t="s">
        <v>1407</v>
      </c>
      <c r="U17" s="538">
        <f>V17/S17</f>
        <v>1.4831408975697031</v>
      </c>
      <c r="V17" s="153">
        <v>49737.13</v>
      </c>
      <c r="W17" s="537">
        <f>V17/$V$24</f>
        <v>1.7163104648394464E-3</v>
      </c>
      <c r="X17" s="83">
        <f>RANK(V17,$V$6:$V$23,0)</f>
        <v>14</v>
      </c>
    </row>
    <row r="18" spans="1:24" x14ac:dyDescent="0.3">
      <c r="A18"/>
      <c r="B18"/>
      <c r="C18"/>
      <c r="D18"/>
      <c r="E18"/>
      <c r="F18"/>
      <c r="G18"/>
      <c r="H18"/>
      <c r="Q18" s="543"/>
      <c r="R18"/>
      <c r="S18" s="221"/>
      <c r="T18"/>
      <c r="U18" s="538"/>
      <c r="V18" s="153"/>
      <c r="W18" s="537"/>
      <c r="X18" s="83"/>
    </row>
    <row r="19" spans="1:24" x14ac:dyDescent="0.3">
      <c r="A19" s="212" t="s">
        <v>1251</v>
      </c>
      <c r="B19"/>
      <c r="C19"/>
      <c r="D19"/>
      <c r="E19"/>
      <c r="F19"/>
      <c r="G19"/>
      <c r="H19"/>
      <c r="Q19" s="550" t="s">
        <v>1381</v>
      </c>
      <c r="R19" s="551"/>
      <c r="S19" s="551"/>
      <c r="T19" s="551"/>
      <c r="U19" s="551"/>
      <c r="V19" s="791"/>
      <c r="W19"/>
      <c r="X19"/>
    </row>
    <row r="20" spans="1:24" ht="15" thickBot="1" x14ac:dyDescent="0.35">
      <c r="A20" s="535" t="s">
        <v>1113</v>
      </c>
      <c r="B20" s="535" t="s">
        <v>1112</v>
      </c>
      <c r="C20" s="535" t="s">
        <v>1111</v>
      </c>
      <c r="D20" s="535" t="s">
        <v>1110</v>
      </c>
      <c r="E20" s="535" t="s">
        <v>1109</v>
      </c>
      <c r="F20" s="535" t="s">
        <v>1108</v>
      </c>
      <c r="G20"/>
      <c r="H20"/>
      <c r="Q20" s="543" t="s">
        <v>1406</v>
      </c>
      <c r="R20" t="s">
        <v>1388</v>
      </c>
      <c r="S20" s="221">
        <v>13245</v>
      </c>
      <c r="T20" t="s">
        <v>1115</v>
      </c>
      <c r="U20" s="538">
        <f>V20/S20</f>
        <v>60.402400151000379</v>
      </c>
      <c r="V20" s="153">
        <v>800029.79</v>
      </c>
      <c r="W20" s="537">
        <f>V20/$V$24</f>
        <v>2.7607131749666794E-2</v>
      </c>
      <c r="X20" s="83">
        <f>RANK(V20,$V$6:$V$23,0)</f>
        <v>10</v>
      </c>
    </row>
    <row r="21" spans="1:24" x14ac:dyDescent="0.3">
      <c r="A21" s="550" t="s">
        <v>1160</v>
      </c>
      <c r="B21" s="551"/>
      <c r="C21" s="551"/>
      <c r="D21" s="551"/>
      <c r="E21" s="551"/>
      <c r="F21" s="551"/>
      <c r="G21"/>
      <c r="H21"/>
      <c r="Q21" s="543" t="s">
        <v>1405</v>
      </c>
      <c r="R21" t="s">
        <v>1389</v>
      </c>
      <c r="S21" s="221">
        <v>13245</v>
      </c>
      <c r="T21" t="s">
        <v>1115</v>
      </c>
      <c r="U21" s="538">
        <f>V21/S21</f>
        <v>33.752457531143826</v>
      </c>
      <c r="V21" s="153">
        <v>447051.3</v>
      </c>
      <c r="W21" s="537">
        <f>V21/$V$24</f>
        <v>1.5426680721426405E-2</v>
      </c>
      <c r="X21" s="83">
        <f>RANK(V21,$V$6:$V$23,0)</f>
        <v>12</v>
      </c>
    </row>
    <row r="22" spans="1:24" x14ac:dyDescent="0.3">
      <c r="A22" s="543">
        <v>1</v>
      </c>
      <c r="B22" t="s">
        <v>1130</v>
      </c>
      <c r="C22" s="221">
        <v>1</v>
      </c>
      <c r="D22" t="s">
        <v>1117</v>
      </c>
      <c r="E22" s="538">
        <f t="shared" ref="E22:E35" si="3">F22/C22</f>
        <v>8582538.7899999991</v>
      </c>
      <c r="F22" s="153">
        <v>8582538.7899999991</v>
      </c>
      <c r="G22" s="537">
        <f t="shared" ref="G22:G35" si="4">F22/$F$70</f>
        <v>3.667480798613524E-2</v>
      </c>
      <c r="H22" s="83">
        <f t="shared" ref="H22:H35" si="5">RANK(F22,$F$22:$F$69,0)</f>
        <v>8</v>
      </c>
      <c r="Q22" s="543" t="s">
        <v>1404</v>
      </c>
      <c r="R22" t="s">
        <v>1390</v>
      </c>
      <c r="S22" s="221">
        <v>1</v>
      </c>
      <c r="T22" t="s">
        <v>1120</v>
      </c>
      <c r="U22" s="538">
        <f>V22/S22</f>
        <v>895511.29</v>
      </c>
      <c r="V22" s="153">
        <v>895511.29</v>
      </c>
      <c r="W22" s="537">
        <f>V22/$V$24</f>
        <v>3.0901971995747894E-2</v>
      </c>
      <c r="X22" s="83">
        <f>RANK(V22,$V$6:$V$23,0)</f>
        <v>9</v>
      </c>
    </row>
    <row r="23" spans="1:24" x14ac:dyDescent="0.3">
      <c r="A23" s="543" t="s">
        <v>1125</v>
      </c>
      <c r="B23" t="s">
        <v>1131</v>
      </c>
      <c r="C23" s="221">
        <v>1</v>
      </c>
      <c r="D23" t="s">
        <v>1116</v>
      </c>
      <c r="E23" s="538">
        <f t="shared" si="3"/>
        <v>99172.86</v>
      </c>
      <c r="F23" s="153">
        <v>99172.86</v>
      </c>
      <c r="G23" s="537">
        <f t="shared" si="4"/>
        <v>4.2378434714139784E-4</v>
      </c>
      <c r="H23" s="83">
        <f t="shared" si="5"/>
        <v>24</v>
      </c>
      <c r="Q23" s="543" t="s">
        <v>1403</v>
      </c>
      <c r="R23" t="s">
        <v>1391</v>
      </c>
      <c r="S23" s="221">
        <v>1</v>
      </c>
      <c r="T23" t="s">
        <v>1120</v>
      </c>
      <c r="U23" s="538">
        <f>V23/S23</f>
        <v>909664.89</v>
      </c>
      <c r="V23" s="153">
        <v>909664.89</v>
      </c>
      <c r="W23" s="537">
        <f>V23/$V$24</f>
        <v>3.1390379183600339E-2</v>
      </c>
      <c r="X23" s="83">
        <f>RANK(V23,$V$6:$V$23,0)</f>
        <v>8</v>
      </c>
    </row>
    <row r="24" spans="1:24" ht="15" thickBot="1" x14ac:dyDescent="0.35">
      <c r="A24" s="543" t="s">
        <v>1126</v>
      </c>
      <c r="B24" t="s">
        <v>1132</v>
      </c>
      <c r="C24" s="221">
        <v>1</v>
      </c>
      <c r="D24" t="s">
        <v>1116</v>
      </c>
      <c r="E24" s="538">
        <f t="shared" si="3"/>
        <v>50000</v>
      </c>
      <c r="F24" s="153">
        <v>50000</v>
      </c>
      <c r="G24" s="537">
        <f t="shared" si="4"/>
        <v>2.1365943623154451E-4</v>
      </c>
      <c r="H24" s="83">
        <f t="shared" si="5"/>
        <v>32</v>
      </c>
      <c r="Q24" s="790"/>
      <c r="R24" s="790" t="s">
        <v>678</v>
      </c>
      <c r="S24" s="790"/>
      <c r="T24" s="790"/>
      <c r="U24" s="790"/>
      <c r="V24" s="789">
        <f>SUM(V6:V23)</f>
        <v>28979098.489999998</v>
      </c>
      <c r="W24"/>
      <c r="X24" s="536"/>
    </row>
    <row r="25" spans="1:24" x14ac:dyDescent="0.3">
      <c r="A25" s="543" t="s">
        <v>1127</v>
      </c>
      <c r="B25" t="s">
        <v>1133</v>
      </c>
      <c r="C25" s="221">
        <v>20</v>
      </c>
      <c r="D25" t="s">
        <v>1114</v>
      </c>
      <c r="E25" s="538">
        <f t="shared" si="3"/>
        <v>2552.1534999999999</v>
      </c>
      <c r="F25" s="153">
        <v>51043.07</v>
      </c>
      <c r="G25" s="537">
        <f t="shared" si="4"/>
        <v>2.1811667119454525E-4</v>
      </c>
      <c r="H25" s="83">
        <f t="shared" si="5"/>
        <v>31</v>
      </c>
      <c r="Q25"/>
      <c r="R25"/>
      <c r="S25"/>
      <c r="T25"/>
      <c r="U25"/>
      <c r="V25"/>
      <c r="W25"/>
      <c r="X25"/>
    </row>
    <row r="26" spans="1:24" x14ac:dyDescent="0.3">
      <c r="A26" s="543">
        <v>4</v>
      </c>
      <c r="B26" t="s">
        <v>1134</v>
      </c>
      <c r="C26" s="221">
        <v>232900</v>
      </c>
      <c r="D26" t="s">
        <v>1118</v>
      </c>
      <c r="E26" s="538">
        <f t="shared" si="3"/>
        <v>12.69</v>
      </c>
      <c r="F26" s="153">
        <v>2955501</v>
      </c>
      <c r="G26" s="537">
        <f t="shared" si="4"/>
        <v>1.262941354883532E-2</v>
      </c>
      <c r="H26" s="83">
        <f t="shared" si="5"/>
        <v>10</v>
      </c>
    </row>
    <row r="27" spans="1:24" x14ac:dyDescent="0.3">
      <c r="A27" s="543">
        <v>5</v>
      </c>
      <c r="B27" t="s">
        <v>1135</v>
      </c>
      <c r="C27" s="221">
        <v>668900</v>
      </c>
      <c r="D27" t="s">
        <v>1118</v>
      </c>
      <c r="E27" s="538">
        <f t="shared" si="3"/>
        <v>15.82</v>
      </c>
      <c r="F27" s="153">
        <v>10581998</v>
      </c>
      <c r="G27" s="537">
        <f t="shared" si="4"/>
        <v>4.5218874537666633E-2</v>
      </c>
      <c r="H27" s="83">
        <f t="shared" si="5"/>
        <v>6</v>
      </c>
      <c r="T27">
        <v>5</v>
      </c>
      <c r="U27" s="100" t="s">
        <v>1236</v>
      </c>
      <c r="W27" s="541">
        <f>X27/V24</f>
        <v>0.77670357163688297</v>
      </c>
      <c r="X27" s="542" cm="1">
        <f t="array" ref="X27">SUM(LARGE($V$6:$V$23,_xlfn.SEQUENCE(T27)))</f>
        <v>22508169.300000001</v>
      </c>
    </row>
    <row r="28" spans="1:24" x14ac:dyDescent="0.3">
      <c r="A28" s="543">
        <v>6</v>
      </c>
      <c r="B28" t="s">
        <v>1136</v>
      </c>
      <c r="C28" s="221">
        <v>10</v>
      </c>
      <c r="D28" t="s">
        <v>1114</v>
      </c>
      <c r="E28" s="538">
        <f t="shared" si="3"/>
        <v>2328.9780000000001</v>
      </c>
      <c r="F28" s="153">
        <v>23289.78</v>
      </c>
      <c r="G28" s="537">
        <f t="shared" si="4"/>
        <v>9.9521625295134002E-5</v>
      </c>
      <c r="H28" s="83">
        <f t="shared" si="5"/>
        <v>40</v>
      </c>
    </row>
    <row r="29" spans="1:24" x14ac:dyDescent="0.3">
      <c r="A29" s="543">
        <v>7</v>
      </c>
      <c r="B29" t="s">
        <v>1137</v>
      </c>
      <c r="C29" s="221">
        <v>3800</v>
      </c>
      <c r="D29" t="s">
        <v>1118</v>
      </c>
      <c r="E29" s="538">
        <f t="shared" si="3"/>
        <v>12.92</v>
      </c>
      <c r="F29" s="153">
        <v>49096</v>
      </c>
      <c r="G29" s="537">
        <f t="shared" si="4"/>
        <v>2.0979647362447817E-4</v>
      </c>
      <c r="H29" s="83">
        <f t="shared" si="5"/>
        <v>33</v>
      </c>
    </row>
    <row r="30" spans="1:24" x14ac:dyDescent="0.3">
      <c r="A30" s="543">
        <v>8</v>
      </c>
      <c r="B30" t="s">
        <v>1138</v>
      </c>
      <c r="C30" s="221">
        <v>1278600</v>
      </c>
      <c r="D30" t="s">
        <v>1118</v>
      </c>
      <c r="E30" s="538">
        <f t="shared" si="3"/>
        <v>15.77</v>
      </c>
      <c r="F30" s="153">
        <v>20163522</v>
      </c>
      <c r="G30" s="537">
        <f t="shared" si="4"/>
        <v>8.6162534859246895E-2</v>
      </c>
      <c r="H30" s="83">
        <f t="shared" si="5"/>
        <v>4</v>
      </c>
    </row>
    <row r="31" spans="1:24" x14ac:dyDescent="0.3">
      <c r="A31" s="543">
        <v>9</v>
      </c>
      <c r="B31" t="s">
        <v>1139</v>
      </c>
      <c r="C31" s="221">
        <v>17000</v>
      </c>
      <c r="D31" t="s">
        <v>1114</v>
      </c>
      <c r="E31" s="538">
        <f t="shared" si="3"/>
        <v>126.28524117647059</v>
      </c>
      <c r="F31" s="153">
        <v>2146849.1</v>
      </c>
      <c r="G31" s="537">
        <f t="shared" si="4"/>
        <v>9.173891367603975E-3</v>
      </c>
      <c r="H31" s="83">
        <f t="shared" si="5"/>
        <v>12</v>
      </c>
    </row>
    <row r="32" spans="1:24" x14ac:dyDescent="0.3">
      <c r="A32" s="543">
        <v>10</v>
      </c>
      <c r="B32" t="s">
        <v>1140</v>
      </c>
      <c r="C32" s="221">
        <v>16000</v>
      </c>
      <c r="D32" t="s">
        <v>1115</v>
      </c>
      <c r="E32" s="538">
        <f t="shared" si="3"/>
        <v>10.591080625</v>
      </c>
      <c r="F32" s="153">
        <v>169457.29</v>
      </c>
      <c r="G32" s="537">
        <f t="shared" si="4"/>
        <v>7.2412298093450691E-4</v>
      </c>
      <c r="H32" s="83">
        <f t="shared" si="5"/>
        <v>17</v>
      </c>
    </row>
    <row r="33" spans="1:8" x14ac:dyDescent="0.3">
      <c r="A33" s="543">
        <v>11</v>
      </c>
      <c r="B33" t="s">
        <v>1141</v>
      </c>
      <c r="C33" s="221">
        <v>1</v>
      </c>
      <c r="D33" t="s">
        <v>1116</v>
      </c>
      <c r="E33" s="538">
        <f t="shared" si="3"/>
        <v>343897.31</v>
      </c>
      <c r="F33" s="153">
        <v>343897.31</v>
      </c>
      <c r="G33" s="537">
        <f t="shared" si="4"/>
        <v>1.4695381075228939E-3</v>
      </c>
      <c r="H33" s="83">
        <f t="shared" si="5"/>
        <v>13</v>
      </c>
    </row>
    <row r="34" spans="1:8" x14ac:dyDescent="0.3">
      <c r="A34" s="543">
        <v>12</v>
      </c>
      <c r="B34" t="s">
        <v>1142</v>
      </c>
      <c r="C34" s="221">
        <v>1</v>
      </c>
      <c r="D34" t="s">
        <v>1116</v>
      </c>
      <c r="E34" s="538">
        <f t="shared" si="3"/>
        <v>100000</v>
      </c>
      <c r="F34" s="153">
        <v>100000</v>
      </c>
      <c r="G34" s="537">
        <f t="shared" si="4"/>
        <v>4.2731887246308902E-4</v>
      </c>
      <c r="H34" s="83">
        <f t="shared" si="5"/>
        <v>19</v>
      </c>
    </row>
    <row r="35" spans="1:8" x14ac:dyDescent="0.3">
      <c r="A35" s="543">
        <v>13</v>
      </c>
      <c r="B35" t="s">
        <v>1143</v>
      </c>
      <c r="C35" s="221">
        <v>1</v>
      </c>
      <c r="D35" t="s">
        <v>1116</v>
      </c>
      <c r="E35" s="538">
        <f t="shared" si="3"/>
        <v>25000</v>
      </c>
      <c r="F35" s="153">
        <v>25000</v>
      </c>
      <c r="G35" s="537">
        <f t="shared" si="4"/>
        <v>1.0682971811577225E-4</v>
      </c>
      <c r="H35" s="83">
        <f t="shared" si="5"/>
        <v>35</v>
      </c>
    </row>
    <row r="36" spans="1:8" x14ac:dyDescent="0.3">
      <c r="A36" s="550" t="s">
        <v>1161</v>
      </c>
      <c r="B36" s="551"/>
      <c r="C36" s="551"/>
      <c r="D36" s="551"/>
      <c r="E36" s="551"/>
      <c r="F36" s="551"/>
      <c r="G36"/>
      <c r="H36"/>
    </row>
    <row r="37" spans="1:8" x14ac:dyDescent="0.3">
      <c r="A37" s="543">
        <v>14</v>
      </c>
      <c r="B37" t="s">
        <v>1131</v>
      </c>
      <c r="C37" s="221">
        <v>1</v>
      </c>
      <c r="D37" t="s">
        <v>1116</v>
      </c>
      <c r="E37" s="538">
        <f t="shared" ref="E37:E42" si="6">F37/C37</f>
        <v>99172.86</v>
      </c>
      <c r="F37" s="153">
        <v>99172.86</v>
      </c>
      <c r="G37" s="537">
        <f t="shared" ref="G37:G42" si="7">F37/$F$70</f>
        <v>4.2378434714139784E-4</v>
      </c>
      <c r="H37" s="83">
        <f t="shared" ref="H37:H42" si="8">RANK(F37,$F$22:$F$69,0)</f>
        <v>24</v>
      </c>
    </row>
    <row r="38" spans="1:8" x14ac:dyDescent="0.3">
      <c r="A38" s="543" t="s">
        <v>1128</v>
      </c>
      <c r="B38" t="s">
        <v>1144</v>
      </c>
      <c r="C38" s="221">
        <v>15</v>
      </c>
      <c r="D38" t="s">
        <v>1114</v>
      </c>
      <c r="E38" s="538">
        <f t="shared" si="6"/>
        <v>2481.7460000000001</v>
      </c>
      <c r="F38" s="153">
        <v>37226.19</v>
      </c>
      <c r="G38" s="537">
        <f t="shared" si="7"/>
        <v>1.5907453536896719E-4</v>
      </c>
      <c r="H38" s="83">
        <f t="shared" si="8"/>
        <v>34</v>
      </c>
    </row>
    <row r="39" spans="1:8" x14ac:dyDescent="0.3">
      <c r="A39" s="543">
        <v>16</v>
      </c>
      <c r="B39" t="s">
        <v>1145</v>
      </c>
      <c r="C39" s="221">
        <v>316100</v>
      </c>
      <c r="D39" t="s">
        <v>1118</v>
      </c>
      <c r="E39" s="538">
        <f t="shared" si="6"/>
        <v>11.43</v>
      </c>
      <c r="F39" s="153">
        <v>3613023</v>
      </c>
      <c r="G39" s="537">
        <f t="shared" si="7"/>
        <v>1.5439129145432072E-2</v>
      </c>
      <c r="H39" s="83">
        <f t="shared" si="8"/>
        <v>9</v>
      </c>
    </row>
    <row r="40" spans="1:8" x14ac:dyDescent="0.3">
      <c r="A40" s="543">
        <v>17</v>
      </c>
      <c r="B40" t="s">
        <v>1146</v>
      </c>
      <c r="C40" s="221">
        <v>2180600</v>
      </c>
      <c r="D40" t="s">
        <v>1118</v>
      </c>
      <c r="E40" s="538">
        <f t="shared" si="6"/>
        <v>14.32</v>
      </c>
      <c r="F40" s="153">
        <v>31226192</v>
      </c>
      <c r="G40" s="537">
        <f t="shared" si="7"/>
        <v>0.13343541156755931</v>
      </c>
      <c r="H40" s="83">
        <f t="shared" si="8"/>
        <v>2</v>
      </c>
    </row>
    <row r="41" spans="1:8" x14ac:dyDescent="0.3">
      <c r="A41" s="543">
        <v>18</v>
      </c>
      <c r="B41" t="s">
        <v>1142</v>
      </c>
      <c r="C41" s="221">
        <v>1</v>
      </c>
      <c r="D41" t="s">
        <v>1116</v>
      </c>
      <c r="E41" s="538">
        <f t="shared" si="6"/>
        <v>100000</v>
      </c>
      <c r="F41" s="153">
        <v>100000</v>
      </c>
      <c r="G41" s="537">
        <f t="shared" si="7"/>
        <v>4.2731887246308902E-4</v>
      </c>
      <c r="H41" s="83">
        <f t="shared" si="8"/>
        <v>19</v>
      </c>
    </row>
    <row r="42" spans="1:8" x14ac:dyDescent="0.3">
      <c r="A42" s="543">
        <v>19</v>
      </c>
      <c r="B42" t="s">
        <v>1143</v>
      </c>
      <c r="C42" s="221">
        <v>1</v>
      </c>
      <c r="D42" t="s">
        <v>1116</v>
      </c>
      <c r="E42" s="538">
        <f t="shared" si="6"/>
        <v>25000</v>
      </c>
      <c r="F42" s="153">
        <v>25000</v>
      </c>
      <c r="G42" s="537">
        <f t="shared" si="7"/>
        <v>1.0682971811577225E-4</v>
      </c>
      <c r="H42" s="83">
        <f t="shared" si="8"/>
        <v>35</v>
      </c>
    </row>
    <row r="43" spans="1:8" x14ac:dyDescent="0.3">
      <c r="A43" s="550" t="s">
        <v>1162</v>
      </c>
      <c r="B43" s="551"/>
      <c r="C43" s="551"/>
      <c r="D43" s="551"/>
      <c r="E43" s="551"/>
      <c r="F43" s="551"/>
      <c r="G43"/>
      <c r="H43"/>
    </row>
    <row r="44" spans="1:8" x14ac:dyDescent="0.3">
      <c r="A44" s="543">
        <v>20</v>
      </c>
      <c r="B44" t="s">
        <v>1131</v>
      </c>
      <c r="C44" s="221">
        <v>1</v>
      </c>
      <c r="D44" t="s">
        <v>1116</v>
      </c>
      <c r="E44" s="538">
        <f t="shared" ref="E44:E49" si="9">F44/C44</f>
        <v>99172.86</v>
      </c>
      <c r="F44" s="153">
        <v>99172.86</v>
      </c>
      <c r="G44" s="537">
        <f t="shared" ref="G44:G49" si="10">F44/$F$70</f>
        <v>4.2378434714139784E-4</v>
      </c>
      <c r="H44" s="83">
        <f t="shared" ref="H44:H49" si="11">RANK(F44,$F$22:$F$69,0)</f>
        <v>24</v>
      </c>
    </row>
    <row r="45" spans="1:8" x14ac:dyDescent="0.3">
      <c r="A45" s="543" t="s">
        <v>1129</v>
      </c>
      <c r="B45" t="s">
        <v>1147</v>
      </c>
      <c r="C45" s="221">
        <v>35</v>
      </c>
      <c r="D45" t="s">
        <v>1114</v>
      </c>
      <c r="E45" s="538">
        <f t="shared" si="9"/>
        <v>2521.9788571428571</v>
      </c>
      <c r="F45" s="153">
        <v>88269.26</v>
      </c>
      <c r="G45" s="537">
        <f t="shared" si="10"/>
        <v>3.7719120656351242E-4</v>
      </c>
      <c r="H45" s="83">
        <f t="shared" si="11"/>
        <v>29</v>
      </c>
    </row>
    <row r="46" spans="1:8" x14ac:dyDescent="0.3">
      <c r="A46" s="543">
        <v>22</v>
      </c>
      <c r="B46" t="s">
        <v>1148</v>
      </c>
      <c r="C46" s="221">
        <v>1767200</v>
      </c>
      <c r="D46" t="s">
        <v>1118</v>
      </c>
      <c r="E46" s="538">
        <f t="shared" si="9"/>
        <v>9.14</v>
      </c>
      <c r="F46" s="153">
        <v>16152208</v>
      </c>
      <c r="G46" s="537">
        <f t="shared" si="10"/>
        <v>6.902143310349286E-2</v>
      </c>
      <c r="H46" s="83">
        <f t="shared" si="11"/>
        <v>5</v>
      </c>
    </row>
    <row r="47" spans="1:8" x14ac:dyDescent="0.3">
      <c r="A47" s="543">
        <v>23</v>
      </c>
      <c r="B47" t="s">
        <v>1149</v>
      </c>
      <c r="C47" s="221">
        <v>8322600</v>
      </c>
      <c r="D47" t="s">
        <v>1118</v>
      </c>
      <c r="E47" s="538">
        <f t="shared" si="9"/>
        <v>11.43</v>
      </c>
      <c r="F47" s="153">
        <v>95127318</v>
      </c>
      <c r="G47" s="537">
        <f t="shared" si="10"/>
        <v>0.40649698268197709</v>
      </c>
      <c r="H47" s="83">
        <f t="shared" si="11"/>
        <v>1</v>
      </c>
    </row>
    <row r="48" spans="1:8" x14ac:dyDescent="0.3">
      <c r="A48" s="543">
        <v>24</v>
      </c>
      <c r="B48" t="s">
        <v>1142</v>
      </c>
      <c r="C48" s="221">
        <v>1</v>
      </c>
      <c r="D48" t="s">
        <v>1116</v>
      </c>
      <c r="E48" s="538">
        <f t="shared" si="9"/>
        <v>100000</v>
      </c>
      <c r="F48" s="153">
        <v>100000</v>
      </c>
      <c r="G48" s="537">
        <f t="shared" si="10"/>
        <v>4.2731887246308902E-4</v>
      </c>
      <c r="H48" s="83">
        <f t="shared" si="11"/>
        <v>19</v>
      </c>
    </row>
    <row r="49" spans="1:8" x14ac:dyDescent="0.3">
      <c r="A49" s="543">
        <v>25</v>
      </c>
      <c r="B49" t="s">
        <v>1143</v>
      </c>
      <c r="C49" s="221">
        <v>1</v>
      </c>
      <c r="D49" t="s">
        <v>1116</v>
      </c>
      <c r="E49" s="538">
        <f t="shared" si="9"/>
        <v>25000</v>
      </c>
      <c r="F49" s="153">
        <v>25000</v>
      </c>
      <c r="G49" s="537">
        <f t="shared" si="10"/>
        <v>1.0682971811577225E-4</v>
      </c>
      <c r="H49" s="83">
        <f t="shared" si="11"/>
        <v>35</v>
      </c>
    </row>
    <row r="50" spans="1:8" x14ac:dyDescent="0.3">
      <c r="A50" s="550" t="s">
        <v>1163</v>
      </c>
      <c r="B50" s="551"/>
      <c r="C50" s="551"/>
      <c r="D50" s="551"/>
      <c r="E50" s="551"/>
      <c r="F50" s="551"/>
      <c r="G50"/>
      <c r="H50"/>
    </row>
    <row r="51" spans="1:8" x14ac:dyDescent="0.3">
      <c r="A51" s="543">
        <v>26</v>
      </c>
      <c r="B51" t="s">
        <v>1150</v>
      </c>
      <c r="C51" s="221">
        <v>1</v>
      </c>
      <c r="D51" t="s">
        <v>1117</v>
      </c>
      <c r="E51" s="538">
        <f t="shared" ref="E51:E60" si="12">F51/C51</f>
        <v>2275000</v>
      </c>
      <c r="F51" s="153">
        <v>2275000</v>
      </c>
      <c r="G51" s="537">
        <f t="shared" ref="G51:G60" si="13">F51/$F$70</f>
        <v>9.7215043485352742E-3</v>
      </c>
      <c r="H51" s="83">
        <f t="shared" ref="H51:H60" si="14">RANK(F51,$F$22:$F$69,0)</f>
        <v>11</v>
      </c>
    </row>
    <row r="52" spans="1:8" x14ac:dyDescent="0.3">
      <c r="A52" s="543">
        <v>27</v>
      </c>
      <c r="B52" t="s">
        <v>1131</v>
      </c>
      <c r="C52" s="221">
        <v>1</v>
      </c>
      <c r="D52" t="s">
        <v>1116</v>
      </c>
      <c r="E52" s="538">
        <f t="shared" si="12"/>
        <v>99172.86</v>
      </c>
      <c r="F52" s="153">
        <v>99172.86</v>
      </c>
      <c r="G52" s="537">
        <f t="shared" si="13"/>
        <v>4.2378434714139784E-4</v>
      </c>
      <c r="H52" s="83">
        <f t="shared" si="14"/>
        <v>24</v>
      </c>
    </row>
    <row r="53" spans="1:8" x14ac:dyDescent="0.3">
      <c r="A53" s="543">
        <v>28</v>
      </c>
      <c r="B53" t="s">
        <v>1151</v>
      </c>
      <c r="C53" s="221">
        <v>5</v>
      </c>
      <c r="D53" t="s">
        <v>1114</v>
      </c>
      <c r="E53" s="538">
        <f t="shared" si="12"/>
        <v>2811.1880000000001</v>
      </c>
      <c r="F53" s="153">
        <v>14055.94</v>
      </c>
      <c r="G53" s="537">
        <f t="shared" si="13"/>
        <v>6.0063684322088319E-5</v>
      </c>
      <c r="H53" s="83">
        <f t="shared" si="14"/>
        <v>43</v>
      </c>
    </row>
    <row r="54" spans="1:8" x14ac:dyDescent="0.3">
      <c r="A54" s="543">
        <v>29</v>
      </c>
      <c r="B54" t="s">
        <v>1152</v>
      </c>
      <c r="C54" s="221">
        <v>25100</v>
      </c>
      <c r="D54" t="s">
        <v>1118</v>
      </c>
      <c r="E54" s="538">
        <f t="shared" si="12"/>
        <v>5.0999999999999996</v>
      </c>
      <c r="F54" s="153">
        <v>128010</v>
      </c>
      <c r="G54" s="537">
        <f t="shared" si="13"/>
        <v>5.4701088864000024E-4</v>
      </c>
      <c r="H54" s="83">
        <f t="shared" si="14"/>
        <v>18</v>
      </c>
    </row>
    <row r="55" spans="1:8" x14ac:dyDescent="0.3">
      <c r="A55" s="543">
        <v>30</v>
      </c>
      <c r="B55" t="s">
        <v>1153</v>
      </c>
      <c r="C55" s="221">
        <v>3350600</v>
      </c>
      <c r="D55" t="s">
        <v>1118</v>
      </c>
      <c r="E55" s="538">
        <f t="shared" si="12"/>
        <v>8.34</v>
      </c>
      <c r="F55" s="153">
        <v>27944004</v>
      </c>
      <c r="G55" s="537">
        <f t="shared" si="13"/>
        <v>0.1194100028138405</v>
      </c>
      <c r="H55" s="83">
        <f t="shared" si="14"/>
        <v>3</v>
      </c>
    </row>
    <row r="56" spans="1:8" x14ac:dyDescent="0.3">
      <c r="A56" s="543">
        <v>31</v>
      </c>
      <c r="B56" t="s">
        <v>1154</v>
      </c>
      <c r="C56" s="221">
        <v>1</v>
      </c>
      <c r="D56" t="s">
        <v>1116</v>
      </c>
      <c r="E56" s="538">
        <f t="shared" si="12"/>
        <v>15000</v>
      </c>
      <c r="F56" s="153">
        <v>15000</v>
      </c>
      <c r="G56" s="537">
        <f t="shared" si="13"/>
        <v>6.4097830869463352E-5</v>
      </c>
      <c r="H56" s="83">
        <f t="shared" si="14"/>
        <v>41</v>
      </c>
    </row>
    <row r="57" spans="1:8" x14ac:dyDescent="0.3">
      <c r="A57" s="543">
        <v>32</v>
      </c>
      <c r="B57" t="s">
        <v>1155</v>
      </c>
      <c r="C57" s="221">
        <v>133</v>
      </c>
      <c r="D57" t="s">
        <v>1159</v>
      </c>
      <c r="E57" s="538">
        <f t="shared" si="12"/>
        <v>1687.9699248120301</v>
      </c>
      <c r="F57" s="153">
        <v>224500</v>
      </c>
      <c r="G57" s="537">
        <f t="shared" si="13"/>
        <v>9.5933086867963484E-4</v>
      </c>
      <c r="H57" s="83">
        <f t="shared" si="14"/>
        <v>14</v>
      </c>
    </row>
    <row r="58" spans="1:8" x14ac:dyDescent="0.3">
      <c r="A58" s="543">
        <v>33</v>
      </c>
      <c r="B58" t="s">
        <v>1156</v>
      </c>
      <c r="C58" s="221">
        <v>44</v>
      </c>
      <c r="D58" t="s">
        <v>1159</v>
      </c>
      <c r="E58" s="538">
        <f t="shared" si="12"/>
        <v>5000</v>
      </c>
      <c r="F58" s="153">
        <v>220000</v>
      </c>
      <c r="G58" s="537">
        <f t="shared" si="13"/>
        <v>9.4010151941879578E-4</v>
      </c>
      <c r="H58" s="83">
        <f t="shared" si="14"/>
        <v>15</v>
      </c>
    </row>
    <row r="59" spans="1:8" x14ac:dyDescent="0.3">
      <c r="A59" s="543">
        <v>34</v>
      </c>
      <c r="B59" t="s">
        <v>1142</v>
      </c>
      <c r="C59" s="221">
        <v>1</v>
      </c>
      <c r="D59" t="s">
        <v>1116</v>
      </c>
      <c r="E59" s="538">
        <f t="shared" si="12"/>
        <v>100000</v>
      </c>
      <c r="F59" s="153">
        <v>100000</v>
      </c>
      <c r="G59" s="537">
        <f t="shared" si="13"/>
        <v>4.2731887246308902E-4</v>
      </c>
      <c r="H59" s="83">
        <f t="shared" si="14"/>
        <v>19</v>
      </c>
    </row>
    <row r="60" spans="1:8" x14ac:dyDescent="0.3">
      <c r="A60" s="543">
        <v>35</v>
      </c>
      <c r="B60" t="s">
        <v>1143</v>
      </c>
      <c r="C60" s="221">
        <v>1</v>
      </c>
      <c r="D60" t="s">
        <v>1116</v>
      </c>
      <c r="E60" s="538">
        <f t="shared" si="12"/>
        <v>25000</v>
      </c>
      <c r="F60" s="153">
        <v>25000</v>
      </c>
      <c r="G60" s="537">
        <f t="shared" si="13"/>
        <v>1.0682971811577225E-4</v>
      </c>
      <c r="H60" s="83">
        <f t="shared" si="14"/>
        <v>35</v>
      </c>
    </row>
    <row r="61" spans="1:8" x14ac:dyDescent="0.3">
      <c r="A61" s="550" t="s">
        <v>1164</v>
      </c>
      <c r="B61" s="551"/>
      <c r="C61" s="551"/>
      <c r="D61" s="551"/>
      <c r="E61" s="551"/>
      <c r="F61" s="551"/>
      <c r="G61"/>
      <c r="H61"/>
    </row>
    <row r="62" spans="1:8" x14ac:dyDescent="0.3">
      <c r="A62" s="543">
        <v>36</v>
      </c>
      <c r="B62" t="s">
        <v>1131</v>
      </c>
      <c r="C62" s="221">
        <v>1</v>
      </c>
      <c r="D62" t="s">
        <v>1116</v>
      </c>
      <c r="E62" s="538">
        <f>F62/C62</f>
        <v>99172.86</v>
      </c>
      <c r="F62" s="153">
        <v>99172.86</v>
      </c>
      <c r="G62" s="537">
        <f>F62/$F$70</f>
        <v>4.2378434714139784E-4</v>
      </c>
      <c r="H62" s="83">
        <f>RANK(F62,$F$22:$F$69,0)</f>
        <v>24</v>
      </c>
    </row>
    <row r="63" spans="1:8" x14ac:dyDescent="0.3">
      <c r="A63" s="543">
        <v>37</v>
      </c>
      <c r="B63" t="s">
        <v>1157</v>
      </c>
      <c r="C63" s="221">
        <v>25</v>
      </c>
      <c r="D63" t="s">
        <v>1114</v>
      </c>
      <c r="E63" s="538">
        <f>F63/C63</f>
        <v>2415.8576000000003</v>
      </c>
      <c r="F63" s="153">
        <v>60396.44</v>
      </c>
      <c r="G63" s="537">
        <f>F63/$F$70</f>
        <v>2.5808538641584606E-4</v>
      </c>
      <c r="H63" s="83">
        <f>RANK(F63,$F$22:$F$69,0)</f>
        <v>30</v>
      </c>
    </row>
    <row r="64" spans="1:8" x14ac:dyDescent="0.3">
      <c r="A64" s="543">
        <v>38</v>
      </c>
      <c r="B64" t="s">
        <v>1158</v>
      </c>
      <c r="C64" s="221">
        <v>491000</v>
      </c>
      <c r="D64" t="s">
        <v>1118</v>
      </c>
      <c r="E64" s="538">
        <f>F64/C64</f>
        <v>21.22</v>
      </c>
      <c r="F64" s="153">
        <v>10419020</v>
      </c>
      <c r="G64" s="537">
        <f>F64/$F$70</f>
        <v>4.4522438785703736E-2</v>
      </c>
      <c r="H64" s="83">
        <f>RANK(F64,$F$22:$F$69,0)</f>
        <v>7</v>
      </c>
    </row>
    <row r="65" spans="1:8" x14ac:dyDescent="0.3">
      <c r="A65" s="543">
        <v>39</v>
      </c>
      <c r="B65" t="s">
        <v>1142</v>
      </c>
      <c r="C65" s="221">
        <v>1</v>
      </c>
      <c r="D65" t="s">
        <v>1116</v>
      </c>
      <c r="E65" s="538">
        <f>F65/C65</f>
        <v>100000</v>
      </c>
      <c r="F65" s="153">
        <v>100000</v>
      </c>
      <c r="G65" s="537">
        <f>F65/$F$70</f>
        <v>4.2731887246308902E-4</v>
      </c>
      <c r="H65" s="83">
        <f>RANK(F65,$F$22:$F$69,0)</f>
        <v>19</v>
      </c>
    </row>
    <row r="66" spans="1:8" x14ac:dyDescent="0.3">
      <c r="A66" s="543">
        <v>40</v>
      </c>
      <c r="B66" t="s">
        <v>1143</v>
      </c>
      <c r="C66" s="221">
        <v>1</v>
      </c>
      <c r="D66" t="s">
        <v>1116</v>
      </c>
      <c r="E66" s="538">
        <f>F66/C66</f>
        <v>25000</v>
      </c>
      <c r="F66" s="153">
        <v>25000</v>
      </c>
      <c r="G66" s="537">
        <f>F66/$F$70</f>
        <v>1.0682971811577225E-4</v>
      </c>
      <c r="H66" s="83">
        <f>RANK(F66,$F$22:$F$69,0)</f>
        <v>35</v>
      </c>
    </row>
    <row r="67" spans="1:8" x14ac:dyDescent="0.3">
      <c r="A67" s="550" t="s">
        <v>1165</v>
      </c>
      <c r="B67" s="551"/>
      <c r="C67" s="551"/>
      <c r="D67" s="551"/>
      <c r="E67" s="551"/>
      <c r="F67" s="551"/>
      <c r="G67"/>
      <c r="H67"/>
    </row>
    <row r="68" spans="1:8" x14ac:dyDescent="0.3">
      <c r="A68" s="543">
        <v>41</v>
      </c>
      <c r="B68" t="s">
        <v>1154</v>
      </c>
      <c r="C68" s="221">
        <v>1</v>
      </c>
      <c r="D68" t="s">
        <v>1116</v>
      </c>
      <c r="E68" s="538">
        <f>F68/C68</f>
        <v>15000</v>
      </c>
      <c r="F68" s="153">
        <v>15000</v>
      </c>
      <c r="G68" s="537">
        <f>F68/$F$70</f>
        <v>6.4097830869463352E-5</v>
      </c>
      <c r="H68" s="83">
        <f>RANK(F68,$F$22:$F$69,0)</f>
        <v>41</v>
      </c>
    </row>
    <row r="69" spans="1:8" x14ac:dyDescent="0.3">
      <c r="A69" s="543">
        <v>42</v>
      </c>
      <c r="B69" t="s">
        <v>1156</v>
      </c>
      <c r="C69" s="221">
        <v>44</v>
      </c>
      <c r="D69" t="s">
        <v>1159</v>
      </c>
      <c r="E69" s="538">
        <f>F69/C69</f>
        <v>5000</v>
      </c>
      <c r="F69" s="153">
        <v>220000</v>
      </c>
      <c r="G69" s="537">
        <f>F69/$F$70</f>
        <v>9.4010151941879578E-4</v>
      </c>
      <c r="H69" s="83">
        <f>RANK(F69,$F$22:$F$69,0)</f>
        <v>15</v>
      </c>
    </row>
    <row r="70" spans="1:8" ht="15" thickBot="1" x14ac:dyDescent="0.35">
      <c r="A70" s="539"/>
      <c r="B70" s="539" t="s">
        <v>678</v>
      </c>
      <c r="C70" s="539"/>
      <c r="D70" s="539"/>
      <c r="E70" s="539"/>
      <c r="F70" s="540">
        <f>SUM(F22:F69)</f>
        <v>234017279.47000003</v>
      </c>
      <c r="G70"/>
      <c r="H70" s="536"/>
    </row>
    <row r="71" spans="1:8" x14ac:dyDescent="0.3">
      <c r="A71"/>
      <c r="B71"/>
      <c r="C71"/>
      <c r="D71"/>
      <c r="E71"/>
      <c r="F71"/>
      <c r="G71"/>
      <c r="H71"/>
    </row>
    <row r="72" spans="1:8" ht="15" thickBot="1" x14ac:dyDescent="0.35"/>
    <row r="73" spans="1:8" x14ac:dyDescent="0.3">
      <c r="C73" s="784">
        <v>5</v>
      </c>
      <c r="D73" s="777" t="s">
        <v>1394</v>
      </c>
      <c r="E73" s="777"/>
      <c r="F73" s="778" cm="1">
        <f t="array" ref="F73">SUM(LARGE($F$22:$F$69,_xlfn.SEQUENCE(C73)))</f>
        <v>190613244</v>
      </c>
      <c r="G73" s="779" t="s">
        <v>1395</v>
      </c>
    </row>
    <row r="74" spans="1:8" ht="15" thickBot="1" x14ac:dyDescent="0.35">
      <c r="C74" s="780"/>
      <c r="D74" s="781"/>
      <c r="E74" s="781"/>
      <c r="F74" s="782">
        <f>F73/F70</f>
        <v>0.81452636502611664</v>
      </c>
      <c r="G74" s="783" t="s">
        <v>1396</v>
      </c>
    </row>
  </sheetData>
  <mergeCells count="2">
    <mergeCell ref="A1:F1"/>
    <mergeCell ref="Q1:V1"/>
  </mergeCells>
  <conditionalFormatting sqref="G22:G69">
    <cfRule type="top10" dxfId="25" priority="2" rank="10"/>
  </conditionalFormatting>
  <conditionalFormatting sqref="W6:W23">
    <cfRule type="top10" dxfId="24" priority="1" rank="10"/>
  </conditionalFormatting>
  <pageMargins left="0.25" right="0.25" top="0.25" bottom="0.5" header="0.25" footer="0.25"/>
  <pageSetup scale="69" orientation="portrait" r:id="rId1"/>
  <headerFooter>
    <oddFooter>&amp;CPage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pageSetUpPr fitToPage="1"/>
  </sheetPr>
  <dimension ref="A1:KT69"/>
  <sheetViews>
    <sheetView showGridLines="0" zoomScaleNormal="100" workbookViewId="0">
      <pane xSplit="1" ySplit="11" topLeftCell="B12" activePane="bottomRight" state="frozen"/>
      <selection activeCell="A3" sqref="A3"/>
      <selection pane="topRight" activeCell="A3" sqref="A3"/>
      <selection pane="bottomLeft" activeCell="A3" sqref="A3"/>
      <selection pane="bottomRight" activeCell="B12" sqref="B12"/>
    </sheetView>
  </sheetViews>
  <sheetFormatPr defaultColWidth="9.109375" defaultRowHeight="14.4" outlineLevelRow="1" outlineLevelCol="1" x14ac:dyDescent="0.3"/>
  <cols>
    <col min="1" max="1" width="58.5546875" bestFit="1" customWidth="1"/>
    <col min="2" max="4" width="10.5546875" customWidth="1"/>
    <col min="5" max="124" width="0.5546875" customWidth="1"/>
    <col min="125" max="304" width="0.5546875" hidden="1" customWidth="1" outlineLevel="1"/>
    <col min="305" max="305" width="44" bestFit="1" customWidth="1" collapsed="1"/>
  </cols>
  <sheetData>
    <row r="1" spans="1:306" ht="21" x14ac:dyDescent="0.4">
      <c r="A1" s="99" t="s">
        <v>691</v>
      </c>
      <c r="B1" s="99"/>
      <c r="C1" s="99"/>
      <c r="D1" s="99"/>
      <c r="E1" s="99"/>
      <c r="F1" s="99"/>
      <c r="G1" s="99"/>
      <c r="H1" s="99"/>
      <c r="I1" s="99"/>
      <c r="J1" s="99"/>
    </row>
    <row r="3" spans="1:306" hidden="1" outlineLevel="1" x14ac:dyDescent="0.3">
      <c r="B3" s="83"/>
      <c r="D3" s="98" t="s">
        <v>3</v>
      </c>
      <c r="E3" s="87">
        <f t="shared" ref="E3:AJ3" si="0">DATE(E4,E5,E6)</f>
        <v>44470</v>
      </c>
      <c r="F3" s="87">
        <f t="shared" si="0"/>
        <v>44501</v>
      </c>
      <c r="G3" s="87">
        <f t="shared" si="0"/>
        <v>44531</v>
      </c>
      <c r="H3" s="87">
        <f t="shared" si="0"/>
        <v>44562</v>
      </c>
      <c r="I3" s="87">
        <f t="shared" si="0"/>
        <v>44593</v>
      </c>
      <c r="J3" s="87">
        <f t="shared" si="0"/>
        <v>44621</v>
      </c>
      <c r="K3" s="87">
        <f t="shared" si="0"/>
        <v>44652</v>
      </c>
      <c r="L3" s="87">
        <f t="shared" si="0"/>
        <v>44682</v>
      </c>
      <c r="M3" s="87">
        <f t="shared" si="0"/>
        <v>44713</v>
      </c>
      <c r="N3" s="87">
        <f t="shared" si="0"/>
        <v>44743</v>
      </c>
      <c r="O3" s="87">
        <f t="shared" si="0"/>
        <v>44774</v>
      </c>
      <c r="P3" s="87">
        <f t="shared" si="0"/>
        <v>44805</v>
      </c>
      <c r="Q3" s="87">
        <f t="shared" si="0"/>
        <v>44835</v>
      </c>
      <c r="R3" s="87">
        <f t="shared" si="0"/>
        <v>44866</v>
      </c>
      <c r="S3" s="87">
        <f t="shared" si="0"/>
        <v>44896</v>
      </c>
      <c r="T3" s="87">
        <f t="shared" si="0"/>
        <v>44927</v>
      </c>
      <c r="U3" s="87">
        <f t="shared" si="0"/>
        <v>44958</v>
      </c>
      <c r="V3" s="87">
        <f t="shared" si="0"/>
        <v>44986</v>
      </c>
      <c r="W3" s="87">
        <f t="shared" si="0"/>
        <v>45017</v>
      </c>
      <c r="X3" s="87">
        <f t="shared" si="0"/>
        <v>45047</v>
      </c>
      <c r="Y3" s="87">
        <f t="shared" si="0"/>
        <v>45078</v>
      </c>
      <c r="Z3" s="87">
        <f t="shared" si="0"/>
        <v>45108</v>
      </c>
      <c r="AA3" s="87">
        <f t="shared" si="0"/>
        <v>45139</v>
      </c>
      <c r="AB3" s="87">
        <f t="shared" si="0"/>
        <v>45170</v>
      </c>
      <c r="AC3" s="87">
        <f t="shared" si="0"/>
        <v>45200</v>
      </c>
      <c r="AD3" s="87">
        <f t="shared" si="0"/>
        <v>45231</v>
      </c>
      <c r="AE3" s="87">
        <f t="shared" si="0"/>
        <v>45261</v>
      </c>
      <c r="AF3" s="87">
        <f t="shared" si="0"/>
        <v>45292</v>
      </c>
      <c r="AG3" s="87">
        <f t="shared" si="0"/>
        <v>45323</v>
      </c>
      <c r="AH3" s="87">
        <f t="shared" si="0"/>
        <v>45352</v>
      </c>
      <c r="AI3" s="87">
        <f t="shared" si="0"/>
        <v>45383</v>
      </c>
      <c r="AJ3" s="87">
        <f t="shared" si="0"/>
        <v>45413</v>
      </c>
      <c r="AK3" s="87">
        <f t="shared" ref="AK3:BP3" si="1">DATE(AK4,AK5,AK6)</f>
        <v>45444</v>
      </c>
      <c r="AL3" s="87">
        <f t="shared" si="1"/>
        <v>45474</v>
      </c>
      <c r="AM3" s="87">
        <f t="shared" si="1"/>
        <v>45505</v>
      </c>
      <c r="AN3" s="87">
        <f t="shared" si="1"/>
        <v>45536</v>
      </c>
      <c r="AO3" s="87">
        <f t="shared" si="1"/>
        <v>45566</v>
      </c>
      <c r="AP3" s="87">
        <f t="shared" si="1"/>
        <v>45597</v>
      </c>
      <c r="AQ3" s="87">
        <f t="shared" si="1"/>
        <v>45627</v>
      </c>
      <c r="AR3" s="87">
        <f t="shared" si="1"/>
        <v>45658</v>
      </c>
      <c r="AS3" s="87">
        <f t="shared" si="1"/>
        <v>45689</v>
      </c>
      <c r="AT3" s="87">
        <f t="shared" si="1"/>
        <v>45717</v>
      </c>
      <c r="AU3" s="87">
        <f t="shared" si="1"/>
        <v>45748</v>
      </c>
      <c r="AV3" s="87">
        <f t="shared" si="1"/>
        <v>45778</v>
      </c>
      <c r="AW3" s="87">
        <f t="shared" si="1"/>
        <v>45809</v>
      </c>
      <c r="AX3" s="87">
        <f t="shared" si="1"/>
        <v>45839</v>
      </c>
      <c r="AY3" s="87">
        <f t="shared" si="1"/>
        <v>45870</v>
      </c>
      <c r="AZ3" s="87">
        <f t="shared" si="1"/>
        <v>45901</v>
      </c>
      <c r="BA3" s="87">
        <f t="shared" si="1"/>
        <v>45931</v>
      </c>
      <c r="BB3" s="87">
        <f t="shared" si="1"/>
        <v>45962</v>
      </c>
      <c r="BC3" s="87">
        <f t="shared" si="1"/>
        <v>45992</v>
      </c>
      <c r="BD3" s="87">
        <f t="shared" si="1"/>
        <v>46023</v>
      </c>
      <c r="BE3" s="87">
        <f t="shared" si="1"/>
        <v>46054</v>
      </c>
      <c r="BF3" s="87">
        <f t="shared" si="1"/>
        <v>46082</v>
      </c>
      <c r="BG3" s="87">
        <f t="shared" si="1"/>
        <v>46113</v>
      </c>
      <c r="BH3" s="87">
        <f t="shared" si="1"/>
        <v>46143</v>
      </c>
      <c r="BI3" s="87">
        <f t="shared" si="1"/>
        <v>46174</v>
      </c>
      <c r="BJ3" s="87">
        <f t="shared" si="1"/>
        <v>46204</v>
      </c>
      <c r="BK3" s="87">
        <f t="shared" si="1"/>
        <v>46235</v>
      </c>
      <c r="BL3" s="87">
        <f t="shared" si="1"/>
        <v>46266</v>
      </c>
      <c r="BM3" s="87">
        <f t="shared" si="1"/>
        <v>46296</v>
      </c>
      <c r="BN3" s="87">
        <f t="shared" si="1"/>
        <v>46327</v>
      </c>
      <c r="BO3" s="87">
        <f t="shared" si="1"/>
        <v>46357</v>
      </c>
      <c r="BP3" s="87">
        <f t="shared" si="1"/>
        <v>46388</v>
      </c>
      <c r="BQ3" s="87">
        <f t="shared" ref="BQ3:CZ3" si="2">DATE(BQ4,BQ5,BQ6)</f>
        <v>46419</v>
      </c>
      <c r="BR3" s="87">
        <f t="shared" si="2"/>
        <v>46447</v>
      </c>
      <c r="BS3" s="87">
        <f t="shared" si="2"/>
        <v>46478</v>
      </c>
      <c r="BT3" s="87">
        <f t="shared" si="2"/>
        <v>46508</v>
      </c>
      <c r="BU3" s="87">
        <f t="shared" si="2"/>
        <v>46539</v>
      </c>
      <c r="BV3" s="87">
        <f t="shared" si="2"/>
        <v>46569</v>
      </c>
      <c r="BW3" s="87">
        <f t="shared" si="2"/>
        <v>46600</v>
      </c>
      <c r="BX3" s="87">
        <f t="shared" si="2"/>
        <v>46631</v>
      </c>
      <c r="BY3" s="87">
        <f t="shared" si="2"/>
        <v>46661</v>
      </c>
      <c r="BZ3" s="87">
        <f t="shared" si="2"/>
        <v>46692</v>
      </c>
      <c r="CA3" s="87">
        <f t="shared" si="2"/>
        <v>46722</v>
      </c>
      <c r="CB3" s="87">
        <f t="shared" si="2"/>
        <v>46753</v>
      </c>
      <c r="CC3" s="87">
        <f t="shared" si="2"/>
        <v>46784</v>
      </c>
      <c r="CD3" s="87">
        <f t="shared" si="2"/>
        <v>46813</v>
      </c>
      <c r="CE3" s="87">
        <f t="shared" si="2"/>
        <v>46844</v>
      </c>
      <c r="CF3" s="87">
        <f t="shared" si="2"/>
        <v>46874</v>
      </c>
      <c r="CG3" s="87">
        <f t="shared" si="2"/>
        <v>46905</v>
      </c>
      <c r="CH3" s="87">
        <f t="shared" si="2"/>
        <v>46935</v>
      </c>
      <c r="CI3" s="87">
        <f t="shared" si="2"/>
        <v>46966</v>
      </c>
      <c r="CJ3" s="87">
        <f t="shared" si="2"/>
        <v>46997</v>
      </c>
      <c r="CK3" s="87">
        <f t="shared" si="2"/>
        <v>47027</v>
      </c>
      <c r="CL3" s="87">
        <f t="shared" si="2"/>
        <v>47058</v>
      </c>
      <c r="CM3" s="87">
        <f t="shared" si="2"/>
        <v>47088</v>
      </c>
      <c r="CN3" s="87">
        <f t="shared" si="2"/>
        <v>47119</v>
      </c>
      <c r="CO3" s="87">
        <f t="shared" si="2"/>
        <v>47150</v>
      </c>
      <c r="CP3" s="87">
        <f t="shared" si="2"/>
        <v>47178</v>
      </c>
      <c r="CQ3" s="87">
        <f t="shared" si="2"/>
        <v>47209</v>
      </c>
      <c r="CR3" s="87">
        <f t="shared" si="2"/>
        <v>47239</v>
      </c>
      <c r="CS3" s="87">
        <f t="shared" si="2"/>
        <v>47270</v>
      </c>
      <c r="CT3" s="87">
        <f t="shared" si="2"/>
        <v>47300</v>
      </c>
      <c r="CU3" s="87">
        <f t="shared" si="2"/>
        <v>47331</v>
      </c>
      <c r="CV3" s="87">
        <f t="shared" si="2"/>
        <v>47362</v>
      </c>
      <c r="CW3" s="87">
        <f t="shared" si="2"/>
        <v>47392</v>
      </c>
      <c r="CX3" s="87">
        <f t="shared" si="2"/>
        <v>47423</v>
      </c>
      <c r="CY3" s="87">
        <f t="shared" si="2"/>
        <v>47453</v>
      </c>
      <c r="CZ3" s="87">
        <f t="shared" si="2"/>
        <v>47484</v>
      </c>
      <c r="DA3" s="87">
        <f t="shared" ref="DA3:FL3" si="3">DATE(DA4,DA5,DA6)</f>
        <v>47515</v>
      </c>
      <c r="DB3" s="87">
        <f t="shared" si="3"/>
        <v>47543</v>
      </c>
      <c r="DC3" s="87">
        <f t="shared" si="3"/>
        <v>47574</v>
      </c>
      <c r="DD3" s="87">
        <f t="shared" si="3"/>
        <v>47604</v>
      </c>
      <c r="DE3" s="87">
        <f t="shared" si="3"/>
        <v>47635</v>
      </c>
      <c r="DF3" s="87">
        <f t="shared" si="3"/>
        <v>47665</v>
      </c>
      <c r="DG3" s="87">
        <f t="shared" si="3"/>
        <v>47696</v>
      </c>
      <c r="DH3" s="87">
        <f t="shared" si="3"/>
        <v>47727</v>
      </c>
      <c r="DI3" s="87">
        <f t="shared" si="3"/>
        <v>47757</v>
      </c>
      <c r="DJ3" s="87">
        <f t="shared" si="3"/>
        <v>47788</v>
      </c>
      <c r="DK3" s="87">
        <f t="shared" si="3"/>
        <v>47818</v>
      </c>
      <c r="DL3" s="87">
        <f t="shared" si="3"/>
        <v>47849</v>
      </c>
      <c r="DM3" s="87">
        <f t="shared" si="3"/>
        <v>47880</v>
      </c>
      <c r="DN3" s="87">
        <f t="shared" si="3"/>
        <v>47908</v>
      </c>
      <c r="DO3" s="87">
        <f t="shared" si="3"/>
        <v>47939</v>
      </c>
      <c r="DP3" s="87">
        <f t="shared" si="3"/>
        <v>47969</v>
      </c>
      <c r="DQ3" s="87">
        <f t="shared" si="3"/>
        <v>48000</v>
      </c>
      <c r="DR3" s="87">
        <f t="shared" si="3"/>
        <v>48030</v>
      </c>
      <c r="DS3" s="87">
        <f t="shared" si="3"/>
        <v>48061</v>
      </c>
      <c r="DT3" s="87">
        <f t="shared" si="3"/>
        <v>48092</v>
      </c>
      <c r="DU3" s="87">
        <f t="shared" si="3"/>
        <v>48122</v>
      </c>
      <c r="DV3" s="87">
        <f t="shared" si="3"/>
        <v>48153</v>
      </c>
      <c r="DW3" s="87">
        <f t="shared" si="3"/>
        <v>48183</v>
      </c>
      <c r="DX3" s="87">
        <f t="shared" si="3"/>
        <v>48214</v>
      </c>
      <c r="DY3" s="87">
        <f t="shared" si="3"/>
        <v>48245</v>
      </c>
      <c r="DZ3" s="87">
        <f t="shared" si="3"/>
        <v>48274</v>
      </c>
      <c r="EA3" s="87">
        <f t="shared" si="3"/>
        <v>48305</v>
      </c>
      <c r="EB3" s="87">
        <f t="shared" si="3"/>
        <v>48335</v>
      </c>
      <c r="EC3" s="87">
        <f t="shared" si="3"/>
        <v>48366</v>
      </c>
      <c r="ED3" s="87">
        <f t="shared" si="3"/>
        <v>48396</v>
      </c>
      <c r="EE3" s="87">
        <f t="shared" si="3"/>
        <v>48427</v>
      </c>
      <c r="EF3" s="87">
        <f t="shared" si="3"/>
        <v>48458</v>
      </c>
      <c r="EG3" s="87">
        <f t="shared" si="3"/>
        <v>48488</v>
      </c>
      <c r="EH3" s="87">
        <f t="shared" si="3"/>
        <v>48519</v>
      </c>
      <c r="EI3" s="87">
        <f t="shared" si="3"/>
        <v>48549</v>
      </c>
      <c r="EJ3" s="87">
        <f t="shared" si="3"/>
        <v>48580</v>
      </c>
      <c r="EK3" s="87">
        <f t="shared" si="3"/>
        <v>48611</v>
      </c>
      <c r="EL3" s="87">
        <f t="shared" si="3"/>
        <v>48639</v>
      </c>
      <c r="EM3" s="87">
        <f t="shared" si="3"/>
        <v>48670</v>
      </c>
      <c r="EN3" s="87">
        <f t="shared" si="3"/>
        <v>48700</v>
      </c>
      <c r="EO3" s="87">
        <f t="shared" si="3"/>
        <v>48731</v>
      </c>
      <c r="EP3" s="87">
        <f t="shared" si="3"/>
        <v>48761</v>
      </c>
      <c r="EQ3" s="87">
        <f t="shared" si="3"/>
        <v>48792</v>
      </c>
      <c r="ER3" s="87">
        <f t="shared" si="3"/>
        <v>48823</v>
      </c>
      <c r="ES3" s="87">
        <f t="shared" si="3"/>
        <v>48853</v>
      </c>
      <c r="ET3" s="87">
        <f t="shared" si="3"/>
        <v>48884</v>
      </c>
      <c r="EU3" s="87">
        <f t="shared" si="3"/>
        <v>48914</v>
      </c>
      <c r="EV3" s="87">
        <f t="shared" si="3"/>
        <v>48945</v>
      </c>
      <c r="EW3" s="87">
        <f t="shared" si="3"/>
        <v>48976</v>
      </c>
      <c r="EX3" s="87">
        <f t="shared" si="3"/>
        <v>49004</v>
      </c>
      <c r="EY3" s="87">
        <f t="shared" si="3"/>
        <v>49035</v>
      </c>
      <c r="EZ3" s="87">
        <f t="shared" si="3"/>
        <v>49065</v>
      </c>
      <c r="FA3" s="87">
        <f t="shared" si="3"/>
        <v>49096</v>
      </c>
      <c r="FB3" s="87">
        <f t="shared" si="3"/>
        <v>49126</v>
      </c>
      <c r="FC3" s="87">
        <f t="shared" si="3"/>
        <v>49157</v>
      </c>
      <c r="FD3" s="87">
        <f t="shared" si="3"/>
        <v>49188</v>
      </c>
      <c r="FE3" s="87">
        <f t="shared" si="3"/>
        <v>49218</v>
      </c>
      <c r="FF3" s="87">
        <f t="shared" si="3"/>
        <v>49249</v>
      </c>
      <c r="FG3" s="87">
        <f t="shared" si="3"/>
        <v>49279</v>
      </c>
      <c r="FH3" s="87">
        <f t="shared" si="3"/>
        <v>49310</v>
      </c>
      <c r="FI3" s="87">
        <f t="shared" si="3"/>
        <v>49341</v>
      </c>
      <c r="FJ3" s="87">
        <f t="shared" si="3"/>
        <v>49369</v>
      </c>
      <c r="FK3" s="87">
        <f t="shared" si="3"/>
        <v>49400</v>
      </c>
      <c r="FL3" s="87">
        <f t="shared" si="3"/>
        <v>49430</v>
      </c>
      <c r="FM3" s="87">
        <f t="shared" ref="FM3:HX3" si="4">DATE(FM4,FM5,FM6)</f>
        <v>49461</v>
      </c>
      <c r="FN3" s="87">
        <f t="shared" si="4"/>
        <v>49491</v>
      </c>
      <c r="FO3" s="87">
        <f t="shared" si="4"/>
        <v>49522</v>
      </c>
      <c r="FP3" s="87">
        <f t="shared" si="4"/>
        <v>49553</v>
      </c>
      <c r="FQ3" s="87">
        <f t="shared" si="4"/>
        <v>49583</v>
      </c>
      <c r="FR3" s="87">
        <f t="shared" si="4"/>
        <v>49614</v>
      </c>
      <c r="FS3" s="87">
        <f t="shared" si="4"/>
        <v>49644</v>
      </c>
      <c r="FT3" s="87">
        <f t="shared" si="4"/>
        <v>49675</v>
      </c>
      <c r="FU3" s="87">
        <f t="shared" si="4"/>
        <v>49706</v>
      </c>
      <c r="FV3" s="87">
        <f t="shared" si="4"/>
        <v>49735</v>
      </c>
      <c r="FW3" s="87">
        <f t="shared" si="4"/>
        <v>49766</v>
      </c>
      <c r="FX3" s="87">
        <f t="shared" si="4"/>
        <v>49796</v>
      </c>
      <c r="FY3" s="87">
        <f t="shared" si="4"/>
        <v>49827</v>
      </c>
      <c r="FZ3" s="87">
        <f t="shared" si="4"/>
        <v>49857</v>
      </c>
      <c r="GA3" s="87">
        <f t="shared" si="4"/>
        <v>49888</v>
      </c>
      <c r="GB3" s="87">
        <f t="shared" si="4"/>
        <v>49919</v>
      </c>
      <c r="GC3" s="87">
        <f t="shared" si="4"/>
        <v>49949</v>
      </c>
      <c r="GD3" s="87">
        <f t="shared" si="4"/>
        <v>49980</v>
      </c>
      <c r="GE3" s="87">
        <f t="shared" si="4"/>
        <v>50010</v>
      </c>
      <c r="GF3" s="87">
        <f t="shared" si="4"/>
        <v>50041</v>
      </c>
      <c r="GG3" s="87">
        <f t="shared" si="4"/>
        <v>50072</v>
      </c>
      <c r="GH3" s="87">
        <f t="shared" si="4"/>
        <v>50100</v>
      </c>
      <c r="GI3" s="87">
        <f t="shared" si="4"/>
        <v>50131</v>
      </c>
      <c r="GJ3" s="87">
        <f t="shared" si="4"/>
        <v>50161</v>
      </c>
      <c r="GK3" s="87">
        <f t="shared" si="4"/>
        <v>50192</v>
      </c>
      <c r="GL3" s="87">
        <f t="shared" si="4"/>
        <v>50222</v>
      </c>
      <c r="GM3" s="87">
        <f t="shared" si="4"/>
        <v>50253</v>
      </c>
      <c r="GN3" s="87">
        <f t="shared" si="4"/>
        <v>50284</v>
      </c>
      <c r="GO3" s="87">
        <f t="shared" si="4"/>
        <v>50314</v>
      </c>
      <c r="GP3" s="87">
        <f t="shared" si="4"/>
        <v>50345</v>
      </c>
      <c r="GQ3" s="87">
        <f t="shared" si="4"/>
        <v>50375</v>
      </c>
      <c r="GR3" s="87">
        <f t="shared" si="4"/>
        <v>50406</v>
      </c>
      <c r="GS3" s="87">
        <f t="shared" si="4"/>
        <v>50437</v>
      </c>
      <c r="GT3" s="87">
        <f t="shared" si="4"/>
        <v>50465</v>
      </c>
      <c r="GU3" s="87">
        <f t="shared" si="4"/>
        <v>50496</v>
      </c>
      <c r="GV3" s="87">
        <f t="shared" si="4"/>
        <v>50526</v>
      </c>
      <c r="GW3" s="87">
        <f t="shared" si="4"/>
        <v>50557</v>
      </c>
      <c r="GX3" s="87">
        <f t="shared" si="4"/>
        <v>50587</v>
      </c>
      <c r="GY3" s="87">
        <f t="shared" si="4"/>
        <v>50618</v>
      </c>
      <c r="GZ3" s="87">
        <f t="shared" si="4"/>
        <v>50649</v>
      </c>
      <c r="HA3" s="87">
        <f t="shared" si="4"/>
        <v>50679</v>
      </c>
      <c r="HB3" s="87">
        <f t="shared" si="4"/>
        <v>50710</v>
      </c>
      <c r="HC3" s="87">
        <f t="shared" si="4"/>
        <v>50740</v>
      </c>
      <c r="HD3" s="87">
        <f t="shared" si="4"/>
        <v>50771</v>
      </c>
      <c r="HE3" s="87">
        <f t="shared" si="4"/>
        <v>50802</v>
      </c>
      <c r="HF3" s="87">
        <f t="shared" si="4"/>
        <v>50830</v>
      </c>
      <c r="HG3" s="87">
        <f t="shared" si="4"/>
        <v>50861</v>
      </c>
      <c r="HH3" s="87">
        <f t="shared" si="4"/>
        <v>50891</v>
      </c>
      <c r="HI3" s="87">
        <f t="shared" si="4"/>
        <v>50922</v>
      </c>
      <c r="HJ3" s="87">
        <f t="shared" si="4"/>
        <v>50952</v>
      </c>
      <c r="HK3" s="87">
        <f t="shared" si="4"/>
        <v>50983</v>
      </c>
      <c r="HL3" s="87">
        <f t="shared" si="4"/>
        <v>51014</v>
      </c>
      <c r="HM3" s="87">
        <f t="shared" si="4"/>
        <v>51044</v>
      </c>
      <c r="HN3" s="87">
        <f t="shared" si="4"/>
        <v>51075</v>
      </c>
      <c r="HO3" s="87">
        <f t="shared" si="4"/>
        <v>51105</v>
      </c>
      <c r="HP3" s="87">
        <f t="shared" si="4"/>
        <v>51136</v>
      </c>
      <c r="HQ3" s="87">
        <f t="shared" si="4"/>
        <v>51167</v>
      </c>
      <c r="HR3" s="87">
        <f t="shared" si="4"/>
        <v>51196</v>
      </c>
      <c r="HS3" s="87">
        <f t="shared" si="4"/>
        <v>51227</v>
      </c>
      <c r="HT3" s="87">
        <f t="shared" si="4"/>
        <v>51257</v>
      </c>
      <c r="HU3" s="87">
        <f t="shared" si="4"/>
        <v>51288</v>
      </c>
      <c r="HV3" s="87">
        <f t="shared" si="4"/>
        <v>51318</v>
      </c>
      <c r="HW3" s="87">
        <f t="shared" si="4"/>
        <v>51349</v>
      </c>
      <c r="HX3" s="87">
        <f t="shared" si="4"/>
        <v>51380</v>
      </c>
      <c r="HY3" s="87">
        <f t="shared" ref="HY3:KJ3" si="5">DATE(HY4,HY5,HY6)</f>
        <v>51410</v>
      </c>
      <c r="HZ3" s="87">
        <f t="shared" si="5"/>
        <v>51441</v>
      </c>
      <c r="IA3" s="87">
        <f t="shared" si="5"/>
        <v>51471</v>
      </c>
      <c r="IB3" s="87">
        <f t="shared" si="5"/>
        <v>51502</v>
      </c>
      <c r="IC3" s="87">
        <f t="shared" si="5"/>
        <v>51533</v>
      </c>
      <c r="ID3" s="87">
        <f t="shared" si="5"/>
        <v>51561</v>
      </c>
      <c r="IE3" s="87">
        <f t="shared" si="5"/>
        <v>51592</v>
      </c>
      <c r="IF3" s="87">
        <f t="shared" si="5"/>
        <v>51622</v>
      </c>
      <c r="IG3" s="87">
        <f t="shared" si="5"/>
        <v>51653</v>
      </c>
      <c r="IH3" s="87">
        <f t="shared" si="5"/>
        <v>51683</v>
      </c>
      <c r="II3" s="87">
        <f t="shared" si="5"/>
        <v>51714</v>
      </c>
      <c r="IJ3" s="87">
        <f t="shared" si="5"/>
        <v>51745</v>
      </c>
      <c r="IK3" s="87">
        <f t="shared" si="5"/>
        <v>51775</v>
      </c>
      <c r="IL3" s="87">
        <f t="shared" si="5"/>
        <v>51806</v>
      </c>
      <c r="IM3" s="87">
        <f t="shared" si="5"/>
        <v>51836</v>
      </c>
      <c r="IN3" s="87">
        <f t="shared" si="5"/>
        <v>51867</v>
      </c>
      <c r="IO3" s="87">
        <f t="shared" si="5"/>
        <v>51898</v>
      </c>
      <c r="IP3" s="87">
        <f t="shared" si="5"/>
        <v>51926</v>
      </c>
      <c r="IQ3" s="87">
        <f t="shared" si="5"/>
        <v>51957</v>
      </c>
      <c r="IR3" s="87">
        <f t="shared" si="5"/>
        <v>51987</v>
      </c>
      <c r="IS3" s="87">
        <f t="shared" si="5"/>
        <v>52018</v>
      </c>
      <c r="IT3" s="87">
        <f t="shared" si="5"/>
        <v>52048</v>
      </c>
      <c r="IU3" s="87">
        <f t="shared" si="5"/>
        <v>52079</v>
      </c>
      <c r="IV3" s="87">
        <f t="shared" si="5"/>
        <v>52110</v>
      </c>
      <c r="IW3" s="87">
        <f t="shared" si="5"/>
        <v>52140</v>
      </c>
      <c r="IX3" s="87">
        <f t="shared" si="5"/>
        <v>52171</v>
      </c>
      <c r="IY3" s="87">
        <f t="shared" si="5"/>
        <v>52201</v>
      </c>
      <c r="IZ3" s="87">
        <f t="shared" si="5"/>
        <v>52232</v>
      </c>
      <c r="JA3" s="87">
        <f t="shared" si="5"/>
        <v>52263</v>
      </c>
      <c r="JB3" s="87">
        <f t="shared" si="5"/>
        <v>52291</v>
      </c>
      <c r="JC3" s="87">
        <f t="shared" si="5"/>
        <v>52322</v>
      </c>
      <c r="JD3" s="87">
        <f t="shared" si="5"/>
        <v>52352</v>
      </c>
      <c r="JE3" s="87">
        <f t="shared" si="5"/>
        <v>52383</v>
      </c>
      <c r="JF3" s="87">
        <f t="shared" si="5"/>
        <v>52413</v>
      </c>
      <c r="JG3" s="87">
        <f t="shared" si="5"/>
        <v>52444</v>
      </c>
      <c r="JH3" s="87">
        <f t="shared" si="5"/>
        <v>52475</v>
      </c>
      <c r="JI3" s="87">
        <f t="shared" si="5"/>
        <v>52505</v>
      </c>
      <c r="JJ3" s="87">
        <f t="shared" si="5"/>
        <v>52536</v>
      </c>
      <c r="JK3" s="87">
        <f t="shared" si="5"/>
        <v>52566</v>
      </c>
      <c r="JL3" s="87">
        <f t="shared" si="5"/>
        <v>52597</v>
      </c>
      <c r="JM3" s="87">
        <f t="shared" si="5"/>
        <v>52628</v>
      </c>
      <c r="JN3" s="87">
        <f t="shared" si="5"/>
        <v>52657</v>
      </c>
      <c r="JO3" s="87">
        <f t="shared" si="5"/>
        <v>52688</v>
      </c>
      <c r="JP3" s="87">
        <f t="shared" si="5"/>
        <v>52718</v>
      </c>
      <c r="JQ3" s="87">
        <f t="shared" si="5"/>
        <v>52749</v>
      </c>
      <c r="JR3" s="87">
        <f t="shared" si="5"/>
        <v>52779</v>
      </c>
      <c r="JS3" s="87">
        <f t="shared" si="5"/>
        <v>52810</v>
      </c>
      <c r="JT3" s="87">
        <f t="shared" si="5"/>
        <v>52841</v>
      </c>
      <c r="JU3" s="87">
        <f t="shared" si="5"/>
        <v>52871</v>
      </c>
      <c r="JV3" s="87">
        <f t="shared" si="5"/>
        <v>52902</v>
      </c>
      <c r="JW3" s="87">
        <f t="shared" si="5"/>
        <v>52932</v>
      </c>
      <c r="JX3" s="87">
        <f t="shared" si="5"/>
        <v>52963</v>
      </c>
      <c r="JY3" s="87">
        <f t="shared" si="5"/>
        <v>52994</v>
      </c>
      <c r="JZ3" s="87">
        <f t="shared" si="5"/>
        <v>53022</v>
      </c>
      <c r="KA3" s="87">
        <f t="shared" si="5"/>
        <v>53053</v>
      </c>
      <c r="KB3" s="87">
        <f t="shared" si="5"/>
        <v>53083</v>
      </c>
      <c r="KC3" s="87">
        <f t="shared" si="5"/>
        <v>53114</v>
      </c>
      <c r="KD3" s="87">
        <f t="shared" si="5"/>
        <v>53144</v>
      </c>
      <c r="KE3" s="87">
        <f t="shared" si="5"/>
        <v>53175</v>
      </c>
      <c r="KF3" s="87">
        <f t="shared" si="5"/>
        <v>53206</v>
      </c>
      <c r="KG3" s="87">
        <f t="shared" si="5"/>
        <v>53236</v>
      </c>
      <c r="KH3" s="87">
        <f t="shared" si="5"/>
        <v>53267</v>
      </c>
      <c r="KI3" s="87">
        <f t="shared" si="5"/>
        <v>53297</v>
      </c>
      <c r="KJ3" s="87">
        <f t="shared" si="5"/>
        <v>53328</v>
      </c>
      <c r="KK3" s="87">
        <f t="shared" ref="KK3:KR3" si="6">DATE(KK4,KK5,KK6)</f>
        <v>53359</v>
      </c>
      <c r="KL3" s="87">
        <f t="shared" si="6"/>
        <v>53387</v>
      </c>
      <c r="KM3" s="87">
        <f t="shared" si="6"/>
        <v>53418</v>
      </c>
      <c r="KN3" s="87">
        <f t="shared" si="6"/>
        <v>53448</v>
      </c>
      <c r="KO3" s="87">
        <f t="shared" si="6"/>
        <v>53479</v>
      </c>
      <c r="KP3" s="87">
        <f t="shared" si="6"/>
        <v>53509</v>
      </c>
      <c r="KQ3" s="87">
        <f t="shared" si="6"/>
        <v>53540</v>
      </c>
      <c r="KR3" s="87">
        <f t="shared" si="6"/>
        <v>53571</v>
      </c>
    </row>
    <row r="4" spans="1:306" hidden="1" outlineLevel="1" x14ac:dyDescent="0.3">
      <c r="B4" s="83"/>
      <c r="D4" s="98" t="s">
        <v>687</v>
      </c>
      <c r="E4" s="98">
        <f>B28-1</f>
        <v>2021</v>
      </c>
      <c r="F4" s="98">
        <f>E4</f>
        <v>2021</v>
      </c>
      <c r="G4" s="98">
        <f>F4</f>
        <v>2021</v>
      </c>
      <c r="H4" s="98">
        <f>G4+1</f>
        <v>2022</v>
      </c>
      <c r="I4" s="98">
        <f t="shared" ref="I4:S4" si="7">H4</f>
        <v>2022</v>
      </c>
      <c r="J4" s="98">
        <f t="shared" si="7"/>
        <v>2022</v>
      </c>
      <c r="K4" s="98">
        <f t="shared" si="7"/>
        <v>2022</v>
      </c>
      <c r="L4" s="98">
        <f t="shared" si="7"/>
        <v>2022</v>
      </c>
      <c r="M4" s="98">
        <f t="shared" si="7"/>
        <v>2022</v>
      </c>
      <c r="N4" s="98">
        <f t="shared" si="7"/>
        <v>2022</v>
      </c>
      <c r="O4" s="98">
        <f t="shared" si="7"/>
        <v>2022</v>
      </c>
      <c r="P4" s="98">
        <f t="shared" si="7"/>
        <v>2022</v>
      </c>
      <c r="Q4" s="8">
        <f t="shared" si="7"/>
        <v>2022</v>
      </c>
      <c r="R4" s="8">
        <f t="shared" si="7"/>
        <v>2022</v>
      </c>
      <c r="S4" s="8">
        <f t="shared" si="7"/>
        <v>2022</v>
      </c>
      <c r="T4" s="8">
        <f>S4+1</f>
        <v>2023</v>
      </c>
      <c r="U4" s="8">
        <f t="shared" ref="U4:AE4" si="8">T4</f>
        <v>2023</v>
      </c>
      <c r="V4" s="8">
        <f t="shared" si="8"/>
        <v>2023</v>
      </c>
      <c r="W4" s="8">
        <f t="shared" si="8"/>
        <v>2023</v>
      </c>
      <c r="X4" s="8">
        <f t="shared" si="8"/>
        <v>2023</v>
      </c>
      <c r="Y4" s="8">
        <f t="shared" si="8"/>
        <v>2023</v>
      </c>
      <c r="Z4" s="8">
        <f t="shared" si="8"/>
        <v>2023</v>
      </c>
      <c r="AA4" s="8">
        <f t="shared" si="8"/>
        <v>2023</v>
      </c>
      <c r="AB4" s="8">
        <f t="shared" si="8"/>
        <v>2023</v>
      </c>
      <c r="AC4" s="8">
        <f t="shared" si="8"/>
        <v>2023</v>
      </c>
      <c r="AD4" s="8">
        <f t="shared" si="8"/>
        <v>2023</v>
      </c>
      <c r="AE4" s="8">
        <f t="shared" si="8"/>
        <v>2023</v>
      </c>
      <c r="AF4" s="8">
        <f>AE4+1</f>
        <v>2024</v>
      </c>
      <c r="AG4" s="8">
        <f t="shared" ref="AG4:AQ4" si="9">AF4</f>
        <v>2024</v>
      </c>
      <c r="AH4" s="8">
        <f t="shared" si="9"/>
        <v>2024</v>
      </c>
      <c r="AI4" s="8">
        <f t="shared" si="9"/>
        <v>2024</v>
      </c>
      <c r="AJ4" s="8">
        <f t="shared" si="9"/>
        <v>2024</v>
      </c>
      <c r="AK4" s="8">
        <f t="shared" si="9"/>
        <v>2024</v>
      </c>
      <c r="AL4" s="8">
        <f t="shared" si="9"/>
        <v>2024</v>
      </c>
      <c r="AM4" s="8">
        <f t="shared" si="9"/>
        <v>2024</v>
      </c>
      <c r="AN4" s="8">
        <f t="shared" si="9"/>
        <v>2024</v>
      </c>
      <c r="AO4" s="8">
        <f t="shared" si="9"/>
        <v>2024</v>
      </c>
      <c r="AP4" s="8">
        <f t="shared" si="9"/>
        <v>2024</v>
      </c>
      <c r="AQ4" s="8">
        <f t="shared" si="9"/>
        <v>2024</v>
      </c>
      <c r="AR4" s="8">
        <f>AQ4+1</f>
        <v>2025</v>
      </c>
      <c r="AS4" s="8">
        <f t="shared" ref="AS4:BC4" si="10">AR4</f>
        <v>2025</v>
      </c>
      <c r="AT4" s="8">
        <f t="shared" si="10"/>
        <v>2025</v>
      </c>
      <c r="AU4" s="8">
        <f t="shared" si="10"/>
        <v>2025</v>
      </c>
      <c r="AV4" s="8">
        <f t="shared" si="10"/>
        <v>2025</v>
      </c>
      <c r="AW4" s="8">
        <f t="shared" si="10"/>
        <v>2025</v>
      </c>
      <c r="AX4" s="8">
        <f t="shared" si="10"/>
        <v>2025</v>
      </c>
      <c r="AY4" s="8">
        <f t="shared" si="10"/>
        <v>2025</v>
      </c>
      <c r="AZ4" s="8">
        <f t="shared" si="10"/>
        <v>2025</v>
      </c>
      <c r="BA4" s="8">
        <f t="shared" si="10"/>
        <v>2025</v>
      </c>
      <c r="BB4" s="8">
        <f t="shared" si="10"/>
        <v>2025</v>
      </c>
      <c r="BC4" s="8">
        <f t="shared" si="10"/>
        <v>2025</v>
      </c>
      <c r="BD4" s="8">
        <f>BC4+1</f>
        <v>2026</v>
      </c>
      <c r="BE4" s="8">
        <f t="shared" ref="BE4:BO4" si="11">BD4</f>
        <v>2026</v>
      </c>
      <c r="BF4" s="8">
        <f t="shared" si="11"/>
        <v>2026</v>
      </c>
      <c r="BG4" s="8">
        <f t="shared" si="11"/>
        <v>2026</v>
      </c>
      <c r="BH4" s="8">
        <f t="shared" si="11"/>
        <v>2026</v>
      </c>
      <c r="BI4" s="8">
        <f t="shared" si="11"/>
        <v>2026</v>
      </c>
      <c r="BJ4" s="8">
        <f t="shared" si="11"/>
        <v>2026</v>
      </c>
      <c r="BK4" s="8">
        <f t="shared" si="11"/>
        <v>2026</v>
      </c>
      <c r="BL4" s="8">
        <f t="shared" si="11"/>
        <v>2026</v>
      </c>
      <c r="BM4" s="8">
        <f t="shared" si="11"/>
        <v>2026</v>
      </c>
      <c r="BN4" s="8">
        <f t="shared" si="11"/>
        <v>2026</v>
      </c>
      <c r="BO4" s="8">
        <f t="shared" si="11"/>
        <v>2026</v>
      </c>
      <c r="BP4" s="8">
        <f>BO4+1</f>
        <v>2027</v>
      </c>
      <c r="BQ4" s="8">
        <f t="shared" ref="BQ4:BX4" si="12">BP4</f>
        <v>2027</v>
      </c>
      <c r="BR4" s="8">
        <f t="shared" si="12"/>
        <v>2027</v>
      </c>
      <c r="BS4" s="8">
        <f t="shared" si="12"/>
        <v>2027</v>
      </c>
      <c r="BT4" s="8">
        <f t="shared" si="12"/>
        <v>2027</v>
      </c>
      <c r="BU4" s="8">
        <f t="shared" si="12"/>
        <v>2027</v>
      </c>
      <c r="BV4" s="8">
        <f t="shared" si="12"/>
        <v>2027</v>
      </c>
      <c r="BW4" s="8">
        <f t="shared" si="12"/>
        <v>2027</v>
      </c>
      <c r="BX4" s="8">
        <f t="shared" si="12"/>
        <v>2027</v>
      </c>
      <c r="BY4" s="8">
        <f t="shared" ref="BY4" si="13">BX4</f>
        <v>2027</v>
      </c>
      <c r="BZ4" s="8">
        <f t="shared" ref="BZ4" si="14">BY4</f>
        <v>2027</v>
      </c>
      <c r="CA4" s="8">
        <f t="shared" ref="CA4" si="15">BZ4</f>
        <v>2027</v>
      </c>
      <c r="CB4" s="8">
        <f>CA4+1</f>
        <v>2028</v>
      </c>
      <c r="CC4" s="8">
        <f t="shared" ref="CC4" si="16">CB4</f>
        <v>2028</v>
      </c>
      <c r="CD4" s="8">
        <f t="shared" ref="CD4" si="17">CC4</f>
        <v>2028</v>
      </c>
      <c r="CE4" s="8">
        <f t="shared" ref="CE4" si="18">CD4</f>
        <v>2028</v>
      </c>
      <c r="CF4" s="8">
        <f t="shared" ref="CF4" si="19">CE4</f>
        <v>2028</v>
      </c>
      <c r="CG4" s="8">
        <f t="shared" ref="CG4" si="20">CF4</f>
        <v>2028</v>
      </c>
      <c r="CH4" s="8">
        <f t="shared" ref="CH4" si="21">CG4</f>
        <v>2028</v>
      </c>
      <c r="CI4" s="8">
        <f t="shared" ref="CI4" si="22">CH4</f>
        <v>2028</v>
      </c>
      <c r="CJ4" s="8">
        <f t="shared" ref="CJ4" si="23">CI4</f>
        <v>2028</v>
      </c>
      <c r="CK4" s="8">
        <f t="shared" ref="CK4" si="24">CJ4</f>
        <v>2028</v>
      </c>
      <c r="CL4" s="8">
        <f t="shared" ref="CL4" si="25">CK4</f>
        <v>2028</v>
      </c>
      <c r="CM4" s="8">
        <f t="shared" ref="CM4" si="26">CL4</f>
        <v>2028</v>
      </c>
      <c r="CN4" s="8">
        <f>CM4+1</f>
        <v>2029</v>
      </c>
      <c r="CO4" s="8">
        <f t="shared" ref="CO4" si="27">CN4</f>
        <v>2029</v>
      </c>
      <c r="CP4" s="8">
        <f t="shared" ref="CP4" si="28">CO4</f>
        <v>2029</v>
      </c>
      <c r="CQ4" s="8">
        <f t="shared" ref="CQ4" si="29">CP4</f>
        <v>2029</v>
      </c>
      <c r="CR4" s="8">
        <f t="shared" ref="CR4" si="30">CQ4</f>
        <v>2029</v>
      </c>
      <c r="CS4" s="8">
        <f t="shared" ref="CS4" si="31">CR4</f>
        <v>2029</v>
      </c>
      <c r="CT4" s="8">
        <f t="shared" ref="CT4" si="32">CS4</f>
        <v>2029</v>
      </c>
      <c r="CU4" s="8">
        <f t="shared" ref="CU4" si="33">CT4</f>
        <v>2029</v>
      </c>
      <c r="CV4" s="8">
        <f t="shared" ref="CV4" si="34">CU4</f>
        <v>2029</v>
      </c>
      <c r="CW4" s="8">
        <f t="shared" ref="CW4" si="35">CV4</f>
        <v>2029</v>
      </c>
      <c r="CX4" s="8">
        <f t="shared" ref="CX4" si="36">CW4</f>
        <v>2029</v>
      </c>
      <c r="CY4" s="8">
        <f t="shared" ref="CY4" si="37">CX4</f>
        <v>2029</v>
      </c>
      <c r="CZ4" s="8">
        <f>CY4+1</f>
        <v>2030</v>
      </c>
      <c r="DA4" s="8">
        <f t="shared" ref="DA4" si="38">CZ4</f>
        <v>2030</v>
      </c>
      <c r="DB4" s="8">
        <f t="shared" ref="DB4" si="39">DA4</f>
        <v>2030</v>
      </c>
      <c r="DC4" s="8">
        <f t="shared" ref="DC4" si="40">DB4</f>
        <v>2030</v>
      </c>
      <c r="DD4" s="8">
        <f t="shared" ref="DD4" si="41">DC4</f>
        <v>2030</v>
      </c>
      <c r="DE4" s="8">
        <f t="shared" ref="DE4" si="42">DD4</f>
        <v>2030</v>
      </c>
      <c r="DF4" s="8">
        <f t="shared" ref="DF4" si="43">DE4</f>
        <v>2030</v>
      </c>
      <c r="DG4" s="8">
        <f t="shared" ref="DG4" si="44">DF4</f>
        <v>2030</v>
      </c>
      <c r="DH4" s="8">
        <f t="shared" ref="DH4" si="45">DG4</f>
        <v>2030</v>
      </c>
      <c r="DI4" s="8">
        <f t="shared" ref="DI4" si="46">DH4</f>
        <v>2030</v>
      </c>
      <c r="DJ4" s="8">
        <f t="shared" ref="DJ4" si="47">DI4</f>
        <v>2030</v>
      </c>
      <c r="DK4" s="8">
        <f t="shared" ref="DK4" si="48">DJ4</f>
        <v>2030</v>
      </c>
      <c r="DL4" s="8">
        <f>DK4+1</f>
        <v>2031</v>
      </c>
      <c r="DM4" s="8">
        <f t="shared" ref="DM4" si="49">DL4</f>
        <v>2031</v>
      </c>
      <c r="DN4" s="8">
        <f t="shared" ref="DN4" si="50">DM4</f>
        <v>2031</v>
      </c>
      <c r="DO4" s="8">
        <f t="shared" ref="DO4" si="51">DN4</f>
        <v>2031</v>
      </c>
      <c r="DP4" s="8">
        <f t="shared" ref="DP4" si="52">DO4</f>
        <v>2031</v>
      </c>
      <c r="DQ4" s="8">
        <f t="shared" ref="DQ4" si="53">DP4</f>
        <v>2031</v>
      </c>
      <c r="DR4" s="8">
        <f t="shared" ref="DR4" si="54">DQ4</f>
        <v>2031</v>
      </c>
      <c r="DS4" s="8">
        <f t="shared" ref="DS4" si="55">DR4</f>
        <v>2031</v>
      </c>
      <c r="DT4" s="8">
        <f t="shared" ref="DT4" si="56">DS4</f>
        <v>2031</v>
      </c>
      <c r="DU4" s="8">
        <f t="shared" ref="DU4" si="57">DT4</f>
        <v>2031</v>
      </c>
      <c r="DV4" s="8">
        <f t="shared" ref="DV4" si="58">DU4</f>
        <v>2031</v>
      </c>
      <c r="DW4" s="8">
        <f t="shared" ref="DW4" si="59">DV4</f>
        <v>2031</v>
      </c>
      <c r="DX4" s="8">
        <f>DW4+1</f>
        <v>2032</v>
      </c>
      <c r="DY4" s="8">
        <f t="shared" ref="DY4" si="60">DX4</f>
        <v>2032</v>
      </c>
      <c r="DZ4" s="8">
        <f t="shared" ref="DZ4" si="61">DY4</f>
        <v>2032</v>
      </c>
      <c r="EA4" s="8">
        <f t="shared" ref="EA4" si="62">DZ4</f>
        <v>2032</v>
      </c>
      <c r="EB4" s="8">
        <f t="shared" ref="EB4" si="63">EA4</f>
        <v>2032</v>
      </c>
      <c r="EC4" s="8">
        <f t="shared" ref="EC4" si="64">EB4</f>
        <v>2032</v>
      </c>
      <c r="ED4" s="8">
        <f t="shared" ref="ED4" si="65">EC4</f>
        <v>2032</v>
      </c>
      <c r="EE4" s="8">
        <f t="shared" ref="EE4" si="66">ED4</f>
        <v>2032</v>
      </c>
      <c r="EF4" s="8">
        <f t="shared" ref="EF4" si="67">EE4</f>
        <v>2032</v>
      </c>
      <c r="EG4" s="98">
        <f t="shared" ref="EG4" si="68">EF4</f>
        <v>2032</v>
      </c>
      <c r="EH4" s="98">
        <f t="shared" ref="EH4" si="69">EG4</f>
        <v>2032</v>
      </c>
      <c r="EI4" s="98">
        <f t="shared" ref="EI4" si="70">EH4</f>
        <v>2032</v>
      </c>
      <c r="EJ4" s="98">
        <f>EI4+1</f>
        <v>2033</v>
      </c>
      <c r="EK4" s="98">
        <f t="shared" ref="EK4" si="71">EJ4</f>
        <v>2033</v>
      </c>
      <c r="EL4" s="98">
        <f t="shared" ref="EL4" si="72">EK4</f>
        <v>2033</v>
      </c>
      <c r="EM4" s="98">
        <f t="shared" ref="EM4" si="73">EL4</f>
        <v>2033</v>
      </c>
      <c r="EN4" s="98">
        <f t="shared" ref="EN4" si="74">EM4</f>
        <v>2033</v>
      </c>
      <c r="EO4" s="98">
        <f t="shared" ref="EO4" si="75">EN4</f>
        <v>2033</v>
      </c>
      <c r="EP4" s="98">
        <f t="shared" ref="EP4" si="76">EO4</f>
        <v>2033</v>
      </c>
      <c r="EQ4" s="98">
        <f t="shared" ref="EQ4" si="77">EP4</f>
        <v>2033</v>
      </c>
      <c r="ER4" s="98">
        <f t="shared" ref="ER4" si="78">EQ4</f>
        <v>2033</v>
      </c>
      <c r="ES4" s="98">
        <f t="shared" ref="ES4" si="79">ER4</f>
        <v>2033</v>
      </c>
      <c r="ET4" s="98">
        <f t="shared" ref="ET4" si="80">ES4</f>
        <v>2033</v>
      </c>
      <c r="EU4" s="98">
        <f t="shared" ref="EU4" si="81">ET4</f>
        <v>2033</v>
      </c>
      <c r="EV4" s="98">
        <f>EU4+1</f>
        <v>2034</v>
      </c>
      <c r="EW4" s="98">
        <f t="shared" ref="EW4" si="82">EV4</f>
        <v>2034</v>
      </c>
      <c r="EX4" s="98">
        <f t="shared" ref="EX4" si="83">EW4</f>
        <v>2034</v>
      </c>
      <c r="EY4" s="98">
        <f t="shared" ref="EY4" si="84">EX4</f>
        <v>2034</v>
      </c>
      <c r="EZ4" s="98">
        <f t="shared" ref="EZ4" si="85">EY4</f>
        <v>2034</v>
      </c>
      <c r="FA4" s="98">
        <f t="shared" ref="FA4" si="86">EZ4</f>
        <v>2034</v>
      </c>
      <c r="FB4" s="98">
        <f t="shared" ref="FB4" si="87">FA4</f>
        <v>2034</v>
      </c>
      <c r="FC4" s="98">
        <f t="shared" ref="FC4" si="88">FB4</f>
        <v>2034</v>
      </c>
      <c r="FD4" s="98">
        <f t="shared" ref="FD4" si="89">FC4</f>
        <v>2034</v>
      </c>
      <c r="FE4" s="98">
        <f t="shared" ref="FE4" si="90">FD4</f>
        <v>2034</v>
      </c>
      <c r="FF4" s="98">
        <f t="shared" ref="FF4" si="91">FE4</f>
        <v>2034</v>
      </c>
      <c r="FG4" s="98">
        <f t="shared" ref="FG4" si="92">FF4</f>
        <v>2034</v>
      </c>
      <c r="FH4" s="98">
        <f>FG4+1</f>
        <v>2035</v>
      </c>
      <c r="FI4" s="98">
        <f t="shared" ref="FI4" si="93">FH4</f>
        <v>2035</v>
      </c>
      <c r="FJ4" s="98">
        <f t="shared" ref="FJ4" si="94">FI4</f>
        <v>2035</v>
      </c>
      <c r="FK4" s="98">
        <f t="shared" ref="FK4" si="95">FJ4</f>
        <v>2035</v>
      </c>
      <c r="FL4" s="98">
        <f t="shared" ref="FL4" si="96">FK4</f>
        <v>2035</v>
      </c>
      <c r="FM4" s="98">
        <f t="shared" ref="FM4" si="97">FL4</f>
        <v>2035</v>
      </c>
      <c r="FN4" s="98">
        <f t="shared" ref="FN4" si="98">FM4</f>
        <v>2035</v>
      </c>
      <c r="FO4" s="98">
        <f t="shared" ref="FO4" si="99">FN4</f>
        <v>2035</v>
      </c>
      <c r="FP4" s="98">
        <f t="shared" ref="FP4" si="100">FO4</f>
        <v>2035</v>
      </c>
      <c r="FQ4" s="98">
        <f t="shared" ref="FQ4" si="101">FP4</f>
        <v>2035</v>
      </c>
      <c r="FR4" s="98">
        <f t="shared" ref="FR4" si="102">FQ4</f>
        <v>2035</v>
      </c>
      <c r="FS4" s="98">
        <f t="shared" ref="FS4" si="103">FR4</f>
        <v>2035</v>
      </c>
      <c r="FT4" s="98">
        <f>FS4+1</f>
        <v>2036</v>
      </c>
      <c r="FU4" s="98">
        <f t="shared" ref="FU4" si="104">FT4</f>
        <v>2036</v>
      </c>
      <c r="FV4" s="98">
        <f t="shared" ref="FV4" si="105">FU4</f>
        <v>2036</v>
      </c>
      <c r="FW4" s="98">
        <f t="shared" ref="FW4" si="106">FV4</f>
        <v>2036</v>
      </c>
      <c r="FX4" s="98">
        <f t="shared" ref="FX4" si="107">FW4</f>
        <v>2036</v>
      </c>
      <c r="FY4" s="98">
        <f t="shared" ref="FY4" si="108">FX4</f>
        <v>2036</v>
      </c>
      <c r="FZ4" s="98">
        <f t="shared" ref="FZ4" si="109">FY4</f>
        <v>2036</v>
      </c>
      <c r="GA4" s="98">
        <f t="shared" ref="GA4" si="110">FZ4</f>
        <v>2036</v>
      </c>
      <c r="GB4" s="98">
        <f t="shared" ref="GB4" si="111">GA4</f>
        <v>2036</v>
      </c>
      <c r="GC4" s="98">
        <f t="shared" ref="GC4" si="112">GB4</f>
        <v>2036</v>
      </c>
      <c r="GD4" s="98">
        <f t="shared" ref="GD4" si="113">GC4</f>
        <v>2036</v>
      </c>
      <c r="GE4" s="98">
        <f t="shared" ref="GE4" si="114">GD4</f>
        <v>2036</v>
      </c>
      <c r="GF4" s="98">
        <f>GE4+1</f>
        <v>2037</v>
      </c>
      <c r="GG4" s="98">
        <f t="shared" ref="GG4" si="115">GF4</f>
        <v>2037</v>
      </c>
      <c r="GH4" s="98">
        <f t="shared" ref="GH4" si="116">GG4</f>
        <v>2037</v>
      </c>
      <c r="GI4" s="98">
        <f t="shared" ref="GI4" si="117">GH4</f>
        <v>2037</v>
      </c>
      <c r="GJ4" s="98">
        <f t="shared" ref="GJ4" si="118">GI4</f>
        <v>2037</v>
      </c>
      <c r="GK4" s="98">
        <f t="shared" ref="GK4" si="119">GJ4</f>
        <v>2037</v>
      </c>
      <c r="GL4" s="98">
        <f t="shared" ref="GL4" si="120">GK4</f>
        <v>2037</v>
      </c>
      <c r="GM4" s="98">
        <f t="shared" ref="GM4" si="121">GL4</f>
        <v>2037</v>
      </c>
      <c r="GN4" s="98">
        <f t="shared" ref="GN4" si="122">GM4</f>
        <v>2037</v>
      </c>
      <c r="GO4" s="98">
        <f t="shared" ref="GO4" si="123">GN4</f>
        <v>2037</v>
      </c>
      <c r="GP4" s="98">
        <f t="shared" ref="GP4" si="124">GO4</f>
        <v>2037</v>
      </c>
      <c r="GQ4" s="98">
        <f t="shared" ref="GQ4" si="125">GP4</f>
        <v>2037</v>
      </c>
      <c r="GR4" s="98">
        <f>GQ4+1</f>
        <v>2038</v>
      </c>
      <c r="GS4" s="98">
        <f t="shared" ref="GS4" si="126">GR4</f>
        <v>2038</v>
      </c>
      <c r="GT4" s="98">
        <f t="shared" ref="GT4" si="127">GS4</f>
        <v>2038</v>
      </c>
      <c r="GU4" s="98">
        <f t="shared" ref="GU4" si="128">GT4</f>
        <v>2038</v>
      </c>
      <c r="GV4" s="98">
        <f t="shared" ref="GV4" si="129">GU4</f>
        <v>2038</v>
      </c>
      <c r="GW4" s="98">
        <f t="shared" ref="GW4" si="130">GV4</f>
        <v>2038</v>
      </c>
      <c r="GX4" s="98">
        <f t="shared" ref="GX4" si="131">GW4</f>
        <v>2038</v>
      </c>
      <c r="GY4" s="98">
        <f t="shared" ref="GY4" si="132">GX4</f>
        <v>2038</v>
      </c>
      <c r="GZ4" s="98">
        <f t="shared" ref="GZ4" si="133">GY4</f>
        <v>2038</v>
      </c>
      <c r="HA4" s="98">
        <f t="shared" ref="HA4" si="134">GZ4</f>
        <v>2038</v>
      </c>
      <c r="HB4" s="98">
        <f t="shared" ref="HB4" si="135">HA4</f>
        <v>2038</v>
      </c>
      <c r="HC4" s="98">
        <f t="shared" ref="HC4" si="136">HB4</f>
        <v>2038</v>
      </c>
      <c r="HD4" s="98">
        <f>HC4+1</f>
        <v>2039</v>
      </c>
      <c r="HE4" s="98">
        <f t="shared" ref="HE4" si="137">HD4</f>
        <v>2039</v>
      </c>
      <c r="HF4" s="98">
        <f t="shared" ref="HF4" si="138">HE4</f>
        <v>2039</v>
      </c>
      <c r="HG4" s="98">
        <f t="shared" ref="HG4" si="139">HF4</f>
        <v>2039</v>
      </c>
      <c r="HH4" s="98">
        <f t="shared" ref="HH4" si="140">HG4</f>
        <v>2039</v>
      </c>
      <c r="HI4" s="98">
        <f t="shared" ref="HI4" si="141">HH4</f>
        <v>2039</v>
      </c>
      <c r="HJ4" s="98">
        <f t="shared" ref="HJ4" si="142">HI4</f>
        <v>2039</v>
      </c>
      <c r="HK4" s="98">
        <f t="shared" ref="HK4" si="143">HJ4</f>
        <v>2039</v>
      </c>
      <c r="HL4" s="98">
        <f t="shared" ref="HL4" si="144">HK4</f>
        <v>2039</v>
      </c>
      <c r="HM4" s="98">
        <f t="shared" ref="HM4" si="145">HL4</f>
        <v>2039</v>
      </c>
      <c r="HN4" s="98">
        <f t="shared" ref="HN4" si="146">HM4</f>
        <v>2039</v>
      </c>
      <c r="HO4" s="98">
        <f t="shared" ref="HO4" si="147">HN4</f>
        <v>2039</v>
      </c>
      <c r="HP4" s="98">
        <f>HO4+1</f>
        <v>2040</v>
      </c>
      <c r="HQ4" s="98">
        <f t="shared" ref="HQ4" si="148">HP4</f>
        <v>2040</v>
      </c>
      <c r="HR4" s="98">
        <f t="shared" ref="HR4" si="149">HQ4</f>
        <v>2040</v>
      </c>
      <c r="HS4" s="98">
        <f t="shared" ref="HS4" si="150">HR4</f>
        <v>2040</v>
      </c>
      <c r="HT4" s="98">
        <f t="shared" ref="HT4" si="151">HS4</f>
        <v>2040</v>
      </c>
      <c r="HU4" s="98">
        <f t="shared" ref="HU4" si="152">HT4</f>
        <v>2040</v>
      </c>
      <c r="HV4" s="98">
        <f t="shared" ref="HV4" si="153">HU4</f>
        <v>2040</v>
      </c>
      <c r="HW4" s="98">
        <f t="shared" ref="HW4" si="154">HV4</f>
        <v>2040</v>
      </c>
      <c r="HX4" s="98">
        <f t="shared" ref="HX4" si="155">HW4</f>
        <v>2040</v>
      </c>
      <c r="HY4" s="98">
        <f t="shared" ref="HY4" si="156">HX4</f>
        <v>2040</v>
      </c>
      <c r="HZ4" s="98">
        <f t="shared" ref="HZ4" si="157">HY4</f>
        <v>2040</v>
      </c>
      <c r="IA4" s="98">
        <f t="shared" ref="IA4" si="158">HZ4</f>
        <v>2040</v>
      </c>
      <c r="IB4" s="98">
        <f>IA4+1</f>
        <v>2041</v>
      </c>
      <c r="IC4" s="98">
        <f t="shared" ref="IC4" si="159">IB4</f>
        <v>2041</v>
      </c>
      <c r="ID4" s="98">
        <f t="shared" ref="ID4" si="160">IC4</f>
        <v>2041</v>
      </c>
      <c r="IE4" s="98">
        <f t="shared" ref="IE4" si="161">ID4</f>
        <v>2041</v>
      </c>
      <c r="IF4" s="98">
        <f t="shared" ref="IF4" si="162">IE4</f>
        <v>2041</v>
      </c>
      <c r="IG4" s="98">
        <f t="shared" ref="IG4" si="163">IF4</f>
        <v>2041</v>
      </c>
      <c r="IH4" s="98">
        <f t="shared" ref="IH4" si="164">IG4</f>
        <v>2041</v>
      </c>
      <c r="II4" s="98">
        <f t="shared" ref="II4" si="165">IH4</f>
        <v>2041</v>
      </c>
      <c r="IJ4" s="98">
        <f t="shared" ref="IJ4" si="166">II4</f>
        <v>2041</v>
      </c>
      <c r="IK4" s="98">
        <f t="shared" ref="IK4" si="167">IJ4</f>
        <v>2041</v>
      </c>
      <c r="IL4" s="98">
        <f t="shared" ref="IL4" si="168">IK4</f>
        <v>2041</v>
      </c>
      <c r="IM4" s="98">
        <f t="shared" ref="IM4" si="169">IL4</f>
        <v>2041</v>
      </c>
      <c r="IN4" s="98">
        <f>IM4+1</f>
        <v>2042</v>
      </c>
      <c r="IO4" s="98">
        <f t="shared" ref="IO4" si="170">IN4</f>
        <v>2042</v>
      </c>
      <c r="IP4" s="98">
        <f t="shared" ref="IP4" si="171">IO4</f>
        <v>2042</v>
      </c>
      <c r="IQ4" s="98">
        <f t="shared" ref="IQ4" si="172">IP4</f>
        <v>2042</v>
      </c>
      <c r="IR4" s="98">
        <f t="shared" ref="IR4" si="173">IQ4</f>
        <v>2042</v>
      </c>
      <c r="IS4" s="98">
        <f t="shared" ref="IS4" si="174">IR4</f>
        <v>2042</v>
      </c>
      <c r="IT4" s="98">
        <f t="shared" ref="IT4" si="175">IS4</f>
        <v>2042</v>
      </c>
      <c r="IU4" s="98">
        <f t="shared" ref="IU4" si="176">IT4</f>
        <v>2042</v>
      </c>
      <c r="IV4" s="98">
        <f t="shared" ref="IV4" si="177">IU4</f>
        <v>2042</v>
      </c>
      <c r="IW4" s="98">
        <f t="shared" ref="IW4" si="178">IV4</f>
        <v>2042</v>
      </c>
      <c r="IX4" s="98">
        <f t="shared" ref="IX4" si="179">IW4</f>
        <v>2042</v>
      </c>
      <c r="IY4" s="98">
        <f t="shared" ref="IY4" si="180">IX4</f>
        <v>2042</v>
      </c>
      <c r="IZ4" s="98">
        <f>IY4+1</f>
        <v>2043</v>
      </c>
      <c r="JA4" s="98">
        <f t="shared" ref="JA4" si="181">IZ4</f>
        <v>2043</v>
      </c>
      <c r="JB4" s="98">
        <f t="shared" ref="JB4" si="182">JA4</f>
        <v>2043</v>
      </c>
      <c r="JC4" s="98">
        <f t="shared" ref="JC4" si="183">JB4</f>
        <v>2043</v>
      </c>
      <c r="JD4" s="98">
        <f t="shared" ref="JD4" si="184">JC4</f>
        <v>2043</v>
      </c>
      <c r="JE4" s="98">
        <f t="shared" ref="JE4" si="185">JD4</f>
        <v>2043</v>
      </c>
      <c r="JF4" s="98">
        <f t="shared" ref="JF4" si="186">JE4</f>
        <v>2043</v>
      </c>
      <c r="JG4" s="98">
        <f t="shared" ref="JG4" si="187">JF4</f>
        <v>2043</v>
      </c>
      <c r="JH4" s="98">
        <f t="shared" ref="JH4" si="188">JG4</f>
        <v>2043</v>
      </c>
      <c r="JI4" s="98">
        <f t="shared" ref="JI4" si="189">JH4</f>
        <v>2043</v>
      </c>
      <c r="JJ4" s="98">
        <f t="shared" ref="JJ4" si="190">JI4</f>
        <v>2043</v>
      </c>
      <c r="JK4" s="98">
        <f t="shared" ref="JK4" si="191">JJ4</f>
        <v>2043</v>
      </c>
      <c r="JL4" s="98">
        <f>JK4+1</f>
        <v>2044</v>
      </c>
      <c r="JM4" s="98">
        <f t="shared" ref="JM4" si="192">JL4</f>
        <v>2044</v>
      </c>
      <c r="JN4" s="98">
        <f t="shared" ref="JN4" si="193">JM4</f>
        <v>2044</v>
      </c>
      <c r="JO4" s="98">
        <f t="shared" ref="JO4" si="194">JN4</f>
        <v>2044</v>
      </c>
      <c r="JP4" s="98">
        <f t="shared" ref="JP4" si="195">JO4</f>
        <v>2044</v>
      </c>
      <c r="JQ4" s="98">
        <f t="shared" ref="JQ4" si="196">JP4</f>
        <v>2044</v>
      </c>
      <c r="JR4" s="98">
        <f t="shared" ref="JR4" si="197">JQ4</f>
        <v>2044</v>
      </c>
      <c r="JS4" s="98">
        <f t="shared" ref="JS4" si="198">JR4</f>
        <v>2044</v>
      </c>
      <c r="JT4" s="98">
        <f t="shared" ref="JT4" si="199">JS4</f>
        <v>2044</v>
      </c>
      <c r="JU4" s="98">
        <f t="shared" ref="JU4" si="200">JT4</f>
        <v>2044</v>
      </c>
      <c r="JV4" s="98">
        <f t="shared" ref="JV4" si="201">JU4</f>
        <v>2044</v>
      </c>
      <c r="JW4" s="98">
        <f t="shared" ref="JW4" si="202">JV4</f>
        <v>2044</v>
      </c>
      <c r="JX4" s="98">
        <f>JW4+1</f>
        <v>2045</v>
      </c>
      <c r="JY4" s="98">
        <f t="shared" ref="JY4" si="203">JX4</f>
        <v>2045</v>
      </c>
      <c r="JZ4" s="98">
        <f t="shared" ref="JZ4" si="204">JY4</f>
        <v>2045</v>
      </c>
      <c r="KA4" s="98">
        <f t="shared" ref="KA4" si="205">JZ4</f>
        <v>2045</v>
      </c>
      <c r="KB4" s="98">
        <f t="shared" ref="KB4" si="206">KA4</f>
        <v>2045</v>
      </c>
      <c r="KC4" s="98">
        <f t="shared" ref="KC4" si="207">KB4</f>
        <v>2045</v>
      </c>
      <c r="KD4" s="98">
        <f t="shared" ref="KD4" si="208">KC4</f>
        <v>2045</v>
      </c>
      <c r="KE4" s="98">
        <f t="shared" ref="KE4" si="209">KD4</f>
        <v>2045</v>
      </c>
      <c r="KF4" s="98">
        <f t="shared" ref="KF4" si="210">KE4</f>
        <v>2045</v>
      </c>
      <c r="KG4" s="98">
        <f t="shared" ref="KG4" si="211">KF4</f>
        <v>2045</v>
      </c>
      <c r="KH4" s="98">
        <f t="shared" ref="KH4" si="212">KG4</f>
        <v>2045</v>
      </c>
      <c r="KI4" s="98">
        <f t="shared" ref="KI4" si="213">KH4</f>
        <v>2045</v>
      </c>
      <c r="KJ4" s="98">
        <f>KI4+1</f>
        <v>2046</v>
      </c>
      <c r="KK4" s="98">
        <f t="shared" ref="KK4" si="214">KJ4</f>
        <v>2046</v>
      </c>
      <c r="KL4" s="98">
        <f t="shared" ref="KL4" si="215">KK4</f>
        <v>2046</v>
      </c>
      <c r="KM4" s="98">
        <f t="shared" ref="KM4" si="216">KL4</f>
        <v>2046</v>
      </c>
      <c r="KN4" s="98">
        <f t="shared" ref="KN4" si="217">KM4</f>
        <v>2046</v>
      </c>
      <c r="KO4" s="98">
        <f t="shared" ref="KO4" si="218">KN4</f>
        <v>2046</v>
      </c>
      <c r="KP4" s="98">
        <f t="shared" ref="KP4" si="219">KO4</f>
        <v>2046</v>
      </c>
      <c r="KQ4" s="98">
        <f t="shared" ref="KQ4" si="220">KP4</f>
        <v>2046</v>
      </c>
      <c r="KR4" s="98">
        <f t="shared" ref="KR4" si="221">KQ4</f>
        <v>2046</v>
      </c>
    </row>
    <row r="5" spans="1:306" hidden="1" outlineLevel="1" x14ac:dyDescent="0.3">
      <c r="D5" s="98" t="s">
        <v>686</v>
      </c>
      <c r="E5" s="98">
        <v>10</v>
      </c>
      <c r="F5" s="98">
        <v>11</v>
      </c>
      <c r="G5" s="98">
        <v>12</v>
      </c>
      <c r="H5" s="98">
        <v>1</v>
      </c>
      <c r="I5" s="98">
        <v>2</v>
      </c>
      <c r="J5" s="98">
        <v>3</v>
      </c>
      <c r="K5" s="98">
        <v>4</v>
      </c>
      <c r="L5" s="98">
        <v>5</v>
      </c>
      <c r="M5" s="98">
        <v>6</v>
      </c>
      <c r="N5" s="98">
        <v>7</v>
      </c>
      <c r="O5" s="98">
        <v>8</v>
      </c>
      <c r="P5" s="98">
        <v>9</v>
      </c>
      <c r="Q5" s="98">
        <v>10</v>
      </c>
      <c r="R5" s="98">
        <v>11</v>
      </c>
      <c r="S5" s="98">
        <v>12</v>
      </c>
      <c r="T5" s="98">
        <v>1</v>
      </c>
      <c r="U5" s="98">
        <v>2</v>
      </c>
      <c r="V5" s="98">
        <v>3</v>
      </c>
      <c r="W5" s="98">
        <v>4</v>
      </c>
      <c r="X5" s="98">
        <v>5</v>
      </c>
      <c r="Y5" s="98">
        <v>6</v>
      </c>
      <c r="Z5" s="98">
        <v>7</v>
      </c>
      <c r="AA5" s="98">
        <v>8</v>
      </c>
      <c r="AB5" s="98">
        <v>9</v>
      </c>
      <c r="AC5" s="98">
        <v>10</v>
      </c>
      <c r="AD5" s="98">
        <v>11</v>
      </c>
      <c r="AE5" s="98">
        <v>12</v>
      </c>
      <c r="AF5" s="98">
        <v>1</v>
      </c>
      <c r="AG5" s="98">
        <v>2</v>
      </c>
      <c r="AH5" s="98">
        <v>3</v>
      </c>
      <c r="AI5" s="98">
        <v>4</v>
      </c>
      <c r="AJ5" s="98">
        <v>5</v>
      </c>
      <c r="AK5" s="98">
        <v>6</v>
      </c>
      <c r="AL5" s="98">
        <v>7</v>
      </c>
      <c r="AM5" s="98">
        <v>8</v>
      </c>
      <c r="AN5" s="98">
        <v>9</v>
      </c>
      <c r="AO5" s="98">
        <v>10</v>
      </c>
      <c r="AP5" s="98">
        <v>11</v>
      </c>
      <c r="AQ5" s="98">
        <v>12</v>
      </c>
      <c r="AR5" s="98">
        <v>1</v>
      </c>
      <c r="AS5" s="98">
        <v>2</v>
      </c>
      <c r="AT5" s="98">
        <v>3</v>
      </c>
      <c r="AU5" s="98">
        <v>4</v>
      </c>
      <c r="AV5" s="98">
        <v>5</v>
      </c>
      <c r="AW5" s="98">
        <v>6</v>
      </c>
      <c r="AX5" s="98">
        <v>7</v>
      </c>
      <c r="AY5" s="98">
        <v>8</v>
      </c>
      <c r="AZ5" s="98">
        <v>9</v>
      </c>
      <c r="BA5" s="98">
        <v>10</v>
      </c>
      <c r="BB5" s="98">
        <v>11</v>
      </c>
      <c r="BC5" s="98">
        <v>12</v>
      </c>
      <c r="BD5" s="98">
        <v>1</v>
      </c>
      <c r="BE5" s="98">
        <v>2</v>
      </c>
      <c r="BF5" s="98">
        <v>3</v>
      </c>
      <c r="BG5" s="98">
        <v>4</v>
      </c>
      <c r="BH5" s="98">
        <v>5</v>
      </c>
      <c r="BI5" s="98">
        <v>6</v>
      </c>
      <c r="BJ5" s="98">
        <v>7</v>
      </c>
      <c r="BK5" s="98">
        <v>8</v>
      </c>
      <c r="BL5" s="98">
        <v>9</v>
      </c>
      <c r="BM5" s="98">
        <v>10</v>
      </c>
      <c r="BN5" s="98">
        <v>11</v>
      </c>
      <c r="BO5" s="98">
        <v>12</v>
      </c>
      <c r="BP5" s="98">
        <v>1</v>
      </c>
      <c r="BQ5" s="98">
        <v>2</v>
      </c>
      <c r="BR5" s="98">
        <v>3</v>
      </c>
      <c r="BS5" s="98">
        <v>4</v>
      </c>
      <c r="BT5" s="98">
        <v>5</v>
      </c>
      <c r="BU5" s="98">
        <v>6</v>
      </c>
      <c r="BV5" s="98">
        <v>7</v>
      </c>
      <c r="BW5" s="98">
        <v>8</v>
      </c>
      <c r="BX5" s="98">
        <v>9</v>
      </c>
      <c r="BY5" s="98">
        <v>10</v>
      </c>
      <c r="BZ5" s="98">
        <v>11</v>
      </c>
      <c r="CA5" s="98">
        <v>12</v>
      </c>
      <c r="CB5" s="98">
        <v>1</v>
      </c>
      <c r="CC5" s="98">
        <v>2</v>
      </c>
      <c r="CD5" s="98">
        <v>3</v>
      </c>
      <c r="CE5" s="98">
        <v>4</v>
      </c>
      <c r="CF5" s="98">
        <v>5</v>
      </c>
      <c r="CG5" s="98">
        <v>6</v>
      </c>
      <c r="CH5" s="98">
        <v>7</v>
      </c>
      <c r="CI5" s="98">
        <v>8</v>
      </c>
      <c r="CJ5" s="98">
        <v>9</v>
      </c>
      <c r="CK5" s="98">
        <v>10</v>
      </c>
      <c r="CL5" s="98">
        <v>11</v>
      </c>
      <c r="CM5" s="98">
        <v>12</v>
      </c>
      <c r="CN5" s="98">
        <v>1</v>
      </c>
      <c r="CO5" s="98">
        <v>2</v>
      </c>
      <c r="CP5" s="98">
        <v>3</v>
      </c>
      <c r="CQ5" s="98">
        <v>4</v>
      </c>
      <c r="CR5" s="98">
        <v>5</v>
      </c>
      <c r="CS5" s="98">
        <v>6</v>
      </c>
      <c r="CT5" s="98">
        <v>7</v>
      </c>
      <c r="CU5" s="98">
        <v>8</v>
      </c>
      <c r="CV5" s="98">
        <v>9</v>
      </c>
      <c r="CW5" s="98">
        <v>10</v>
      </c>
      <c r="CX5" s="98">
        <v>11</v>
      </c>
      <c r="CY5" s="98">
        <v>12</v>
      </c>
      <c r="CZ5" s="98">
        <v>1</v>
      </c>
      <c r="DA5" s="98">
        <v>2</v>
      </c>
      <c r="DB5" s="98">
        <v>3</v>
      </c>
      <c r="DC5" s="98">
        <v>4</v>
      </c>
      <c r="DD5" s="98">
        <v>5</v>
      </c>
      <c r="DE5" s="98">
        <v>6</v>
      </c>
      <c r="DF5" s="98">
        <v>7</v>
      </c>
      <c r="DG5" s="98">
        <v>8</v>
      </c>
      <c r="DH5" s="98">
        <v>9</v>
      </c>
      <c r="DI5" s="98">
        <v>10</v>
      </c>
      <c r="DJ5" s="98">
        <v>11</v>
      </c>
      <c r="DK5" s="98">
        <v>12</v>
      </c>
      <c r="DL5" s="98">
        <v>1</v>
      </c>
      <c r="DM5" s="98">
        <v>2</v>
      </c>
      <c r="DN5" s="98">
        <v>3</v>
      </c>
      <c r="DO5" s="98">
        <v>4</v>
      </c>
      <c r="DP5" s="98">
        <v>5</v>
      </c>
      <c r="DQ5" s="98">
        <v>6</v>
      </c>
      <c r="DR5" s="98">
        <v>7</v>
      </c>
      <c r="DS5" s="98">
        <v>8</v>
      </c>
      <c r="DT5" s="98">
        <v>9</v>
      </c>
      <c r="DU5" s="98">
        <v>10</v>
      </c>
      <c r="DV5" s="98">
        <v>11</v>
      </c>
      <c r="DW5" s="98">
        <v>12</v>
      </c>
      <c r="DX5" s="98">
        <v>1</v>
      </c>
      <c r="DY5" s="98">
        <v>2</v>
      </c>
      <c r="DZ5" s="98">
        <v>3</v>
      </c>
      <c r="EA5" s="98">
        <v>4</v>
      </c>
      <c r="EB5" s="98">
        <v>5</v>
      </c>
      <c r="EC5" s="98">
        <v>6</v>
      </c>
      <c r="ED5" s="98">
        <v>7</v>
      </c>
      <c r="EE5" s="98">
        <v>8</v>
      </c>
      <c r="EF5" s="98">
        <v>9</v>
      </c>
      <c r="EG5" s="98">
        <v>10</v>
      </c>
      <c r="EH5" s="98">
        <v>11</v>
      </c>
      <c r="EI5" s="98">
        <v>12</v>
      </c>
      <c r="EJ5" s="98">
        <v>1</v>
      </c>
      <c r="EK5" s="98">
        <v>2</v>
      </c>
      <c r="EL5" s="98">
        <v>3</v>
      </c>
      <c r="EM5" s="98">
        <v>4</v>
      </c>
      <c r="EN5" s="98">
        <v>5</v>
      </c>
      <c r="EO5" s="98">
        <v>6</v>
      </c>
      <c r="EP5" s="98">
        <v>7</v>
      </c>
      <c r="EQ5" s="98">
        <v>8</v>
      </c>
      <c r="ER5" s="98">
        <v>9</v>
      </c>
      <c r="ES5" s="98">
        <v>10</v>
      </c>
      <c r="ET5" s="98">
        <v>11</v>
      </c>
      <c r="EU5" s="98">
        <v>12</v>
      </c>
      <c r="EV5" s="98">
        <v>1</v>
      </c>
      <c r="EW5" s="98">
        <v>2</v>
      </c>
      <c r="EX5" s="98">
        <v>3</v>
      </c>
      <c r="EY5" s="98">
        <v>4</v>
      </c>
      <c r="EZ5" s="98">
        <v>5</v>
      </c>
      <c r="FA5" s="98">
        <v>6</v>
      </c>
      <c r="FB5" s="98">
        <v>7</v>
      </c>
      <c r="FC5" s="98">
        <v>8</v>
      </c>
      <c r="FD5" s="98">
        <v>9</v>
      </c>
      <c r="FE5" s="98">
        <v>10</v>
      </c>
      <c r="FF5" s="98">
        <v>11</v>
      </c>
      <c r="FG5" s="98">
        <v>12</v>
      </c>
      <c r="FH5" s="98">
        <v>1</v>
      </c>
      <c r="FI5" s="98">
        <v>2</v>
      </c>
      <c r="FJ5" s="98">
        <v>3</v>
      </c>
      <c r="FK5" s="98">
        <v>4</v>
      </c>
      <c r="FL5" s="98">
        <v>5</v>
      </c>
      <c r="FM5" s="98">
        <v>6</v>
      </c>
      <c r="FN5" s="98">
        <v>7</v>
      </c>
      <c r="FO5" s="98">
        <v>8</v>
      </c>
      <c r="FP5" s="98">
        <v>9</v>
      </c>
      <c r="FQ5" s="98">
        <v>10</v>
      </c>
      <c r="FR5" s="98">
        <v>11</v>
      </c>
      <c r="FS5" s="98">
        <v>12</v>
      </c>
      <c r="FT5" s="98">
        <v>1</v>
      </c>
      <c r="FU5" s="98">
        <v>2</v>
      </c>
      <c r="FV5" s="98">
        <v>3</v>
      </c>
      <c r="FW5" s="98">
        <v>4</v>
      </c>
      <c r="FX5" s="98">
        <v>5</v>
      </c>
      <c r="FY5" s="98">
        <v>6</v>
      </c>
      <c r="FZ5" s="98">
        <v>7</v>
      </c>
      <c r="GA5" s="98">
        <v>8</v>
      </c>
      <c r="GB5" s="98">
        <v>9</v>
      </c>
      <c r="GC5" s="98">
        <v>10</v>
      </c>
      <c r="GD5" s="98">
        <v>11</v>
      </c>
      <c r="GE5" s="98">
        <v>12</v>
      </c>
      <c r="GF5" s="98">
        <v>1</v>
      </c>
      <c r="GG5" s="98">
        <v>2</v>
      </c>
      <c r="GH5" s="98">
        <v>3</v>
      </c>
      <c r="GI5" s="98">
        <v>4</v>
      </c>
      <c r="GJ5" s="98">
        <v>5</v>
      </c>
      <c r="GK5" s="98">
        <v>6</v>
      </c>
      <c r="GL5" s="98">
        <v>7</v>
      </c>
      <c r="GM5" s="98">
        <v>8</v>
      </c>
      <c r="GN5" s="98">
        <v>9</v>
      </c>
      <c r="GO5" s="98">
        <v>10</v>
      </c>
      <c r="GP5" s="98">
        <v>11</v>
      </c>
      <c r="GQ5" s="98">
        <v>12</v>
      </c>
      <c r="GR5" s="98">
        <v>1</v>
      </c>
      <c r="GS5" s="98">
        <v>2</v>
      </c>
      <c r="GT5" s="98">
        <v>3</v>
      </c>
      <c r="GU5" s="98">
        <v>4</v>
      </c>
      <c r="GV5" s="98">
        <v>5</v>
      </c>
      <c r="GW5" s="98">
        <v>6</v>
      </c>
      <c r="GX5" s="98">
        <v>7</v>
      </c>
      <c r="GY5" s="98">
        <v>8</v>
      </c>
      <c r="GZ5" s="98">
        <v>9</v>
      </c>
      <c r="HA5" s="98">
        <v>10</v>
      </c>
      <c r="HB5" s="98">
        <v>11</v>
      </c>
      <c r="HC5" s="98">
        <v>12</v>
      </c>
      <c r="HD5" s="98">
        <v>1</v>
      </c>
      <c r="HE5" s="98">
        <v>2</v>
      </c>
      <c r="HF5" s="98">
        <v>3</v>
      </c>
      <c r="HG5" s="98">
        <v>4</v>
      </c>
      <c r="HH5" s="98">
        <v>5</v>
      </c>
      <c r="HI5" s="98">
        <v>6</v>
      </c>
      <c r="HJ5" s="98">
        <v>7</v>
      </c>
      <c r="HK5" s="98">
        <v>8</v>
      </c>
      <c r="HL5" s="98">
        <v>9</v>
      </c>
      <c r="HM5" s="98">
        <v>10</v>
      </c>
      <c r="HN5" s="98">
        <v>11</v>
      </c>
      <c r="HO5" s="98">
        <v>12</v>
      </c>
      <c r="HP5" s="98">
        <v>1</v>
      </c>
      <c r="HQ5" s="98">
        <v>2</v>
      </c>
      <c r="HR5" s="98">
        <v>3</v>
      </c>
      <c r="HS5" s="98">
        <v>4</v>
      </c>
      <c r="HT5" s="98">
        <v>5</v>
      </c>
      <c r="HU5" s="98">
        <v>6</v>
      </c>
      <c r="HV5" s="98">
        <v>7</v>
      </c>
      <c r="HW5" s="98">
        <v>8</v>
      </c>
      <c r="HX5" s="98">
        <v>9</v>
      </c>
      <c r="HY5" s="98">
        <v>10</v>
      </c>
      <c r="HZ5" s="98">
        <v>11</v>
      </c>
      <c r="IA5" s="98">
        <v>12</v>
      </c>
      <c r="IB5" s="98">
        <v>1</v>
      </c>
      <c r="IC5" s="98">
        <v>2</v>
      </c>
      <c r="ID5" s="98">
        <v>3</v>
      </c>
      <c r="IE5" s="98">
        <v>4</v>
      </c>
      <c r="IF5" s="98">
        <v>5</v>
      </c>
      <c r="IG5" s="98">
        <v>6</v>
      </c>
      <c r="IH5" s="98">
        <v>7</v>
      </c>
      <c r="II5" s="98">
        <v>8</v>
      </c>
      <c r="IJ5" s="98">
        <v>9</v>
      </c>
      <c r="IK5" s="98">
        <v>10</v>
      </c>
      <c r="IL5" s="98">
        <v>11</v>
      </c>
      <c r="IM5" s="98">
        <v>12</v>
      </c>
      <c r="IN5" s="98">
        <v>1</v>
      </c>
      <c r="IO5" s="98">
        <v>2</v>
      </c>
      <c r="IP5" s="98">
        <v>3</v>
      </c>
      <c r="IQ5" s="98">
        <v>4</v>
      </c>
      <c r="IR5" s="98">
        <v>5</v>
      </c>
      <c r="IS5" s="98">
        <v>6</v>
      </c>
      <c r="IT5" s="98">
        <v>7</v>
      </c>
      <c r="IU5" s="98">
        <v>8</v>
      </c>
      <c r="IV5" s="98">
        <v>9</v>
      </c>
      <c r="IW5" s="98">
        <v>10</v>
      </c>
      <c r="IX5" s="98">
        <v>11</v>
      </c>
      <c r="IY5" s="98">
        <v>12</v>
      </c>
      <c r="IZ5" s="98">
        <v>1</v>
      </c>
      <c r="JA5" s="98">
        <v>2</v>
      </c>
      <c r="JB5" s="98">
        <v>3</v>
      </c>
      <c r="JC5" s="98">
        <v>4</v>
      </c>
      <c r="JD5" s="98">
        <v>5</v>
      </c>
      <c r="JE5" s="98">
        <v>6</v>
      </c>
      <c r="JF5" s="98">
        <v>7</v>
      </c>
      <c r="JG5" s="98">
        <v>8</v>
      </c>
      <c r="JH5" s="98">
        <v>9</v>
      </c>
      <c r="JI5" s="98">
        <v>10</v>
      </c>
      <c r="JJ5" s="98">
        <v>11</v>
      </c>
      <c r="JK5" s="98">
        <v>12</v>
      </c>
      <c r="JL5" s="98">
        <v>1</v>
      </c>
      <c r="JM5" s="98">
        <v>2</v>
      </c>
      <c r="JN5" s="98">
        <v>3</v>
      </c>
      <c r="JO5" s="98">
        <v>4</v>
      </c>
      <c r="JP5" s="98">
        <v>5</v>
      </c>
      <c r="JQ5" s="98">
        <v>6</v>
      </c>
      <c r="JR5" s="98">
        <v>7</v>
      </c>
      <c r="JS5" s="98">
        <v>8</v>
      </c>
      <c r="JT5" s="98">
        <v>9</v>
      </c>
      <c r="JU5" s="98">
        <v>10</v>
      </c>
      <c r="JV5" s="98">
        <v>11</v>
      </c>
      <c r="JW5" s="98">
        <v>12</v>
      </c>
      <c r="JX5" s="98">
        <v>1</v>
      </c>
      <c r="JY5" s="98">
        <v>2</v>
      </c>
      <c r="JZ5" s="98">
        <v>3</v>
      </c>
      <c r="KA5" s="98">
        <v>4</v>
      </c>
      <c r="KB5" s="98">
        <v>5</v>
      </c>
      <c r="KC5" s="98">
        <v>6</v>
      </c>
      <c r="KD5" s="98">
        <v>7</v>
      </c>
      <c r="KE5" s="98">
        <v>8</v>
      </c>
      <c r="KF5" s="98">
        <v>9</v>
      </c>
      <c r="KG5" s="98">
        <v>10</v>
      </c>
      <c r="KH5" s="98">
        <v>11</v>
      </c>
      <c r="KI5" s="98">
        <v>12</v>
      </c>
      <c r="KJ5" s="98">
        <v>1</v>
      </c>
      <c r="KK5" s="98">
        <v>2</v>
      </c>
      <c r="KL5" s="98">
        <v>3</v>
      </c>
      <c r="KM5" s="98">
        <v>4</v>
      </c>
      <c r="KN5" s="98">
        <v>5</v>
      </c>
      <c r="KO5" s="98">
        <v>6</v>
      </c>
      <c r="KP5" s="98">
        <v>7</v>
      </c>
      <c r="KQ5" s="98">
        <v>8</v>
      </c>
      <c r="KR5" s="98">
        <v>9</v>
      </c>
    </row>
    <row r="6" spans="1:306" hidden="1" outlineLevel="1" x14ac:dyDescent="0.3">
      <c r="D6" s="98" t="s">
        <v>685</v>
      </c>
      <c r="E6" s="98">
        <v>1</v>
      </c>
      <c r="F6" s="98">
        <v>1</v>
      </c>
      <c r="G6" s="98">
        <v>1</v>
      </c>
      <c r="H6" s="98">
        <v>1</v>
      </c>
      <c r="I6" s="98">
        <v>1</v>
      </c>
      <c r="J6" s="98">
        <v>1</v>
      </c>
      <c r="K6" s="98">
        <v>1</v>
      </c>
      <c r="L6" s="98">
        <v>1</v>
      </c>
      <c r="M6" s="98">
        <v>1</v>
      </c>
      <c r="N6" s="98">
        <v>1</v>
      </c>
      <c r="O6" s="98">
        <v>1</v>
      </c>
      <c r="P6" s="98">
        <v>1</v>
      </c>
      <c r="Q6" s="98">
        <v>1</v>
      </c>
      <c r="R6" s="98">
        <v>1</v>
      </c>
      <c r="S6" s="98">
        <v>1</v>
      </c>
      <c r="T6" s="98">
        <v>1</v>
      </c>
      <c r="U6" s="98">
        <v>1</v>
      </c>
      <c r="V6" s="98">
        <v>1</v>
      </c>
      <c r="W6" s="98">
        <v>1</v>
      </c>
      <c r="X6" s="98">
        <v>1</v>
      </c>
      <c r="Y6" s="98">
        <v>1</v>
      </c>
      <c r="Z6" s="98">
        <v>1</v>
      </c>
      <c r="AA6" s="98">
        <v>1</v>
      </c>
      <c r="AB6" s="98">
        <v>1</v>
      </c>
      <c r="AC6" s="98">
        <v>1</v>
      </c>
      <c r="AD6" s="98">
        <v>1</v>
      </c>
      <c r="AE6" s="98">
        <v>1</v>
      </c>
      <c r="AF6" s="98">
        <v>1</v>
      </c>
      <c r="AG6" s="98">
        <v>1</v>
      </c>
      <c r="AH6" s="98">
        <v>1</v>
      </c>
      <c r="AI6" s="98">
        <v>1</v>
      </c>
      <c r="AJ6" s="98">
        <v>1</v>
      </c>
      <c r="AK6" s="98">
        <v>1</v>
      </c>
      <c r="AL6" s="98">
        <v>1</v>
      </c>
      <c r="AM6" s="98">
        <v>1</v>
      </c>
      <c r="AN6" s="98">
        <v>1</v>
      </c>
      <c r="AO6" s="98">
        <v>1</v>
      </c>
      <c r="AP6" s="98">
        <v>1</v>
      </c>
      <c r="AQ6" s="98">
        <v>1</v>
      </c>
      <c r="AR6" s="98">
        <v>1</v>
      </c>
      <c r="AS6" s="98">
        <v>1</v>
      </c>
      <c r="AT6" s="98">
        <v>1</v>
      </c>
      <c r="AU6" s="98">
        <v>1</v>
      </c>
      <c r="AV6" s="98">
        <v>1</v>
      </c>
      <c r="AW6" s="98">
        <v>1</v>
      </c>
      <c r="AX6" s="98">
        <v>1</v>
      </c>
      <c r="AY6" s="98">
        <v>1</v>
      </c>
      <c r="AZ6" s="98">
        <v>1</v>
      </c>
      <c r="BA6" s="98">
        <v>1</v>
      </c>
      <c r="BB6" s="98">
        <v>1</v>
      </c>
      <c r="BC6" s="98">
        <v>1</v>
      </c>
      <c r="BD6" s="98">
        <v>1</v>
      </c>
      <c r="BE6" s="98">
        <v>1</v>
      </c>
      <c r="BF6" s="98">
        <v>1</v>
      </c>
      <c r="BG6" s="98">
        <v>1</v>
      </c>
      <c r="BH6" s="98">
        <v>1</v>
      </c>
      <c r="BI6" s="98">
        <v>1</v>
      </c>
      <c r="BJ6" s="98">
        <v>1</v>
      </c>
      <c r="BK6" s="98">
        <v>1</v>
      </c>
      <c r="BL6" s="98">
        <v>1</v>
      </c>
      <c r="BM6" s="98">
        <v>1</v>
      </c>
      <c r="BN6" s="98">
        <v>1</v>
      </c>
      <c r="BO6" s="98">
        <v>1</v>
      </c>
      <c r="BP6" s="98">
        <v>1</v>
      </c>
      <c r="BQ6" s="98">
        <v>1</v>
      </c>
      <c r="BR6" s="98">
        <v>1</v>
      </c>
      <c r="BS6" s="98">
        <v>1</v>
      </c>
      <c r="BT6" s="98">
        <v>1</v>
      </c>
      <c r="BU6" s="98">
        <v>1</v>
      </c>
      <c r="BV6" s="98">
        <v>1</v>
      </c>
      <c r="BW6" s="98">
        <v>1</v>
      </c>
      <c r="BX6" s="98">
        <v>1</v>
      </c>
      <c r="BY6" s="98">
        <v>1</v>
      </c>
      <c r="BZ6" s="98">
        <v>1</v>
      </c>
      <c r="CA6" s="98">
        <v>1</v>
      </c>
      <c r="CB6" s="98">
        <v>1</v>
      </c>
      <c r="CC6" s="98">
        <v>1</v>
      </c>
      <c r="CD6" s="98">
        <v>1</v>
      </c>
      <c r="CE6" s="98">
        <v>1</v>
      </c>
      <c r="CF6" s="98">
        <v>1</v>
      </c>
      <c r="CG6" s="98">
        <v>1</v>
      </c>
      <c r="CH6" s="98">
        <v>1</v>
      </c>
      <c r="CI6" s="98">
        <v>1</v>
      </c>
      <c r="CJ6" s="98">
        <v>1</v>
      </c>
      <c r="CK6" s="98">
        <v>1</v>
      </c>
      <c r="CL6" s="98">
        <v>1</v>
      </c>
      <c r="CM6" s="98">
        <v>1</v>
      </c>
      <c r="CN6" s="98">
        <v>1</v>
      </c>
      <c r="CO6" s="98">
        <v>1</v>
      </c>
      <c r="CP6" s="98">
        <v>1</v>
      </c>
      <c r="CQ6" s="98">
        <v>1</v>
      </c>
      <c r="CR6" s="98">
        <v>1</v>
      </c>
      <c r="CS6" s="98">
        <v>1</v>
      </c>
      <c r="CT6" s="98">
        <v>1</v>
      </c>
      <c r="CU6" s="98">
        <v>1</v>
      </c>
      <c r="CV6" s="98">
        <v>1</v>
      </c>
      <c r="CW6" s="98">
        <v>1</v>
      </c>
      <c r="CX6" s="98">
        <v>1</v>
      </c>
      <c r="CY6" s="98">
        <v>1</v>
      </c>
      <c r="CZ6" s="98">
        <v>1</v>
      </c>
      <c r="DA6" s="98">
        <v>1</v>
      </c>
      <c r="DB6" s="98">
        <v>1</v>
      </c>
      <c r="DC6" s="98">
        <v>1</v>
      </c>
      <c r="DD6" s="98">
        <v>1</v>
      </c>
      <c r="DE6" s="98">
        <v>1</v>
      </c>
      <c r="DF6" s="98">
        <v>1</v>
      </c>
      <c r="DG6" s="98">
        <v>1</v>
      </c>
      <c r="DH6" s="98">
        <v>1</v>
      </c>
      <c r="DI6" s="98">
        <v>1</v>
      </c>
      <c r="DJ6" s="98">
        <v>1</v>
      </c>
      <c r="DK6" s="98">
        <v>1</v>
      </c>
      <c r="DL6" s="98">
        <v>1</v>
      </c>
      <c r="DM6" s="98">
        <v>1</v>
      </c>
      <c r="DN6" s="98">
        <v>1</v>
      </c>
      <c r="DO6" s="98">
        <v>1</v>
      </c>
      <c r="DP6" s="98">
        <v>1</v>
      </c>
      <c r="DQ6" s="98">
        <v>1</v>
      </c>
      <c r="DR6" s="98">
        <v>1</v>
      </c>
      <c r="DS6" s="98">
        <v>1</v>
      </c>
      <c r="DT6" s="98">
        <v>1</v>
      </c>
      <c r="DU6" s="98">
        <v>1</v>
      </c>
      <c r="DV6" s="98">
        <v>1</v>
      </c>
      <c r="DW6" s="98">
        <v>1</v>
      </c>
      <c r="DX6" s="98">
        <v>1</v>
      </c>
      <c r="DY6" s="98">
        <v>1</v>
      </c>
      <c r="DZ6" s="98">
        <v>1</v>
      </c>
      <c r="EA6" s="98">
        <v>1</v>
      </c>
      <c r="EB6" s="98">
        <v>1</v>
      </c>
      <c r="EC6" s="98">
        <v>1</v>
      </c>
      <c r="ED6" s="98">
        <v>1</v>
      </c>
      <c r="EE6" s="98">
        <v>1</v>
      </c>
      <c r="EF6" s="98">
        <v>1</v>
      </c>
      <c r="EG6" s="98">
        <v>1</v>
      </c>
      <c r="EH6" s="98">
        <v>1</v>
      </c>
      <c r="EI6" s="98">
        <v>1</v>
      </c>
      <c r="EJ6" s="98">
        <v>1</v>
      </c>
      <c r="EK6" s="98">
        <v>1</v>
      </c>
      <c r="EL6" s="98">
        <v>1</v>
      </c>
      <c r="EM6" s="98">
        <v>1</v>
      </c>
      <c r="EN6" s="98">
        <v>1</v>
      </c>
      <c r="EO6" s="98">
        <v>1</v>
      </c>
      <c r="EP6" s="98">
        <v>1</v>
      </c>
      <c r="EQ6" s="98">
        <v>1</v>
      </c>
      <c r="ER6" s="98">
        <v>1</v>
      </c>
      <c r="ES6" s="98">
        <v>1</v>
      </c>
      <c r="ET6" s="98">
        <v>1</v>
      </c>
      <c r="EU6" s="98">
        <v>1</v>
      </c>
      <c r="EV6" s="98">
        <v>1</v>
      </c>
      <c r="EW6" s="98">
        <v>1</v>
      </c>
      <c r="EX6" s="98">
        <v>1</v>
      </c>
      <c r="EY6" s="98">
        <v>1</v>
      </c>
      <c r="EZ6" s="98">
        <v>1</v>
      </c>
      <c r="FA6" s="98">
        <v>1</v>
      </c>
      <c r="FB6" s="98">
        <v>1</v>
      </c>
      <c r="FC6" s="98">
        <v>1</v>
      </c>
      <c r="FD6" s="98">
        <v>1</v>
      </c>
      <c r="FE6" s="98">
        <v>1</v>
      </c>
      <c r="FF6" s="98">
        <v>1</v>
      </c>
      <c r="FG6" s="98">
        <v>1</v>
      </c>
      <c r="FH6" s="98">
        <v>1</v>
      </c>
      <c r="FI6" s="98">
        <v>1</v>
      </c>
      <c r="FJ6" s="98">
        <v>1</v>
      </c>
      <c r="FK6" s="98">
        <v>1</v>
      </c>
      <c r="FL6" s="98">
        <v>1</v>
      </c>
      <c r="FM6" s="98">
        <v>1</v>
      </c>
      <c r="FN6" s="98">
        <v>1</v>
      </c>
      <c r="FO6" s="98">
        <v>1</v>
      </c>
      <c r="FP6" s="98">
        <v>1</v>
      </c>
      <c r="FQ6" s="98">
        <v>1</v>
      </c>
      <c r="FR6" s="98">
        <v>1</v>
      </c>
      <c r="FS6" s="98">
        <v>1</v>
      </c>
      <c r="FT6" s="98">
        <v>1</v>
      </c>
      <c r="FU6" s="98">
        <v>1</v>
      </c>
      <c r="FV6" s="98">
        <v>1</v>
      </c>
      <c r="FW6" s="98">
        <v>1</v>
      </c>
      <c r="FX6" s="98">
        <v>1</v>
      </c>
      <c r="FY6" s="98">
        <v>1</v>
      </c>
      <c r="FZ6" s="98">
        <v>1</v>
      </c>
      <c r="GA6" s="98">
        <v>1</v>
      </c>
      <c r="GB6" s="98">
        <v>1</v>
      </c>
      <c r="GC6" s="98">
        <v>1</v>
      </c>
      <c r="GD6" s="98">
        <v>1</v>
      </c>
      <c r="GE6" s="98">
        <v>1</v>
      </c>
      <c r="GF6" s="98">
        <v>1</v>
      </c>
      <c r="GG6" s="98">
        <v>1</v>
      </c>
      <c r="GH6" s="98">
        <v>1</v>
      </c>
      <c r="GI6" s="98">
        <v>1</v>
      </c>
      <c r="GJ6" s="98">
        <v>1</v>
      </c>
      <c r="GK6" s="98">
        <v>1</v>
      </c>
      <c r="GL6" s="98">
        <v>1</v>
      </c>
      <c r="GM6" s="98">
        <v>1</v>
      </c>
      <c r="GN6" s="98">
        <v>1</v>
      </c>
      <c r="GO6" s="98">
        <v>1</v>
      </c>
      <c r="GP6" s="98">
        <v>1</v>
      </c>
      <c r="GQ6" s="98">
        <v>1</v>
      </c>
      <c r="GR6" s="98">
        <v>1</v>
      </c>
      <c r="GS6" s="98">
        <v>1</v>
      </c>
      <c r="GT6" s="98">
        <v>1</v>
      </c>
      <c r="GU6" s="98">
        <v>1</v>
      </c>
      <c r="GV6" s="98">
        <v>1</v>
      </c>
      <c r="GW6" s="98">
        <v>1</v>
      </c>
      <c r="GX6" s="98">
        <v>1</v>
      </c>
      <c r="GY6" s="98">
        <v>1</v>
      </c>
      <c r="GZ6" s="98">
        <v>1</v>
      </c>
      <c r="HA6" s="98">
        <v>1</v>
      </c>
      <c r="HB6" s="98">
        <v>1</v>
      </c>
      <c r="HC6" s="98">
        <v>1</v>
      </c>
      <c r="HD6" s="98">
        <v>1</v>
      </c>
      <c r="HE6" s="98">
        <v>1</v>
      </c>
      <c r="HF6" s="98">
        <v>1</v>
      </c>
      <c r="HG6" s="98">
        <v>1</v>
      </c>
      <c r="HH6" s="98">
        <v>1</v>
      </c>
      <c r="HI6" s="98">
        <v>1</v>
      </c>
      <c r="HJ6" s="98">
        <v>1</v>
      </c>
      <c r="HK6" s="98">
        <v>1</v>
      </c>
      <c r="HL6" s="98">
        <v>1</v>
      </c>
      <c r="HM6" s="98">
        <v>1</v>
      </c>
      <c r="HN6" s="98">
        <v>1</v>
      </c>
      <c r="HO6" s="98">
        <v>1</v>
      </c>
      <c r="HP6" s="98">
        <v>1</v>
      </c>
      <c r="HQ6" s="98">
        <v>1</v>
      </c>
      <c r="HR6" s="98">
        <v>1</v>
      </c>
      <c r="HS6" s="98">
        <v>1</v>
      </c>
      <c r="HT6" s="98">
        <v>1</v>
      </c>
      <c r="HU6" s="98">
        <v>1</v>
      </c>
      <c r="HV6" s="98">
        <v>1</v>
      </c>
      <c r="HW6" s="98">
        <v>1</v>
      </c>
      <c r="HX6" s="98">
        <v>1</v>
      </c>
      <c r="HY6" s="98">
        <v>1</v>
      </c>
      <c r="HZ6" s="98">
        <v>1</v>
      </c>
      <c r="IA6" s="98">
        <v>1</v>
      </c>
      <c r="IB6" s="98">
        <v>1</v>
      </c>
      <c r="IC6" s="98">
        <v>1</v>
      </c>
      <c r="ID6" s="98">
        <v>1</v>
      </c>
      <c r="IE6" s="98">
        <v>1</v>
      </c>
      <c r="IF6" s="98">
        <v>1</v>
      </c>
      <c r="IG6" s="98">
        <v>1</v>
      </c>
      <c r="IH6" s="98">
        <v>1</v>
      </c>
      <c r="II6" s="98">
        <v>1</v>
      </c>
      <c r="IJ6" s="98">
        <v>1</v>
      </c>
      <c r="IK6" s="98">
        <v>1</v>
      </c>
      <c r="IL6" s="98">
        <v>1</v>
      </c>
      <c r="IM6" s="98">
        <v>1</v>
      </c>
      <c r="IN6" s="98">
        <v>1</v>
      </c>
      <c r="IO6" s="98">
        <v>1</v>
      </c>
      <c r="IP6" s="98">
        <v>1</v>
      </c>
      <c r="IQ6" s="98">
        <v>1</v>
      </c>
      <c r="IR6" s="98">
        <v>1</v>
      </c>
      <c r="IS6" s="98">
        <v>1</v>
      </c>
      <c r="IT6" s="98">
        <v>1</v>
      </c>
      <c r="IU6" s="98">
        <v>1</v>
      </c>
      <c r="IV6" s="98">
        <v>1</v>
      </c>
      <c r="IW6" s="98">
        <v>1</v>
      </c>
      <c r="IX6" s="98">
        <v>1</v>
      </c>
      <c r="IY6" s="98">
        <v>1</v>
      </c>
      <c r="IZ6" s="98">
        <v>1</v>
      </c>
      <c r="JA6" s="98">
        <v>1</v>
      </c>
      <c r="JB6" s="98">
        <v>1</v>
      </c>
      <c r="JC6" s="98">
        <v>1</v>
      </c>
      <c r="JD6" s="98">
        <v>1</v>
      </c>
      <c r="JE6" s="98">
        <v>1</v>
      </c>
      <c r="JF6" s="98">
        <v>1</v>
      </c>
      <c r="JG6" s="98">
        <v>1</v>
      </c>
      <c r="JH6" s="98">
        <v>1</v>
      </c>
      <c r="JI6" s="98">
        <v>1</v>
      </c>
      <c r="JJ6" s="98">
        <v>1</v>
      </c>
      <c r="JK6" s="98">
        <v>1</v>
      </c>
      <c r="JL6" s="98">
        <v>1</v>
      </c>
      <c r="JM6" s="98">
        <v>1</v>
      </c>
      <c r="JN6" s="98">
        <v>1</v>
      </c>
      <c r="JO6" s="98">
        <v>1</v>
      </c>
      <c r="JP6" s="98">
        <v>1</v>
      </c>
      <c r="JQ6" s="98">
        <v>1</v>
      </c>
      <c r="JR6" s="98">
        <v>1</v>
      </c>
      <c r="JS6" s="98">
        <v>1</v>
      </c>
      <c r="JT6" s="98">
        <v>1</v>
      </c>
      <c r="JU6" s="98">
        <v>1</v>
      </c>
      <c r="JV6" s="98">
        <v>1</v>
      </c>
      <c r="JW6" s="98">
        <v>1</v>
      </c>
      <c r="JX6" s="98">
        <v>1</v>
      </c>
      <c r="JY6" s="98">
        <v>1</v>
      </c>
      <c r="JZ6" s="98">
        <v>1</v>
      </c>
      <c r="KA6" s="98">
        <v>1</v>
      </c>
      <c r="KB6" s="98">
        <v>1</v>
      </c>
      <c r="KC6" s="98">
        <v>1</v>
      </c>
      <c r="KD6" s="98">
        <v>1</v>
      </c>
      <c r="KE6" s="98">
        <v>1</v>
      </c>
      <c r="KF6" s="98">
        <v>1</v>
      </c>
      <c r="KG6" s="98">
        <v>1</v>
      </c>
      <c r="KH6" s="98">
        <v>1</v>
      </c>
      <c r="KI6" s="98">
        <v>1</v>
      </c>
      <c r="KJ6" s="98">
        <v>1</v>
      </c>
      <c r="KK6" s="98">
        <v>1</v>
      </c>
      <c r="KL6" s="98">
        <v>1</v>
      </c>
      <c r="KM6" s="98">
        <v>1</v>
      </c>
      <c r="KN6" s="98">
        <v>1</v>
      </c>
      <c r="KO6" s="98">
        <v>1</v>
      </c>
      <c r="KP6" s="98">
        <v>1</v>
      </c>
      <c r="KQ6" s="98">
        <v>1</v>
      </c>
      <c r="KR6" s="98">
        <v>1</v>
      </c>
    </row>
    <row r="7" spans="1:306" hidden="1" outlineLevel="1" x14ac:dyDescent="0.3"/>
    <row r="8" spans="1:306" collapsed="1" x14ac:dyDescent="0.3">
      <c r="A8" s="96" t="s">
        <v>684</v>
      </c>
      <c r="B8" s="97" t="s">
        <v>683</v>
      </c>
      <c r="C8" s="97" t="s">
        <v>682</v>
      </c>
      <c r="D8" s="97" t="s">
        <v>681</v>
      </c>
      <c r="E8" s="1090" t="str">
        <f>"FY"&amp;TEXT(RIGHT(P4,2),0)</f>
        <v>FY22</v>
      </c>
      <c r="F8" s="1091"/>
      <c r="G8" s="1091"/>
      <c r="H8" s="1091"/>
      <c r="I8" s="1091"/>
      <c r="J8" s="1091"/>
      <c r="K8" s="1091"/>
      <c r="L8" s="1091"/>
      <c r="M8" s="1091"/>
      <c r="N8" s="1091"/>
      <c r="O8" s="1091"/>
      <c r="P8" s="1092"/>
      <c r="Q8" s="1090" t="str">
        <f>"FY"&amp;TEXT(RIGHT(AB4,2),0)</f>
        <v>FY23</v>
      </c>
      <c r="R8" s="1091"/>
      <c r="S8" s="1091"/>
      <c r="T8" s="1091"/>
      <c r="U8" s="1091"/>
      <c r="V8" s="1091"/>
      <c r="W8" s="1091"/>
      <c r="X8" s="1091"/>
      <c r="Y8" s="1091"/>
      <c r="Z8" s="1091"/>
      <c r="AA8" s="1091"/>
      <c r="AB8" s="1092"/>
      <c r="AC8" s="1090" t="str">
        <f>"FY"&amp;TEXT(RIGHT(AN4,2),0)</f>
        <v>FY24</v>
      </c>
      <c r="AD8" s="1091"/>
      <c r="AE8" s="1091"/>
      <c r="AF8" s="1091"/>
      <c r="AG8" s="1091"/>
      <c r="AH8" s="1091"/>
      <c r="AI8" s="1091"/>
      <c r="AJ8" s="1091"/>
      <c r="AK8" s="1091"/>
      <c r="AL8" s="1091"/>
      <c r="AM8" s="1091"/>
      <c r="AN8" s="1092"/>
      <c r="AO8" s="1090" t="str">
        <f>"FY"&amp;TEXT(RIGHT(AZ4,2),0)</f>
        <v>FY25</v>
      </c>
      <c r="AP8" s="1091"/>
      <c r="AQ8" s="1091"/>
      <c r="AR8" s="1091"/>
      <c r="AS8" s="1091"/>
      <c r="AT8" s="1091"/>
      <c r="AU8" s="1091"/>
      <c r="AV8" s="1091"/>
      <c r="AW8" s="1091"/>
      <c r="AX8" s="1091"/>
      <c r="AY8" s="1091"/>
      <c r="AZ8" s="1092"/>
      <c r="BA8" s="1090" t="str">
        <f>"FY"&amp;TEXT(RIGHT(BL4,2),0)</f>
        <v>FY26</v>
      </c>
      <c r="BB8" s="1091"/>
      <c r="BC8" s="1091"/>
      <c r="BD8" s="1091"/>
      <c r="BE8" s="1091"/>
      <c r="BF8" s="1091"/>
      <c r="BG8" s="1091"/>
      <c r="BH8" s="1091"/>
      <c r="BI8" s="1091"/>
      <c r="BJ8" s="1091"/>
      <c r="BK8" s="1091"/>
      <c r="BL8" s="1092"/>
      <c r="BM8" s="1090" t="str">
        <f>"FY"&amp;TEXT(RIGHT(BX4,2),0)</f>
        <v>FY27</v>
      </c>
      <c r="BN8" s="1091"/>
      <c r="BO8" s="1091"/>
      <c r="BP8" s="1091"/>
      <c r="BQ8" s="1091"/>
      <c r="BR8" s="1091"/>
      <c r="BS8" s="1091"/>
      <c r="BT8" s="1091"/>
      <c r="BU8" s="1091"/>
      <c r="BV8" s="1091"/>
      <c r="BW8" s="1091"/>
      <c r="BX8" s="1092"/>
      <c r="BY8" s="1090" t="str">
        <f>"FY"&amp;TEXT(RIGHT(CJ4,2),0)</f>
        <v>FY28</v>
      </c>
      <c r="BZ8" s="1091"/>
      <c r="CA8" s="1091"/>
      <c r="CB8" s="1091"/>
      <c r="CC8" s="1091"/>
      <c r="CD8" s="1091"/>
      <c r="CE8" s="1091"/>
      <c r="CF8" s="1091"/>
      <c r="CG8" s="1091"/>
      <c r="CH8" s="1091"/>
      <c r="CI8" s="1091"/>
      <c r="CJ8" s="1092"/>
      <c r="CK8" s="1090" t="str">
        <f>"FY"&amp;TEXT(RIGHT(CV4,2),0)</f>
        <v>FY29</v>
      </c>
      <c r="CL8" s="1091"/>
      <c r="CM8" s="1091"/>
      <c r="CN8" s="1091"/>
      <c r="CO8" s="1091"/>
      <c r="CP8" s="1091"/>
      <c r="CQ8" s="1091"/>
      <c r="CR8" s="1091"/>
      <c r="CS8" s="1091"/>
      <c r="CT8" s="1091"/>
      <c r="CU8" s="1091"/>
      <c r="CV8" s="1092"/>
      <c r="CW8" s="1090" t="str">
        <f>"FY"&amp;TEXT(RIGHT(DH4,2),0)</f>
        <v>FY30</v>
      </c>
      <c r="CX8" s="1091"/>
      <c r="CY8" s="1091"/>
      <c r="CZ8" s="1091"/>
      <c r="DA8" s="1091"/>
      <c r="DB8" s="1091"/>
      <c r="DC8" s="1091"/>
      <c r="DD8" s="1091"/>
      <c r="DE8" s="1091"/>
      <c r="DF8" s="1091"/>
      <c r="DG8" s="1091"/>
      <c r="DH8" s="1092"/>
      <c r="DI8" s="1090" t="str">
        <f>"FY"&amp;TEXT(RIGHT(DT4,2),0)</f>
        <v>FY31</v>
      </c>
      <c r="DJ8" s="1091"/>
      <c r="DK8" s="1091"/>
      <c r="DL8" s="1091"/>
      <c r="DM8" s="1091"/>
      <c r="DN8" s="1091"/>
      <c r="DO8" s="1091"/>
      <c r="DP8" s="1091"/>
      <c r="DQ8" s="1091"/>
      <c r="DR8" s="1091"/>
      <c r="DS8" s="1091"/>
      <c r="DT8" s="1092"/>
      <c r="DU8" s="1090" t="str">
        <f>"FY"&amp;TEXT(RIGHT(EF4,2),0)</f>
        <v>FY32</v>
      </c>
      <c r="DV8" s="1091"/>
      <c r="DW8" s="1091"/>
      <c r="DX8" s="1091"/>
      <c r="DY8" s="1091"/>
      <c r="DZ8" s="1091"/>
      <c r="EA8" s="1091"/>
      <c r="EB8" s="1091"/>
      <c r="EC8" s="1091"/>
      <c r="ED8" s="1091"/>
      <c r="EE8" s="1091"/>
      <c r="EF8" s="1092"/>
      <c r="EG8" s="1090" t="str">
        <f>"FY"&amp;TEXT(RIGHT(ER4,2),0)</f>
        <v>FY33</v>
      </c>
      <c r="EH8" s="1091"/>
      <c r="EI8" s="1091"/>
      <c r="EJ8" s="1091"/>
      <c r="EK8" s="1091"/>
      <c r="EL8" s="1091"/>
      <c r="EM8" s="1091"/>
      <c r="EN8" s="1091"/>
      <c r="EO8" s="1091"/>
      <c r="EP8" s="1091"/>
      <c r="EQ8" s="1091"/>
      <c r="ER8" s="1092"/>
      <c r="ES8" s="1090" t="str">
        <f>"FY"&amp;TEXT(RIGHT(FD4,2),0)</f>
        <v>FY34</v>
      </c>
      <c r="ET8" s="1091"/>
      <c r="EU8" s="1091"/>
      <c r="EV8" s="1091"/>
      <c r="EW8" s="1091"/>
      <c r="EX8" s="1091"/>
      <c r="EY8" s="1091"/>
      <c r="EZ8" s="1091"/>
      <c r="FA8" s="1091"/>
      <c r="FB8" s="1091"/>
      <c r="FC8" s="1091"/>
      <c r="FD8" s="1092"/>
      <c r="FE8" s="1090" t="str">
        <f>"FY"&amp;TEXT(RIGHT(FP4,2),0)</f>
        <v>FY35</v>
      </c>
      <c r="FF8" s="1091"/>
      <c r="FG8" s="1091"/>
      <c r="FH8" s="1091"/>
      <c r="FI8" s="1091"/>
      <c r="FJ8" s="1091"/>
      <c r="FK8" s="1091"/>
      <c r="FL8" s="1091"/>
      <c r="FM8" s="1091"/>
      <c r="FN8" s="1091"/>
      <c r="FO8" s="1091"/>
      <c r="FP8" s="1092"/>
      <c r="FQ8" s="1090" t="str">
        <f>"FY"&amp;TEXT(RIGHT(GB4,2),0)</f>
        <v>FY36</v>
      </c>
      <c r="FR8" s="1091"/>
      <c r="FS8" s="1091"/>
      <c r="FT8" s="1091"/>
      <c r="FU8" s="1091"/>
      <c r="FV8" s="1091"/>
      <c r="FW8" s="1091"/>
      <c r="FX8" s="1091"/>
      <c r="FY8" s="1091"/>
      <c r="FZ8" s="1091"/>
      <c r="GA8" s="1091"/>
      <c r="GB8" s="1092"/>
      <c r="GC8" s="1090" t="str">
        <f>"FY"&amp;TEXT(RIGHT(GN4,2),0)</f>
        <v>FY37</v>
      </c>
      <c r="GD8" s="1091"/>
      <c r="GE8" s="1091"/>
      <c r="GF8" s="1091"/>
      <c r="GG8" s="1091"/>
      <c r="GH8" s="1091"/>
      <c r="GI8" s="1091"/>
      <c r="GJ8" s="1091"/>
      <c r="GK8" s="1091"/>
      <c r="GL8" s="1091"/>
      <c r="GM8" s="1091"/>
      <c r="GN8" s="1092"/>
      <c r="GO8" s="1090" t="str">
        <f>"FY"&amp;TEXT(RIGHT(GZ4,2),0)</f>
        <v>FY38</v>
      </c>
      <c r="GP8" s="1091"/>
      <c r="GQ8" s="1091"/>
      <c r="GR8" s="1091"/>
      <c r="GS8" s="1091"/>
      <c r="GT8" s="1091"/>
      <c r="GU8" s="1091"/>
      <c r="GV8" s="1091"/>
      <c r="GW8" s="1091"/>
      <c r="GX8" s="1091"/>
      <c r="GY8" s="1091"/>
      <c r="GZ8" s="1092"/>
      <c r="HA8" s="1090" t="str">
        <f>"FY"&amp;TEXT(RIGHT(HL4,2),0)</f>
        <v>FY39</v>
      </c>
      <c r="HB8" s="1091"/>
      <c r="HC8" s="1091"/>
      <c r="HD8" s="1091"/>
      <c r="HE8" s="1091"/>
      <c r="HF8" s="1091"/>
      <c r="HG8" s="1091"/>
      <c r="HH8" s="1091"/>
      <c r="HI8" s="1091"/>
      <c r="HJ8" s="1091"/>
      <c r="HK8" s="1091"/>
      <c r="HL8" s="1092"/>
      <c r="HM8" s="1090" t="str">
        <f>"FY"&amp;TEXT(RIGHT(HX4,2),0)</f>
        <v>FY40</v>
      </c>
      <c r="HN8" s="1091"/>
      <c r="HO8" s="1091"/>
      <c r="HP8" s="1091"/>
      <c r="HQ8" s="1091"/>
      <c r="HR8" s="1091"/>
      <c r="HS8" s="1091"/>
      <c r="HT8" s="1091"/>
      <c r="HU8" s="1091"/>
      <c r="HV8" s="1091"/>
      <c r="HW8" s="1091"/>
      <c r="HX8" s="1092"/>
      <c r="HY8" s="1090" t="str">
        <f>"FY"&amp;TEXT(RIGHT(IJ4,2),0)</f>
        <v>FY41</v>
      </c>
      <c r="HZ8" s="1091"/>
      <c r="IA8" s="1091"/>
      <c r="IB8" s="1091"/>
      <c r="IC8" s="1091"/>
      <c r="ID8" s="1091"/>
      <c r="IE8" s="1091"/>
      <c r="IF8" s="1091"/>
      <c r="IG8" s="1091"/>
      <c r="IH8" s="1091"/>
      <c r="II8" s="1091"/>
      <c r="IJ8" s="1092"/>
      <c r="IK8" s="1090" t="str">
        <f>"FY"&amp;TEXT(RIGHT(IV4,2),0)</f>
        <v>FY42</v>
      </c>
      <c r="IL8" s="1091"/>
      <c r="IM8" s="1091"/>
      <c r="IN8" s="1091"/>
      <c r="IO8" s="1091"/>
      <c r="IP8" s="1091"/>
      <c r="IQ8" s="1091"/>
      <c r="IR8" s="1091"/>
      <c r="IS8" s="1091"/>
      <c r="IT8" s="1091"/>
      <c r="IU8" s="1091"/>
      <c r="IV8" s="1092"/>
      <c r="IW8" s="1090" t="str">
        <f>"FY"&amp;TEXT(RIGHT(JH4,2),0)</f>
        <v>FY43</v>
      </c>
      <c r="IX8" s="1091"/>
      <c r="IY8" s="1091"/>
      <c r="IZ8" s="1091"/>
      <c r="JA8" s="1091"/>
      <c r="JB8" s="1091"/>
      <c r="JC8" s="1091"/>
      <c r="JD8" s="1091"/>
      <c r="JE8" s="1091"/>
      <c r="JF8" s="1091"/>
      <c r="JG8" s="1091"/>
      <c r="JH8" s="1092"/>
      <c r="JI8" s="1090" t="str">
        <f>"FY"&amp;TEXT(RIGHT(JT4,2),0)</f>
        <v>FY44</v>
      </c>
      <c r="JJ8" s="1091"/>
      <c r="JK8" s="1091"/>
      <c r="JL8" s="1091"/>
      <c r="JM8" s="1091"/>
      <c r="JN8" s="1091"/>
      <c r="JO8" s="1091"/>
      <c r="JP8" s="1091"/>
      <c r="JQ8" s="1091"/>
      <c r="JR8" s="1091"/>
      <c r="JS8" s="1091"/>
      <c r="JT8" s="1092"/>
      <c r="JU8" s="1090" t="str">
        <f>"FY"&amp;TEXT(RIGHT(KF4,2),0)</f>
        <v>FY45</v>
      </c>
      <c r="JV8" s="1091"/>
      <c r="JW8" s="1091"/>
      <c r="JX8" s="1091"/>
      <c r="JY8" s="1091"/>
      <c r="JZ8" s="1091"/>
      <c r="KA8" s="1091"/>
      <c r="KB8" s="1091"/>
      <c r="KC8" s="1091"/>
      <c r="KD8" s="1091"/>
      <c r="KE8" s="1091"/>
      <c r="KF8" s="1092"/>
      <c r="KG8" s="1090" t="str">
        <f>"FY"&amp;TEXT(RIGHT(KR4,2),0)</f>
        <v>FY46</v>
      </c>
      <c r="KH8" s="1091"/>
      <c r="KI8" s="1091"/>
      <c r="KJ8" s="1091"/>
      <c r="KK8" s="1091"/>
      <c r="KL8" s="1091"/>
      <c r="KM8" s="1091"/>
      <c r="KN8" s="1091"/>
      <c r="KO8" s="1091"/>
      <c r="KP8" s="1091"/>
      <c r="KQ8" s="1091"/>
      <c r="KR8" s="1092"/>
      <c r="KS8" s="96" t="s">
        <v>680</v>
      </c>
    </row>
    <row r="9" spans="1:306" ht="5.0999999999999996" customHeight="1" x14ac:dyDescent="0.3">
      <c r="KS9" s="82"/>
    </row>
    <row r="10" spans="1:306" ht="18" thickBot="1" x14ac:dyDescent="0.4">
      <c r="A10" s="95" t="str">
        <f>'E-Cost &amp; Schedule Summary'!C3</f>
        <v>Project Name</v>
      </c>
      <c r="B10" s="94">
        <f>D10-C10+1</f>
        <v>1978</v>
      </c>
      <c r="C10" s="93">
        <f>MIN(C12:C23)</f>
        <v>44470</v>
      </c>
      <c r="D10" s="93">
        <f>MAX(D12:D23)</f>
        <v>46447</v>
      </c>
      <c r="E10" s="92">
        <f t="shared" ref="E10:P10" si="222">E$3</f>
        <v>44470</v>
      </c>
      <c r="F10" s="92">
        <f t="shared" si="222"/>
        <v>44501</v>
      </c>
      <c r="G10" s="92">
        <f t="shared" si="222"/>
        <v>44531</v>
      </c>
      <c r="H10" s="92">
        <f t="shared" si="222"/>
        <v>44562</v>
      </c>
      <c r="I10" s="92">
        <f t="shared" si="222"/>
        <v>44593</v>
      </c>
      <c r="J10" s="92">
        <f t="shared" si="222"/>
        <v>44621</v>
      </c>
      <c r="K10" s="92">
        <f t="shared" si="222"/>
        <v>44652</v>
      </c>
      <c r="L10" s="92">
        <f t="shared" si="222"/>
        <v>44682</v>
      </c>
      <c r="M10" s="92">
        <f t="shared" si="222"/>
        <v>44713</v>
      </c>
      <c r="N10" s="92">
        <f t="shared" si="222"/>
        <v>44743</v>
      </c>
      <c r="O10" s="92">
        <f t="shared" si="222"/>
        <v>44774</v>
      </c>
      <c r="P10" s="92">
        <f t="shared" si="222"/>
        <v>44805</v>
      </c>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92"/>
      <c r="FE10" s="92"/>
      <c r="FF10" s="92"/>
      <c r="FG10" s="92"/>
      <c r="FH10" s="92"/>
      <c r="FI10" s="92"/>
      <c r="FJ10" s="92"/>
      <c r="FK10" s="92"/>
      <c r="FL10" s="92"/>
      <c r="FM10" s="92"/>
      <c r="FN10" s="92"/>
      <c r="FO10" s="92"/>
      <c r="FP10" s="92"/>
      <c r="FQ10" s="92"/>
      <c r="FR10" s="92"/>
      <c r="FS10" s="92"/>
      <c r="FT10" s="92"/>
      <c r="FU10" s="92"/>
      <c r="FV10" s="92"/>
      <c r="FW10" s="92"/>
      <c r="FX10" s="92"/>
      <c r="FY10" s="92"/>
      <c r="FZ10" s="92"/>
      <c r="GA10" s="92"/>
      <c r="GB10" s="92"/>
      <c r="GC10" s="92"/>
      <c r="GD10" s="92"/>
      <c r="GE10" s="92"/>
      <c r="GF10" s="92"/>
      <c r="GG10" s="92"/>
      <c r="GH10" s="92"/>
      <c r="GI10" s="92"/>
      <c r="GJ10" s="92"/>
      <c r="GK10" s="92"/>
      <c r="GL10" s="92"/>
      <c r="GM10" s="92"/>
      <c r="GN10" s="92"/>
      <c r="GO10" s="92"/>
      <c r="GP10" s="92"/>
      <c r="GQ10" s="92"/>
      <c r="GR10" s="92"/>
      <c r="GS10" s="92"/>
      <c r="GT10" s="92"/>
      <c r="GU10" s="92"/>
      <c r="GV10" s="92"/>
      <c r="GW10" s="92"/>
      <c r="GX10" s="92"/>
      <c r="GY10" s="92"/>
      <c r="GZ10" s="92"/>
      <c r="HA10" s="92"/>
      <c r="HB10" s="92"/>
      <c r="HC10" s="92"/>
      <c r="HD10" s="92"/>
      <c r="HE10" s="92"/>
      <c r="HF10" s="92"/>
      <c r="HG10" s="92"/>
      <c r="HH10" s="92"/>
      <c r="HI10" s="92"/>
      <c r="HJ10" s="92"/>
      <c r="HK10" s="92"/>
      <c r="HL10" s="92"/>
      <c r="HM10" s="92"/>
      <c r="HN10" s="92"/>
      <c r="HO10" s="92"/>
      <c r="HP10" s="92"/>
      <c r="HQ10" s="92"/>
      <c r="HR10" s="92"/>
      <c r="HS10" s="92"/>
      <c r="HT10" s="92"/>
      <c r="HU10" s="92"/>
      <c r="HV10" s="92"/>
      <c r="HW10" s="92"/>
      <c r="HX10" s="92"/>
      <c r="HY10" s="92"/>
      <c r="HZ10" s="92"/>
      <c r="IA10" s="92"/>
      <c r="IB10" s="92"/>
      <c r="IC10" s="92"/>
      <c r="ID10" s="92"/>
      <c r="IE10" s="92"/>
      <c r="IF10" s="92"/>
      <c r="IG10" s="92"/>
      <c r="IH10" s="92"/>
      <c r="II10" s="92"/>
      <c r="IJ10" s="92"/>
      <c r="IK10" s="92"/>
      <c r="IL10" s="92"/>
      <c r="IM10" s="92"/>
      <c r="IN10" s="92"/>
      <c r="IO10" s="92"/>
      <c r="IP10" s="92"/>
      <c r="IQ10" s="92"/>
      <c r="IR10" s="92"/>
      <c r="IS10" s="92"/>
      <c r="IT10" s="92"/>
      <c r="IU10" s="92"/>
      <c r="IV10" s="92"/>
      <c r="IW10" s="92"/>
      <c r="IX10" s="92"/>
      <c r="IY10" s="92"/>
      <c r="IZ10" s="92"/>
      <c r="JA10" s="92"/>
      <c r="JB10" s="92"/>
      <c r="JC10" s="92"/>
      <c r="JD10" s="92"/>
      <c r="JE10" s="92"/>
      <c r="JF10" s="92"/>
      <c r="JG10" s="92"/>
      <c r="JH10" s="92"/>
      <c r="JI10" s="92"/>
      <c r="JJ10" s="92"/>
      <c r="JK10" s="92"/>
      <c r="JL10" s="92"/>
      <c r="JM10" s="92"/>
      <c r="JN10" s="92"/>
      <c r="JO10" s="92"/>
      <c r="JP10" s="92"/>
      <c r="JQ10" s="92"/>
      <c r="JR10" s="92"/>
      <c r="JS10" s="92"/>
      <c r="JT10" s="92"/>
      <c r="JU10" s="92"/>
      <c r="JV10" s="92"/>
      <c r="JW10" s="92"/>
      <c r="JX10" s="92"/>
      <c r="JY10" s="92"/>
      <c r="JZ10" s="92"/>
      <c r="KA10" s="92"/>
      <c r="KB10" s="92"/>
      <c r="KC10" s="92"/>
      <c r="KD10" s="92"/>
      <c r="KE10" s="92"/>
      <c r="KF10" s="92"/>
      <c r="KG10" s="92"/>
      <c r="KH10" s="92"/>
      <c r="KI10" s="92"/>
      <c r="KJ10" s="92"/>
      <c r="KK10" s="92"/>
      <c r="KL10" s="92"/>
      <c r="KM10" s="92"/>
      <c r="KN10" s="92"/>
      <c r="KO10" s="92"/>
      <c r="KP10" s="92"/>
      <c r="KQ10" s="92"/>
      <c r="KR10" s="92"/>
      <c r="KS10" s="91">
        <f>YEARFRAC(C10,D10,1)</f>
        <v>5.414319248826291</v>
      </c>
      <c r="KT10" s="90"/>
    </row>
    <row r="11" spans="1:306" ht="5.0999999999999996" customHeight="1" thickTop="1" x14ac:dyDescent="0.3">
      <c r="C11" s="83"/>
      <c r="D11" s="83"/>
      <c r="KS11" s="82"/>
    </row>
    <row r="12" spans="1:306" ht="15" customHeight="1" x14ac:dyDescent="0.3">
      <c r="A12" s="533" t="s">
        <v>1422</v>
      </c>
      <c r="B12" s="84"/>
      <c r="C12" s="88">
        <f>MIN(C13:C13)</f>
        <v>44470</v>
      </c>
      <c r="D12" s="88">
        <f>MAX(D13:D13)</f>
        <v>44681</v>
      </c>
      <c r="E12" s="87">
        <f t="shared" ref="E12:AJ12" si="223">E$3</f>
        <v>44470</v>
      </c>
      <c r="F12" s="87">
        <f t="shared" si="223"/>
        <v>44501</v>
      </c>
      <c r="G12" s="87">
        <f t="shared" si="223"/>
        <v>44531</v>
      </c>
      <c r="H12" s="87">
        <f t="shared" si="223"/>
        <v>44562</v>
      </c>
      <c r="I12" s="87">
        <f t="shared" si="223"/>
        <v>44593</v>
      </c>
      <c r="J12" s="87">
        <f t="shared" si="223"/>
        <v>44621</v>
      </c>
      <c r="K12" s="87">
        <f t="shared" si="223"/>
        <v>44652</v>
      </c>
      <c r="L12" s="87">
        <f t="shared" si="223"/>
        <v>44682</v>
      </c>
      <c r="M12" s="87">
        <f t="shared" si="223"/>
        <v>44713</v>
      </c>
      <c r="N12" s="87">
        <f t="shared" si="223"/>
        <v>44743</v>
      </c>
      <c r="O12" s="87">
        <f t="shared" si="223"/>
        <v>44774</v>
      </c>
      <c r="P12" s="87">
        <f t="shared" si="223"/>
        <v>44805</v>
      </c>
      <c r="Q12" s="87">
        <f t="shared" si="223"/>
        <v>44835</v>
      </c>
      <c r="R12" s="87">
        <f t="shared" si="223"/>
        <v>44866</v>
      </c>
      <c r="S12" s="87">
        <f t="shared" si="223"/>
        <v>44896</v>
      </c>
      <c r="T12" s="87">
        <f t="shared" si="223"/>
        <v>44927</v>
      </c>
      <c r="U12" s="87">
        <f t="shared" si="223"/>
        <v>44958</v>
      </c>
      <c r="V12" s="87">
        <f t="shared" si="223"/>
        <v>44986</v>
      </c>
      <c r="W12" s="87">
        <f t="shared" si="223"/>
        <v>45017</v>
      </c>
      <c r="X12" s="87">
        <f t="shared" si="223"/>
        <v>45047</v>
      </c>
      <c r="Y12" s="87">
        <f t="shared" si="223"/>
        <v>45078</v>
      </c>
      <c r="Z12" s="87">
        <f t="shared" si="223"/>
        <v>45108</v>
      </c>
      <c r="AA12" s="87">
        <f t="shared" si="223"/>
        <v>45139</v>
      </c>
      <c r="AB12" s="87">
        <f t="shared" si="223"/>
        <v>45170</v>
      </c>
      <c r="AC12" s="87">
        <f t="shared" si="223"/>
        <v>45200</v>
      </c>
      <c r="AD12" s="87">
        <f t="shared" si="223"/>
        <v>45231</v>
      </c>
      <c r="AE12" s="87">
        <f t="shared" si="223"/>
        <v>45261</v>
      </c>
      <c r="AF12" s="87">
        <f t="shared" si="223"/>
        <v>45292</v>
      </c>
      <c r="AG12" s="87">
        <f t="shared" si="223"/>
        <v>45323</v>
      </c>
      <c r="AH12" s="87">
        <f t="shared" si="223"/>
        <v>45352</v>
      </c>
      <c r="AI12" s="87">
        <f t="shared" si="223"/>
        <v>45383</v>
      </c>
      <c r="AJ12" s="87">
        <f t="shared" si="223"/>
        <v>45413</v>
      </c>
      <c r="AK12" s="87">
        <f t="shared" ref="AK12:BP12" si="224">AK$3</f>
        <v>45444</v>
      </c>
      <c r="AL12" s="87">
        <f t="shared" si="224"/>
        <v>45474</v>
      </c>
      <c r="AM12" s="87">
        <f t="shared" si="224"/>
        <v>45505</v>
      </c>
      <c r="AN12" s="87">
        <f t="shared" si="224"/>
        <v>45536</v>
      </c>
      <c r="AO12" s="87">
        <f t="shared" si="224"/>
        <v>45566</v>
      </c>
      <c r="AP12" s="87">
        <f t="shared" si="224"/>
        <v>45597</v>
      </c>
      <c r="AQ12" s="87">
        <f t="shared" si="224"/>
        <v>45627</v>
      </c>
      <c r="AR12" s="87">
        <f t="shared" si="224"/>
        <v>45658</v>
      </c>
      <c r="AS12" s="87">
        <f t="shared" si="224"/>
        <v>45689</v>
      </c>
      <c r="AT12" s="87">
        <f t="shared" si="224"/>
        <v>45717</v>
      </c>
      <c r="AU12" s="87">
        <f t="shared" si="224"/>
        <v>45748</v>
      </c>
      <c r="AV12" s="87">
        <f t="shared" si="224"/>
        <v>45778</v>
      </c>
      <c r="AW12" s="87">
        <f t="shared" si="224"/>
        <v>45809</v>
      </c>
      <c r="AX12" s="87">
        <f t="shared" si="224"/>
        <v>45839</v>
      </c>
      <c r="AY12" s="87">
        <f t="shared" si="224"/>
        <v>45870</v>
      </c>
      <c r="AZ12" s="87">
        <f t="shared" si="224"/>
        <v>45901</v>
      </c>
      <c r="BA12" s="87">
        <f t="shared" si="224"/>
        <v>45931</v>
      </c>
      <c r="BB12" s="87">
        <f t="shared" si="224"/>
        <v>45962</v>
      </c>
      <c r="BC12" s="87">
        <f t="shared" si="224"/>
        <v>45992</v>
      </c>
      <c r="BD12" s="87">
        <f t="shared" si="224"/>
        <v>46023</v>
      </c>
      <c r="BE12" s="87">
        <f t="shared" si="224"/>
        <v>46054</v>
      </c>
      <c r="BF12" s="87">
        <f t="shared" si="224"/>
        <v>46082</v>
      </c>
      <c r="BG12" s="87">
        <f t="shared" si="224"/>
        <v>46113</v>
      </c>
      <c r="BH12" s="87">
        <f t="shared" si="224"/>
        <v>46143</v>
      </c>
      <c r="BI12" s="87">
        <f t="shared" si="224"/>
        <v>46174</v>
      </c>
      <c r="BJ12" s="87">
        <f t="shared" si="224"/>
        <v>46204</v>
      </c>
      <c r="BK12" s="87">
        <f t="shared" si="224"/>
        <v>46235</v>
      </c>
      <c r="BL12" s="87">
        <f t="shared" si="224"/>
        <v>46266</v>
      </c>
      <c r="BM12" s="87">
        <f t="shared" si="224"/>
        <v>46296</v>
      </c>
      <c r="BN12" s="87">
        <f t="shared" si="224"/>
        <v>46327</v>
      </c>
      <c r="BO12" s="87">
        <f t="shared" si="224"/>
        <v>46357</v>
      </c>
      <c r="BP12" s="87">
        <f t="shared" si="224"/>
        <v>46388</v>
      </c>
      <c r="BQ12" s="87">
        <f t="shared" ref="BQ12:KM12" si="225">BQ$3</f>
        <v>46419</v>
      </c>
      <c r="BR12" s="87">
        <f t="shared" si="225"/>
        <v>46447</v>
      </c>
      <c r="BS12" s="87">
        <f t="shared" si="225"/>
        <v>46478</v>
      </c>
      <c r="BT12" s="87">
        <f t="shared" si="225"/>
        <v>46508</v>
      </c>
      <c r="BU12" s="87">
        <f t="shared" si="225"/>
        <v>46539</v>
      </c>
      <c r="BV12" s="87">
        <f t="shared" si="225"/>
        <v>46569</v>
      </c>
      <c r="BW12" s="87">
        <f t="shared" si="225"/>
        <v>46600</v>
      </c>
      <c r="BX12" s="87">
        <f t="shared" si="225"/>
        <v>46631</v>
      </c>
      <c r="BY12" s="87">
        <f t="shared" si="225"/>
        <v>46661</v>
      </c>
      <c r="BZ12" s="87">
        <f t="shared" si="225"/>
        <v>46692</v>
      </c>
      <c r="CA12" s="87">
        <f t="shared" si="225"/>
        <v>46722</v>
      </c>
      <c r="CB12" s="87">
        <f t="shared" si="225"/>
        <v>46753</v>
      </c>
      <c r="CC12" s="87">
        <f t="shared" si="225"/>
        <v>46784</v>
      </c>
      <c r="CD12" s="87">
        <f t="shared" si="225"/>
        <v>46813</v>
      </c>
      <c r="CE12" s="87">
        <f t="shared" si="225"/>
        <v>46844</v>
      </c>
      <c r="CF12" s="87">
        <f t="shared" si="225"/>
        <v>46874</v>
      </c>
      <c r="CG12" s="87">
        <f t="shared" si="225"/>
        <v>46905</v>
      </c>
      <c r="CH12" s="87">
        <f t="shared" si="225"/>
        <v>46935</v>
      </c>
      <c r="CI12" s="87">
        <f t="shared" si="225"/>
        <v>46966</v>
      </c>
      <c r="CJ12" s="87">
        <f t="shared" si="225"/>
        <v>46997</v>
      </c>
      <c r="CK12" s="87">
        <f t="shared" si="225"/>
        <v>47027</v>
      </c>
      <c r="CL12" s="87">
        <f t="shared" si="225"/>
        <v>47058</v>
      </c>
      <c r="CM12" s="87">
        <f t="shared" si="225"/>
        <v>47088</v>
      </c>
      <c r="CN12" s="87">
        <f t="shared" si="225"/>
        <v>47119</v>
      </c>
      <c r="CO12" s="87">
        <f t="shared" si="225"/>
        <v>47150</v>
      </c>
      <c r="CP12" s="87">
        <f t="shared" si="225"/>
        <v>47178</v>
      </c>
      <c r="CQ12" s="87">
        <f t="shared" si="225"/>
        <v>47209</v>
      </c>
      <c r="CR12" s="87">
        <f t="shared" si="225"/>
        <v>47239</v>
      </c>
      <c r="CS12" s="87">
        <f t="shared" si="225"/>
        <v>47270</v>
      </c>
      <c r="CT12" s="87">
        <f t="shared" si="225"/>
        <v>47300</v>
      </c>
      <c r="CU12" s="87">
        <f t="shared" si="225"/>
        <v>47331</v>
      </c>
      <c r="CV12" s="87">
        <f t="shared" si="225"/>
        <v>47362</v>
      </c>
      <c r="CW12" s="87">
        <f t="shared" si="225"/>
        <v>47392</v>
      </c>
      <c r="CX12" s="87">
        <f t="shared" si="225"/>
        <v>47423</v>
      </c>
      <c r="CY12" s="87">
        <f t="shared" si="225"/>
        <v>47453</v>
      </c>
      <c r="CZ12" s="87">
        <f t="shared" si="225"/>
        <v>47484</v>
      </c>
      <c r="DA12" s="87">
        <f t="shared" si="225"/>
        <v>47515</v>
      </c>
      <c r="DB12" s="87">
        <f t="shared" si="225"/>
        <v>47543</v>
      </c>
      <c r="DC12" s="87">
        <f t="shared" si="225"/>
        <v>47574</v>
      </c>
      <c r="DD12" s="87">
        <f t="shared" si="225"/>
        <v>47604</v>
      </c>
      <c r="DE12" s="87">
        <f t="shared" si="225"/>
        <v>47635</v>
      </c>
      <c r="DF12" s="87">
        <f t="shared" si="225"/>
        <v>47665</v>
      </c>
      <c r="DG12" s="87">
        <f t="shared" si="225"/>
        <v>47696</v>
      </c>
      <c r="DH12" s="87">
        <f t="shared" si="225"/>
        <v>47727</v>
      </c>
      <c r="DI12" s="87">
        <f t="shared" si="225"/>
        <v>47757</v>
      </c>
      <c r="DJ12" s="87">
        <f t="shared" si="225"/>
        <v>47788</v>
      </c>
      <c r="DK12" s="87">
        <f t="shared" si="225"/>
        <v>47818</v>
      </c>
      <c r="DL12" s="87">
        <f t="shared" si="225"/>
        <v>47849</v>
      </c>
      <c r="DM12" s="87">
        <f t="shared" si="225"/>
        <v>47880</v>
      </c>
      <c r="DN12" s="87">
        <f t="shared" si="225"/>
        <v>47908</v>
      </c>
      <c r="DO12" s="87">
        <f t="shared" si="225"/>
        <v>47939</v>
      </c>
      <c r="DP12" s="87">
        <f t="shared" si="225"/>
        <v>47969</v>
      </c>
      <c r="DQ12" s="87">
        <f t="shared" si="225"/>
        <v>48000</v>
      </c>
      <c r="DR12" s="87">
        <f t="shared" si="225"/>
        <v>48030</v>
      </c>
      <c r="DS12" s="87">
        <f t="shared" si="225"/>
        <v>48061</v>
      </c>
      <c r="DT12" s="87">
        <f t="shared" si="225"/>
        <v>48092</v>
      </c>
      <c r="DU12" s="87">
        <f t="shared" si="225"/>
        <v>48122</v>
      </c>
      <c r="DV12" s="87">
        <f t="shared" si="225"/>
        <v>48153</v>
      </c>
      <c r="DW12" s="87">
        <f t="shared" si="225"/>
        <v>48183</v>
      </c>
      <c r="DX12" s="87">
        <f t="shared" si="225"/>
        <v>48214</v>
      </c>
      <c r="DY12" s="87">
        <f t="shared" si="225"/>
        <v>48245</v>
      </c>
      <c r="DZ12" s="87">
        <f t="shared" si="225"/>
        <v>48274</v>
      </c>
      <c r="EA12" s="87">
        <f t="shared" si="225"/>
        <v>48305</v>
      </c>
      <c r="EB12" s="87">
        <f t="shared" si="225"/>
        <v>48335</v>
      </c>
      <c r="EC12" s="87">
        <f t="shared" si="225"/>
        <v>48366</v>
      </c>
      <c r="ED12" s="87">
        <f t="shared" si="225"/>
        <v>48396</v>
      </c>
      <c r="EE12" s="87">
        <f t="shared" si="225"/>
        <v>48427</v>
      </c>
      <c r="EF12" s="87">
        <f t="shared" si="225"/>
        <v>48458</v>
      </c>
      <c r="EG12" s="87">
        <f t="shared" si="225"/>
        <v>48488</v>
      </c>
      <c r="EH12" s="87">
        <f t="shared" si="225"/>
        <v>48519</v>
      </c>
      <c r="EI12" s="87">
        <f t="shared" si="225"/>
        <v>48549</v>
      </c>
      <c r="EJ12" s="87">
        <f t="shared" si="225"/>
        <v>48580</v>
      </c>
      <c r="EK12" s="87">
        <f t="shared" si="225"/>
        <v>48611</v>
      </c>
      <c r="EL12" s="87">
        <f t="shared" si="225"/>
        <v>48639</v>
      </c>
      <c r="EM12" s="87">
        <f t="shared" si="225"/>
        <v>48670</v>
      </c>
      <c r="EN12" s="87">
        <f t="shared" si="225"/>
        <v>48700</v>
      </c>
      <c r="EO12" s="87">
        <f t="shared" si="225"/>
        <v>48731</v>
      </c>
      <c r="EP12" s="87">
        <f t="shared" si="225"/>
        <v>48761</v>
      </c>
      <c r="EQ12" s="87">
        <f t="shared" si="225"/>
        <v>48792</v>
      </c>
      <c r="ER12" s="87">
        <f t="shared" si="225"/>
        <v>48823</v>
      </c>
      <c r="ES12" s="87">
        <f t="shared" si="225"/>
        <v>48853</v>
      </c>
      <c r="ET12" s="87">
        <f t="shared" si="225"/>
        <v>48884</v>
      </c>
      <c r="EU12" s="87">
        <f t="shared" si="225"/>
        <v>48914</v>
      </c>
      <c r="EV12" s="87">
        <f t="shared" si="225"/>
        <v>48945</v>
      </c>
      <c r="EW12" s="87">
        <f t="shared" si="225"/>
        <v>48976</v>
      </c>
      <c r="EX12" s="87">
        <f t="shared" si="225"/>
        <v>49004</v>
      </c>
      <c r="EY12" s="87">
        <f t="shared" si="225"/>
        <v>49035</v>
      </c>
      <c r="EZ12" s="87">
        <f t="shared" si="225"/>
        <v>49065</v>
      </c>
      <c r="FA12" s="87">
        <f t="shared" si="225"/>
        <v>49096</v>
      </c>
      <c r="FB12" s="87">
        <f t="shared" si="225"/>
        <v>49126</v>
      </c>
      <c r="FC12" s="87">
        <f t="shared" si="225"/>
        <v>49157</v>
      </c>
      <c r="FD12" s="87">
        <f t="shared" si="225"/>
        <v>49188</v>
      </c>
      <c r="FE12" s="87">
        <f t="shared" si="225"/>
        <v>49218</v>
      </c>
      <c r="FF12" s="87">
        <f t="shared" si="225"/>
        <v>49249</v>
      </c>
      <c r="FG12" s="87">
        <f t="shared" si="225"/>
        <v>49279</v>
      </c>
      <c r="FH12" s="87">
        <f t="shared" si="225"/>
        <v>49310</v>
      </c>
      <c r="FI12" s="87">
        <f t="shared" si="225"/>
        <v>49341</v>
      </c>
      <c r="FJ12" s="87">
        <f t="shared" si="225"/>
        <v>49369</v>
      </c>
      <c r="FK12" s="87">
        <f t="shared" si="225"/>
        <v>49400</v>
      </c>
      <c r="FL12" s="87">
        <f t="shared" si="225"/>
        <v>49430</v>
      </c>
      <c r="FM12" s="87">
        <f t="shared" si="225"/>
        <v>49461</v>
      </c>
      <c r="FN12" s="87">
        <f t="shared" si="225"/>
        <v>49491</v>
      </c>
      <c r="FO12" s="87">
        <f t="shared" si="225"/>
        <v>49522</v>
      </c>
      <c r="FP12" s="87">
        <f t="shared" si="225"/>
        <v>49553</v>
      </c>
      <c r="FQ12" s="87">
        <f t="shared" si="225"/>
        <v>49583</v>
      </c>
      <c r="FR12" s="87">
        <f t="shared" si="225"/>
        <v>49614</v>
      </c>
      <c r="FS12" s="87">
        <f t="shared" si="225"/>
        <v>49644</v>
      </c>
      <c r="FT12" s="87">
        <f t="shared" si="225"/>
        <v>49675</v>
      </c>
      <c r="FU12" s="87">
        <f t="shared" si="225"/>
        <v>49706</v>
      </c>
      <c r="FV12" s="87">
        <f t="shared" si="225"/>
        <v>49735</v>
      </c>
      <c r="FW12" s="87">
        <f t="shared" si="225"/>
        <v>49766</v>
      </c>
      <c r="FX12" s="87">
        <f t="shared" si="225"/>
        <v>49796</v>
      </c>
      <c r="FY12" s="87">
        <f t="shared" si="225"/>
        <v>49827</v>
      </c>
      <c r="FZ12" s="87">
        <f t="shared" si="225"/>
        <v>49857</v>
      </c>
      <c r="GA12" s="87">
        <f t="shared" si="225"/>
        <v>49888</v>
      </c>
      <c r="GB12" s="87">
        <f t="shared" si="225"/>
        <v>49919</v>
      </c>
      <c r="GC12" s="87">
        <f t="shared" si="225"/>
        <v>49949</v>
      </c>
      <c r="GD12" s="87">
        <f t="shared" si="225"/>
        <v>49980</v>
      </c>
      <c r="GE12" s="87">
        <f t="shared" si="225"/>
        <v>50010</v>
      </c>
      <c r="GF12" s="87">
        <f t="shared" si="225"/>
        <v>50041</v>
      </c>
      <c r="GG12" s="87">
        <f t="shared" si="225"/>
        <v>50072</v>
      </c>
      <c r="GH12" s="87">
        <f t="shared" si="225"/>
        <v>50100</v>
      </c>
      <c r="GI12" s="87">
        <f t="shared" si="225"/>
        <v>50131</v>
      </c>
      <c r="GJ12" s="87">
        <f t="shared" si="225"/>
        <v>50161</v>
      </c>
      <c r="GK12" s="87">
        <f t="shared" si="225"/>
        <v>50192</v>
      </c>
      <c r="GL12" s="87">
        <f t="shared" si="225"/>
        <v>50222</v>
      </c>
      <c r="GM12" s="87">
        <f t="shared" si="225"/>
        <v>50253</v>
      </c>
      <c r="GN12" s="87">
        <f t="shared" si="225"/>
        <v>50284</v>
      </c>
      <c r="GO12" s="87">
        <f t="shared" si="225"/>
        <v>50314</v>
      </c>
      <c r="GP12" s="87">
        <f t="shared" si="225"/>
        <v>50345</v>
      </c>
      <c r="GQ12" s="87">
        <f t="shared" si="225"/>
        <v>50375</v>
      </c>
      <c r="GR12" s="87">
        <f t="shared" si="225"/>
        <v>50406</v>
      </c>
      <c r="GS12" s="87">
        <f t="shared" si="225"/>
        <v>50437</v>
      </c>
      <c r="GT12" s="87">
        <f t="shared" si="225"/>
        <v>50465</v>
      </c>
      <c r="GU12" s="87">
        <f t="shared" si="225"/>
        <v>50496</v>
      </c>
      <c r="GV12" s="87">
        <f t="shared" si="225"/>
        <v>50526</v>
      </c>
      <c r="GW12" s="87">
        <f t="shared" si="225"/>
        <v>50557</v>
      </c>
      <c r="GX12" s="87">
        <f t="shared" si="225"/>
        <v>50587</v>
      </c>
      <c r="GY12" s="87">
        <f t="shared" si="225"/>
        <v>50618</v>
      </c>
      <c r="GZ12" s="87">
        <f t="shared" si="225"/>
        <v>50649</v>
      </c>
      <c r="HA12" s="87">
        <f t="shared" si="225"/>
        <v>50679</v>
      </c>
      <c r="HB12" s="87">
        <f t="shared" si="225"/>
        <v>50710</v>
      </c>
      <c r="HC12" s="87">
        <f t="shared" si="225"/>
        <v>50740</v>
      </c>
      <c r="HD12" s="87">
        <f t="shared" si="225"/>
        <v>50771</v>
      </c>
      <c r="HE12" s="87">
        <f t="shared" si="225"/>
        <v>50802</v>
      </c>
      <c r="HF12" s="87">
        <f t="shared" si="225"/>
        <v>50830</v>
      </c>
      <c r="HG12" s="87">
        <f t="shared" si="225"/>
        <v>50861</v>
      </c>
      <c r="HH12" s="87">
        <f t="shared" si="225"/>
        <v>50891</v>
      </c>
      <c r="HI12" s="87">
        <f t="shared" si="225"/>
        <v>50922</v>
      </c>
      <c r="HJ12" s="87">
        <f t="shared" si="225"/>
        <v>50952</v>
      </c>
      <c r="HK12" s="87">
        <f t="shared" si="225"/>
        <v>50983</v>
      </c>
      <c r="HL12" s="87">
        <f t="shared" si="225"/>
        <v>51014</v>
      </c>
      <c r="HM12" s="87">
        <f t="shared" si="225"/>
        <v>51044</v>
      </c>
      <c r="HN12" s="87">
        <f t="shared" si="225"/>
        <v>51075</v>
      </c>
      <c r="HO12" s="87">
        <f t="shared" si="225"/>
        <v>51105</v>
      </c>
      <c r="HP12" s="87">
        <f t="shared" si="225"/>
        <v>51136</v>
      </c>
      <c r="HQ12" s="87">
        <f t="shared" si="225"/>
        <v>51167</v>
      </c>
      <c r="HR12" s="87">
        <f t="shared" si="225"/>
        <v>51196</v>
      </c>
      <c r="HS12" s="87">
        <f t="shared" si="225"/>
        <v>51227</v>
      </c>
      <c r="HT12" s="87">
        <f t="shared" si="225"/>
        <v>51257</v>
      </c>
      <c r="HU12" s="87">
        <f t="shared" si="225"/>
        <v>51288</v>
      </c>
      <c r="HV12" s="87">
        <f t="shared" si="225"/>
        <v>51318</v>
      </c>
      <c r="HW12" s="87">
        <f t="shared" si="225"/>
        <v>51349</v>
      </c>
      <c r="HX12" s="87">
        <f t="shared" si="225"/>
        <v>51380</v>
      </c>
      <c r="HY12" s="87">
        <f t="shared" si="225"/>
        <v>51410</v>
      </c>
      <c r="HZ12" s="87">
        <f t="shared" si="225"/>
        <v>51441</v>
      </c>
      <c r="IA12" s="87">
        <f t="shared" si="225"/>
        <v>51471</v>
      </c>
      <c r="IB12" s="87">
        <f t="shared" si="225"/>
        <v>51502</v>
      </c>
      <c r="IC12" s="87">
        <f t="shared" si="225"/>
        <v>51533</v>
      </c>
      <c r="ID12" s="87">
        <f t="shared" si="225"/>
        <v>51561</v>
      </c>
      <c r="IE12" s="87">
        <f t="shared" si="225"/>
        <v>51592</v>
      </c>
      <c r="IF12" s="87">
        <f t="shared" si="225"/>
        <v>51622</v>
      </c>
      <c r="IG12" s="87">
        <f t="shared" si="225"/>
        <v>51653</v>
      </c>
      <c r="IH12" s="87">
        <f t="shared" si="225"/>
        <v>51683</v>
      </c>
      <c r="II12" s="87">
        <f t="shared" si="225"/>
        <v>51714</v>
      </c>
      <c r="IJ12" s="87">
        <f t="shared" si="225"/>
        <v>51745</v>
      </c>
      <c r="IK12" s="87">
        <f t="shared" si="225"/>
        <v>51775</v>
      </c>
      <c r="IL12" s="87">
        <f t="shared" si="225"/>
        <v>51806</v>
      </c>
      <c r="IM12" s="87">
        <f t="shared" si="225"/>
        <v>51836</v>
      </c>
      <c r="IN12" s="87">
        <f t="shared" si="225"/>
        <v>51867</v>
      </c>
      <c r="IO12" s="87">
        <f t="shared" si="225"/>
        <v>51898</v>
      </c>
      <c r="IP12" s="87">
        <f t="shared" si="225"/>
        <v>51926</v>
      </c>
      <c r="IQ12" s="87">
        <f t="shared" si="225"/>
        <v>51957</v>
      </c>
      <c r="IR12" s="87">
        <f t="shared" si="225"/>
        <v>51987</v>
      </c>
      <c r="IS12" s="87">
        <f t="shared" si="225"/>
        <v>52018</v>
      </c>
      <c r="IT12" s="87">
        <f t="shared" si="225"/>
        <v>52048</v>
      </c>
      <c r="IU12" s="87">
        <f t="shared" si="225"/>
        <v>52079</v>
      </c>
      <c r="IV12" s="87">
        <f t="shared" si="225"/>
        <v>52110</v>
      </c>
      <c r="IW12" s="87">
        <f t="shared" si="225"/>
        <v>52140</v>
      </c>
      <c r="IX12" s="87">
        <f t="shared" si="225"/>
        <v>52171</v>
      </c>
      <c r="IY12" s="87">
        <f t="shared" si="225"/>
        <v>52201</v>
      </c>
      <c r="IZ12" s="87">
        <f t="shared" si="225"/>
        <v>52232</v>
      </c>
      <c r="JA12" s="87">
        <f t="shared" si="225"/>
        <v>52263</v>
      </c>
      <c r="JB12" s="87">
        <f t="shared" si="225"/>
        <v>52291</v>
      </c>
      <c r="JC12" s="87">
        <f t="shared" si="225"/>
        <v>52322</v>
      </c>
      <c r="JD12" s="87">
        <f t="shared" si="225"/>
        <v>52352</v>
      </c>
      <c r="JE12" s="87">
        <f t="shared" si="225"/>
        <v>52383</v>
      </c>
      <c r="JF12" s="87">
        <f t="shared" si="225"/>
        <v>52413</v>
      </c>
      <c r="JG12" s="87">
        <f t="shared" si="225"/>
        <v>52444</v>
      </c>
      <c r="JH12" s="87">
        <f t="shared" si="225"/>
        <v>52475</v>
      </c>
      <c r="JI12" s="87">
        <f t="shared" si="225"/>
        <v>52505</v>
      </c>
      <c r="JJ12" s="87">
        <f t="shared" si="225"/>
        <v>52536</v>
      </c>
      <c r="JK12" s="87">
        <f t="shared" si="225"/>
        <v>52566</v>
      </c>
      <c r="JL12" s="87">
        <f t="shared" si="225"/>
        <v>52597</v>
      </c>
      <c r="JM12" s="87">
        <f t="shared" si="225"/>
        <v>52628</v>
      </c>
      <c r="JN12" s="87">
        <f t="shared" si="225"/>
        <v>52657</v>
      </c>
      <c r="JO12" s="87">
        <f t="shared" si="225"/>
        <v>52688</v>
      </c>
      <c r="JP12" s="87">
        <f t="shared" si="225"/>
        <v>52718</v>
      </c>
      <c r="JQ12" s="87">
        <f t="shared" si="225"/>
        <v>52749</v>
      </c>
      <c r="JR12" s="87">
        <f t="shared" si="225"/>
        <v>52779</v>
      </c>
      <c r="JS12" s="87">
        <f t="shared" si="225"/>
        <v>52810</v>
      </c>
      <c r="JT12" s="87">
        <f t="shared" si="225"/>
        <v>52841</v>
      </c>
      <c r="JU12" s="87">
        <f t="shared" si="225"/>
        <v>52871</v>
      </c>
      <c r="JV12" s="87">
        <f t="shared" si="225"/>
        <v>52902</v>
      </c>
      <c r="JW12" s="87">
        <f t="shared" si="225"/>
        <v>52932</v>
      </c>
      <c r="JX12" s="87">
        <f t="shared" si="225"/>
        <v>52963</v>
      </c>
      <c r="JY12" s="87">
        <f t="shared" si="225"/>
        <v>52994</v>
      </c>
      <c r="JZ12" s="87">
        <f t="shared" si="225"/>
        <v>53022</v>
      </c>
      <c r="KA12" s="87">
        <f t="shared" si="225"/>
        <v>53053</v>
      </c>
      <c r="KB12" s="87">
        <f t="shared" si="225"/>
        <v>53083</v>
      </c>
      <c r="KC12" s="87">
        <f t="shared" si="225"/>
        <v>53114</v>
      </c>
      <c r="KD12" s="87">
        <f t="shared" si="225"/>
        <v>53144</v>
      </c>
      <c r="KE12" s="87">
        <f t="shared" si="225"/>
        <v>53175</v>
      </c>
      <c r="KF12" s="87">
        <f t="shared" si="225"/>
        <v>53206</v>
      </c>
      <c r="KG12" s="87">
        <f t="shared" si="225"/>
        <v>53236</v>
      </c>
      <c r="KH12" s="87">
        <f t="shared" si="225"/>
        <v>53267</v>
      </c>
      <c r="KI12" s="87">
        <f t="shared" si="225"/>
        <v>53297</v>
      </c>
      <c r="KJ12" s="87">
        <f t="shared" si="225"/>
        <v>53328</v>
      </c>
      <c r="KK12" s="87">
        <f t="shared" si="225"/>
        <v>53359</v>
      </c>
      <c r="KL12" s="87">
        <f t="shared" si="225"/>
        <v>53387</v>
      </c>
      <c r="KM12" s="87">
        <f t="shared" si="225"/>
        <v>53418</v>
      </c>
      <c r="KN12" s="87">
        <f t="shared" ref="KN12:KR12" si="226">KN$3</f>
        <v>53448</v>
      </c>
      <c r="KO12" s="87">
        <f t="shared" si="226"/>
        <v>53479</v>
      </c>
      <c r="KP12" s="87">
        <f t="shared" si="226"/>
        <v>53509</v>
      </c>
      <c r="KQ12" s="87">
        <f t="shared" si="226"/>
        <v>53540</v>
      </c>
      <c r="KR12" s="87">
        <f t="shared" si="226"/>
        <v>53571</v>
      </c>
      <c r="KS12" s="86">
        <f t="shared" ref="KS12:KS22" si="227">YEARFRAC(C12,D12,1)</f>
        <v>0.57808219178082187</v>
      </c>
    </row>
    <row r="13" spans="1:306" ht="15" customHeight="1" x14ac:dyDescent="0.3">
      <c r="A13" s="532" t="s">
        <v>1224</v>
      </c>
      <c r="B13" s="84">
        <f>D13-C13+1</f>
        <v>212</v>
      </c>
      <c r="C13" s="88">
        <v>44470</v>
      </c>
      <c r="D13" s="88">
        <v>44681</v>
      </c>
      <c r="E13" s="87">
        <f t="shared" ref="E13:BP13" si="228">E$3</f>
        <v>44470</v>
      </c>
      <c r="F13" s="87">
        <f t="shared" si="228"/>
        <v>44501</v>
      </c>
      <c r="G13" s="87">
        <f t="shared" si="228"/>
        <v>44531</v>
      </c>
      <c r="H13" s="87">
        <f t="shared" si="228"/>
        <v>44562</v>
      </c>
      <c r="I13" s="87">
        <f t="shared" si="228"/>
        <v>44593</v>
      </c>
      <c r="J13" s="87">
        <f t="shared" si="228"/>
        <v>44621</v>
      </c>
      <c r="K13" s="87">
        <f t="shared" si="228"/>
        <v>44652</v>
      </c>
      <c r="L13" s="87">
        <f t="shared" si="228"/>
        <v>44682</v>
      </c>
      <c r="M13" s="87">
        <f t="shared" si="228"/>
        <v>44713</v>
      </c>
      <c r="N13" s="87">
        <f t="shared" si="228"/>
        <v>44743</v>
      </c>
      <c r="O13" s="87">
        <f t="shared" si="228"/>
        <v>44774</v>
      </c>
      <c r="P13" s="87">
        <f t="shared" si="228"/>
        <v>44805</v>
      </c>
      <c r="Q13" s="87">
        <f t="shared" si="228"/>
        <v>44835</v>
      </c>
      <c r="R13" s="87">
        <f t="shared" si="228"/>
        <v>44866</v>
      </c>
      <c r="S13" s="87">
        <f t="shared" si="228"/>
        <v>44896</v>
      </c>
      <c r="T13" s="87">
        <f t="shared" si="228"/>
        <v>44927</v>
      </c>
      <c r="U13" s="87">
        <f t="shared" si="228"/>
        <v>44958</v>
      </c>
      <c r="V13" s="87">
        <f t="shared" si="228"/>
        <v>44986</v>
      </c>
      <c r="W13" s="87">
        <f t="shared" si="228"/>
        <v>45017</v>
      </c>
      <c r="X13" s="87">
        <f t="shared" si="228"/>
        <v>45047</v>
      </c>
      <c r="Y13" s="87">
        <f t="shared" si="228"/>
        <v>45078</v>
      </c>
      <c r="Z13" s="87">
        <f t="shared" si="228"/>
        <v>45108</v>
      </c>
      <c r="AA13" s="87">
        <f t="shared" si="228"/>
        <v>45139</v>
      </c>
      <c r="AB13" s="87">
        <f t="shared" si="228"/>
        <v>45170</v>
      </c>
      <c r="AC13" s="87">
        <f t="shared" si="228"/>
        <v>45200</v>
      </c>
      <c r="AD13" s="87">
        <f t="shared" si="228"/>
        <v>45231</v>
      </c>
      <c r="AE13" s="87">
        <f t="shared" si="228"/>
        <v>45261</v>
      </c>
      <c r="AF13" s="87">
        <f t="shared" si="228"/>
        <v>45292</v>
      </c>
      <c r="AG13" s="87">
        <f t="shared" si="228"/>
        <v>45323</v>
      </c>
      <c r="AH13" s="87">
        <f t="shared" si="228"/>
        <v>45352</v>
      </c>
      <c r="AI13" s="87">
        <f t="shared" si="228"/>
        <v>45383</v>
      </c>
      <c r="AJ13" s="87">
        <f t="shared" si="228"/>
        <v>45413</v>
      </c>
      <c r="AK13" s="87">
        <f t="shared" si="228"/>
        <v>45444</v>
      </c>
      <c r="AL13" s="87">
        <f t="shared" si="228"/>
        <v>45474</v>
      </c>
      <c r="AM13" s="87">
        <f t="shared" si="228"/>
        <v>45505</v>
      </c>
      <c r="AN13" s="87">
        <f t="shared" si="228"/>
        <v>45536</v>
      </c>
      <c r="AO13" s="87">
        <f t="shared" si="228"/>
        <v>45566</v>
      </c>
      <c r="AP13" s="87">
        <f t="shared" si="228"/>
        <v>45597</v>
      </c>
      <c r="AQ13" s="87">
        <f t="shared" si="228"/>
        <v>45627</v>
      </c>
      <c r="AR13" s="87">
        <f t="shared" si="228"/>
        <v>45658</v>
      </c>
      <c r="AS13" s="87">
        <f t="shared" si="228"/>
        <v>45689</v>
      </c>
      <c r="AT13" s="87">
        <f t="shared" si="228"/>
        <v>45717</v>
      </c>
      <c r="AU13" s="87">
        <f t="shared" si="228"/>
        <v>45748</v>
      </c>
      <c r="AV13" s="87">
        <f t="shared" si="228"/>
        <v>45778</v>
      </c>
      <c r="AW13" s="87">
        <f t="shared" si="228"/>
        <v>45809</v>
      </c>
      <c r="AX13" s="87">
        <f t="shared" si="228"/>
        <v>45839</v>
      </c>
      <c r="AY13" s="87">
        <f t="shared" si="228"/>
        <v>45870</v>
      </c>
      <c r="AZ13" s="87">
        <f t="shared" si="228"/>
        <v>45901</v>
      </c>
      <c r="BA13" s="87">
        <f t="shared" si="228"/>
        <v>45931</v>
      </c>
      <c r="BB13" s="87">
        <f t="shared" si="228"/>
        <v>45962</v>
      </c>
      <c r="BC13" s="87">
        <f t="shared" si="228"/>
        <v>45992</v>
      </c>
      <c r="BD13" s="87">
        <f t="shared" si="228"/>
        <v>46023</v>
      </c>
      <c r="BE13" s="87">
        <f t="shared" si="228"/>
        <v>46054</v>
      </c>
      <c r="BF13" s="87">
        <f t="shared" si="228"/>
        <v>46082</v>
      </c>
      <c r="BG13" s="87">
        <f t="shared" si="228"/>
        <v>46113</v>
      </c>
      <c r="BH13" s="87">
        <f t="shared" si="228"/>
        <v>46143</v>
      </c>
      <c r="BI13" s="87">
        <f t="shared" si="228"/>
        <v>46174</v>
      </c>
      <c r="BJ13" s="87">
        <f t="shared" si="228"/>
        <v>46204</v>
      </c>
      <c r="BK13" s="87">
        <f t="shared" si="228"/>
        <v>46235</v>
      </c>
      <c r="BL13" s="87">
        <f t="shared" si="228"/>
        <v>46266</v>
      </c>
      <c r="BM13" s="87">
        <f t="shared" si="228"/>
        <v>46296</v>
      </c>
      <c r="BN13" s="87">
        <f t="shared" si="228"/>
        <v>46327</v>
      </c>
      <c r="BO13" s="87">
        <f t="shared" si="228"/>
        <v>46357</v>
      </c>
      <c r="BP13" s="87">
        <f t="shared" si="228"/>
        <v>46388</v>
      </c>
      <c r="BQ13" s="87">
        <f t="shared" ref="BQ13:JG13" si="229">BQ$3</f>
        <v>46419</v>
      </c>
      <c r="BR13" s="87">
        <f t="shared" si="229"/>
        <v>46447</v>
      </c>
      <c r="BS13" s="87">
        <f t="shared" si="229"/>
        <v>46478</v>
      </c>
      <c r="BT13" s="87">
        <f t="shared" si="229"/>
        <v>46508</v>
      </c>
      <c r="BU13" s="87">
        <f t="shared" si="229"/>
        <v>46539</v>
      </c>
      <c r="BV13" s="87">
        <f t="shared" si="229"/>
        <v>46569</v>
      </c>
      <c r="BW13" s="87">
        <f t="shared" si="229"/>
        <v>46600</v>
      </c>
      <c r="BX13" s="87">
        <f t="shared" si="229"/>
        <v>46631</v>
      </c>
      <c r="BY13" s="87">
        <f t="shared" si="229"/>
        <v>46661</v>
      </c>
      <c r="BZ13" s="87">
        <f t="shared" si="229"/>
        <v>46692</v>
      </c>
      <c r="CA13" s="87">
        <f t="shared" si="229"/>
        <v>46722</v>
      </c>
      <c r="CB13" s="87">
        <f t="shared" si="229"/>
        <v>46753</v>
      </c>
      <c r="CC13" s="87">
        <f t="shared" si="229"/>
        <v>46784</v>
      </c>
      <c r="CD13" s="87">
        <f t="shared" si="229"/>
        <v>46813</v>
      </c>
      <c r="CE13" s="87">
        <f t="shared" si="229"/>
        <v>46844</v>
      </c>
      <c r="CF13" s="87">
        <f t="shared" si="229"/>
        <v>46874</v>
      </c>
      <c r="CG13" s="87">
        <f t="shared" si="229"/>
        <v>46905</v>
      </c>
      <c r="CH13" s="87">
        <f t="shared" si="229"/>
        <v>46935</v>
      </c>
      <c r="CI13" s="87">
        <f t="shared" si="229"/>
        <v>46966</v>
      </c>
      <c r="CJ13" s="87">
        <f t="shared" si="229"/>
        <v>46997</v>
      </c>
      <c r="CK13" s="87">
        <f t="shared" si="229"/>
        <v>47027</v>
      </c>
      <c r="CL13" s="87">
        <f t="shared" si="229"/>
        <v>47058</v>
      </c>
      <c r="CM13" s="87">
        <f t="shared" si="229"/>
        <v>47088</v>
      </c>
      <c r="CN13" s="87">
        <f t="shared" si="229"/>
        <v>47119</v>
      </c>
      <c r="CO13" s="87">
        <f t="shared" si="229"/>
        <v>47150</v>
      </c>
      <c r="CP13" s="87">
        <f t="shared" si="229"/>
        <v>47178</v>
      </c>
      <c r="CQ13" s="87">
        <f t="shared" si="229"/>
        <v>47209</v>
      </c>
      <c r="CR13" s="87">
        <f t="shared" si="229"/>
        <v>47239</v>
      </c>
      <c r="CS13" s="87">
        <f t="shared" si="229"/>
        <v>47270</v>
      </c>
      <c r="CT13" s="87">
        <f t="shared" si="229"/>
        <v>47300</v>
      </c>
      <c r="CU13" s="87">
        <f t="shared" si="229"/>
        <v>47331</v>
      </c>
      <c r="CV13" s="87">
        <f t="shared" si="229"/>
        <v>47362</v>
      </c>
      <c r="CW13" s="87">
        <f t="shared" si="229"/>
        <v>47392</v>
      </c>
      <c r="CX13" s="87">
        <f t="shared" si="229"/>
        <v>47423</v>
      </c>
      <c r="CY13" s="87">
        <f t="shared" si="229"/>
        <v>47453</v>
      </c>
      <c r="CZ13" s="87">
        <f t="shared" si="229"/>
        <v>47484</v>
      </c>
      <c r="DA13" s="87">
        <f t="shared" si="229"/>
        <v>47515</v>
      </c>
      <c r="DB13" s="87">
        <f t="shared" si="229"/>
        <v>47543</v>
      </c>
      <c r="DC13" s="87">
        <f t="shared" si="229"/>
        <v>47574</v>
      </c>
      <c r="DD13" s="87">
        <f t="shared" si="229"/>
        <v>47604</v>
      </c>
      <c r="DE13" s="87">
        <f t="shared" si="229"/>
        <v>47635</v>
      </c>
      <c r="DF13" s="87">
        <f t="shared" si="229"/>
        <v>47665</v>
      </c>
      <c r="DG13" s="87">
        <f t="shared" si="229"/>
        <v>47696</v>
      </c>
      <c r="DH13" s="87">
        <f t="shared" si="229"/>
        <v>47727</v>
      </c>
      <c r="DI13" s="87">
        <f t="shared" si="229"/>
        <v>47757</v>
      </c>
      <c r="DJ13" s="87">
        <f t="shared" si="229"/>
        <v>47788</v>
      </c>
      <c r="DK13" s="87">
        <f t="shared" si="229"/>
        <v>47818</v>
      </c>
      <c r="DL13" s="87">
        <f t="shared" si="229"/>
        <v>47849</v>
      </c>
      <c r="DM13" s="87">
        <f t="shared" si="229"/>
        <v>47880</v>
      </c>
      <c r="DN13" s="87">
        <f t="shared" si="229"/>
        <v>47908</v>
      </c>
      <c r="DO13" s="87">
        <f t="shared" si="229"/>
        <v>47939</v>
      </c>
      <c r="DP13" s="87">
        <f t="shared" si="229"/>
        <v>47969</v>
      </c>
      <c r="DQ13" s="87">
        <f t="shared" si="229"/>
        <v>48000</v>
      </c>
      <c r="DR13" s="87">
        <f t="shared" si="229"/>
        <v>48030</v>
      </c>
      <c r="DS13" s="87">
        <f t="shared" si="229"/>
        <v>48061</v>
      </c>
      <c r="DT13" s="87">
        <f t="shared" si="229"/>
        <v>48092</v>
      </c>
      <c r="DU13" s="87">
        <f t="shared" si="229"/>
        <v>48122</v>
      </c>
      <c r="DV13" s="87">
        <f t="shared" si="229"/>
        <v>48153</v>
      </c>
      <c r="DW13" s="87">
        <f t="shared" si="229"/>
        <v>48183</v>
      </c>
      <c r="DX13" s="87">
        <f t="shared" si="229"/>
        <v>48214</v>
      </c>
      <c r="DY13" s="87">
        <f t="shared" si="229"/>
        <v>48245</v>
      </c>
      <c r="DZ13" s="87">
        <f t="shared" si="229"/>
        <v>48274</v>
      </c>
      <c r="EA13" s="87">
        <f t="shared" si="229"/>
        <v>48305</v>
      </c>
      <c r="EB13" s="87">
        <f t="shared" si="229"/>
        <v>48335</v>
      </c>
      <c r="EC13" s="87">
        <f t="shared" si="229"/>
        <v>48366</v>
      </c>
      <c r="ED13" s="87">
        <f t="shared" si="229"/>
        <v>48396</v>
      </c>
      <c r="EE13" s="87">
        <f t="shared" si="229"/>
        <v>48427</v>
      </c>
      <c r="EF13" s="87">
        <f t="shared" si="229"/>
        <v>48458</v>
      </c>
      <c r="EG13" s="87">
        <f t="shared" si="229"/>
        <v>48488</v>
      </c>
      <c r="EH13" s="87">
        <f t="shared" si="229"/>
        <v>48519</v>
      </c>
      <c r="EI13" s="87">
        <f t="shared" si="229"/>
        <v>48549</v>
      </c>
      <c r="EJ13" s="87">
        <f t="shared" si="229"/>
        <v>48580</v>
      </c>
      <c r="EK13" s="87">
        <f t="shared" si="229"/>
        <v>48611</v>
      </c>
      <c r="EL13" s="87">
        <f t="shared" si="229"/>
        <v>48639</v>
      </c>
      <c r="EM13" s="87">
        <f t="shared" si="229"/>
        <v>48670</v>
      </c>
      <c r="EN13" s="87">
        <f t="shared" si="229"/>
        <v>48700</v>
      </c>
      <c r="EO13" s="87">
        <f t="shared" si="229"/>
        <v>48731</v>
      </c>
      <c r="EP13" s="87">
        <f t="shared" si="229"/>
        <v>48761</v>
      </c>
      <c r="EQ13" s="87">
        <f t="shared" si="229"/>
        <v>48792</v>
      </c>
      <c r="ER13" s="87">
        <f t="shared" si="229"/>
        <v>48823</v>
      </c>
      <c r="ES13" s="87">
        <f t="shared" si="229"/>
        <v>48853</v>
      </c>
      <c r="ET13" s="87">
        <f t="shared" si="229"/>
        <v>48884</v>
      </c>
      <c r="EU13" s="87">
        <f t="shared" si="229"/>
        <v>48914</v>
      </c>
      <c r="EV13" s="87">
        <f t="shared" si="229"/>
        <v>48945</v>
      </c>
      <c r="EW13" s="87">
        <f t="shared" si="229"/>
        <v>48976</v>
      </c>
      <c r="EX13" s="87">
        <f t="shared" si="229"/>
        <v>49004</v>
      </c>
      <c r="EY13" s="87">
        <f t="shared" si="229"/>
        <v>49035</v>
      </c>
      <c r="EZ13" s="87">
        <f t="shared" si="229"/>
        <v>49065</v>
      </c>
      <c r="FA13" s="87">
        <f t="shared" si="229"/>
        <v>49096</v>
      </c>
      <c r="FB13" s="87">
        <f t="shared" si="229"/>
        <v>49126</v>
      </c>
      <c r="FC13" s="87">
        <f t="shared" si="229"/>
        <v>49157</v>
      </c>
      <c r="FD13" s="87">
        <f t="shared" si="229"/>
        <v>49188</v>
      </c>
      <c r="FE13" s="87">
        <f t="shared" si="229"/>
        <v>49218</v>
      </c>
      <c r="FF13" s="87">
        <f t="shared" si="229"/>
        <v>49249</v>
      </c>
      <c r="FG13" s="87">
        <f t="shared" si="229"/>
        <v>49279</v>
      </c>
      <c r="FH13" s="87">
        <f t="shared" si="229"/>
        <v>49310</v>
      </c>
      <c r="FI13" s="87">
        <f t="shared" si="229"/>
        <v>49341</v>
      </c>
      <c r="FJ13" s="87">
        <f t="shared" si="229"/>
        <v>49369</v>
      </c>
      <c r="FK13" s="87">
        <f t="shared" si="229"/>
        <v>49400</v>
      </c>
      <c r="FL13" s="87">
        <f t="shared" si="229"/>
        <v>49430</v>
      </c>
      <c r="FM13" s="87">
        <f t="shared" si="229"/>
        <v>49461</v>
      </c>
      <c r="FN13" s="87">
        <f t="shared" si="229"/>
        <v>49491</v>
      </c>
      <c r="FO13" s="87">
        <f t="shared" si="229"/>
        <v>49522</v>
      </c>
      <c r="FP13" s="87">
        <f t="shared" si="229"/>
        <v>49553</v>
      </c>
      <c r="FQ13" s="87">
        <f t="shared" si="229"/>
        <v>49583</v>
      </c>
      <c r="FR13" s="87">
        <f t="shared" si="229"/>
        <v>49614</v>
      </c>
      <c r="FS13" s="87">
        <f t="shared" si="229"/>
        <v>49644</v>
      </c>
      <c r="FT13" s="87">
        <f t="shared" si="229"/>
        <v>49675</v>
      </c>
      <c r="FU13" s="87">
        <f t="shared" si="229"/>
        <v>49706</v>
      </c>
      <c r="FV13" s="87">
        <f t="shared" si="229"/>
        <v>49735</v>
      </c>
      <c r="FW13" s="87">
        <f t="shared" si="229"/>
        <v>49766</v>
      </c>
      <c r="FX13" s="87">
        <f t="shared" si="229"/>
        <v>49796</v>
      </c>
      <c r="FY13" s="87">
        <f t="shared" si="229"/>
        <v>49827</v>
      </c>
      <c r="FZ13" s="87">
        <f t="shared" si="229"/>
        <v>49857</v>
      </c>
      <c r="GA13" s="87">
        <f t="shared" si="229"/>
        <v>49888</v>
      </c>
      <c r="GB13" s="87">
        <f t="shared" si="229"/>
        <v>49919</v>
      </c>
      <c r="GC13" s="87">
        <f t="shared" si="229"/>
        <v>49949</v>
      </c>
      <c r="GD13" s="87">
        <f t="shared" si="229"/>
        <v>49980</v>
      </c>
      <c r="GE13" s="87">
        <f t="shared" si="229"/>
        <v>50010</v>
      </c>
      <c r="GF13" s="87">
        <f t="shared" si="229"/>
        <v>50041</v>
      </c>
      <c r="GG13" s="87">
        <f t="shared" si="229"/>
        <v>50072</v>
      </c>
      <c r="GH13" s="87">
        <f t="shared" si="229"/>
        <v>50100</v>
      </c>
      <c r="GI13" s="87">
        <f t="shared" si="229"/>
        <v>50131</v>
      </c>
      <c r="GJ13" s="87">
        <f t="shared" si="229"/>
        <v>50161</v>
      </c>
      <c r="GK13" s="87">
        <f t="shared" si="229"/>
        <v>50192</v>
      </c>
      <c r="GL13" s="87">
        <f t="shared" si="229"/>
        <v>50222</v>
      </c>
      <c r="GM13" s="87">
        <f t="shared" si="229"/>
        <v>50253</v>
      </c>
      <c r="GN13" s="87">
        <f t="shared" si="229"/>
        <v>50284</v>
      </c>
      <c r="GO13" s="87">
        <f t="shared" si="229"/>
        <v>50314</v>
      </c>
      <c r="GP13" s="87">
        <f t="shared" si="229"/>
        <v>50345</v>
      </c>
      <c r="GQ13" s="87">
        <f t="shared" si="229"/>
        <v>50375</v>
      </c>
      <c r="GR13" s="87">
        <f t="shared" si="229"/>
        <v>50406</v>
      </c>
      <c r="GS13" s="87">
        <f t="shared" si="229"/>
        <v>50437</v>
      </c>
      <c r="GT13" s="87">
        <f t="shared" si="229"/>
        <v>50465</v>
      </c>
      <c r="GU13" s="87">
        <f t="shared" si="229"/>
        <v>50496</v>
      </c>
      <c r="GV13" s="87">
        <f t="shared" si="229"/>
        <v>50526</v>
      </c>
      <c r="GW13" s="87">
        <f t="shared" si="229"/>
        <v>50557</v>
      </c>
      <c r="GX13" s="87">
        <f t="shared" si="229"/>
        <v>50587</v>
      </c>
      <c r="GY13" s="87">
        <f t="shared" si="229"/>
        <v>50618</v>
      </c>
      <c r="GZ13" s="87">
        <f t="shared" si="229"/>
        <v>50649</v>
      </c>
      <c r="HA13" s="87">
        <f t="shared" si="229"/>
        <v>50679</v>
      </c>
      <c r="HB13" s="87">
        <f t="shared" si="229"/>
        <v>50710</v>
      </c>
      <c r="HC13" s="87">
        <f t="shared" si="229"/>
        <v>50740</v>
      </c>
      <c r="HD13" s="87">
        <f t="shared" si="229"/>
        <v>50771</v>
      </c>
      <c r="HE13" s="87">
        <f t="shared" si="229"/>
        <v>50802</v>
      </c>
      <c r="HF13" s="87">
        <f t="shared" si="229"/>
        <v>50830</v>
      </c>
      <c r="HG13" s="87">
        <f t="shared" si="229"/>
        <v>50861</v>
      </c>
      <c r="HH13" s="87">
        <f t="shared" si="229"/>
        <v>50891</v>
      </c>
      <c r="HI13" s="87">
        <f t="shared" si="229"/>
        <v>50922</v>
      </c>
      <c r="HJ13" s="87">
        <f t="shared" si="229"/>
        <v>50952</v>
      </c>
      <c r="HK13" s="87">
        <f t="shared" si="229"/>
        <v>50983</v>
      </c>
      <c r="HL13" s="87">
        <f t="shared" si="229"/>
        <v>51014</v>
      </c>
      <c r="HM13" s="87">
        <f t="shared" si="229"/>
        <v>51044</v>
      </c>
      <c r="HN13" s="87">
        <f t="shared" si="229"/>
        <v>51075</v>
      </c>
      <c r="HO13" s="87">
        <f t="shared" si="229"/>
        <v>51105</v>
      </c>
      <c r="HP13" s="87">
        <f t="shared" si="229"/>
        <v>51136</v>
      </c>
      <c r="HQ13" s="87">
        <f t="shared" si="229"/>
        <v>51167</v>
      </c>
      <c r="HR13" s="87">
        <f t="shared" si="229"/>
        <v>51196</v>
      </c>
      <c r="HS13" s="87">
        <f t="shared" si="229"/>
        <v>51227</v>
      </c>
      <c r="HT13" s="87">
        <f t="shared" si="229"/>
        <v>51257</v>
      </c>
      <c r="HU13" s="87">
        <f t="shared" si="229"/>
        <v>51288</v>
      </c>
      <c r="HV13" s="87">
        <f t="shared" si="229"/>
        <v>51318</v>
      </c>
      <c r="HW13" s="87">
        <f t="shared" si="229"/>
        <v>51349</v>
      </c>
      <c r="HX13" s="87">
        <f t="shared" si="229"/>
        <v>51380</v>
      </c>
      <c r="HY13" s="87">
        <f t="shared" si="229"/>
        <v>51410</v>
      </c>
      <c r="HZ13" s="87">
        <f t="shared" si="229"/>
        <v>51441</v>
      </c>
      <c r="IA13" s="87">
        <f t="shared" si="229"/>
        <v>51471</v>
      </c>
      <c r="IB13" s="87">
        <f t="shared" si="229"/>
        <v>51502</v>
      </c>
      <c r="IC13" s="87">
        <f t="shared" si="229"/>
        <v>51533</v>
      </c>
      <c r="ID13" s="87">
        <f t="shared" si="229"/>
        <v>51561</v>
      </c>
      <c r="IE13" s="87">
        <f t="shared" si="229"/>
        <v>51592</v>
      </c>
      <c r="IF13" s="87">
        <f t="shared" si="229"/>
        <v>51622</v>
      </c>
      <c r="IG13" s="87">
        <f t="shared" si="229"/>
        <v>51653</v>
      </c>
      <c r="IH13" s="87">
        <f t="shared" si="229"/>
        <v>51683</v>
      </c>
      <c r="II13" s="87">
        <f t="shared" si="229"/>
        <v>51714</v>
      </c>
      <c r="IJ13" s="87">
        <f t="shared" si="229"/>
        <v>51745</v>
      </c>
      <c r="IK13" s="87">
        <f t="shared" si="229"/>
        <v>51775</v>
      </c>
      <c r="IL13" s="87">
        <f t="shared" si="229"/>
        <v>51806</v>
      </c>
      <c r="IM13" s="87">
        <f t="shared" si="229"/>
        <v>51836</v>
      </c>
      <c r="IN13" s="87">
        <f t="shared" si="229"/>
        <v>51867</v>
      </c>
      <c r="IO13" s="87">
        <f t="shared" si="229"/>
        <v>51898</v>
      </c>
      <c r="IP13" s="87">
        <f t="shared" si="229"/>
        <v>51926</v>
      </c>
      <c r="IQ13" s="87">
        <f t="shared" si="229"/>
        <v>51957</v>
      </c>
      <c r="IR13" s="87">
        <f t="shared" si="229"/>
        <v>51987</v>
      </c>
      <c r="IS13" s="87">
        <f t="shared" si="229"/>
        <v>52018</v>
      </c>
      <c r="IT13" s="87">
        <f t="shared" si="229"/>
        <v>52048</v>
      </c>
      <c r="IU13" s="87">
        <f t="shared" si="229"/>
        <v>52079</v>
      </c>
      <c r="IV13" s="87">
        <f t="shared" si="229"/>
        <v>52110</v>
      </c>
      <c r="IW13" s="87">
        <f t="shared" si="229"/>
        <v>52140</v>
      </c>
      <c r="IX13" s="87">
        <f t="shared" si="229"/>
        <v>52171</v>
      </c>
      <c r="IY13" s="87">
        <f t="shared" si="229"/>
        <v>52201</v>
      </c>
      <c r="IZ13" s="87">
        <f t="shared" si="229"/>
        <v>52232</v>
      </c>
      <c r="JA13" s="87">
        <f t="shared" si="229"/>
        <v>52263</v>
      </c>
      <c r="JB13" s="87">
        <f t="shared" si="229"/>
        <v>52291</v>
      </c>
      <c r="JC13" s="87">
        <f t="shared" si="229"/>
        <v>52322</v>
      </c>
      <c r="JD13" s="87">
        <f t="shared" si="229"/>
        <v>52352</v>
      </c>
      <c r="JE13" s="87">
        <f t="shared" si="229"/>
        <v>52383</v>
      </c>
      <c r="JF13" s="87">
        <f t="shared" si="229"/>
        <v>52413</v>
      </c>
      <c r="JG13" s="87">
        <f t="shared" si="229"/>
        <v>52444</v>
      </c>
      <c r="JH13" s="87">
        <f t="shared" ref="JH13:KR13" si="230">JH$3</f>
        <v>52475</v>
      </c>
      <c r="JI13" s="87">
        <f t="shared" si="230"/>
        <v>52505</v>
      </c>
      <c r="JJ13" s="87">
        <f t="shared" si="230"/>
        <v>52536</v>
      </c>
      <c r="JK13" s="87">
        <f t="shared" si="230"/>
        <v>52566</v>
      </c>
      <c r="JL13" s="87">
        <f t="shared" si="230"/>
        <v>52597</v>
      </c>
      <c r="JM13" s="87">
        <f t="shared" si="230"/>
        <v>52628</v>
      </c>
      <c r="JN13" s="87">
        <f t="shared" si="230"/>
        <v>52657</v>
      </c>
      <c r="JO13" s="87">
        <f t="shared" si="230"/>
        <v>52688</v>
      </c>
      <c r="JP13" s="87">
        <f t="shared" si="230"/>
        <v>52718</v>
      </c>
      <c r="JQ13" s="87">
        <f t="shared" si="230"/>
        <v>52749</v>
      </c>
      <c r="JR13" s="87">
        <f t="shared" si="230"/>
        <v>52779</v>
      </c>
      <c r="JS13" s="87">
        <f t="shared" si="230"/>
        <v>52810</v>
      </c>
      <c r="JT13" s="87">
        <f t="shared" si="230"/>
        <v>52841</v>
      </c>
      <c r="JU13" s="87">
        <f t="shared" si="230"/>
        <v>52871</v>
      </c>
      <c r="JV13" s="87">
        <f t="shared" si="230"/>
        <v>52902</v>
      </c>
      <c r="JW13" s="87">
        <f t="shared" si="230"/>
        <v>52932</v>
      </c>
      <c r="JX13" s="87">
        <f t="shared" si="230"/>
        <v>52963</v>
      </c>
      <c r="JY13" s="87">
        <f t="shared" si="230"/>
        <v>52994</v>
      </c>
      <c r="JZ13" s="87">
        <f t="shared" si="230"/>
        <v>53022</v>
      </c>
      <c r="KA13" s="87">
        <f t="shared" si="230"/>
        <v>53053</v>
      </c>
      <c r="KB13" s="87">
        <f t="shared" si="230"/>
        <v>53083</v>
      </c>
      <c r="KC13" s="87">
        <f t="shared" si="230"/>
        <v>53114</v>
      </c>
      <c r="KD13" s="87">
        <f t="shared" si="230"/>
        <v>53144</v>
      </c>
      <c r="KE13" s="87">
        <f t="shared" si="230"/>
        <v>53175</v>
      </c>
      <c r="KF13" s="87">
        <f t="shared" si="230"/>
        <v>53206</v>
      </c>
      <c r="KG13" s="87">
        <f t="shared" si="230"/>
        <v>53236</v>
      </c>
      <c r="KH13" s="87">
        <f t="shared" si="230"/>
        <v>53267</v>
      </c>
      <c r="KI13" s="87">
        <f t="shared" si="230"/>
        <v>53297</v>
      </c>
      <c r="KJ13" s="87">
        <f t="shared" si="230"/>
        <v>53328</v>
      </c>
      <c r="KK13" s="87">
        <f t="shared" si="230"/>
        <v>53359</v>
      </c>
      <c r="KL13" s="87">
        <f t="shared" si="230"/>
        <v>53387</v>
      </c>
      <c r="KM13" s="87">
        <f t="shared" si="230"/>
        <v>53418</v>
      </c>
      <c r="KN13" s="87">
        <f t="shared" si="230"/>
        <v>53448</v>
      </c>
      <c r="KO13" s="87">
        <f t="shared" si="230"/>
        <v>53479</v>
      </c>
      <c r="KP13" s="87">
        <f t="shared" si="230"/>
        <v>53509</v>
      </c>
      <c r="KQ13" s="87">
        <f t="shared" si="230"/>
        <v>53540</v>
      </c>
      <c r="KR13" s="87">
        <f t="shared" si="230"/>
        <v>53571</v>
      </c>
      <c r="KS13" s="86">
        <f t="shared" si="227"/>
        <v>0.57808219178082187</v>
      </c>
      <c r="KT13" s="85"/>
    </row>
    <row r="14" spans="1:306" ht="15" customHeight="1" x14ac:dyDescent="0.3">
      <c r="A14" s="533" t="s">
        <v>1423</v>
      </c>
      <c r="B14" s="84"/>
      <c r="C14" s="88">
        <f>MIN(C15:C17)</f>
        <v>44470</v>
      </c>
      <c r="D14" s="88">
        <f>MAX(D15:D17)</f>
        <v>44937</v>
      </c>
      <c r="E14" s="87">
        <f t="shared" ref="E14:AJ14" si="231">E$3</f>
        <v>44470</v>
      </c>
      <c r="F14" s="87">
        <f t="shared" si="231"/>
        <v>44501</v>
      </c>
      <c r="G14" s="87">
        <f t="shared" si="231"/>
        <v>44531</v>
      </c>
      <c r="H14" s="87">
        <f t="shared" si="231"/>
        <v>44562</v>
      </c>
      <c r="I14" s="87">
        <f t="shared" si="231"/>
        <v>44593</v>
      </c>
      <c r="J14" s="87">
        <f t="shared" si="231"/>
        <v>44621</v>
      </c>
      <c r="K14" s="87">
        <f t="shared" si="231"/>
        <v>44652</v>
      </c>
      <c r="L14" s="87">
        <f t="shared" si="231"/>
        <v>44682</v>
      </c>
      <c r="M14" s="87">
        <f t="shared" si="231"/>
        <v>44713</v>
      </c>
      <c r="N14" s="87">
        <f t="shared" si="231"/>
        <v>44743</v>
      </c>
      <c r="O14" s="87">
        <f t="shared" si="231"/>
        <v>44774</v>
      </c>
      <c r="P14" s="87">
        <f t="shared" si="231"/>
        <v>44805</v>
      </c>
      <c r="Q14" s="87">
        <f t="shared" si="231"/>
        <v>44835</v>
      </c>
      <c r="R14" s="87">
        <f t="shared" si="231"/>
        <v>44866</v>
      </c>
      <c r="S14" s="87">
        <f t="shared" si="231"/>
        <v>44896</v>
      </c>
      <c r="T14" s="87">
        <f t="shared" si="231"/>
        <v>44927</v>
      </c>
      <c r="U14" s="87">
        <f t="shared" si="231"/>
        <v>44958</v>
      </c>
      <c r="V14" s="87">
        <f t="shared" si="231"/>
        <v>44986</v>
      </c>
      <c r="W14" s="87">
        <f t="shared" si="231"/>
        <v>45017</v>
      </c>
      <c r="X14" s="87">
        <f t="shared" si="231"/>
        <v>45047</v>
      </c>
      <c r="Y14" s="87">
        <f t="shared" si="231"/>
        <v>45078</v>
      </c>
      <c r="Z14" s="87">
        <f t="shared" si="231"/>
        <v>45108</v>
      </c>
      <c r="AA14" s="87">
        <f t="shared" si="231"/>
        <v>45139</v>
      </c>
      <c r="AB14" s="87">
        <f t="shared" si="231"/>
        <v>45170</v>
      </c>
      <c r="AC14" s="87">
        <f t="shared" si="231"/>
        <v>45200</v>
      </c>
      <c r="AD14" s="87">
        <f t="shared" si="231"/>
        <v>45231</v>
      </c>
      <c r="AE14" s="87">
        <f t="shared" si="231"/>
        <v>45261</v>
      </c>
      <c r="AF14" s="87">
        <f t="shared" si="231"/>
        <v>45292</v>
      </c>
      <c r="AG14" s="87">
        <f t="shared" si="231"/>
        <v>45323</v>
      </c>
      <c r="AH14" s="87">
        <f t="shared" si="231"/>
        <v>45352</v>
      </c>
      <c r="AI14" s="87">
        <f t="shared" si="231"/>
        <v>45383</v>
      </c>
      <c r="AJ14" s="87">
        <f t="shared" si="231"/>
        <v>45413</v>
      </c>
      <c r="AK14" s="87">
        <f t="shared" ref="AK14:BP14" si="232">AK$3</f>
        <v>45444</v>
      </c>
      <c r="AL14" s="87">
        <f t="shared" si="232"/>
        <v>45474</v>
      </c>
      <c r="AM14" s="87">
        <f t="shared" si="232"/>
        <v>45505</v>
      </c>
      <c r="AN14" s="87">
        <f t="shared" si="232"/>
        <v>45536</v>
      </c>
      <c r="AO14" s="87">
        <f t="shared" si="232"/>
        <v>45566</v>
      </c>
      <c r="AP14" s="87">
        <f t="shared" si="232"/>
        <v>45597</v>
      </c>
      <c r="AQ14" s="87">
        <f t="shared" si="232"/>
        <v>45627</v>
      </c>
      <c r="AR14" s="87">
        <f t="shared" si="232"/>
        <v>45658</v>
      </c>
      <c r="AS14" s="87">
        <f t="shared" si="232"/>
        <v>45689</v>
      </c>
      <c r="AT14" s="87">
        <f t="shared" si="232"/>
        <v>45717</v>
      </c>
      <c r="AU14" s="87">
        <f t="shared" si="232"/>
        <v>45748</v>
      </c>
      <c r="AV14" s="87">
        <f t="shared" si="232"/>
        <v>45778</v>
      </c>
      <c r="AW14" s="87">
        <f t="shared" si="232"/>
        <v>45809</v>
      </c>
      <c r="AX14" s="87">
        <f t="shared" si="232"/>
        <v>45839</v>
      </c>
      <c r="AY14" s="87">
        <f t="shared" si="232"/>
        <v>45870</v>
      </c>
      <c r="AZ14" s="87">
        <f t="shared" si="232"/>
        <v>45901</v>
      </c>
      <c r="BA14" s="87">
        <f t="shared" si="232"/>
        <v>45931</v>
      </c>
      <c r="BB14" s="87">
        <f t="shared" si="232"/>
        <v>45962</v>
      </c>
      <c r="BC14" s="87">
        <f t="shared" si="232"/>
        <v>45992</v>
      </c>
      <c r="BD14" s="87">
        <f t="shared" si="232"/>
        <v>46023</v>
      </c>
      <c r="BE14" s="87">
        <f t="shared" si="232"/>
        <v>46054</v>
      </c>
      <c r="BF14" s="87">
        <f t="shared" si="232"/>
        <v>46082</v>
      </c>
      <c r="BG14" s="87">
        <f t="shared" si="232"/>
        <v>46113</v>
      </c>
      <c r="BH14" s="87">
        <f t="shared" si="232"/>
        <v>46143</v>
      </c>
      <c r="BI14" s="87">
        <f t="shared" si="232"/>
        <v>46174</v>
      </c>
      <c r="BJ14" s="87">
        <f t="shared" si="232"/>
        <v>46204</v>
      </c>
      <c r="BK14" s="87">
        <f t="shared" si="232"/>
        <v>46235</v>
      </c>
      <c r="BL14" s="87">
        <f t="shared" si="232"/>
        <v>46266</v>
      </c>
      <c r="BM14" s="87">
        <f t="shared" si="232"/>
        <v>46296</v>
      </c>
      <c r="BN14" s="87">
        <f t="shared" si="232"/>
        <v>46327</v>
      </c>
      <c r="BO14" s="87">
        <f t="shared" si="232"/>
        <v>46357</v>
      </c>
      <c r="BP14" s="87">
        <f t="shared" si="232"/>
        <v>46388</v>
      </c>
      <c r="BQ14" s="87">
        <f t="shared" ref="BQ14:KM14" si="233">BQ$3</f>
        <v>46419</v>
      </c>
      <c r="BR14" s="87">
        <f t="shared" si="233"/>
        <v>46447</v>
      </c>
      <c r="BS14" s="87">
        <f t="shared" si="233"/>
        <v>46478</v>
      </c>
      <c r="BT14" s="87">
        <f t="shared" si="233"/>
        <v>46508</v>
      </c>
      <c r="BU14" s="87">
        <f t="shared" si="233"/>
        <v>46539</v>
      </c>
      <c r="BV14" s="87">
        <f t="shared" si="233"/>
        <v>46569</v>
      </c>
      <c r="BW14" s="87">
        <f t="shared" si="233"/>
        <v>46600</v>
      </c>
      <c r="BX14" s="87">
        <f t="shared" si="233"/>
        <v>46631</v>
      </c>
      <c r="BY14" s="87">
        <f t="shared" si="233"/>
        <v>46661</v>
      </c>
      <c r="BZ14" s="87">
        <f t="shared" si="233"/>
        <v>46692</v>
      </c>
      <c r="CA14" s="87">
        <f t="shared" si="233"/>
        <v>46722</v>
      </c>
      <c r="CB14" s="87">
        <f t="shared" si="233"/>
        <v>46753</v>
      </c>
      <c r="CC14" s="87">
        <f t="shared" si="233"/>
        <v>46784</v>
      </c>
      <c r="CD14" s="87">
        <f t="shared" si="233"/>
        <v>46813</v>
      </c>
      <c r="CE14" s="87">
        <f t="shared" si="233"/>
        <v>46844</v>
      </c>
      <c r="CF14" s="87">
        <f t="shared" si="233"/>
        <v>46874</v>
      </c>
      <c r="CG14" s="87">
        <f t="shared" si="233"/>
        <v>46905</v>
      </c>
      <c r="CH14" s="87">
        <f t="shared" si="233"/>
        <v>46935</v>
      </c>
      <c r="CI14" s="87">
        <f t="shared" si="233"/>
        <v>46966</v>
      </c>
      <c r="CJ14" s="87">
        <f t="shared" si="233"/>
        <v>46997</v>
      </c>
      <c r="CK14" s="87">
        <f t="shared" si="233"/>
        <v>47027</v>
      </c>
      <c r="CL14" s="87">
        <f t="shared" si="233"/>
        <v>47058</v>
      </c>
      <c r="CM14" s="87">
        <f t="shared" si="233"/>
        <v>47088</v>
      </c>
      <c r="CN14" s="87">
        <f t="shared" si="233"/>
        <v>47119</v>
      </c>
      <c r="CO14" s="87">
        <f t="shared" si="233"/>
        <v>47150</v>
      </c>
      <c r="CP14" s="87">
        <f t="shared" si="233"/>
        <v>47178</v>
      </c>
      <c r="CQ14" s="87">
        <f t="shared" si="233"/>
        <v>47209</v>
      </c>
      <c r="CR14" s="87">
        <f t="shared" si="233"/>
        <v>47239</v>
      </c>
      <c r="CS14" s="87">
        <f t="shared" si="233"/>
        <v>47270</v>
      </c>
      <c r="CT14" s="87">
        <f t="shared" si="233"/>
        <v>47300</v>
      </c>
      <c r="CU14" s="87">
        <f t="shared" si="233"/>
        <v>47331</v>
      </c>
      <c r="CV14" s="87">
        <f t="shared" si="233"/>
        <v>47362</v>
      </c>
      <c r="CW14" s="87">
        <f t="shared" si="233"/>
        <v>47392</v>
      </c>
      <c r="CX14" s="87">
        <f t="shared" si="233"/>
        <v>47423</v>
      </c>
      <c r="CY14" s="87">
        <f t="shared" si="233"/>
        <v>47453</v>
      </c>
      <c r="CZ14" s="87">
        <f t="shared" si="233"/>
        <v>47484</v>
      </c>
      <c r="DA14" s="87">
        <f t="shared" si="233"/>
        <v>47515</v>
      </c>
      <c r="DB14" s="87">
        <f t="shared" si="233"/>
        <v>47543</v>
      </c>
      <c r="DC14" s="87">
        <f t="shared" si="233"/>
        <v>47574</v>
      </c>
      <c r="DD14" s="87">
        <f t="shared" si="233"/>
        <v>47604</v>
      </c>
      <c r="DE14" s="87">
        <f t="shared" si="233"/>
        <v>47635</v>
      </c>
      <c r="DF14" s="87">
        <f t="shared" si="233"/>
        <v>47665</v>
      </c>
      <c r="DG14" s="87">
        <f t="shared" si="233"/>
        <v>47696</v>
      </c>
      <c r="DH14" s="87">
        <f t="shared" si="233"/>
        <v>47727</v>
      </c>
      <c r="DI14" s="87">
        <f t="shared" si="233"/>
        <v>47757</v>
      </c>
      <c r="DJ14" s="87">
        <f t="shared" si="233"/>
        <v>47788</v>
      </c>
      <c r="DK14" s="87">
        <f t="shared" si="233"/>
        <v>47818</v>
      </c>
      <c r="DL14" s="87">
        <f t="shared" si="233"/>
        <v>47849</v>
      </c>
      <c r="DM14" s="87">
        <f t="shared" si="233"/>
        <v>47880</v>
      </c>
      <c r="DN14" s="87">
        <f t="shared" si="233"/>
        <v>47908</v>
      </c>
      <c r="DO14" s="87">
        <f t="shared" si="233"/>
        <v>47939</v>
      </c>
      <c r="DP14" s="87">
        <f t="shared" si="233"/>
        <v>47969</v>
      </c>
      <c r="DQ14" s="87">
        <f t="shared" si="233"/>
        <v>48000</v>
      </c>
      <c r="DR14" s="87">
        <f t="shared" si="233"/>
        <v>48030</v>
      </c>
      <c r="DS14" s="87">
        <f t="shared" si="233"/>
        <v>48061</v>
      </c>
      <c r="DT14" s="87">
        <f t="shared" si="233"/>
        <v>48092</v>
      </c>
      <c r="DU14" s="87">
        <f t="shared" si="233"/>
        <v>48122</v>
      </c>
      <c r="DV14" s="87">
        <f t="shared" si="233"/>
        <v>48153</v>
      </c>
      <c r="DW14" s="87">
        <f t="shared" si="233"/>
        <v>48183</v>
      </c>
      <c r="DX14" s="87">
        <f t="shared" si="233"/>
        <v>48214</v>
      </c>
      <c r="DY14" s="87">
        <f t="shared" si="233"/>
        <v>48245</v>
      </c>
      <c r="DZ14" s="87">
        <f t="shared" si="233"/>
        <v>48274</v>
      </c>
      <c r="EA14" s="87">
        <f t="shared" si="233"/>
        <v>48305</v>
      </c>
      <c r="EB14" s="87">
        <f t="shared" si="233"/>
        <v>48335</v>
      </c>
      <c r="EC14" s="87">
        <f t="shared" si="233"/>
        <v>48366</v>
      </c>
      <c r="ED14" s="87">
        <f t="shared" si="233"/>
        <v>48396</v>
      </c>
      <c r="EE14" s="87">
        <f t="shared" si="233"/>
        <v>48427</v>
      </c>
      <c r="EF14" s="87">
        <f t="shared" si="233"/>
        <v>48458</v>
      </c>
      <c r="EG14" s="87">
        <f t="shared" si="233"/>
        <v>48488</v>
      </c>
      <c r="EH14" s="87">
        <f t="shared" si="233"/>
        <v>48519</v>
      </c>
      <c r="EI14" s="87">
        <f t="shared" si="233"/>
        <v>48549</v>
      </c>
      <c r="EJ14" s="87">
        <f t="shared" si="233"/>
        <v>48580</v>
      </c>
      <c r="EK14" s="87">
        <f t="shared" si="233"/>
        <v>48611</v>
      </c>
      <c r="EL14" s="87">
        <f t="shared" si="233"/>
        <v>48639</v>
      </c>
      <c r="EM14" s="87">
        <f t="shared" si="233"/>
        <v>48670</v>
      </c>
      <c r="EN14" s="87">
        <f t="shared" si="233"/>
        <v>48700</v>
      </c>
      <c r="EO14" s="87">
        <f t="shared" si="233"/>
        <v>48731</v>
      </c>
      <c r="EP14" s="87">
        <f t="shared" si="233"/>
        <v>48761</v>
      </c>
      <c r="EQ14" s="87">
        <f t="shared" si="233"/>
        <v>48792</v>
      </c>
      <c r="ER14" s="87">
        <f t="shared" si="233"/>
        <v>48823</v>
      </c>
      <c r="ES14" s="87">
        <f t="shared" si="233"/>
        <v>48853</v>
      </c>
      <c r="ET14" s="87">
        <f t="shared" si="233"/>
        <v>48884</v>
      </c>
      <c r="EU14" s="87">
        <f t="shared" si="233"/>
        <v>48914</v>
      </c>
      <c r="EV14" s="87">
        <f t="shared" si="233"/>
        <v>48945</v>
      </c>
      <c r="EW14" s="87">
        <f t="shared" si="233"/>
        <v>48976</v>
      </c>
      <c r="EX14" s="87">
        <f t="shared" si="233"/>
        <v>49004</v>
      </c>
      <c r="EY14" s="87">
        <f t="shared" si="233"/>
        <v>49035</v>
      </c>
      <c r="EZ14" s="87">
        <f t="shared" si="233"/>
        <v>49065</v>
      </c>
      <c r="FA14" s="87">
        <f t="shared" si="233"/>
        <v>49096</v>
      </c>
      <c r="FB14" s="87">
        <f t="shared" si="233"/>
        <v>49126</v>
      </c>
      <c r="FC14" s="87">
        <f t="shared" si="233"/>
        <v>49157</v>
      </c>
      <c r="FD14" s="87">
        <f t="shared" si="233"/>
        <v>49188</v>
      </c>
      <c r="FE14" s="87">
        <f t="shared" si="233"/>
        <v>49218</v>
      </c>
      <c r="FF14" s="87">
        <f t="shared" si="233"/>
        <v>49249</v>
      </c>
      <c r="FG14" s="87">
        <f t="shared" si="233"/>
        <v>49279</v>
      </c>
      <c r="FH14" s="87">
        <f t="shared" si="233"/>
        <v>49310</v>
      </c>
      <c r="FI14" s="87">
        <f t="shared" si="233"/>
        <v>49341</v>
      </c>
      <c r="FJ14" s="87">
        <f t="shared" si="233"/>
        <v>49369</v>
      </c>
      <c r="FK14" s="87">
        <f t="shared" si="233"/>
        <v>49400</v>
      </c>
      <c r="FL14" s="87">
        <f t="shared" si="233"/>
        <v>49430</v>
      </c>
      <c r="FM14" s="87">
        <f t="shared" si="233"/>
        <v>49461</v>
      </c>
      <c r="FN14" s="87">
        <f t="shared" si="233"/>
        <v>49491</v>
      </c>
      <c r="FO14" s="87">
        <f t="shared" si="233"/>
        <v>49522</v>
      </c>
      <c r="FP14" s="87">
        <f t="shared" si="233"/>
        <v>49553</v>
      </c>
      <c r="FQ14" s="87">
        <f t="shared" si="233"/>
        <v>49583</v>
      </c>
      <c r="FR14" s="87">
        <f t="shared" si="233"/>
        <v>49614</v>
      </c>
      <c r="FS14" s="87">
        <f t="shared" si="233"/>
        <v>49644</v>
      </c>
      <c r="FT14" s="87">
        <f t="shared" si="233"/>
        <v>49675</v>
      </c>
      <c r="FU14" s="87">
        <f t="shared" si="233"/>
        <v>49706</v>
      </c>
      <c r="FV14" s="87">
        <f t="shared" si="233"/>
        <v>49735</v>
      </c>
      <c r="FW14" s="87">
        <f t="shared" si="233"/>
        <v>49766</v>
      </c>
      <c r="FX14" s="87">
        <f t="shared" si="233"/>
        <v>49796</v>
      </c>
      <c r="FY14" s="87">
        <f t="shared" si="233"/>
        <v>49827</v>
      </c>
      <c r="FZ14" s="87">
        <f t="shared" si="233"/>
        <v>49857</v>
      </c>
      <c r="GA14" s="87">
        <f t="shared" si="233"/>
        <v>49888</v>
      </c>
      <c r="GB14" s="87">
        <f t="shared" si="233"/>
        <v>49919</v>
      </c>
      <c r="GC14" s="87">
        <f t="shared" si="233"/>
        <v>49949</v>
      </c>
      <c r="GD14" s="87">
        <f t="shared" si="233"/>
        <v>49980</v>
      </c>
      <c r="GE14" s="87">
        <f t="shared" si="233"/>
        <v>50010</v>
      </c>
      <c r="GF14" s="87">
        <f t="shared" si="233"/>
        <v>50041</v>
      </c>
      <c r="GG14" s="87">
        <f t="shared" si="233"/>
        <v>50072</v>
      </c>
      <c r="GH14" s="87">
        <f t="shared" si="233"/>
        <v>50100</v>
      </c>
      <c r="GI14" s="87">
        <f t="shared" si="233"/>
        <v>50131</v>
      </c>
      <c r="GJ14" s="87">
        <f t="shared" si="233"/>
        <v>50161</v>
      </c>
      <c r="GK14" s="87">
        <f t="shared" si="233"/>
        <v>50192</v>
      </c>
      <c r="GL14" s="87">
        <f t="shared" si="233"/>
        <v>50222</v>
      </c>
      <c r="GM14" s="87">
        <f t="shared" si="233"/>
        <v>50253</v>
      </c>
      <c r="GN14" s="87">
        <f t="shared" si="233"/>
        <v>50284</v>
      </c>
      <c r="GO14" s="87">
        <f t="shared" si="233"/>
        <v>50314</v>
      </c>
      <c r="GP14" s="87">
        <f t="shared" si="233"/>
        <v>50345</v>
      </c>
      <c r="GQ14" s="87">
        <f t="shared" si="233"/>
        <v>50375</v>
      </c>
      <c r="GR14" s="87">
        <f t="shared" si="233"/>
        <v>50406</v>
      </c>
      <c r="GS14" s="87">
        <f t="shared" si="233"/>
        <v>50437</v>
      </c>
      <c r="GT14" s="87">
        <f t="shared" si="233"/>
        <v>50465</v>
      </c>
      <c r="GU14" s="87">
        <f t="shared" si="233"/>
        <v>50496</v>
      </c>
      <c r="GV14" s="87">
        <f t="shared" si="233"/>
        <v>50526</v>
      </c>
      <c r="GW14" s="87">
        <f t="shared" si="233"/>
        <v>50557</v>
      </c>
      <c r="GX14" s="87">
        <f t="shared" si="233"/>
        <v>50587</v>
      </c>
      <c r="GY14" s="87">
        <f t="shared" si="233"/>
        <v>50618</v>
      </c>
      <c r="GZ14" s="87">
        <f t="shared" si="233"/>
        <v>50649</v>
      </c>
      <c r="HA14" s="87">
        <f t="shared" si="233"/>
        <v>50679</v>
      </c>
      <c r="HB14" s="87">
        <f t="shared" si="233"/>
        <v>50710</v>
      </c>
      <c r="HC14" s="87">
        <f t="shared" si="233"/>
        <v>50740</v>
      </c>
      <c r="HD14" s="87">
        <f t="shared" si="233"/>
        <v>50771</v>
      </c>
      <c r="HE14" s="87">
        <f t="shared" si="233"/>
        <v>50802</v>
      </c>
      <c r="HF14" s="87">
        <f t="shared" si="233"/>
        <v>50830</v>
      </c>
      <c r="HG14" s="87">
        <f t="shared" si="233"/>
        <v>50861</v>
      </c>
      <c r="HH14" s="87">
        <f t="shared" si="233"/>
        <v>50891</v>
      </c>
      <c r="HI14" s="87">
        <f t="shared" si="233"/>
        <v>50922</v>
      </c>
      <c r="HJ14" s="87">
        <f t="shared" si="233"/>
        <v>50952</v>
      </c>
      <c r="HK14" s="87">
        <f t="shared" si="233"/>
        <v>50983</v>
      </c>
      <c r="HL14" s="87">
        <f t="shared" si="233"/>
        <v>51014</v>
      </c>
      <c r="HM14" s="87">
        <f t="shared" si="233"/>
        <v>51044</v>
      </c>
      <c r="HN14" s="87">
        <f t="shared" si="233"/>
        <v>51075</v>
      </c>
      <c r="HO14" s="87">
        <f t="shared" si="233"/>
        <v>51105</v>
      </c>
      <c r="HP14" s="87">
        <f t="shared" si="233"/>
        <v>51136</v>
      </c>
      <c r="HQ14" s="87">
        <f t="shared" si="233"/>
        <v>51167</v>
      </c>
      <c r="HR14" s="87">
        <f t="shared" si="233"/>
        <v>51196</v>
      </c>
      <c r="HS14" s="87">
        <f t="shared" si="233"/>
        <v>51227</v>
      </c>
      <c r="HT14" s="87">
        <f t="shared" si="233"/>
        <v>51257</v>
      </c>
      <c r="HU14" s="87">
        <f t="shared" si="233"/>
        <v>51288</v>
      </c>
      <c r="HV14" s="87">
        <f t="shared" si="233"/>
        <v>51318</v>
      </c>
      <c r="HW14" s="87">
        <f t="shared" si="233"/>
        <v>51349</v>
      </c>
      <c r="HX14" s="87">
        <f t="shared" si="233"/>
        <v>51380</v>
      </c>
      <c r="HY14" s="87">
        <f t="shared" si="233"/>
        <v>51410</v>
      </c>
      <c r="HZ14" s="87">
        <f t="shared" si="233"/>
        <v>51441</v>
      </c>
      <c r="IA14" s="87">
        <f t="shared" si="233"/>
        <v>51471</v>
      </c>
      <c r="IB14" s="87">
        <f t="shared" si="233"/>
        <v>51502</v>
      </c>
      <c r="IC14" s="87">
        <f t="shared" si="233"/>
        <v>51533</v>
      </c>
      <c r="ID14" s="87">
        <f t="shared" si="233"/>
        <v>51561</v>
      </c>
      <c r="IE14" s="87">
        <f t="shared" si="233"/>
        <v>51592</v>
      </c>
      <c r="IF14" s="87">
        <f t="shared" si="233"/>
        <v>51622</v>
      </c>
      <c r="IG14" s="87">
        <f t="shared" si="233"/>
        <v>51653</v>
      </c>
      <c r="IH14" s="87">
        <f t="shared" si="233"/>
        <v>51683</v>
      </c>
      <c r="II14" s="87">
        <f t="shared" si="233"/>
        <v>51714</v>
      </c>
      <c r="IJ14" s="87">
        <f t="shared" si="233"/>
        <v>51745</v>
      </c>
      <c r="IK14" s="87">
        <f t="shared" si="233"/>
        <v>51775</v>
      </c>
      <c r="IL14" s="87">
        <f t="shared" si="233"/>
        <v>51806</v>
      </c>
      <c r="IM14" s="87">
        <f t="shared" si="233"/>
        <v>51836</v>
      </c>
      <c r="IN14" s="87">
        <f t="shared" si="233"/>
        <v>51867</v>
      </c>
      <c r="IO14" s="87">
        <f t="shared" si="233"/>
        <v>51898</v>
      </c>
      <c r="IP14" s="87">
        <f t="shared" si="233"/>
        <v>51926</v>
      </c>
      <c r="IQ14" s="87">
        <f t="shared" si="233"/>
        <v>51957</v>
      </c>
      <c r="IR14" s="87">
        <f t="shared" si="233"/>
        <v>51987</v>
      </c>
      <c r="IS14" s="87">
        <f t="shared" si="233"/>
        <v>52018</v>
      </c>
      <c r="IT14" s="87">
        <f t="shared" si="233"/>
        <v>52048</v>
      </c>
      <c r="IU14" s="87">
        <f t="shared" si="233"/>
        <v>52079</v>
      </c>
      <c r="IV14" s="87">
        <f t="shared" si="233"/>
        <v>52110</v>
      </c>
      <c r="IW14" s="87">
        <f t="shared" si="233"/>
        <v>52140</v>
      </c>
      <c r="IX14" s="87">
        <f t="shared" si="233"/>
        <v>52171</v>
      </c>
      <c r="IY14" s="87">
        <f t="shared" si="233"/>
        <v>52201</v>
      </c>
      <c r="IZ14" s="87">
        <f t="shared" si="233"/>
        <v>52232</v>
      </c>
      <c r="JA14" s="87">
        <f t="shared" si="233"/>
        <v>52263</v>
      </c>
      <c r="JB14" s="87">
        <f t="shared" si="233"/>
        <v>52291</v>
      </c>
      <c r="JC14" s="87">
        <f t="shared" si="233"/>
        <v>52322</v>
      </c>
      <c r="JD14" s="87">
        <f t="shared" si="233"/>
        <v>52352</v>
      </c>
      <c r="JE14" s="87">
        <f t="shared" si="233"/>
        <v>52383</v>
      </c>
      <c r="JF14" s="87">
        <f t="shared" si="233"/>
        <v>52413</v>
      </c>
      <c r="JG14" s="87">
        <f t="shared" si="233"/>
        <v>52444</v>
      </c>
      <c r="JH14" s="87">
        <f t="shared" si="233"/>
        <v>52475</v>
      </c>
      <c r="JI14" s="87">
        <f t="shared" si="233"/>
        <v>52505</v>
      </c>
      <c r="JJ14" s="87">
        <f t="shared" si="233"/>
        <v>52536</v>
      </c>
      <c r="JK14" s="87">
        <f t="shared" si="233"/>
        <v>52566</v>
      </c>
      <c r="JL14" s="87">
        <f t="shared" si="233"/>
        <v>52597</v>
      </c>
      <c r="JM14" s="87">
        <f t="shared" si="233"/>
        <v>52628</v>
      </c>
      <c r="JN14" s="87">
        <f t="shared" si="233"/>
        <v>52657</v>
      </c>
      <c r="JO14" s="87">
        <f t="shared" si="233"/>
        <v>52688</v>
      </c>
      <c r="JP14" s="87">
        <f t="shared" si="233"/>
        <v>52718</v>
      </c>
      <c r="JQ14" s="87">
        <f t="shared" si="233"/>
        <v>52749</v>
      </c>
      <c r="JR14" s="87">
        <f t="shared" si="233"/>
        <v>52779</v>
      </c>
      <c r="JS14" s="87">
        <f t="shared" si="233"/>
        <v>52810</v>
      </c>
      <c r="JT14" s="87">
        <f t="shared" si="233"/>
        <v>52841</v>
      </c>
      <c r="JU14" s="87">
        <f t="shared" si="233"/>
        <v>52871</v>
      </c>
      <c r="JV14" s="87">
        <f t="shared" si="233"/>
        <v>52902</v>
      </c>
      <c r="JW14" s="87">
        <f t="shared" si="233"/>
        <v>52932</v>
      </c>
      <c r="JX14" s="87">
        <f t="shared" si="233"/>
        <v>52963</v>
      </c>
      <c r="JY14" s="87">
        <f t="shared" si="233"/>
        <v>52994</v>
      </c>
      <c r="JZ14" s="87">
        <f t="shared" si="233"/>
        <v>53022</v>
      </c>
      <c r="KA14" s="87">
        <f t="shared" si="233"/>
        <v>53053</v>
      </c>
      <c r="KB14" s="87">
        <f t="shared" si="233"/>
        <v>53083</v>
      </c>
      <c r="KC14" s="87">
        <f t="shared" si="233"/>
        <v>53114</v>
      </c>
      <c r="KD14" s="87">
        <f t="shared" si="233"/>
        <v>53144</v>
      </c>
      <c r="KE14" s="87">
        <f t="shared" si="233"/>
        <v>53175</v>
      </c>
      <c r="KF14" s="87">
        <f t="shared" si="233"/>
        <v>53206</v>
      </c>
      <c r="KG14" s="87">
        <f t="shared" si="233"/>
        <v>53236</v>
      </c>
      <c r="KH14" s="87">
        <f t="shared" si="233"/>
        <v>53267</v>
      </c>
      <c r="KI14" s="87">
        <f t="shared" si="233"/>
        <v>53297</v>
      </c>
      <c r="KJ14" s="87">
        <f t="shared" si="233"/>
        <v>53328</v>
      </c>
      <c r="KK14" s="87">
        <f t="shared" si="233"/>
        <v>53359</v>
      </c>
      <c r="KL14" s="87">
        <f t="shared" si="233"/>
        <v>53387</v>
      </c>
      <c r="KM14" s="87">
        <f t="shared" si="233"/>
        <v>53418</v>
      </c>
      <c r="KN14" s="87">
        <f t="shared" ref="KN14:KR14" si="234">KN$3</f>
        <v>53448</v>
      </c>
      <c r="KO14" s="87">
        <f t="shared" si="234"/>
        <v>53479</v>
      </c>
      <c r="KP14" s="87">
        <f t="shared" si="234"/>
        <v>53509</v>
      </c>
      <c r="KQ14" s="87">
        <f t="shared" si="234"/>
        <v>53540</v>
      </c>
      <c r="KR14" s="87">
        <f t="shared" si="234"/>
        <v>53571</v>
      </c>
      <c r="KS14" s="86">
        <f t="shared" si="227"/>
        <v>1.2794520547945205</v>
      </c>
    </row>
    <row r="15" spans="1:306" ht="15" customHeight="1" x14ac:dyDescent="0.3">
      <c r="A15" s="532" t="s">
        <v>1424</v>
      </c>
      <c r="B15" s="84">
        <f>D15-C15+1</f>
        <v>92</v>
      </c>
      <c r="C15" s="88">
        <v>44470</v>
      </c>
      <c r="D15" s="88">
        <f>C16-1</f>
        <v>44561</v>
      </c>
      <c r="E15" s="87">
        <f t="shared" ref="E15:BP16" si="235">E$3</f>
        <v>44470</v>
      </c>
      <c r="F15" s="87">
        <f t="shared" si="235"/>
        <v>44501</v>
      </c>
      <c r="G15" s="87">
        <f t="shared" si="235"/>
        <v>44531</v>
      </c>
      <c r="H15" s="87">
        <f t="shared" si="235"/>
        <v>44562</v>
      </c>
      <c r="I15" s="87">
        <f t="shared" si="235"/>
        <v>44593</v>
      </c>
      <c r="J15" s="87">
        <f t="shared" si="235"/>
        <v>44621</v>
      </c>
      <c r="K15" s="87">
        <f t="shared" si="235"/>
        <v>44652</v>
      </c>
      <c r="L15" s="87">
        <f t="shared" si="235"/>
        <v>44682</v>
      </c>
      <c r="M15" s="87">
        <f t="shared" si="235"/>
        <v>44713</v>
      </c>
      <c r="N15" s="87">
        <f t="shared" si="235"/>
        <v>44743</v>
      </c>
      <c r="O15" s="87">
        <f t="shared" si="235"/>
        <v>44774</v>
      </c>
      <c r="P15" s="87">
        <f t="shared" si="235"/>
        <v>44805</v>
      </c>
      <c r="Q15" s="87">
        <f t="shared" si="235"/>
        <v>44835</v>
      </c>
      <c r="R15" s="87">
        <f t="shared" si="235"/>
        <v>44866</v>
      </c>
      <c r="S15" s="87">
        <f t="shared" si="235"/>
        <v>44896</v>
      </c>
      <c r="T15" s="87">
        <f t="shared" si="235"/>
        <v>44927</v>
      </c>
      <c r="U15" s="87">
        <f t="shared" si="235"/>
        <v>44958</v>
      </c>
      <c r="V15" s="87">
        <f t="shared" si="235"/>
        <v>44986</v>
      </c>
      <c r="W15" s="87">
        <f t="shared" si="235"/>
        <v>45017</v>
      </c>
      <c r="X15" s="87">
        <f t="shared" si="235"/>
        <v>45047</v>
      </c>
      <c r="Y15" s="87">
        <f t="shared" si="235"/>
        <v>45078</v>
      </c>
      <c r="Z15" s="87">
        <f t="shared" si="235"/>
        <v>45108</v>
      </c>
      <c r="AA15" s="87">
        <f t="shared" si="235"/>
        <v>45139</v>
      </c>
      <c r="AB15" s="87">
        <f t="shared" si="235"/>
        <v>45170</v>
      </c>
      <c r="AC15" s="87">
        <f t="shared" si="235"/>
        <v>45200</v>
      </c>
      <c r="AD15" s="87">
        <f t="shared" si="235"/>
        <v>45231</v>
      </c>
      <c r="AE15" s="87">
        <f t="shared" si="235"/>
        <v>45261</v>
      </c>
      <c r="AF15" s="87">
        <f t="shared" si="235"/>
        <v>45292</v>
      </c>
      <c r="AG15" s="87">
        <f t="shared" si="235"/>
        <v>45323</v>
      </c>
      <c r="AH15" s="87">
        <f t="shared" si="235"/>
        <v>45352</v>
      </c>
      <c r="AI15" s="87">
        <f t="shared" si="235"/>
        <v>45383</v>
      </c>
      <c r="AJ15" s="87">
        <f t="shared" si="235"/>
        <v>45413</v>
      </c>
      <c r="AK15" s="87">
        <f t="shared" si="235"/>
        <v>45444</v>
      </c>
      <c r="AL15" s="87">
        <f t="shared" si="235"/>
        <v>45474</v>
      </c>
      <c r="AM15" s="87">
        <f t="shared" si="235"/>
        <v>45505</v>
      </c>
      <c r="AN15" s="87">
        <f t="shared" si="235"/>
        <v>45536</v>
      </c>
      <c r="AO15" s="87">
        <f t="shared" si="235"/>
        <v>45566</v>
      </c>
      <c r="AP15" s="87">
        <f t="shared" si="235"/>
        <v>45597</v>
      </c>
      <c r="AQ15" s="87">
        <f t="shared" si="235"/>
        <v>45627</v>
      </c>
      <c r="AR15" s="87">
        <f t="shared" si="235"/>
        <v>45658</v>
      </c>
      <c r="AS15" s="87">
        <f t="shared" si="235"/>
        <v>45689</v>
      </c>
      <c r="AT15" s="87">
        <f t="shared" si="235"/>
        <v>45717</v>
      </c>
      <c r="AU15" s="87">
        <f t="shared" si="235"/>
        <v>45748</v>
      </c>
      <c r="AV15" s="87">
        <f t="shared" si="235"/>
        <v>45778</v>
      </c>
      <c r="AW15" s="87">
        <f t="shared" si="235"/>
        <v>45809</v>
      </c>
      <c r="AX15" s="87">
        <f t="shared" si="235"/>
        <v>45839</v>
      </c>
      <c r="AY15" s="87">
        <f t="shared" si="235"/>
        <v>45870</v>
      </c>
      <c r="AZ15" s="87">
        <f t="shared" si="235"/>
        <v>45901</v>
      </c>
      <c r="BA15" s="87">
        <f t="shared" si="235"/>
        <v>45931</v>
      </c>
      <c r="BB15" s="87">
        <f t="shared" si="235"/>
        <v>45962</v>
      </c>
      <c r="BC15" s="87">
        <f t="shared" si="235"/>
        <v>45992</v>
      </c>
      <c r="BD15" s="87">
        <f t="shared" si="235"/>
        <v>46023</v>
      </c>
      <c r="BE15" s="87">
        <f t="shared" si="235"/>
        <v>46054</v>
      </c>
      <c r="BF15" s="87">
        <f t="shared" si="235"/>
        <v>46082</v>
      </c>
      <c r="BG15" s="87">
        <f t="shared" si="235"/>
        <v>46113</v>
      </c>
      <c r="BH15" s="87">
        <f t="shared" si="235"/>
        <v>46143</v>
      </c>
      <c r="BI15" s="87">
        <f t="shared" si="235"/>
        <v>46174</v>
      </c>
      <c r="BJ15" s="87">
        <f t="shared" si="235"/>
        <v>46204</v>
      </c>
      <c r="BK15" s="87">
        <f t="shared" si="235"/>
        <v>46235</v>
      </c>
      <c r="BL15" s="87">
        <f t="shared" si="235"/>
        <v>46266</v>
      </c>
      <c r="BM15" s="87">
        <f t="shared" si="235"/>
        <v>46296</v>
      </c>
      <c r="BN15" s="87">
        <f t="shared" si="235"/>
        <v>46327</v>
      </c>
      <c r="BO15" s="87">
        <f t="shared" si="235"/>
        <v>46357</v>
      </c>
      <c r="BP15" s="87">
        <f t="shared" si="235"/>
        <v>46388</v>
      </c>
      <c r="BQ15" s="87">
        <f t="shared" ref="BQ15:JG16" si="236">BQ$3</f>
        <v>46419</v>
      </c>
      <c r="BR15" s="87">
        <f t="shared" si="236"/>
        <v>46447</v>
      </c>
      <c r="BS15" s="87">
        <f t="shared" si="236"/>
        <v>46478</v>
      </c>
      <c r="BT15" s="87">
        <f t="shared" si="236"/>
        <v>46508</v>
      </c>
      <c r="BU15" s="87">
        <f t="shared" si="236"/>
        <v>46539</v>
      </c>
      <c r="BV15" s="87">
        <f t="shared" si="236"/>
        <v>46569</v>
      </c>
      <c r="BW15" s="87">
        <f t="shared" si="236"/>
        <v>46600</v>
      </c>
      <c r="BX15" s="87">
        <f t="shared" si="236"/>
        <v>46631</v>
      </c>
      <c r="BY15" s="87">
        <f t="shared" si="236"/>
        <v>46661</v>
      </c>
      <c r="BZ15" s="87">
        <f t="shared" si="236"/>
        <v>46692</v>
      </c>
      <c r="CA15" s="87">
        <f t="shared" si="236"/>
        <v>46722</v>
      </c>
      <c r="CB15" s="87">
        <f t="shared" si="236"/>
        <v>46753</v>
      </c>
      <c r="CC15" s="87">
        <f t="shared" si="236"/>
        <v>46784</v>
      </c>
      <c r="CD15" s="87">
        <f t="shared" si="236"/>
        <v>46813</v>
      </c>
      <c r="CE15" s="87">
        <f t="shared" si="236"/>
        <v>46844</v>
      </c>
      <c r="CF15" s="87">
        <f t="shared" si="236"/>
        <v>46874</v>
      </c>
      <c r="CG15" s="87">
        <f t="shared" si="236"/>
        <v>46905</v>
      </c>
      <c r="CH15" s="87">
        <f t="shared" si="236"/>
        <v>46935</v>
      </c>
      <c r="CI15" s="87">
        <f t="shared" si="236"/>
        <v>46966</v>
      </c>
      <c r="CJ15" s="87">
        <f t="shared" si="236"/>
        <v>46997</v>
      </c>
      <c r="CK15" s="87">
        <f t="shared" si="236"/>
        <v>47027</v>
      </c>
      <c r="CL15" s="87">
        <f t="shared" si="236"/>
        <v>47058</v>
      </c>
      <c r="CM15" s="87">
        <f t="shared" si="236"/>
        <v>47088</v>
      </c>
      <c r="CN15" s="87">
        <f t="shared" si="236"/>
        <v>47119</v>
      </c>
      <c r="CO15" s="87">
        <f t="shared" si="236"/>
        <v>47150</v>
      </c>
      <c r="CP15" s="87">
        <f t="shared" si="236"/>
        <v>47178</v>
      </c>
      <c r="CQ15" s="87">
        <f t="shared" si="236"/>
        <v>47209</v>
      </c>
      <c r="CR15" s="87">
        <f t="shared" si="236"/>
        <v>47239</v>
      </c>
      <c r="CS15" s="87">
        <f t="shared" si="236"/>
        <v>47270</v>
      </c>
      <c r="CT15" s="87">
        <f t="shared" si="236"/>
        <v>47300</v>
      </c>
      <c r="CU15" s="87">
        <f t="shared" si="236"/>
        <v>47331</v>
      </c>
      <c r="CV15" s="87">
        <f t="shared" si="236"/>
        <v>47362</v>
      </c>
      <c r="CW15" s="87">
        <f t="shared" si="236"/>
        <v>47392</v>
      </c>
      <c r="CX15" s="87">
        <f t="shared" si="236"/>
        <v>47423</v>
      </c>
      <c r="CY15" s="87">
        <f t="shared" si="236"/>
        <v>47453</v>
      </c>
      <c r="CZ15" s="87">
        <f t="shared" si="236"/>
        <v>47484</v>
      </c>
      <c r="DA15" s="87">
        <f t="shared" si="236"/>
        <v>47515</v>
      </c>
      <c r="DB15" s="87">
        <f t="shared" si="236"/>
        <v>47543</v>
      </c>
      <c r="DC15" s="87">
        <f t="shared" si="236"/>
        <v>47574</v>
      </c>
      <c r="DD15" s="87">
        <f t="shared" si="236"/>
        <v>47604</v>
      </c>
      <c r="DE15" s="87">
        <f t="shared" si="236"/>
        <v>47635</v>
      </c>
      <c r="DF15" s="87">
        <f t="shared" si="236"/>
        <v>47665</v>
      </c>
      <c r="DG15" s="87">
        <f t="shared" si="236"/>
        <v>47696</v>
      </c>
      <c r="DH15" s="87">
        <f t="shared" si="236"/>
        <v>47727</v>
      </c>
      <c r="DI15" s="87">
        <f t="shared" si="236"/>
        <v>47757</v>
      </c>
      <c r="DJ15" s="87">
        <f t="shared" si="236"/>
        <v>47788</v>
      </c>
      <c r="DK15" s="87">
        <f t="shared" si="236"/>
        <v>47818</v>
      </c>
      <c r="DL15" s="87">
        <f t="shared" si="236"/>
        <v>47849</v>
      </c>
      <c r="DM15" s="87">
        <f t="shared" si="236"/>
        <v>47880</v>
      </c>
      <c r="DN15" s="87">
        <f t="shared" si="236"/>
        <v>47908</v>
      </c>
      <c r="DO15" s="87">
        <f t="shared" si="236"/>
        <v>47939</v>
      </c>
      <c r="DP15" s="87">
        <f t="shared" si="236"/>
        <v>47969</v>
      </c>
      <c r="DQ15" s="87">
        <f t="shared" si="236"/>
        <v>48000</v>
      </c>
      <c r="DR15" s="87">
        <f t="shared" si="236"/>
        <v>48030</v>
      </c>
      <c r="DS15" s="87">
        <f t="shared" si="236"/>
        <v>48061</v>
      </c>
      <c r="DT15" s="87">
        <f t="shared" si="236"/>
        <v>48092</v>
      </c>
      <c r="DU15" s="87">
        <f t="shared" si="236"/>
        <v>48122</v>
      </c>
      <c r="DV15" s="87">
        <f t="shared" si="236"/>
        <v>48153</v>
      </c>
      <c r="DW15" s="87">
        <f t="shared" si="236"/>
        <v>48183</v>
      </c>
      <c r="DX15" s="87">
        <f t="shared" si="236"/>
        <v>48214</v>
      </c>
      <c r="DY15" s="87">
        <f t="shared" si="236"/>
        <v>48245</v>
      </c>
      <c r="DZ15" s="87">
        <f t="shared" si="236"/>
        <v>48274</v>
      </c>
      <c r="EA15" s="87">
        <f t="shared" si="236"/>
        <v>48305</v>
      </c>
      <c r="EB15" s="87">
        <f t="shared" si="236"/>
        <v>48335</v>
      </c>
      <c r="EC15" s="87">
        <f t="shared" si="236"/>
        <v>48366</v>
      </c>
      <c r="ED15" s="87">
        <f t="shared" si="236"/>
        <v>48396</v>
      </c>
      <c r="EE15" s="87">
        <f t="shared" si="236"/>
        <v>48427</v>
      </c>
      <c r="EF15" s="87">
        <f t="shared" si="236"/>
        <v>48458</v>
      </c>
      <c r="EG15" s="87">
        <f t="shared" si="236"/>
        <v>48488</v>
      </c>
      <c r="EH15" s="87">
        <f t="shared" si="236"/>
        <v>48519</v>
      </c>
      <c r="EI15" s="87">
        <f t="shared" si="236"/>
        <v>48549</v>
      </c>
      <c r="EJ15" s="87">
        <f t="shared" si="236"/>
        <v>48580</v>
      </c>
      <c r="EK15" s="87">
        <f t="shared" si="236"/>
        <v>48611</v>
      </c>
      <c r="EL15" s="87">
        <f t="shared" si="236"/>
        <v>48639</v>
      </c>
      <c r="EM15" s="87">
        <f t="shared" si="236"/>
        <v>48670</v>
      </c>
      <c r="EN15" s="87">
        <f t="shared" si="236"/>
        <v>48700</v>
      </c>
      <c r="EO15" s="87">
        <f t="shared" si="236"/>
        <v>48731</v>
      </c>
      <c r="EP15" s="87">
        <f t="shared" si="236"/>
        <v>48761</v>
      </c>
      <c r="EQ15" s="87">
        <f t="shared" si="236"/>
        <v>48792</v>
      </c>
      <c r="ER15" s="87">
        <f t="shared" si="236"/>
        <v>48823</v>
      </c>
      <c r="ES15" s="87">
        <f t="shared" si="236"/>
        <v>48853</v>
      </c>
      <c r="ET15" s="87">
        <f t="shared" si="236"/>
        <v>48884</v>
      </c>
      <c r="EU15" s="87">
        <f t="shared" si="236"/>
        <v>48914</v>
      </c>
      <c r="EV15" s="87">
        <f t="shared" si="236"/>
        <v>48945</v>
      </c>
      <c r="EW15" s="87">
        <f t="shared" si="236"/>
        <v>48976</v>
      </c>
      <c r="EX15" s="87">
        <f t="shared" si="236"/>
        <v>49004</v>
      </c>
      <c r="EY15" s="87">
        <f t="shared" si="236"/>
        <v>49035</v>
      </c>
      <c r="EZ15" s="87">
        <f t="shared" si="236"/>
        <v>49065</v>
      </c>
      <c r="FA15" s="87">
        <f t="shared" si="236"/>
        <v>49096</v>
      </c>
      <c r="FB15" s="87">
        <f t="shared" si="236"/>
        <v>49126</v>
      </c>
      <c r="FC15" s="87">
        <f t="shared" si="236"/>
        <v>49157</v>
      </c>
      <c r="FD15" s="87">
        <f t="shared" si="236"/>
        <v>49188</v>
      </c>
      <c r="FE15" s="87">
        <f t="shared" si="236"/>
        <v>49218</v>
      </c>
      <c r="FF15" s="87">
        <f t="shared" si="236"/>
        <v>49249</v>
      </c>
      <c r="FG15" s="87">
        <f t="shared" si="236"/>
        <v>49279</v>
      </c>
      <c r="FH15" s="87">
        <f t="shared" si="236"/>
        <v>49310</v>
      </c>
      <c r="FI15" s="87">
        <f t="shared" si="236"/>
        <v>49341</v>
      </c>
      <c r="FJ15" s="87">
        <f t="shared" si="236"/>
        <v>49369</v>
      </c>
      <c r="FK15" s="87">
        <f t="shared" si="236"/>
        <v>49400</v>
      </c>
      <c r="FL15" s="87">
        <f t="shared" si="236"/>
        <v>49430</v>
      </c>
      <c r="FM15" s="87">
        <f t="shared" si="236"/>
        <v>49461</v>
      </c>
      <c r="FN15" s="87">
        <f t="shared" si="236"/>
        <v>49491</v>
      </c>
      <c r="FO15" s="87">
        <f t="shared" si="236"/>
        <v>49522</v>
      </c>
      <c r="FP15" s="87">
        <f t="shared" si="236"/>
        <v>49553</v>
      </c>
      <c r="FQ15" s="87">
        <f t="shared" si="236"/>
        <v>49583</v>
      </c>
      <c r="FR15" s="87">
        <f t="shared" si="236"/>
        <v>49614</v>
      </c>
      <c r="FS15" s="87">
        <f t="shared" si="236"/>
        <v>49644</v>
      </c>
      <c r="FT15" s="87">
        <f t="shared" si="236"/>
        <v>49675</v>
      </c>
      <c r="FU15" s="87">
        <f t="shared" si="236"/>
        <v>49706</v>
      </c>
      <c r="FV15" s="87">
        <f t="shared" si="236"/>
        <v>49735</v>
      </c>
      <c r="FW15" s="87">
        <f t="shared" si="236"/>
        <v>49766</v>
      </c>
      <c r="FX15" s="87">
        <f t="shared" si="236"/>
        <v>49796</v>
      </c>
      <c r="FY15" s="87">
        <f t="shared" si="236"/>
        <v>49827</v>
      </c>
      <c r="FZ15" s="87">
        <f t="shared" si="236"/>
        <v>49857</v>
      </c>
      <c r="GA15" s="87">
        <f t="shared" si="236"/>
        <v>49888</v>
      </c>
      <c r="GB15" s="87">
        <f t="shared" si="236"/>
        <v>49919</v>
      </c>
      <c r="GC15" s="87">
        <f t="shared" si="236"/>
        <v>49949</v>
      </c>
      <c r="GD15" s="87">
        <f t="shared" si="236"/>
        <v>49980</v>
      </c>
      <c r="GE15" s="87">
        <f t="shared" si="236"/>
        <v>50010</v>
      </c>
      <c r="GF15" s="87">
        <f t="shared" si="236"/>
        <v>50041</v>
      </c>
      <c r="GG15" s="87">
        <f t="shared" si="236"/>
        <v>50072</v>
      </c>
      <c r="GH15" s="87">
        <f t="shared" si="236"/>
        <v>50100</v>
      </c>
      <c r="GI15" s="87">
        <f t="shared" si="236"/>
        <v>50131</v>
      </c>
      <c r="GJ15" s="87">
        <f t="shared" si="236"/>
        <v>50161</v>
      </c>
      <c r="GK15" s="87">
        <f t="shared" si="236"/>
        <v>50192</v>
      </c>
      <c r="GL15" s="87">
        <f t="shared" si="236"/>
        <v>50222</v>
      </c>
      <c r="GM15" s="87">
        <f t="shared" si="236"/>
        <v>50253</v>
      </c>
      <c r="GN15" s="87">
        <f t="shared" si="236"/>
        <v>50284</v>
      </c>
      <c r="GO15" s="87">
        <f t="shared" si="236"/>
        <v>50314</v>
      </c>
      <c r="GP15" s="87">
        <f t="shared" si="236"/>
        <v>50345</v>
      </c>
      <c r="GQ15" s="87">
        <f t="shared" si="236"/>
        <v>50375</v>
      </c>
      <c r="GR15" s="87">
        <f t="shared" si="236"/>
        <v>50406</v>
      </c>
      <c r="GS15" s="87">
        <f t="shared" si="236"/>
        <v>50437</v>
      </c>
      <c r="GT15" s="87">
        <f t="shared" si="236"/>
        <v>50465</v>
      </c>
      <c r="GU15" s="87">
        <f t="shared" si="236"/>
        <v>50496</v>
      </c>
      <c r="GV15" s="87">
        <f t="shared" si="236"/>
        <v>50526</v>
      </c>
      <c r="GW15" s="87">
        <f t="shared" si="236"/>
        <v>50557</v>
      </c>
      <c r="GX15" s="87">
        <f t="shared" si="236"/>
        <v>50587</v>
      </c>
      <c r="GY15" s="87">
        <f t="shared" si="236"/>
        <v>50618</v>
      </c>
      <c r="GZ15" s="87">
        <f t="shared" si="236"/>
        <v>50649</v>
      </c>
      <c r="HA15" s="87">
        <f t="shared" si="236"/>
        <v>50679</v>
      </c>
      <c r="HB15" s="87">
        <f t="shared" si="236"/>
        <v>50710</v>
      </c>
      <c r="HC15" s="87">
        <f t="shared" si="236"/>
        <v>50740</v>
      </c>
      <c r="HD15" s="87">
        <f t="shared" si="236"/>
        <v>50771</v>
      </c>
      <c r="HE15" s="87">
        <f t="shared" si="236"/>
        <v>50802</v>
      </c>
      <c r="HF15" s="87">
        <f t="shared" si="236"/>
        <v>50830</v>
      </c>
      <c r="HG15" s="87">
        <f t="shared" si="236"/>
        <v>50861</v>
      </c>
      <c r="HH15" s="87">
        <f t="shared" si="236"/>
        <v>50891</v>
      </c>
      <c r="HI15" s="87">
        <f t="shared" si="236"/>
        <v>50922</v>
      </c>
      <c r="HJ15" s="87">
        <f t="shared" si="236"/>
        <v>50952</v>
      </c>
      <c r="HK15" s="87">
        <f t="shared" si="236"/>
        <v>50983</v>
      </c>
      <c r="HL15" s="87">
        <f t="shared" si="236"/>
        <v>51014</v>
      </c>
      <c r="HM15" s="87">
        <f t="shared" si="236"/>
        <v>51044</v>
      </c>
      <c r="HN15" s="87">
        <f t="shared" si="236"/>
        <v>51075</v>
      </c>
      <c r="HO15" s="87">
        <f t="shared" si="236"/>
        <v>51105</v>
      </c>
      <c r="HP15" s="87">
        <f t="shared" si="236"/>
        <v>51136</v>
      </c>
      <c r="HQ15" s="87">
        <f t="shared" si="236"/>
        <v>51167</v>
      </c>
      <c r="HR15" s="87">
        <f t="shared" si="236"/>
        <v>51196</v>
      </c>
      <c r="HS15" s="87">
        <f t="shared" si="236"/>
        <v>51227</v>
      </c>
      <c r="HT15" s="87">
        <f t="shared" si="236"/>
        <v>51257</v>
      </c>
      <c r="HU15" s="87">
        <f t="shared" si="236"/>
        <v>51288</v>
      </c>
      <c r="HV15" s="87">
        <f t="shared" si="236"/>
        <v>51318</v>
      </c>
      <c r="HW15" s="87">
        <f t="shared" si="236"/>
        <v>51349</v>
      </c>
      <c r="HX15" s="87">
        <f t="shared" si="236"/>
        <v>51380</v>
      </c>
      <c r="HY15" s="87">
        <f t="shared" si="236"/>
        <v>51410</v>
      </c>
      <c r="HZ15" s="87">
        <f t="shared" si="236"/>
        <v>51441</v>
      </c>
      <c r="IA15" s="87">
        <f t="shared" si="236"/>
        <v>51471</v>
      </c>
      <c r="IB15" s="87">
        <f t="shared" si="236"/>
        <v>51502</v>
      </c>
      <c r="IC15" s="87">
        <f t="shared" si="236"/>
        <v>51533</v>
      </c>
      <c r="ID15" s="87">
        <f t="shared" si="236"/>
        <v>51561</v>
      </c>
      <c r="IE15" s="87">
        <f t="shared" si="236"/>
        <v>51592</v>
      </c>
      <c r="IF15" s="87">
        <f t="shared" si="236"/>
        <v>51622</v>
      </c>
      <c r="IG15" s="87">
        <f t="shared" si="236"/>
        <v>51653</v>
      </c>
      <c r="IH15" s="87">
        <f t="shared" si="236"/>
        <v>51683</v>
      </c>
      <c r="II15" s="87">
        <f t="shared" si="236"/>
        <v>51714</v>
      </c>
      <c r="IJ15" s="87">
        <f t="shared" si="236"/>
        <v>51745</v>
      </c>
      <c r="IK15" s="87">
        <f t="shared" si="236"/>
        <v>51775</v>
      </c>
      <c r="IL15" s="87">
        <f t="shared" si="236"/>
        <v>51806</v>
      </c>
      <c r="IM15" s="87">
        <f t="shared" si="236"/>
        <v>51836</v>
      </c>
      <c r="IN15" s="87">
        <f t="shared" si="236"/>
        <v>51867</v>
      </c>
      <c r="IO15" s="87">
        <f t="shared" si="236"/>
        <v>51898</v>
      </c>
      <c r="IP15" s="87">
        <f t="shared" si="236"/>
        <v>51926</v>
      </c>
      <c r="IQ15" s="87">
        <f t="shared" si="236"/>
        <v>51957</v>
      </c>
      <c r="IR15" s="87">
        <f t="shared" si="236"/>
        <v>51987</v>
      </c>
      <c r="IS15" s="87">
        <f t="shared" si="236"/>
        <v>52018</v>
      </c>
      <c r="IT15" s="87">
        <f t="shared" si="236"/>
        <v>52048</v>
      </c>
      <c r="IU15" s="87">
        <f t="shared" si="236"/>
        <v>52079</v>
      </c>
      <c r="IV15" s="87">
        <f t="shared" si="236"/>
        <v>52110</v>
      </c>
      <c r="IW15" s="87">
        <f t="shared" si="236"/>
        <v>52140</v>
      </c>
      <c r="IX15" s="87">
        <f t="shared" si="236"/>
        <v>52171</v>
      </c>
      <c r="IY15" s="87">
        <f t="shared" si="236"/>
        <v>52201</v>
      </c>
      <c r="IZ15" s="87">
        <f t="shared" si="236"/>
        <v>52232</v>
      </c>
      <c r="JA15" s="87">
        <f t="shared" si="236"/>
        <v>52263</v>
      </c>
      <c r="JB15" s="87">
        <f t="shared" si="236"/>
        <v>52291</v>
      </c>
      <c r="JC15" s="87">
        <f t="shared" si="236"/>
        <v>52322</v>
      </c>
      <c r="JD15" s="87">
        <f t="shared" si="236"/>
        <v>52352</v>
      </c>
      <c r="JE15" s="87">
        <f t="shared" si="236"/>
        <v>52383</v>
      </c>
      <c r="JF15" s="87">
        <f t="shared" si="236"/>
        <v>52413</v>
      </c>
      <c r="JG15" s="87">
        <f t="shared" si="236"/>
        <v>52444</v>
      </c>
      <c r="JH15" s="87">
        <f t="shared" ref="JH15:KR16" si="237">JH$3</f>
        <v>52475</v>
      </c>
      <c r="JI15" s="87">
        <f t="shared" si="237"/>
        <v>52505</v>
      </c>
      <c r="JJ15" s="87">
        <f t="shared" si="237"/>
        <v>52536</v>
      </c>
      <c r="JK15" s="87">
        <f t="shared" si="237"/>
        <v>52566</v>
      </c>
      <c r="JL15" s="87">
        <f t="shared" si="237"/>
        <v>52597</v>
      </c>
      <c r="JM15" s="87">
        <f t="shared" si="237"/>
        <v>52628</v>
      </c>
      <c r="JN15" s="87">
        <f t="shared" si="237"/>
        <v>52657</v>
      </c>
      <c r="JO15" s="87">
        <f t="shared" si="237"/>
        <v>52688</v>
      </c>
      <c r="JP15" s="87">
        <f t="shared" si="237"/>
        <v>52718</v>
      </c>
      <c r="JQ15" s="87">
        <f t="shared" si="237"/>
        <v>52749</v>
      </c>
      <c r="JR15" s="87">
        <f t="shared" si="237"/>
        <v>52779</v>
      </c>
      <c r="JS15" s="87">
        <f t="shared" si="237"/>
        <v>52810</v>
      </c>
      <c r="JT15" s="87">
        <f t="shared" si="237"/>
        <v>52841</v>
      </c>
      <c r="JU15" s="87">
        <f t="shared" si="237"/>
        <v>52871</v>
      </c>
      <c r="JV15" s="87">
        <f t="shared" si="237"/>
        <v>52902</v>
      </c>
      <c r="JW15" s="87">
        <f t="shared" si="237"/>
        <v>52932</v>
      </c>
      <c r="JX15" s="87">
        <f t="shared" si="237"/>
        <v>52963</v>
      </c>
      <c r="JY15" s="87">
        <f t="shared" si="237"/>
        <v>52994</v>
      </c>
      <c r="JZ15" s="87">
        <f t="shared" si="237"/>
        <v>53022</v>
      </c>
      <c r="KA15" s="87">
        <f t="shared" si="237"/>
        <v>53053</v>
      </c>
      <c r="KB15" s="87">
        <f t="shared" si="237"/>
        <v>53083</v>
      </c>
      <c r="KC15" s="87">
        <f t="shared" si="237"/>
        <v>53114</v>
      </c>
      <c r="KD15" s="87">
        <f t="shared" si="237"/>
        <v>53144</v>
      </c>
      <c r="KE15" s="87">
        <f t="shared" si="237"/>
        <v>53175</v>
      </c>
      <c r="KF15" s="87">
        <f t="shared" si="237"/>
        <v>53206</v>
      </c>
      <c r="KG15" s="87">
        <f t="shared" si="237"/>
        <v>53236</v>
      </c>
      <c r="KH15" s="87">
        <f t="shared" si="237"/>
        <v>53267</v>
      </c>
      <c r="KI15" s="87">
        <f t="shared" si="237"/>
        <v>53297</v>
      </c>
      <c r="KJ15" s="87">
        <f t="shared" si="237"/>
        <v>53328</v>
      </c>
      <c r="KK15" s="87">
        <f t="shared" si="237"/>
        <v>53359</v>
      </c>
      <c r="KL15" s="87">
        <f t="shared" si="237"/>
        <v>53387</v>
      </c>
      <c r="KM15" s="87">
        <f t="shared" si="237"/>
        <v>53418</v>
      </c>
      <c r="KN15" s="87">
        <f t="shared" si="237"/>
        <v>53448</v>
      </c>
      <c r="KO15" s="87">
        <f t="shared" si="237"/>
        <v>53479</v>
      </c>
      <c r="KP15" s="87">
        <f t="shared" si="237"/>
        <v>53509</v>
      </c>
      <c r="KQ15" s="87">
        <f t="shared" si="237"/>
        <v>53540</v>
      </c>
      <c r="KR15" s="87">
        <f t="shared" si="237"/>
        <v>53571</v>
      </c>
      <c r="KS15" s="86">
        <f t="shared" si="227"/>
        <v>0.24931506849315069</v>
      </c>
    </row>
    <row r="16" spans="1:306" ht="15" customHeight="1" x14ac:dyDescent="0.3">
      <c r="A16" s="532" t="s">
        <v>1166</v>
      </c>
      <c r="B16" s="84">
        <f>D16-C16+1</f>
        <v>151</v>
      </c>
      <c r="C16" s="88">
        <v>44562</v>
      </c>
      <c r="D16" s="88">
        <f>C17-1</f>
        <v>44712</v>
      </c>
      <c r="E16" s="87">
        <f t="shared" si="235"/>
        <v>44470</v>
      </c>
      <c r="F16" s="87">
        <f t="shared" si="235"/>
        <v>44501</v>
      </c>
      <c r="G16" s="87">
        <f t="shared" si="235"/>
        <v>44531</v>
      </c>
      <c r="H16" s="87">
        <f t="shared" si="235"/>
        <v>44562</v>
      </c>
      <c r="I16" s="87">
        <f t="shared" si="235"/>
        <v>44593</v>
      </c>
      <c r="J16" s="87">
        <f t="shared" si="235"/>
        <v>44621</v>
      </c>
      <c r="K16" s="87">
        <f t="shared" si="235"/>
        <v>44652</v>
      </c>
      <c r="L16" s="87">
        <f t="shared" si="235"/>
        <v>44682</v>
      </c>
      <c r="M16" s="87">
        <f t="shared" si="235"/>
        <v>44713</v>
      </c>
      <c r="N16" s="87">
        <f t="shared" si="235"/>
        <v>44743</v>
      </c>
      <c r="O16" s="87">
        <f t="shared" si="235"/>
        <v>44774</v>
      </c>
      <c r="P16" s="87">
        <f t="shared" si="235"/>
        <v>44805</v>
      </c>
      <c r="Q16" s="87">
        <f t="shared" si="235"/>
        <v>44835</v>
      </c>
      <c r="R16" s="87">
        <f t="shared" si="235"/>
        <v>44866</v>
      </c>
      <c r="S16" s="87">
        <f t="shared" si="235"/>
        <v>44896</v>
      </c>
      <c r="T16" s="87">
        <f t="shared" si="235"/>
        <v>44927</v>
      </c>
      <c r="U16" s="87">
        <f t="shared" si="235"/>
        <v>44958</v>
      </c>
      <c r="V16" s="87">
        <f t="shared" si="235"/>
        <v>44986</v>
      </c>
      <c r="W16" s="87">
        <f t="shared" si="235"/>
        <v>45017</v>
      </c>
      <c r="X16" s="87">
        <f t="shared" si="235"/>
        <v>45047</v>
      </c>
      <c r="Y16" s="87">
        <f t="shared" si="235"/>
        <v>45078</v>
      </c>
      <c r="Z16" s="87">
        <f t="shared" si="235"/>
        <v>45108</v>
      </c>
      <c r="AA16" s="87">
        <f t="shared" si="235"/>
        <v>45139</v>
      </c>
      <c r="AB16" s="87">
        <f t="shared" si="235"/>
        <v>45170</v>
      </c>
      <c r="AC16" s="87">
        <f t="shared" si="235"/>
        <v>45200</v>
      </c>
      <c r="AD16" s="87">
        <f t="shared" si="235"/>
        <v>45231</v>
      </c>
      <c r="AE16" s="87">
        <f t="shared" si="235"/>
        <v>45261</v>
      </c>
      <c r="AF16" s="87">
        <f t="shared" si="235"/>
        <v>45292</v>
      </c>
      <c r="AG16" s="87">
        <f t="shared" si="235"/>
        <v>45323</v>
      </c>
      <c r="AH16" s="87">
        <f t="shared" si="235"/>
        <v>45352</v>
      </c>
      <c r="AI16" s="87">
        <f t="shared" si="235"/>
        <v>45383</v>
      </c>
      <c r="AJ16" s="87">
        <f t="shared" si="235"/>
        <v>45413</v>
      </c>
      <c r="AK16" s="87">
        <f t="shared" si="235"/>
        <v>45444</v>
      </c>
      <c r="AL16" s="87">
        <f t="shared" si="235"/>
        <v>45474</v>
      </c>
      <c r="AM16" s="87">
        <f t="shared" si="235"/>
        <v>45505</v>
      </c>
      <c r="AN16" s="87">
        <f t="shared" si="235"/>
        <v>45536</v>
      </c>
      <c r="AO16" s="87">
        <f t="shared" si="235"/>
        <v>45566</v>
      </c>
      <c r="AP16" s="87">
        <f t="shared" si="235"/>
        <v>45597</v>
      </c>
      <c r="AQ16" s="87">
        <f t="shared" si="235"/>
        <v>45627</v>
      </c>
      <c r="AR16" s="87">
        <f t="shared" si="235"/>
        <v>45658</v>
      </c>
      <c r="AS16" s="87">
        <f t="shared" si="235"/>
        <v>45689</v>
      </c>
      <c r="AT16" s="87">
        <f t="shared" si="235"/>
        <v>45717</v>
      </c>
      <c r="AU16" s="87">
        <f t="shared" si="235"/>
        <v>45748</v>
      </c>
      <c r="AV16" s="87">
        <f t="shared" si="235"/>
        <v>45778</v>
      </c>
      <c r="AW16" s="87">
        <f t="shared" si="235"/>
        <v>45809</v>
      </c>
      <c r="AX16" s="87">
        <f t="shared" si="235"/>
        <v>45839</v>
      </c>
      <c r="AY16" s="87">
        <f t="shared" si="235"/>
        <v>45870</v>
      </c>
      <c r="AZ16" s="87">
        <f t="shared" si="235"/>
        <v>45901</v>
      </c>
      <c r="BA16" s="87">
        <f t="shared" si="235"/>
        <v>45931</v>
      </c>
      <c r="BB16" s="87">
        <f t="shared" si="235"/>
        <v>45962</v>
      </c>
      <c r="BC16" s="87">
        <f t="shared" si="235"/>
        <v>45992</v>
      </c>
      <c r="BD16" s="87">
        <f t="shared" si="235"/>
        <v>46023</v>
      </c>
      <c r="BE16" s="87">
        <f t="shared" si="235"/>
        <v>46054</v>
      </c>
      <c r="BF16" s="87">
        <f t="shared" si="235"/>
        <v>46082</v>
      </c>
      <c r="BG16" s="87">
        <f t="shared" si="235"/>
        <v>46113</v>
      </c>
      <c r="BH16" s="87">
        <f t="shared" si="235"/>
        <v>46143</v>
      </c>
      <c r="BI16" s="87">
        <f t="shared" si="235"/>
        <v>46174</v>
      </c>
      <c r="BJ16" s="87">
        <f t="shared" si="235"/>
        <v>46204</v>
      </c>
      <c r="BK16" s="87">
        <f t="shared" si="235"/>
        <v>46235</v>
      </c>
      <c r="BL16" s="87">
        <f t="shared" si="235"/>
        <v>46266</v>
      </c>
      <c r="BM16" s="87">
        <f t="shared" si="235"/>
        <v>46296</v>
      </c>
      <c r="BN16" s="87">
        <f t="shared" si="235"/>
        <v>46327</v>
      </c>
      <c r="BO16" s="87">
        <f t="shared" si="235"/>
        <v>46357</v>
      </c>
      <c r="BP16" s="87">
        <f t="shared" si="235"/>
        <v>46388</v>
      </c>
      <c r="BQ16" s="87">
        <f t="shared" si="236"/>
        <v>46419</v>
      </c>
      <c r="BR16" s="87">
        <f t="shared" si="236"/>
        <v>46447</v>
      </c>
      <c r="BS16" s="87">
        <f t="shared" si="236"/>
        <v>46478</v>
      </c>
      <c r="BT16" s="87">
        <f t="shared" si="236"/>
        <v>46508</v>
      </c>
      <c r="BU16" s="87">
        <f t="shared" si="236"/>
        <v>46539</v>
      </c>
      <c r="BV16" s="87">
        <f t="shared" si="236"/>
        <v>46569</v>
      </c>
      <c r="BW16" s="87">
        <f t="shared" si="236"/>
        <v>46600</v>
      </c>
      <c r="BX16" s="87">
        <f t="shared" si="236"/>
        <v>46631</v>
      </c>
      <c r="BY16" s="87">
        <f t="shared" si="236"/>
        <v>46661</v>
      </c>
      <c r="BZ16" s="87">
        <f t="shared" si="236"/>
        <v>46692</v>
      </c>
      <c r="CA16" s="87">
        <f t="shared" si="236"/>
        <v>46722</v>
      </c>
      <c r="CB16" s="87">
        <f t="shared" si="236"/>
        <v>46753</v>
      </c>
      <c r="CC16" s="87">
        <f t="shared" si="236"/>
        <v>46784</v>
      </c>
      <c r="CD16" s="87">
        <f t="shared" si="236"/>
        <v>46813</v>
      </c>
      <c r="CE16" s="87">
        <f t="shared" si="236"/>
        <v>46844</v>
      </c>
      <c r="CF16" s="87">
        <f t="shared" si="236"/>
        <v>46874</v>
      </c>
      <c r="CG16" s="87">
        <f t="shared" si="236"/>
        <v>46905</v>
      </c>
      <c r="CH16" s="87">
        <f t="shared" si="236"/>
        <v>46935</v>
      </c>
      <c r="CI16" s="87">
        <f t="shared" si="236"/>
        <v>46966</v>
      </c>
      <c r="CJ16" s="87">
        <f t="shared" si="236"/>
        <v>46997</v>
      </c>
      <c r="CK16" s="87">
        <f t="shared" si="236"/>
        <v>47027</v>
      </c>
      <c r="CL16" s="87">
        <f t="shared" si="236"/>
        <v>47058</v>
      </c>
      <c r="CM16" s="87">
        <f t="shared" si="236"/>
        <v>47088</v>
      </c>
      <c r="CN16" s="87">
        <f t="shared" si="236"/>
        <v>47119</v>
      </c>
      <c r="CO16" s="87">
        <f t="shared" si="236"/>
        <v>47150</v>
      </c>
      <c r="CP16" s="87">
        <f t="shared" si="236"/>
        <v>47178</v>
      </c>
      <c r="CQ16" s="87">
        <f t="shared" si="236"/>
        <v>47209</v>
      </c>
      <c r="CR16" s="87">
        <f t="shared" si="236"/>
        <v>47239</v>
      </c>
      <c r="CS16" s="87">
        <f t="shared" si="236"/>
        <v>47270</v>
      </c>
      <c r="CT16" s="87">
        <f t="shared" si="236"/>
        <v>47300</v>
      </c>
      <c r="CU16" s="87">
        <f t="shared" si="236"/>
        <v>47331</v>
      </c>
      <c r="CV16" s="87">
        <f t="shared" si="236"/>
        <v>47362</v>
      </c>
      <c r="CW16" s="87">
        <f t="shared" si="236"/>
        <v>47392</v>
      </c>
      <c r="CX16" s="87">
        <f t="shared" si="236"/>
        <v>47423</v>
      </c>
      <c r="CY16" s="87">
        <f t="shared" si="236"/>
        <v>47453</v>
      </c>
      <c r="CZ16" s="87">
        <f t="shared" si="236"/>
        <v>47484</v>
      </c>
      <c r="DA16" s="87">
        <f t="shared" si="236"/>
        <v>47515</v>
      </c>
      <c r="DB16" s="87">
        <f t="shared" si="236"/>
        <v>47543</v>
      </c>
      <c r="DC16" s="87">
        <f t="shared" si="236"/>
        <v>47574</v>
      </c>
      <c r="DD16" s="87">
        <f t="shared" si="236"/>
        <v>47604</v>
      </c>
      <c r="DE16" s="87">
        <f t="shared" si="236"/>
        <v>47635</v>
      </c>
      <c r="DF16" s="87">
        <f t="shared" si="236"/>
        <v>47665</v>
      </c>
      <c r="DG16" s="87">
        <f t="shared" si="236"/>
        <v>47696</v>
      </c>
      <c r="DH16" s="87">
        <f t="shared" si="236"/>
        <v>47727</v>
      </c>
      <c r="DI16" s="87">
        <f t="shared" si="236"/>
        <v>47757</v>
      </c>
      <c r="DJ16" s="87">
        <f t="shared" si="236"/>
        <v>47788</v>
      </c>
      <c r="DK16" s="87">
        <f t="shared" si="236"/>
        <v>47818</v>
      </c>
      <c r="DL16" s="87">
        <f t="shared" si="236"/>
        <v>47849</v>
      </c>
      <c r="DM16" s="87">
        <f t="shared" si="236"/>
        <v>47880</v>
      </c>
      <c r="DN16" s="87">
        <f t="shared" si="236"/>
        <v>47908</v>
      </c>
      <c r="DO16" s="87">
        <f t="shared" si="236"/>
        <v>47939</v>
      </c>
      <c r="DP16" s="87">
        <f t="shared" si="236"/>
        <v>47969</v>
      </c>
      <c r="DQ16" s="87">
        <f t="shared" si="236"/>
        <v>48000</v>
      </c>
      <c r="DR16" s="87">
        <f t="shared" si="236"/>
        <v>48030</v>
      </c>
      <c r="DS16" s="87">
        <f t="shared" si="236"/>
        <v>48061</v>
      </c>
      <c r="DT16" s="87">
        <f t="shared" si="236"/>
        <v>48092</v>
      </c>
      <c r="DU16" s="87">
        <f t="shared" ref="DU16:JG16" si="238">DU$3</f>
        <v>48122</v>
      </c>
      <c r="DV16" s="87">
        <f t="shared" si="238"/>
        <v>48153</v>
      </c>
      <c r="DW16" s="87">
        <f t="shared" si="238"/>
        <v>48183</v>
      </c>
      <c r="DX16" s="87">
        <f t="shared" si="238"/>
        <v>48214</v>
      </c>
      <c r="DY16" s="87">
        <f t="shared" si="238"/>
        <v>48245</v>
      </c>
      <c r="DZ16" s="87">
        <f t="shared" si="238"/>
        <v>48274</v>
      </c>
      <c r="EA16" s="87">
        <f t="shared" si="238"/>
        <v>48305</v>
      </c>
      <c r="EB16" s="87">
        <f t="shared" si="238"/>
        <v>48335</v>
      </c>
      <c r="EC16" s="87">
        <f t="shared" si="238"/>
        <v>48366</v>
      </c>
      <c r="ED16" s="87">
        <f t="shared" si="238"/>
        <v>48396</v>
      </c>
      <c r="EE16" s="87">
        <f t="shared" si="238"/>
        <v>48427</v>
      </c>
      <c r="EF16" s="87">
        <f t="shared" si="238"/>
        <v>48458</v>
      </c>
      <c r="EG16" s="87">
        <f t="shared" si="238"/>
        <v>48488</v>
      </c>
      <c r="EH16" s="87">
        <f t="shared" si="238"/>
        <v>48519</v>
      </c>
      <c r="EI16" s="87">
        <f t="shared" si="238"/>
        <v>48549</v>
      </c>
      <c r="EJ16" s="87">
        <f t="shared" si="238"/>
        <v>48580</v>
      </c>
      <c r="EK16" s="87">
        <f t="shared" si="238"/>
        <v>48611</v>
      </c>
      <c r="EL16" s="87">
        <f t="shared" si="238"/>
        <v>48639</v>
      </c>
      <c r="EM16" s="87">
        <f t="shared" si="238"/>
        <v>48670</v>
      </c>
      <c r="EN16" s="87">
        <f t="shared" si="238"/>
        <v>48700</v>
      </c>
      <c r="EO16" s="87">
        <f t="shared" si="238"/>
        <v>48731</v>
      </c>
      <c r="EP16" s="87">
        <f t="shared" si="238"/>
        <v>48761</v>
      </c>
      <c r="EQ16" s="87">
        <f t="shared" si="238"/>
        <v>48792</v>
      </c>
      <c r="ER16" s="87">
        <f t="shared" si="238"/>
        <v>48823</v>
      </c>
      <c r="ES16" s="87">
        <f t="shared" si="238"/>
        <v>48853</v>
      </c>
      <c r="ET16" s="87">
        <f t="shared" si="238"/>
        <v>48884</v>
      </c>
      <c r="EU16" s="87">
        <f t="shared" si="238"/>
        <v>48914</v>
      </c>
      <c r="EV16" s="87">
        <f t="shared" si="238"/>
        <v>48945</v>
      </c>
      <c r="EW16" s="87">
        <f t="shared" si="238"/>
        <v>48976</v>
      </c>
      <c r="EX16" s="87">
        <f t="shared" si="238"/>
        <v>49004</v>
      </c>
      <c r="EY16" s="87">
        <f t="shared" si="238"/>
        <v>49035</v>
      </c>
      <c r="EZ16" s="87">
        <f t="shared" si="238"/>
        <v>49065</v>
      </c>
      <c r="FA16" s="87">
        <f t="shared" si="238"/>
        <v>49096</v>
      </c>
      <c r="FB16" s="87">
        <f t="shared" si="238"/>
        <v>49126</v>
      </c>
      <c r="FC16" s="87">
        <f t="shared" si="238"/>
        <v>49157</v>
      </c>
      <c r="FD16" s="87">
        <f t="shared" si="238"/>
        <v>49188</v>
      </c>
      <c r="FE16" s="87">
        <f t="shared" si="238"/>
        <v>49218</v>
      </c>
      <c r="FF16" s="87">
        <f t="shared" si="238"/>
        <v>49249</v>
      </c>
      <c r="FG16" s="87">
        <f t="shared" si="238"/>
        <v>49279</v>
      </c>
      <c r="FH16" s="87">
        <f t="shared" si="238"/>
        <v>49310</v>
      </c>
      <c r="FI16" s="87">
        <f t="shared" si="238"/>
        <v>49341</v>
      </c>
      <c r="FJ16" s="87">
        <f t="shared" si="238"/>
        <v>49369</v>
      </c>
      <c r="FK16" s="87">
        <f t="shared" si="238"/>
        <v>49400</v>
      </c>
      <c r="FL16" s="87">
        <f t="shared" si="238"/>
        <v>49430</v>
      </c>
      <c r="FM16" s="87">
        <f t="shared" si="238"/>
        <v>49461</v>
      </c>
      <c r="FN16" s="87">
        <f t="shared" si="238"/>
        <v>49491</v>
      </c>
      <c r="FO16" s="87">
        <f t="shared" si="238"/>
        <v>49522</v>
      </c>
      <c r="FP16" s="87">
        <f t="shared" si="238"/>
        <v>49553</v>
      </c>
      <c r="FQ16" s="87">
        <f t="shared" si="238"/>
        <v>49583</v>
      </c>
      <c r="FR16" s="87">
        <f t="shared" si="238"/>
        <v>49614</v>
      </c>
      <c r="FS16" s="87">
        <f t="shared" si="238"/>
        <v>49644</v>
      </c>
      <c r="FT16" s="87">
        <f t="shared" si="238"/>
        <v>49675</v>
      </c>
      <c r="FU16" s="87">
        <f t="shared" si="238"/>
        <v>49706</v>
      </c>
      <c r="FV16" s="87">
        <f t="shared" si="238"/>
        <v>49735</v>
      </c>
      <c r="FW16" s="87">
        <f t="shared" si="238"/>
        <v>49766</v>
      </c>
      <c r="FX16" s="87">
        <f t="shared" si="238"/>
        <v>49796</v>
      </c>
      <c r="FY16" s="87">
        <f t="shared" si="238"/>
        <v>49827</v>
      </c>
      <c r="FZ16" s="87">
        <f t="shared" si="238"/>
        <v>49857</v>
      </c>
      <c r="GA16" s="87">
        <f t="shared" si="238"/>
        <v>49888</v>
      </c>
      <c r="GB16" s="87">
        <f t="shared" si="238"/>
        <v>49919</v>
      </c>
      <c r="GC16" s="87">
        <f t="shared" si="238"/>
        <v>49949</v>
      </c>
      <c r="GD16" s="87">
        <f t="shared" si="238"/>
        <v>49980</v>
      </c>
      <c r="GE16" s="87">
        <f t="shared" si="238"/>
        <v>50010</v>
      </c>
      <c r="GF16" s="87">
        <f t="shared" si="238"/>
        <v>50041</v>
      </c>
      <c r="GG16" s="87">
        <f t="shared" si="238"/>
        <v>50072</v>
      </c>
      <c r="GH16" s="87">
        <f t="shared" si="238"/>
        <v>50100</v>
      </c>
      <c r="GI16" s="87">
        <f t="shared" si="238"/>
        <v>50131</v>
      </c>
      <c r="GJ16" s="87">
        <f t="shared" si="238"/>
        <v>50161</v>
      </c>
      <c r="GK16" s="87">
        <f t="shared" si="238"/>
        <v>50192</v>
      </c>
      <c r="GL16" s="87">
        <f t="shared" si="238"/>
        <v>50222</v>
      </c>
      <c r="GM16" s="87">
        <f t="shared" si="238"/>
        <v>50253</v>
      </c>
      <c r="GN16" s="87">
        <f t="shared" si="238"/>
        <v>50284</v>
      </c>
      <c r="GO16" s="87">
        <f t="shared" si="238"/>
        <v>50314</v>
      </c>
      <c r="GP16" s="87">
        <f t="shared" si="238"/>
        <v>50345</v>
      </c>
      <c r="GQ16" s="87">
        <f t="shared" si="238"/>
        <v>50375</v>
      </c>
      <c r="GR16" s="87">
        <f t="shared" si="238"/>
        <v>50406</v>
      </c>
      <c r="GS16" s="87">
        <f t="shared" si="238"/>
        <v>50437</v>
      </c>
      <c r="GT16" s="87">
        <f t="shared" si="238"/>
        <v>50465</v>
      </c>
      <c r="GU16" s="87">
        <f t="shared" si="238"/>
        <v>50496</v>
      </c>
      <c r="GV16" s="87">
        <f t="shared" si="238"/>
        <v>50526</v>
      </c>
      <c r="GW16" s="87">
        <f t="shared" si="238"/>
        <v>50557</v>
      </c>
      <c r="GX16" s="87">
        <f t="shared" si="238"/>
        <v>50587</v>
      </c>
      <c r="GY16" s="87">
        <f t="shared" si="238"/>
        <v>50618</v>
      </c>
      <c r="GZ16" s="87">
        <f t="shared" si="238"/>
        <v>50649</v>
      </c>
      <c r="HA16" s="87">
        <f t="shared" si="238"/>
        <v>50679</v>
      </c>
      <c r="HB16" s="87">
        <f t="shared" si="238"/>
        <v>50710</v>
      </c>
      <c r="HC16" s="87">
        <f t="shared" si="238"/>
        <v>50740</v>
      </c>
      <c r="HD16" s="87">
        <f t="shared" si="238"/>
        <v>50771</v>
      </c>
      <c r="HE16" s="87">
        <f t="shared" si="238"/>
        <v>50802</v>
      </c>
      <c r="HF16" s="87">
        <f t="shared" si="238"/>
        <v>50830</v>
      </c>
      <c r="HG16" s="87">
        <f t="shared" si="238"/>
        <v>50861</v>
      </c>
      <c r="HH16" s="87">
        <f t="shared" si="238"/>
        <v>50891</v>
      </c>
      <c r="HI16" s="87">
        <f t="shared" si="238"/>
        <v>50922</v>
      </c>
      <c r="HJ16" s="87">
        <f t="shared" si="238"/>
        <v>50952</v>
      </c>
      <c r="HK16" s="87">
        <f t="shared" si="238"/>
        <v>50983</v>
      </c>
      <c r="HL16" s="87">
        <f t="shared" si="238"/>
        <v>51014</v>
      </c>
      <c r="HM16" s="87">
        <f t="shared" si="238"/>
        <v>51044</v>
      </c>
      <c r="HN16" s="87">
        <f t="shared" si="238"/>
        <v>51075</v>
      </c>
      <c r="HO16" s="87">
        <f t="shared" si="238"/>
        <v>51105</v>
      </c>
      <c r="HP16" s="87">
        <f t="shared" si="238"/>
        <v>51136</v>
      </c>
      <c r="HQ16" s="87">
        <f t="shared" si="238"/>
        <v>51167</v>
      </c>
      <c r="HR16" s="87">
        <f t="shared" si="238"/>
        <v>51196</v>
      </c>
      <c r="HS16" s="87">
        <f t="shared" si="238"/>
        <v>51227</v>
      </c>
      <c r="HT16" s="87">
        <f t="shared" si="238"/>
        <v>51257</v>
      </c>
      <c r="HU16" s="87">
        <f t="shared" si="238"/>
        <v>51288</v>
      </c>
      <c r="HV16" s="87">
        <f t="shared" si="238"/>
        <v>51318</v>
      </c>
      <c r="HW16" s="87">
        <f t="shared" si="238"/>
        <v>51349</v>
      </c>
      <c r="HX16" s="87">
        <f t="shared" si="238"/>
        <v>51380</v>
      </c>
      <c r="HY16" s="87">
        <f t="shared" si="238"/>
        <v>51410</v>
      </c>
      <c r="HZ16" s="87">
        <f t="shared" si="238"/>
        <v>51441</v>
      </c>
      <c r="IA16" s="87">
        <f t="shared" si="238"/>
        <v>51471</v>
      </c>
      <c r="IB16" s="87">
        <f t="shared" si="238"/>
        <v>51502</v>
      </c>
      <c r="IC16" s="87">
        <f t="shared" si="238"/>
        <v>51533</v>
      </c>
      <c r="ID16" s="87">
        <f t="shared" si="238"/>
        <v>51561</v>
      </c>
      <c r="IE16" s="87">
        <f t="shared" si="238"/>
        <v>51592</v>
      </c>
      <c r="IF16" s="87">
        <f t="shared" si="238"/>
        <v>51622</v>
      </c>
      <c r="IG16" s="87">
        <f t="shared" si="238"/>
        <v>51653</v>
      </c>
      <c r="IH16" s="87">
        <f t="shared" si="238"/>
        <v>51683</v>
      </c>
      <c r="II16" s="87">
        <f t="shared" si="238"/>
        <v>51714</v>
      </c>
      <c r="IJ16" s="87">
        <f t="shared" si="238"/>
        <v>51745</v>
      </c>
      <c r="IK16" s="87">
        <f t="shared" si="238"/>
        <v>51775</v>
      </c>
      <c r="IL16" s="87">
        <f t="shared" si="238"/>
        <v>51806</v>
      </c>
      <c r="IM16" s="87">
        <f t="shared" si="238"/>
        <v>51836</v>
      </c>
      <c r="IN16" s="87">
        <f t="shared" si="238"/>
        <v>51867</v>
      </c>
      <c r="IO16" s="87">
        <f t="shared" si="238"/>
        <v>51898</v>
      </c>
      <c r="IP16" s="87">
        <f t="shared" si="238"/>
        <v>51926</v>
      </c>
      <c r="IQ16" s="87">
        <f t="shared" si="238"/>
        <v>51957</v>
      </c>
      <c r="IR16" s="87">
        <f t="shared" si="238"/>
        <v>51987</v>
      </c>
      <c r="IS16" s="87">
        <f t="shared" si="238"/>
        <v>52018</v>
      </c>
      <c r="IT16" s="87">
        <f t="shared" si="238"/>
        <v>52048</v>
      </c>
      <c r="IU16" s="87">
        <f t="shared" si="238"/>
        <v>52079</v>
      </c>
      <c r="IV16" s="87">
        <f t="shared" si="238"/>
        <v>52110</v>
      </c>
      <c r="IW16" s="87">
        <f t="shared" si="238"/>
        <v>52140</v>
      </c>
      <c r="IX16" s="87">
        <f t="shared" si="238"/>
        <v>52171</v>
      </c>
      <c r="IY16" s="87">
        <f t="shared" si="238"/>
        <v>52201</v>
      </c>
      <c r="IZ16" s="87">
        <f t="shared" si="238"/>
        <v>52232</v>
      </c>
      <c r="JA16" s="87">
        <f t="shared" si="238"/>
        <v>52263</v>
      </c>
      <c r="JB16" s="87">
        <f t="shared" si="238"/>
        <v>52291</v>
      </c>
      <c r="JC16" s="87">
        <f t="shared" si="238"/>
        <v>52322</v>
      </c>
      <c r="JD16" s="87">
        <f t="shared" si="238"/>
        <v>52352</v>
      </c>
      <c r="JE16" s="87">
        <f t="shared" si="238"/>
        <v>52383</v>
      </c>
      <c r="JF16" s="87">
        <f t="shared" si="238"/>
        <v>52413</v>
      </c>
      <c r="JG16" s="87">
        <f t="shared" si="238"/>
        <v>52444</v>
      </c>
      <c r="JH16" s="87">
        <f t="shared" si="237"/>
        <v>52475</v>
      </c>
      <c r="JI16" s="87">
        <f t="shared" si="237"/>
        <v>52505</v>
      </c>
      <c r="JJ16" s="87">
        <f t="shared" si="237"/>
        <v>52536</v>
      </c>
      <c r="JK16" s="87">
        <f t="shared" si="237"/>
        <v>52566</v>
      </c>
      <c r="JL16" s="87">
        <f t="shared" si="237"/>
        <v>52597</v>
      </c>
      <c r="JM16" s="87">
        <f t="shared" si="237"/>
        <v>52628</v>
      </c>
      <c r="JN16" s="87">
        <f t="shared" si="237"/>
        <v>52657</v>
      </c>
      <c r="JO16" s="87">
        <f t="shared" si="237"/>
        <v>52688</v>
      </c>
      <c r="JP16" s="87">
        <f t="shared" si="237"/>
        <v>52718</v>
      </c>
      <c r="JQ16" s="87">
        <f t="shared" si="237"/>
        <v>52749</v>
      </c>
      <c r="JR16" s="87">
        <f t="shared" si="237"/>
        <v>52779</v>
      </c>
      <c r="JS16" s="87">
        <f t="shared" si="237"/>
        <v>52810</v>
      </c>
      <c r="JT16" s="87">
        <f t="shared" si="237"/>
        <v>52841</v>
      </c>
      <c r="JU16" s="87">
        <f t="shared" si="237"/>
        <v>52871</v>
      </c>
      <c r="JV16" s="87">
        <f t="shared" si="237"/>
        <v>52902</v>
      </c>
      <c r="JW16" s="87">
        <f t="shared" si="237"/>
        <v>52932</v>
      </c>
      <c r="JX16" s="87">
        <f t="shared" si="237"/>
        <v>52963</v>
      </c>
      <c r="JY16" s="87">
        <f t="shared" si="237"/>
        <v>52994</v>
      </c>
      <c r="JZ16" s="87">
        <f t="shared" si="237"/>
        <v>53022</v>
      </c>
      <c r="KA16" s="87">
        <f t="shared" si="237"/>
        <v>53053</v>
      </c>
      <c r="KB16" s="87">
        <f t="shared" si="237"/>
        <v>53083</v>
      </c>
      <c r="KC16" s="87">
        <f t="shared" si="237"/>
        <v>53114</v>
      </c>
      <c r="KD16" s="87">
        <f t="shared" si="237"/>
        <v>53144</v>
      </c>
      <c r="KE16" s="87">
        <f t="shared" si="237"/>
        <v>53175</v>
      </c>
      <c r="KF16" s="87">
        <f t="shared" si="237"/>
        <v>53206</v>
      </c>
      <c r="KG16" s="87">
        <f t="shared" si="237"/>
        <v>53236</v>
      </c>
      <c r="KH16" s="87">
        <f t="shared" si="237"/>
        <v>53267</v>
      </c>
      <c r="KI16" s="87">
        <f t="shared" si="237"/>
        <v>53297</v>
      </c>
      <c r="KJ16" s="87">
        <f t="shared" si="237"/>
        <v>53328</v>
      </c>
      <c r="KK16" s="87">
        <f t="shared" si="237"/>
        <v>53359</v>
      </c>
      <c r="KL16" s="87">
        <f t="shared" si="237"/>
        <v>53387</v>
      </c>
      <c r="KM16" s="87">
        <f t="shared" si="237"/>
        <v>53418</v>
      </c>
      <c r="KN16" s="87">
        <f t="shared" si="237"/>
        <v>53448</v>
      </c>
      <c r="KO16" s="87">
        <f t="shared" si="237"/>
        <v>53479</v>
      </c>
      <c r="KP16" s="87">
        <f t="shared" si="237"/>
        <v>53509</v>
      </c>
      <c r="KQ16" s="87">
        <f t="shared" si="237"/>
        <v>53540</v>
      </c>
      <c r="KR16" s="87">
        <f t="shared" si="237"/>
        <v>53571</v>
      </c>
      <c r="KS16" s="86">
        <f t="shared" si="227"/>
        <v>0.41095890410958902</v>
      </c>
    </row>
    <row r="17" spans="1:306" ht="15" customHeight="1" x14ac:dyDescent="0.3">
      <c r="A17" s="532" t="s">
        <v>1225</v>
      </c>
      <c r="B17" s="84">
        <f>D17-C17+1</f>
        <v>225</v>
      </c>
      <c r="C17" s="88">
        <v>44713</v>
      </c>
      <c r="D17" s="88">
        <v>44937</v>
      </c>
      <c r="E17" s="87">
        <f t="shared" ref="E17:BP17" si="239">E$3</f>
        <v>44470</v>
      </c>
      <c r="F17" s="87">
        <f t="shared" si="239"/>
        <v>44501</v>
      </c>
      <c r="G17" s="87">
        <f t="shared" si="239"/>
        <v>44531</v>
      </c>
      <c r="H17" s="87">
        <f t="shared" si="239"/>
        <v>44562</v>
      </c>
      <c r="I17" s="87">
        <f t="shared" si="239"/>
        <v>44593</v>
      </c>
      <c r="J17" s="87">
        <f t="shared" si="239"/>
        <v>44621</v>
      </c>
      <c r="K17" s="87">
        <f t="shared" si="239"/>
        <v>44652</v>
      </c>
      <c r="L17" s="87">
        <f t="shared" si="239"/>
        <v>44682</v>
      </c>
      <c r="M17" s="87">
        <f t="shared" si="239"/>
        <v>44713</v>
      </c>
      <c r="N17" s="87">
        <f t="shared" si="239"/>
        <v>44743</v>
      </c>
      <c r="O17" s="87">
        <f t="shared" si="239"/>
        <v>44774</v>
      </c>
      <c r="P17" s="87">
        <f t="shared" si="239"/>
        <v>44805</v>
      </c>
      <c r="Q17" s="87">
        <f t="shared" si="239"/>
        <v>44835</v>
      </c>
      <c r="R17" s="87">
        <f t="shared" si="239"/>
        <v>44866</v>
      </c>
      <c r="S17" s="87">
        <f t="shared" si="239"/>
        <v>44896</v>
      </c>
      <c r="T17" s="87">
        <f t="shared" si="239"/>
        <v>44927</v>
      </c>
      <c r="U17" s="87">
        <f t="shared" si="239"/>
        <v>44958</v>
      </c>
      <c r="V17" s="87">
        <f t="shared" si="239"/>
        <v>44986</v>
      </c>
      <c r="W17" s="87">
        <f t="shared" si="239"/>
        <v>45017</v>
      </c>
      <c r="X17" s="87">
        <f t="shared" si="239"/>
        <v>45047</v>
      </c>
      <c r="Y17" s="87">
        <f t="shared" si="239"/>
        <v>45078</v>
      </c>
      <c r="Z17" s="87">
        <f t="shared" si="239"/>
        <v>45108</v>
      </c>
      <c r="AA17" s="87">
        <f t="shared" si="239"/>
        <v>45139</v>
      </c>
      <c r="AB17" s="87">
        <f t="shared" si="239"/>
        <v>45170</v>
      </c>
      <c r="AC17" s="87">
        <f t="shared" si="239"/>
        <v>45200</v>
      </c>
      <c r="AD17" s="87">
        <f t="shared" si="239"/>
        <v>45231</v>
      </c>
      <c r="AE17" s="87">
        <f t="shared" si="239"/>
        <v>45261</v>
      </c>
      <c r="AF17" s="87">
        <f t="shared" si="239"/>
        <v>45292</v>
      </c>
      <c r="AG17" s="87">
        <f t="shared" si="239"/>
        <v>45323</v>
      </c>
      <c r="AH17" s="87">
        <f t="shared" si="239"/>
        <v>45352</v>
      </c>
      <c r="AI17" s="87">
        <f t="shared" si="239"/>
        <v>45383</v>
      </c>
      <c r="AJ17" s="87">
        <f t="shared" si="239"/>
        <v>45413</v>
      </c>
      <c r="AK17" s="87">
        <f t="shared" si="239"/>
        <v>45444</v>
      </c>
      <c r="AL17" s="87">
        <f t="shared" si="239"/>
        <v>45474</v>
      </c>
      <c r="AM17" s="87">
        <f t="shared" si="239"/>
        <v>45505</v>
      </c>
      <c r="AN17" s="87">
        <f t="shared" si="239"/>
        <v>45536</v>
      </c>
      <c r="AO17" s="87">
        <f t="shared" si="239"/>
        <v>45566</v>
      </c>
      <c r="AP17" s="87">
        <f t="shared" si="239"/>
        <v>45597</v>
      </c>
      <c r="AQ17" s="87">
        <f t="shared" si="239"/>
        <v>45627</v>
      </c>
      <c r="AR17" s="87">
        <f t="shared" si="239"/>
        <v>45658</v>
      </c>
      <c r="AS17" s="87">
        <f t="shared" si="239"/>
        <v>45689</v>
      </c>
      <c r="AT17" s="87">
        <f t="shared" si="239"/>
        <v>45717</v>
      </c>
      <c r="AU17" s="87">
        <f t="shared" si="239"/>
        <v>45748</v>
      </c>
      <c r="AV17" s="87">
        <f t="shared" si="239"/>
        <v>45778</v>
      </c>
      <c r="AW17" s="87">
        <f t="shared" si="239"/>
        <v>45809</v>
      </c>
      <c r="AX17" s="87">
        <f t="shared" si="239"/>
        <v>45839</v>
      </c>
      <c r="AY17" s="87">
        <f t="shared" si="239"/>
        <v>45870</v>
      </c>
      <c r="AZ17" s="87">
        <f t="shared" si="239"/>
        <v>45901</v>
      </c>
      <c r="BA17" s="87">
        <f t="shared" si="239"/>
        <v>45931</v>
      </c>
      <c r="BB17" s="87">
        <f t="shared" si="239"/>
        <v>45962</v>
      </c>
      <c r="BC17" s="87">
        <f t="shared" si="239"/>
        <v>45992</v>
      </c>
      <c r="BD17" s="87">
        <f t="shared" si="239"/>
        <v>46023</v>
      </c>
      <c r="BE17" s="87">
        <f t="shared" si="239"/>
        <v>46054</v>
      </c>
      <c r="BF17" s="87">
        <f t="shared" si="239"/>
        <v>46082</v>
      </c>
      <c r="BG17" s="87">
        <f t="shared" si="239"/>
        <v>46113</v>
      </c>
      <c r="BH17" s="87">
        <f t="shared" si="239"/>
        <v>46143</v>
      </c>
      <c r="BI17" s="87">
        <f t="shared" si="239"/>
        <v>46174</v>
      </c>
      <c r="BJ17" s="87">
        <f t="shared" si="239"/>
        <v>46204</v>
      </c>
      <c r="BK17" s="87">
        <f t="shared" si="239"/>
        <v>46235</v>
      </c>
      <c r="BL17" s="87">
        <f t="shared" si="239"/>
        <v>46266</v>
      </c>
      <c r="BM17" s="87">
        <f t="shared" si="239"/>
        <v>46296</v>
      </c>
      <c r="BN17" s="87">
        <f t="shared" si="239"/>
        <v>46327</v>
      </c>
      <c r="BO17" s="87">
        <f t="shared" si="239"/>
        <v>46357</v>
      </c>
      <c r="BP17" s="87">
        <f t="shared" si="239"/>
        <v>46388</v>
      </c>
      <c r="BQ17" s="87">
        <f t="shared" ref="BQ17:JG17" si="240">BQ$3</f>
        <v>46419</v>
      </c>
      <c r="BR17" s="87">
        <f t="shared" si="240"/>
        <v>46447</v>
      </c>
      <c r="BS17" s="87">
        <f t="shared" si="240"/>
        <v>46478</v>
      </c>
      <c r="BT17" s="87">
        <f t="shared" si="240"/>
        <v>46508</v>
      </c>
      <c r="BU17" s="87">
        <f t="shared" si="240"/>
        <v>46539</v>
      </c>
      <c r="BV17" s="87">
        <f t="shared" si="240"/>
        <v>46569</v>
      </c>
      <c r="BW17" s="87">
        <f t="shared" si="240"/>
        <v>46600</v>
      </c>
      <c r="BX17" s="87">
        <f t="shared" si="240"/>
        <v>46631</v>
      </c>
      <c r="BY17" s="87">
        <f t="shared" si="240"/>
        <v>46661</v>
      </c>
      <c r="BZ17" s="87">
        <f t="shared" si="240"/>
        <v>46692</v>
      </c>
      <c r="CA17" s="87">
        <f t="shared" si="240"/>
        <v>46722</v>
      </c>
      <c r="CB17" s="87">
        <f t="shared" si="240"/>
        <v>46753</v>
      </c>
      <c r="CC17" s="87">
        <f t="shared" si="240"/>
        <v>46784</v>
      </c>
      <c r="CD17" s="87">
        <f t="shared" si="240"/>
        <v>46813</v>
      </c>
      <c r="CE17" s="87">
        <f t="shared" si="240"/>
        <v>46844</v>
      </c>
      <c r="CF17" s="87">
        <f t="shared" si="240"/>
        <v>46874</v>
      </c>
      <c r="CG17" s="87">
        <f t="shared" si="240"/>
        <v>46905</v>
      </c>
      <c r="CH17" s="87">
        <f t="shared" si="240"/>
        <v>46935</v>
      </c>
      <c r="CI17" s="87">
        <f t="shared" si="240"/>
        <v>46966</v>
      </c>
      <c r="CJ17" s="87">
        <f t="shared" si="240"/>
        <v>46997</v>
      </c>
      <c r="CK17" s="87">
        <f t="shared" si="240"/>
        <v>47027</v>
      </c>
      <c r="CL17" s="87">
        <f t="shared" si="240"/>
        <v>47058</v>
      </c>
      <c r="CM17" s="87">
        <f t="shared" si="240"/>
        <v>47088</v>
      </c>
      <c r="CN17" s="87">
        <f t="shared" si="240"/>
        <v>47119</v>
      </c>
      <c r="CO17" s="87">
        <f t="shared" si="240"/>
        <v>47150</v>
      </c>
      <c r="CP17" s="87">
        <f t="shared" si="240"/>
        <v>47178</v>
      </c>
      <c r="CQ17" s="87">
        <f t="shared" si="240"/>
        <v>47209</v>
      </c>
      <c r="CR17" s="87">
        <f t="shared" si="240"/>
        <v>47239</v>
      </c>
      <c r="CS17" s="87">
        <f t="shared" si="240"/>
        <v>47270</v>
      </c>
      <c r="CT17" s="87">
        <f t="shared" si="240"/>
        <v>47300</v>
      </c>
      <c r="CU17" s="87">
        <f t="shared" si="240"/>
        <v>47331</v>
      </c>
      <c r="CV17" s="87">
        <f t="shared" si="240"/>
        <v>47362</v>
      </c>
      <c r="CW17" s="87">
        <f t="shared" si="240"/>
        <v>47392</v>
      </c>
      <c r="CX17" s="87">
        <f t="shared" si="240"/>
        <v>47423</v>
      </c>
      <c r="CY17" s="87">
        <f t="shared" si="240"/>
        <v>47453</v>
      </c>
      <c r="CZ17" s="87">
        <f t="shared" si="240"/>
        <v>47484</v>
      </c>
      <c r="DA17" s="87">
        <f t="shared" si="240"/>
        <v>47515</v>
      </c>
      <c r="DB17" s="87">
        <f t="shared" si="240"/>
        <v>47543</v>
      </c>
      <c r="DC17" s="87">
        <f t="shared" si="240"/>
        <v>47574</v>
      </c>
      <c r="DD17" s="87">
        <f t="shared" si="240"/>
        <v>47604</v>
      </c>
      <c r="DE17" s="87">
        <f t="shared" si="240"/>
        <v>47635</v>
      </c>
      <c r="DF17" s="87">
        <f t="shared" si="240"/>
        <v>47665</v>
      </c>
      <c r="DG17" s="87">
        <f t="shared" si="240"/>
        <v>47696</v>
      </c>
      <c r="DH17" s="87">
        <f t="shared" si="240"/>
        <v>47727</v>
      </c>
      <c r="DI17" s="87">
        <f t="shared" si="240"/>
        <v>47757</v>
      </c>
      <c r="DJ17" s="87">
        <f t="shared" si="240"/>
        <v>47788</v>
      </c>
      <c r="DK17" s="87">
        <f t="shared" si="240"/>
        <v>47818</v>
      </c>
      <c r="DL17" s="87">
        <f t="shared" si="240"/>
        <v>47849</v>
      </c>
      <c r="DM17" s="87">
        <f t="shared" si="240"/>
        <v>47880</v>
      </c>
      <c r="DN17" s="87">
        <f t="shared" si="240"/>
        <v>47908</v>
      </c>
      <c r="DO17" s="87">
        <f t="shared" si="240"/>
        <v>47939</v>
      </c>
      <c r="DP17" s="87">
        <f t="shared" si="240"/>
        <v>47969</v>
      </c>
      <c r="DQ17" s="87">
        <f t="shared" si="240"/>
        <v>48000</v>
      </c>
      <c r="DR17" s="87">
        <f t="shared" si="240"/>
        <v>48030</v>
      </c>
      <c r="DS17" s="87">
        <f t="shared" si="240"/>
        <v>48061</v>
      </c>
      <c r="DT17" s="87">
        <f t="shared" si="240"/>
        <v>48092</v>
      </c>
      <c r="DU17" s="87">
        <f t="shared" si="240"/>
        <v>48122</v>
      </c>
      <c r="DV17" s="87">
        <f t="shared" si="240"/>
        <v>48153</v>
      </c>
      <c r="DW17" s="87">
        <f t="shared" si="240"/>
        <v>48183</v>
      </c>
      <c r="DX17" s="87">
        <f t="shared" si="240"/>
        <v>48214</v>
      </c>
      <c r="DY17" s="87">
        <f t="shared" si="240"/>
        <v>48245</v>
      </c>
      <c r="DZ17" s="87">
        <f t="shared" si="240"/>
        <v>48274</v>
      </c>
      <c r="EA17" s="87">
        <f t="shared" si="240"/>
        <v>48305</v>
      </c>
      <c r="EB17" s="87">
        <f t="shared" si="240"/>
        <v>48335</v>
      </c>
      <c r="EC17" s="87">
        <f t="shared" si="240"/>
        <v>48366</v>
      </c>
      <c r="ED17" s="87">
        <f t="shared" si="240"/>
        <v>48396</v>
      </c>
      <c r="EE17" s="87">
        <f t="shared" si="240"/>
        <v>48427</v>
      </c>
      <c r="EF17" s="87">
        <f t="shared" si="240"/>
        <v>48458</v>
      </c>
      <c r="EG17" s="87">
        <f t="shared" si="240"/>
        <v>48488</v>
      </c>
      <c r="EH17" s="87">
        <f t="shared" si="240"/>
        <v>48519</v>
      </c>
      <c r="EI17" s="87">
        <f t="shared" si="240"/>
        <v>48549</v>
      </c>
      <c r="EJ17" s="87">
        <f t="shared" si="240"/>
        <v>48580</v>
      </c>
      <c r="EK17" s="87">
        <f t="shared" si="240"/>
        <v>48611</v>
      </c>
      <c r="EL17" s="87">
        <f t="shared" si="240"/>
        <v>48639</v>
      </c>
      <c r="EM17" s="87">
        <f t="shared" si="240"/>
        <v>48670</v>
      </c>
      <c r="EN17" s="87">
        <f t="shared" si="240"/>
        <v>48700</v>
      </c>
      <c r="EO17" s="87">
        <f t="shared" si="240"/>
        <v>48731</v>
      </c>
      <c r="EP17" s="87">
        <f t="shared" si="240"/>
        <v>48761</v>
      </c>
      <c r="EQ17" s="87">
        <f t="shared" si="240"/>
        <v>48792</v>
      </c>
      <c r="ER17" s="87">
        <f t="shared" si="240"/>
        <v>48823</v>
      </c>
      <c r="ES17" s="87">
        <f t="shared" si="240"/>
        <v>48853</v>
      </c>
      <c r="ET17" s="87">
        <f t="shared" si="240"/>
        <v>48884</v>
      </c>
      <c r="EU17" s="87">
        <f t="shared" si="240"/>
        <v>48914</v>
      </c>
      <c r="EV17" s="87">
        <f t="shared" si="240"/>
        <v>48945</v>
      </c>
      <c r="EW17" s="87">
        <f t="shared" si="240"/>
        <v>48976</v>
      </c>
      <c r="EX17" s="87">
        <f t="shared" si="240"/>
        <v>49004</v>
      </c>
      <c r="EY17" s="87">
        <f t="shared" si="240"/>
        <v>49035</v>
      </c>
      <c r="EZ17" s="87">
        <f t="shared" si="240"/>
        <v>49065</v>
      </c>
      <c r="FA17" s="87">
        <f t="shared" si="240"/>
        <v>49096</v>
      </c>
      <c r="FB17" s="87">
        <f t="shared" si="240"/>
        <v>49126</v>
      </c>
      <c r="FC17" s="87">
        <f t="shared" si="240"/>
        <v>49157</v>
      </c>
      <c r="FD17" s="87">
        <f t="shared" si="240"/>
        <v>49188</v>
      </c>
      <c r="FE17" s="87">
        <f t="shared" si="240"/>
        <v>49218</v>
      </c>
      <c r="FF17" s="87">
        <f t="shared" si="240"/>
        <v>49249</v>
      </c>
      <c r="FG17" s="87">
        <f t="shared" si="240"/>
        <v>49279</v>
      </c>
      <c r="FH17" s="87">
        <f t="shared" si="240"/>
        <v>49310</v>
      </c>
      <c r="FI17" s="87">
        <f t="shared" si="240"/>
        <v>49341</v>
      </c>
      <c r="FJ17" s="87">
        <f t="shared" si="240"/>
        <v>49369</v>
      </c>
      <c r="FK17" s="87">
        <f t="shared" si="240"/>
        <v>49400</v>
      </c>
      <c r="FL17" s="87">
        <f t="shared" si="240"/>
        <v>49430</v>
      </c>
      <c r="FM17" s="87">
        <f t="shared" si="240"/>
        <v>49461</v>
      </c>
      <c r="FN17" s="87">
        <f t="shared" si="240"/>
        <v>49491</v>
      </c>
      <c r="FO17" s="87">
        <f t="shared" si="240"/>
        <v>49522</v>
      </c>
      <c r="FP17" s="87">
        <f t="shared" si="240"/>
        <v>49553</v>
      </c>
      <c r="FQ17" s="87">
        <f t="shared" si="240"/>
        <v>49583</v>
      </c>
      <c r="FR17" s="87">
        <f t="shared" si="240"/>
        <v>49614</v>
      </c>
      <c r="FS17" s="87">
        <f t="shared" si="240"/>
        <v>49644</v>
      </c>
      <c r="FT17" s="87">
        <f t="shared" si="240"/>
        <v>49675</v>
      </c>
      <c r="FU17" s="87">
        <f t="shared" si="240"/>
        <v>49706</v>
      </c>
      <c r="FV17" s="87">
        <f t="shared" si="240"/>
        <v>49735</v>
      </c>
      <c r="FW17" s="87">
        <f t="shared" si="240"/>
        <v>49766</v>
      </c>
      <c r="FX17" s="87">
        <f t="shared" si="240"/>
        <v>49796</v>
      </c>
      <c r="FY17" s="87">
        <f t="shared" si="240"/>
        <v>49827</v>
      </c>
      <c r="FZ17" s="87">
        <f t="shared" si="240"/>
        <v>49857</v>
      </c>
      <c r="GA17" s="87">
        <f t="shared" si="240"/>
        <v>49888</v>
      </c>
      <c r="GB17" s="87">
        <f t="shared" si="240"/>
        <v>49919</v>
      </c>
      <c r="GC17" s="87">
        <f t="shared" si="240"/>
        <v>49949</v>
      </c>
      <c r="GD17" s="87">
        <f t="shared" si="240"/>
        <v>49980</v>
      </c>
      <c r="GE17" s="87">
        <f t="shared" si="240"/>
        <v>50010</v>
      </c>
      <c r="GF17" s="87">
        <f t="shared" si="240"/>
        <v>50041</v>
      </c>
      <c r="GG17" s="87">
        <f t="shared" si="240"/>
        <v>50072</v>
      </c>
      <c r="GH17" s="87">
        <f t="shared" si="240"/>
        <v>50100</v>
      </c>
      <c r="GI17" s="87">
        <f t="shared" si="240"/>
        <v>50131</v>
      </c>
      <c r="GJ17" s="87">
        <f t="shared" si="240"/>
        <v>50161</v>
      </c>
      <c r="GK17" s="87">
        <f t="shared" si="240"/>
        <v>50192</v>
      </c>
      <c r="GL17" s="87">
        <f t="shared" si="240"/>
        <v>50222</v>
      </c>
      <c r="GM17" s="87">
        <f t="shared" si="240"/>
        <v>50253</v>
      </c>
      <c r="GN17" s="87">
        <f t="shared" si="240"/>
        <v>50284</v>
      </c>
      <c r="GO17" s="87">
        <f t="shared" si="240"/>
        <v>50314</v>
      </c>
      <c r="GP17" s="87">
        <f t="shared" si="240"/>
        <v>50345</v>
      </c>
      <c r="GQ17" s="87">
        <f t="shared" si="240"/>
        <v>50375</v>
      </c>
      <c r="GR17" s="87">
        <f t="shared" si="240"/>
        <v>50406</v>
      </c>
      <c r="GS17" s="87">
        <f t="shared" si="240"/>
        <v>50437</v>
      </c>
      <c r="GT17" s="87">
        <f t="shared" si="240"/>
        <v>50465</v>
      </c>
      <c r="GU17" s="87">
        <f t="shared" si="240"/>
        <v>50496</v>
      </c>
      <c r="GV17" s="87">
        <f t="shared" si="240"/>
        <v>50526</v>
      </c>
      <c r="GW17" s="87">
        <f t="shared" si="240"/>
        <v>50557</v>
      </c>
      <c r="GX17" s="87">
        <f t="shared" si="240"/>
        <v>50587</v>
      </c>
      <c r="GY17" s="87">
        <f t="shared" si="240"/>
        <v>50618</v>
      </c>
      <c r="GZ17" s="87">
        <f t="shared" si="240"/>
        <v>50649</v>
      </c>
      <c r="HA17" s="87">
        <f t="shared" si="240"/>
        <v>50679</v>
      </c>
      <c r="HB17" s="87">
        <f t="shared" si="240"/>
        <v>50710</v>
      </c>
      <c r="HC17" s="87">
        <f t="shared" si="240"/>
        <v>50740</v>
      </c>
      <c r="HD17" s="87">
        <f t="shared" si="240"/>
        <v>50771</v>
      </c>
      <c r="HE17" s="87">
        <f t="shared" si="240"/>
        <v>50802</v>
      </c>
      <c r="HF17" s="87">
        <f t="shared" si="240"/>
        <v>50830</v>
      </c>
      <c r="HG17" s="87">
        <f t="shared" si="240"/>
        <v>50861</v>
      </c>
      <c r="HH17" s="87">
        <f t="shared" si="240"/>
        <v>50891</v>
      </c>
      <c r="HI17" s="87">
        <f t="shared" si="240"/>
        <v>50922</v>
      </c>
      <c r="HJ17" s="87">
        <f t="shared" si="240"/>
        <v>50952</v>
      </c>
      <c r="HK17" s="87">
        <f t="shared" si="240"/>
        <v>50983</v>
      </c>
      <c r="HL17" s="87">
        <f t="shared" si="240"/>
        <v>51014</v>
      </c>
      <c r="HM17" s="87">
        <f t="shared" si="240"/>
        <v>51044</v>
      </c>
      <c r="HN17" s="87">
        <f t="shared" si="240"/>
        <v>51075</v>
      </c>
      <c r="HO17" s="87">
        <f t="shared" si="240"/>
        <v>51105</v>
      </c>
      <c r="HP17" s="87">
        <f t="shared" si="240"/>
        <v>51136</v>
      </c>
      <c r="HQ17" s="87">
        <f t="shared" si="240"/>
        <v>51167</v>
      </c>
      <c r="HR17" s="87">
        <f t="shared" si="240"/>
        <v>51196</v>
      </c>
      <c r="HS17" s="87">
        <f t="shared" si="240"/>
        <v>51227</v>
      </c>
      <c r="HT17" s="87">
        <f t="shared" si="240"/>
        <v>51257</v>
      </c>
      <c r="HU17" s="87">
        <f t="shared" si="240"/>
        <v>51288</v>
      </c>
      <c r="HV17" s="87">
        <f t="shared" si="240"/>
        <v>51318</v>
      </c>
      <c r="HW17" s="87">
        <f t="shared" si="240"/>
        <v>51349</v>
      </c>
      <c r="HX17" s="87">
        <f t="shared" si="240"/>
        <v>51380</v>
      </c>
      <c r="HY17" s="87">
        <f t="shared" si="240"/>
        <v>51410</v>
      </c>
      <c r="HZ17" s="87">
        <f t="shared" si="240"/>
        <v>51441</v>
      </c>
      <c r="IA17" s="87">
        <f t="shared" si="240"/>
        <v>51471</v>
      </c>
      <c r="IB17" s="87">
        <f t="shared" si="240"/>
        <v>51502</v>
      </c>
      <c r="IC17" s="87">
        <f t="shared" si="240"/>
        <v>51533</v>
      </c>
      <c r="ID17" s="87">
        <f t="shared" si="240"/>
        <v>51561</v>
      </c>
      <c r="IE17" s="87">
        <f t="shared" si="240"/>
        <v>51592</v>
      </c>
      <c r="IF17" s="87">
        <f t="shared" si="240"/>
        <v>51622</v>
      </c>
      <c r="IG17" s="87">
        <f t="shared" si="240"/>
        <v>51653</v>
      </c>
      <c r="IH17" s="87">
        <f t="shared" si="240"/>
        <v>51683</v>
      </c>
      <c r="II17" s="87">
        <f t="shared" si="240"/>
        <v>51714</v>
      </c>
      <c r="IJ17" s="87">
        <f t="shared" si="240"/>
        <v>51745</v>
      </c>
      <c r="IK17" s="87">
        <f t="shared" si="240"/>
        <v>51775</v>
      </c>
      <c r="IL17" s="87">
        <f t="shared" si="240"/>
        <v>51806</v>
      </c>
      <c r="IM17" s="87">
        <f t="shared" si="240"/>
        <v>51836</v>
      </c>
      <c r="IN17" s="87">
        <f t="shared" si="240"/>
        <v>51867</v>
      </c>
      <c r="IO17" s="87">
        <f t="shared" si="240"/>
        <v>51898</v>
      </c>
      <c r="IP17" s="87">
        <f t="shared" si="240"/>
        <v>51926</v>
      </c>
      <c r="IQ17" s="87">
        <f t="shared" si="240"/>
        <v>51957</v>
      </c>
      <c r="IR17" s="87">
        <f t="shared" si="240"/>
        <v>51987</v>
      </c>
      <c r="IS17" s="87">
        <f t="shared" si="240"/>
        <v>52018</v>
      </c>
      <c r="IT17" s="87">
        <f t="shared" si="240"/>
        <v>52048</v>
      </c>
      <c r="IU17" s="87">
        <f t="shared" si="240"/>
        <v>52079</v>
      </c>
      <c r="IV17" s="87">
        <f t="shared" si="240"/>
        <v>52110</v>
      </c>
      <c r="IW17" s="87">
        <f t="shared" si="240"/>
        <v>52140</v>
      </c>
      <c r="IX17" s="87">
        <f t="shared" si="240"/>
        <v>52171</v>
      </c>
      <c r="IY17" s="87">
        <f t="shared" si="240"/>
        <v>52201</v>
      </c>
      <c r="IZ17" s="87">
        <f t="shared" si="240"/>
        <v>52232</v>
      </c>
      <c r="JA17" s="87">
        <f t="shared" si="240"/>
        <v>52263</v>
      </c>
      <c r="JB17" s="87">
        <f t="shared" si="240"/>
        <v>52291</v>
      </c>
      <c r="JC17" s="87">
        <f t="shared" si="240"/>
        <v>52322</v>
      </c>
      <c r="JD17" s="87">
        <f t="shared" si="240"/>
        <v>52352</v>
      </c>
      <c r="JE17" s="87">
        <f t="shared" si="240"/>
        <v>52383</v>
      </c>
      <c r="JF17" s="87">
        <f t="shared" si="240"/>
        <v>52413</v>
      </c>
      <c r="JG17" s="87">
        <f t="shared" si="240"/>
        <v>52444</v>
      </c>
      <c r="JH17" s="87">
        <f t="shared" ref="JH17:KR17" si="241">JH$3</f>
        <v>52475</v>
      </c>
      <c r="JI17" s="87">
        <f t="shared" si="241"/>
        <v>52505</v>
      </c>
      <c r="JJ17" s="87">
        <f t="shared" si="241"/>
        <v>52536</v>
      </c>
      <c r="JK17" s="87">
        <f t="shared" si="241"/>
        <v>52566</v>
      </c>
      <c r="JL17" s="87">
        <f t="shared" si="241"/>
        <v>52597</v>
      </c>
      <c r="JM17" s="87">
        <f t="shared" si="241"/>
        <v>52628</v>
      </c>
      <c r="JN17" s="87">
        <f t="shared" si="241"/>
        <v>52657</v>
      </c>
      <c r="JO17" s="87">
        <f t="shared" si="241"/>
        <v>52688</v>
      </c>
      <c r="JP17" s="87">
        <f t="shared" si="241"/>
        <v>52718</v>
      </c>
      <c r="JQ17" s="87">
        <f t="shared" si="241"/>
        <v>52749</v>
      </c>
      <c r="JR17" s="87">
        <f t="shared" si="241"/>
        <v>52779</v>
      </c>
      <c r="JS17" s="87">
        <f t="shared" si="241"/>
        <v>52810</v>
      </c>
      <c r="JT17" s="87">
        <f t="shared" si="241"/>
        <v>52841</v>
      </c>
      <c r="JU17" s="87">
        <f t="shared" si="241"/>
        <v>52871</v>
      </c>
      <c r="JV17" s="87">
        <f t="shared" si="241"/>
        <v>52902</v>
      </c>
      <c r="JW17" s="87">
        <f t="shared" si="241"/>
        <v>52932</v>
      </c>
      <c r="JX17" s="87">
        <f t="shared" si="241"/>
        <v>52963</v>
      </c>
      <c r="JY17" s="87">
        <f t="shared" si="241"/>
        <v>52994</v>
      </c>
      <c r="JZ17" s="87">
        <f t="shared" si="241"/>
        <v>53022</v>
      </c>
      <c r="KA17" s="87">
        <f t="shared" si="241"/>
        <v>53053</v>
      </c>
      <c r="KB17" s="87">
        <f t="shared" si="241"/>
        <v>53083</v>
      </c>
      <c r="KC17" s="87">
        <f t="shared" si="241"/>
        <v>53114</v>
      </c>
      <c r="KD17" s="87">
        <f t="shared" si="241"/>
        <v>53144</v>
      </c>
      <c r="KE17" s="87">
        <f t="shared" si="241"/>
        <v>53175</v>
      </c>
      <c r="KF17" s="87">
        <f t="shared" si="241"/>
        <v>53206</v>
      </c>
      <c r="KG17" s="87">
        <f t="shared" si="241"/>
        <v>53236</v>
      </c>
      <c r="KH17" s="87">
        <f t="shared" si="241"/>
        <v>53267</v>
      </c>
      <c r="KI17" s="87">
        <f t="shared" si="241"/>
        <v>53297</v>
      </c>
      <c r="KJ17" s="87">
        <f t="shared" si="241"/>
        <v>53328</v>
      </c>
      <c r="KK17" s="87">
        <f t="shared" si="241"/>
        <v>53359</v>
      </c>
      <c r="KL17" s="87">
        <f t="shared" si="241"/>
        <v>53387</v>
      </c>
      <c r="KM17" s="87">
        <f t="shared" si="241"/>
        <v>53418</v>
      </c>
      <c r="KN17" s="87">
        <f t="shared" si="241"/>
        <v>53448</v>
      </c>
      <c r="KO17" s="87">
        <f t="shared" si="241"/>
        <v>53479</v>
      </c>
      <c r="KP17" s="87">
        <f t="shared" si="241"/>
        <v>53509</v>
      </c>
      <c r="KQ17" s="87">
        <f t="shared" si="241"/>
        <v>53540</v>
      </c>
      <c r="KR17" s="87">
        <f t="shared" si="241"/>
        <v>53571</v>
      </c>
      <c r="KS17" s="86">
        <f t="shared" si="227"/>
        <v>0.61369863013698633</v>
      </c>
      <c r="KT17" s="85"/>
    </row>
    <row r="18" spans="1:306" ht="15" customHeight="1" x14ac:dyDescent="0.3">
      <c r="A18" s="533" t="s">
        <v>1425</v>
      </c>
      <c r="B18" s="84"/>
      <c r="C18" s="88">
        <f>MIN(C20:C22)</f>
        <v>44470</v>
      </c>
      <c r="D18" s="88">
        <f>MAX(D20:D22)</f>
        <v>46447</v>
      </c>
      <c r="E18" s="87">
        <f t="shared" ref="E18:AJ20" si="242">E$3</f>
        <v>44470</v>
      </c>
      <c r="F18" s="87">
        <f t="shared" si="242"/>
        <v>44501</v>
      </c>
      <c r="G18" s="87">
        <f t="shared" si="242"/>
        <v>44531</v>
      </c>
      <c r="H18" s="87">
        <f t="shared" si="242"/>
        <v>44562</v>
      </c>
      <c r="I18" s="87">
        <f t="shared" si="242"/>
        <v>44593</v>
      </c>
      <c r="J18" s="87">
        <f t="shared" si="242"/>
        <v>44621</v>
      </c>
      <c r="K18" s="87">
        <f t="shared" si="242"/>
        <v>44652</v>
      </c>
      <c r="L18" s="87">
        <f t="shared" si="242"/>
        <v>44682</v>
      </c>
      <c r="M18" s="87">
        <f t="shared" si="242"/>
        <v>44713</v>
      </c>
      <c r="N18" s="87">
        <f t="shared" si="242"/>
        <v>44743</v>
      </c>
      <c r="O18" s="87">
        <f t="shared" si="242"/>
        <v>44774</v>
      </c>
      <c r="P18" s="87">
        <f t="shared" si="242"/>
        <v>44805</v>
      </c>
      <c r="Q18" s="87">
        <f t="shared" si="242"/>
        <v>44835</v>
      </c>
      <c r="R18" s="87">
        <f t="shared" si="242"/>
        <v>44866</v>
      </c>
      <c r="S18" s="87">
        <f t="shared" si="242"/>
        <v>44896</v>
      </c>
      <c r="T18" s="87">
        <f t="shared" si="242"/>
        <v>44927</v>
      </c>
      <c r="U18" s="87">
        <f t="shared" si="242"/>
        <v>44958</v>
      </c>
      <c r="V18" s="87">
        <f t="shared" si="242"/>
        <v>44986</v>
      </c>
      <c r="W18" s="87">
        <f t="shared" si="242"/>
        <v>45017</v>
      </c>
      <c r="X18" s="87">
        <f t="shared" si="242"/>
        <v>45047</v>
      </c>
      <c r="Y18" s="87">
        <f t="shared" si="242"/>
        <v>45078</v>
      </c>
      <c r="Z18" s="87">
        <f t="shared" si="242"/>
        <v>45108</v>
      </c>
      <c r="AA18" s="87">
        <f t="shared" si="242"/>
        <v>45139</v>
      </c>
      <c r="AB18" s="87">
        <f t="shared" si="242"/>
        <v>45170</v>
      </c>
      <c r="AC18" s="87">
        <f t="shared" si="242"/>
        <v>45200</v>
      </c>
      <c r="AD18" s="87">
        <f t="shared" si="242"/>
        <v>45231</v>
      </c>
      <c r="AE18" s="87">
        <f t="shared" si="242"/>
        <v>45261</v>
      </c>
      <c r="AF18" s="87">
        <f t="shared" si="242"/>
        <v>45292</v>
      </c>
      <c r="AG18" s="87">
        <f t="shared" si="242"/>
        <v>45323</v>
      </c>
      <c r="AH18" s="87">
        <f t="shared" si="242"/>
        <v>45352</v>
      </c>
      <c r="AI18" s="87">
        <f t="shared" si="242"/>
        <v>45383</v>
      </c>
      <c r="AJ18" s="87">
        <f t="shared" si="242"/>
        <v>45413</v>
      </c>
      <c r="AK18" s="87">
        <f t="shared" ref="AK18:BP20" si="243">AK$3</f>
        <v>45444</v>
      </c>
      <c r="AL18" s="87">
        <f t="shared" si="243"/>
        <v>45474</v>
      </c>
      <c r="AM18" s="87">
        <f t="shared" si="243"/>
        <v>45505</v>
      </c>
      <c r="AN18" s="87">
        <f t="shared" si="243"/>
        <v>45536</v>
      </c>
      <c r="AO18" s="87">
        <f t="shared" si="243"/>
        <v>45566</v>
      </c>
      <c r="AP18" s="87">
        <f t="shared" si="243"/>
        <v>45597</v>
      </c>
      <c r="AQ18" s="87">
        <f t="shared" si="243"/>
        <v>45627</v>
      </c>
      <c r="AR18" s="87">
        <f t="shared" si="243"/>
        <v>45658</v>
      </c>
      <c r="AS18" s="87">
        <f t="shared" si="243"/>
        <v>45689</v>
      </c>
      <c r="AT18" s="87">
        <f t="shared" si="243"/>
        <v>45717</v>
      </c>
      <c r="AU18" s="87">
        <f t="shared" si="243"/>
        <v>45748</v>
      </c>
      <c r="AV18" s="87">
        <f t="shared" si="243"/>
        <v>45778</v>
      </c>
      <c r="AW18" s="87">
        <f t="shared" si="243"/>
        <v>45809</v>
      </c>
      <c r="AX18" s="87">
        <f t="shared" si="243"/>
        <v>45839</v>
      </c>
      <c r="AY18" s="87">
        <f t="shared" si="243"/>
        <v>45870</v>
      </c>
      <c r="AZ18" s="87">
        <f t="shared" si="243"/>
        <v>45901</v>
      </c>
      <c r="BA18" s="87">
        <f t="shared" si="243"/>
        <v>45931</v>
      </c>
      <c r="BB18" s="87">
        <f t="shared" si="243"/>
        <v>45962</v>
      </c>
      <c r="BC18" s="87">
        <f t="shared" si="243"/>
        <v>45992</v>
      </c>
      <c r="BD18" s="87">
        <f t="shared" si="243"/>
        <v>46023</v>
      </c>
      <c r="BE18" s="87">
        <f t="shared" si="243"/>
        <v>46054</v>
      </c>
      <c r="BF18" s="87">
        <f t="shared" si="243"/>
        <v>46082</v>
      </c>
      <c r="BG18" s="87">
        <f t="shared" si="243"/>
        <v>46113</v>
      </c>
      <c r="BH18" s="87">
        <f t="shared" si="243"/>
        <v>46143</v>
      </c>
      <c r="BI18" s="87">
        <f t="shared" si="243"/>
        <v>46174</v>
      </c>
      <c r="BJ18" s="87">
        <f t="shared" si="243"/>
        <v>46204</v>
      </c>
      <c r="BK18" s="87">
        <f t="shared" si="243"/>
        <v>46235</v>
      </c>
      <c r="BL18" s="87">
        <f t="shared" si="243"/>
        <v>46266</v>
      </c>
      <c r="BM18" s="87">
        <f t="shared" si="243"/>
        <v>46296</v>
      </c>
      <c r="BN18" s="87">
        <f t="shared" si="243"/>
        <v>46327</v>
      </c>
      <c r="BO18" s="87">
        <f t="shared" si="243"/>
        <v>46357</v>
      </c>
      <c r="BP18" s="87">
        <f t="shared" si="243"/>
        <v>46388</v>
      </c>
      <c r="BQ18" s="87">
        <f t="shared" ref="BQ18:GB20" si="244">BQ$3</f>
        <v>46419</v>
      </c>
      <c r="BR18" s="87">
        <f t="shared" si="244"/>
        <v>46447</v>
      </c>
      <c r="BS18" s="87">
        <f t="shared" si="244"/>
        <v>46478</v>
      </c>
      <c r="BT18" s="87">
        <f t="shared" si="244"/>
        <v>46508</v>
      </c>
      <c r="BU18" s="87">
        <f t="shared" si="244"/>
        <v>46539</v>
      </c>
      <c r="BV18" s="87">
        <f t="shared" si="244"/>
        <v>46569</v>
      </c>
      <c r="BW18" s="87">
        <f t="shared" si="244"/>
        <v>46600</v>
      </c>
      <c r="BX18" s="87">
        <f t="shared" si="244"/>
        <v>46631</v>
      </c>
      <c r="BY18" s="87">
        <f t="shared" si="244"/>
        <v>46661</v>
      </c>
      <c r="BZ18" s="87">
        <f t="shared" si="244"/>
        <v>46692</v>
      </c>
      <c r="CA18" s="87">
        <f t="shared" si="244"/>
        <v>46722</v>
      </c>
      <c r="CB18" s="87">
        <f t="shared" si="244"/>
        <v>46753</v>
      </c>
      <c r="CC18" s="87">
        <f t="shared" si="244"/>
        <v>46784</v>
      </c>
      <c r="CD18" s="87">
        <f t="shared" si="244"/>
        <v>46813</v>
      </c>
      <c r="CE18" s="87">
        <f t="shared" si="244"/>
        <v>46844</v>
      </c>
      <c r="CF18" s="87">
        <f t="shared" si="244"/>
        <v>46874</v>
      </c>
      <c r="CG18" s="87">
        <f t="shared" si="244"/>
        <v>46905</v>
      </c>
      <c r="CH18" s="87">
        <f t="shared" si="244"/>
        <v>46935</v>
      </c>
      <c r="CI18" s="87">
        <f t="shared" si="244"/>
        <v>46966</v>
      </c>
      <c r="CJ18" s="87">
        <f t="shared" si="244"/>
        <v>46997</v>
      </c>
      <c r="CK18" s="87">
        <f t="shared" si="244"/>
        <v>47027</v>
      </c>
      <c r="CL18" s="87">
        <f t="shared" si="244"/>
        <v>47058</v>
      </c>
      <c r="CM18" s="87">
        <f t="shared" si="244"/>
        <v>47088</v>
      </c>
      <c r="CN18" s="87">
        <f t="shared" si="244"/>
        <v>47119</v>
      </c>
      <c r="CO18" s="87">
        <f t="shared" si="244"/>
        <v>47150</v>
      </c>
      <c r="CP18" s="87">
        <f t="shared" si="244"/>
        <v>47178</v>
      </c>
      <c r="CQ18" s="87">
        <f t="shared" si="244"/>
        <v>47209</v>
      </c>
      <c r="CR18" s="87">
        <f t="shared" si="244"/>
        <v>47239</v>
      </c>
      <c r="CS18" s="87">
        <f t="shared" si="244"/>
        <v>47270</v>
      </c>
      <c r="CT18" s="87">
        <f t="shared" si="244"/>
        <v>47300</v>
      </c>
      <c r="CU18" s="87">
        <f t="shared" si="244"/>
        <v>47331</v>
      </c>
      <c r="CV18" s="87">
        <f t="shared" si="244"/>
        <v>47362</v>
      </c>
      <c r="CW18" s="87">
        <f t="shared" si="244"/>
        <v>47392</v>
      </c>
      <c r="CX18" s="87">
        <f t="shared" si="244"/>
        <v>47423</v>
      </c>
      <c r="CY18" s="87">
        <f t="shared" si="244"/>
        <v>47453</v>
      </c>
      <c r="CZ18" s="87">
        <f t="shared" si="244"/>
        <v>47484</v>
      </c>
      <c r="DA18" s="87">
        <f t="shared" si="244"/>
        <v>47515</v>
      </c>
      <c r="DB18" s="87">
        <f t="shared" si="244"/>
        <v>47543</v>
      </c>
      <c r="DC18" s="87">
        <f t="shared" si="244"/>
        <v>47574</v>
      </c>
      <c r="DD18" s="87">
        <f t="shared" si="244"/>
        <v>47604</v>
      </c>
      <c r="DE18" s="87">
        <f t="shared" si="244"/>
        <v>47635</v>
      </c>
      <c r="DF18" s="87">
        <f t="shared" si="244"/>
        <v>47665</v>
      </c>
      <c r="DG18" s="87">
        <f t="shared" si="244"/>
        <v>47696</v>
      </c>
      <c r="DH18" s="87">
        <f t="shared" si="244"/>
        <v>47727</v>
      </c>
      <c r="DI18" s="87">
        <f t="shared" si="244"/>
        <v>47757</v>
      </c>
      <c r="DJ18" s="87">
        <f t="shared" si="244"/>
        <v>47788</v>
      </c>
      <c r="DK18" s="87">
        <f t="shared" si="244"/>
        <v>47818</v>
      </c>
      <c r="DL18" s="87">
        <f t="shared" si="244"/>
        <v>47849</v>
      </c>
      <c r="DM18" s="87">
        <f t="shared" si="244"/>
        <v>47880</v>
      </c>
      <c r="DN18" s="87">
        <f t="shared" si="244"/>
        <v>47908</v>
      </c>
      <c r="DO18" s="87">
        <f t="shared" si="244"/>
        <v>47939</v>
      </c>
      <c r="DP18" s="87">
        <f t="shared" si="244"/>
        <v>47969</v>
      </c>
      <c r="DQ18" s="87">
        <f t="shared" si="244"/>
        <v>48000</v>
      </c>
      <c r="DR18" s="87">
        <f t="shared" si="244"/>
        <v>48030</v>
      </c>
      <c r="DS18" s="87">
        <f t="shared" si="244"/>
        <v>48061</v>
      </c>
      <c r="DT18" s="87">
        <f t="shared" si="244"/>
        <v>48092</v>
      </c>
      <c r="DU18" s="87">
        <f t="shared" si="244"/>
        <v>48122</v>
      </c>
      <c r="DV18" s="87">
        <f t="shared" si="244"/>
        <v>48153</v>
      </c>
      <c r="DW18" s="87">
        <f t="shared" si="244"/>
        <v>48183</v>
      </c>
      <c r="DX18" s="87">
        <f t="shared" si="244"/>
        <v>48214</v>
      </c>
      <c r="DY18" s="87">
        <f t="shared" si="244"/>
        <v>48245</v>
      </c>
      <c r="DZ18" s="87">
        <f t="shared" si="244"/>
        <v>48274</v>
      </c>
      <c r="EA18" s="87">
        <f t="shared" si="244"/>
        <v>48305</v>
      </c>
      <c r="EB18" s="87">
        <f t="shared" si="244"/>
        <v>48335</v>
      </c>
      <c r="EC18" s="87">
        <f t="shared" si="244"/>
        <v>48366</v>
      </c>
      <c r="ED18" s="87">
        <f t="shared" si="244"/>
        <v>48396</v>
      </c>
      <c r="EE18" s="87">
        <f t="shared" si="244"/>
        <v>48427</v>
      </c>
      <c r="EF18" s="87">
        <f t="shared" si="244"/>
        <v>48458</v>
      </c>
      <c r="EG18" s="87">
        <f t="shared" si="244"/>
        <v>48488</v>
      </c>
      <c r="EH18" s="87">
        <f t="shared" si="244"/>
        <v>48519</v>
      </c>
      <c r="EI18" s="87">
        <f t="shared" si="244"/>
        <v>48549</v>
      </c>
      <c r="EJ18" s="87">
        <f t="shared" si="244"/>
        <v>48580</v>
      </c>
      <c r="EK18" s="87">
        <f t="shared" si="244"/>
        <v>48611</v>
      </c>
      <c r="EL18" s="87">
        <f t="shared" si="244"/>
        <v>48639</v>
      </c>
      <c r="EM18" s="87">
        <f t="shared" si="244"/>
        <v>48670</v>
      </c>
      <c r="EN18" s="87">
        <f t="shared" si="244"/>
        <v>48700</v>
      </c>
      <c r="EO18" s="87">
        <f t="shared" si="244"/>
        <v>48731</v>
      </c>
      <c r="EP18" s="87">
        <f t="shared" si="244"/>
        <v>48761</v>
      </c>
      <c r="EQ18" s="87">
        <f t="shared" si="244"/>
        <v>48792</v>
      </c>
      <c r="ER18" s="87">
        <f t="shared" si="244"/>
        <v>48823</v>
      </c>
      <c r="ES18" s="87">
        <f t="shared" si="244"/>
        <v>48853</v>
      </c>
      <c r="ET18" s="87">
        <f t="shared" si="244"/>
        <v>48884</v>
      </c>
      <c r="EU18" s="87">
        <f t="shared" si="244"/>
        <v>48914</v>
      </c>
      <c r="EV18" s="87">
        <f t="shared" si="244"/>
        <v>48945</v>
      </c>
      <c r="EW18" s="87">
        <f t="shared" si="244"/>
        <v>48976</v>
      </c>
      <c r="EX18" s="87">
        <f t="shared" si="244"/>
        <v>49004</v>
      </c>
      <c r="EY18" s="87">
        <f t="shared" si="244"/>
        <v>49035</v>
      </c>
      <c r="EZ18" s="87">
        <f t="shared" si="244"/>
        <v>49065</v>
      </c>
      <c r="FA18" s="87">
        <f t="shared" si="244"/>
        <v>49096</v>
      </c>
      <c r="FB18" s="87">
        <f t="shared" si="244"/>
        <v>49126</v>
      </c>
      <c r="FC18" s="87">
        <f t="shared" si="244"/>
        <v>49157</v>
      </c>
      <c r="FD18" s="87">
        <f t="shared" si="244"/>
        <v>49188</v>
      </c>
      <c r="FE18" s="87">
        <f t="shared" si="244"/>
        <v>49218</v>
      </c>
      <c r="FF18" s="87">
        <f t="shared" si="244"/>
        <v>49249</v>
      </c>
      <c r="FG18" s="87">
        <f t="shared" si="244"/>
        <v>49279</v>
      </c>
      <c r="FH18" s="87">
        <f t="shared" si="244"/>
        <v>49310</v>
      </c>
      <c r="FI18" s="87">
        <f t="shared" si="244"/>
        <v>49341</v>
      </c>
      <c r="FJ18" s="87">
        <f t="shared" si="244"/>
        <v>49369</v>
      </c>
      <c r="FK18" s="87">
        <f t="shared" si="244"/>
        <v>49400</v>
      </c>
      <c r="FL18" s="87">
        <f t="shared" si="244"/>
        <v>49430</v>
      </c>
      <c r="FM18" s="87">
        <f t="shared" si="244"/>
        <v>49461</v>
      </c>
      <c r="FN18" s="87">
        <f t="shared" si="244"/>
        <v>49491</v>
      </c>
      <c r="FO18" s="87">
        <f t="shared" si="244"/>
        <v>49522</v>
      </c>
      <c r="FP18" s="87">
        <f t="shared" si="244"/>
        <v>49553</v>
      </c>
      <c r="FQ18" s="87">
        <f t="shared" si="244"/>
        <v>49583</v>
      </c>
      <c r="FR18" s="87">
        <f t="shared" si="244"/>
        <v>49614</v>
      </c>
      <c r="FS18" s="87">
        <f t="shared" si="244"/>
        <v>49644</v>
      </c>
      <c r="FT18" s="87">
        <f t="shared" si="244"/>
        <v>49675</v>
      </c>
      <c r="FU18" s="87">
        <f t="shared" si="244"/>
        <v>49706</v>
      </c>
      <c r="FV18" s="87">
        <f t="shared" si="244"/>
        <v>49735</v>
      </c>
      <c r="FW18" s="87">
        <f t="shared" si="244"/>
        <v>49766</v>
      </c>
      <c r="FX18" s="87">
        <f t="shared" si="244"/>
        <v>49796</v>
      </c>
      <c r="FY18" s="87">
        <f t="shared" si="244"/>
        <v>49827</v>
      </c>
      <c r="FZ18" s="87">
        <f t="shared" si="244"/>
        <v>49857</v>
      </c>
      <c r="GA18" s="87">
        <f t="shared" si="244"/>
        <v>49888</v>
      </c>
      <c r="GB18" s="87">
        <f t="shared" si="244"/>
        <v>49919</v>
      </c>
      <c r="GC18" s="87">
        <f t="shared" ref="GC18:HH20" si="245">GC$3</f>
        <v>49949</v>
      </c>
      <c r="GD18" s="87">
        <f t="shared" si="245"/>
        <v>49980</v>
      </c>
      <c r="GE18" s="87">
        <f t="shared" si="245"/>
        <v>50010</v>
      </c>
      <c r="GF18" s="87">
        <f t="shared" si="245"/>
        <v>50041</v>
      </c>
      <c r="GG18" s="87">
        <f t="shared" si="245"/>
        <v>50072</v>
      </c>
      <c r="GH18" s="87">
        <f t="shared" si="245"/>
        <v>50100</v>
      </c>
      <c r="GI18" s="87">
        <f t="shared" si="245"/>
        <v>50131</v>
      </c>
      <c r="GJ18" s="87">
        <f t="shared" si="245"/>
        <v>50161</v>
      </c>
      <c r="GK18" s="87">
        <f t="shared" si="245"/>
        <v>50192</v>
      </c>
      <c r="GL18" s="87">
        <f t="shared" si="245"/>
        <v>50222</v>
      </c>
      <c r="GM18" s="87">
        <f t="shared" si="245"/>
        <v>50253</v>
      </c>
      <c r="GN18" s="87">
        <f t="shared" si="245"/>
        <v>50284</v>
      </c>
      <c r="GO18" s="87">
        <f t="shared" si="245"/>
        <v>50314</v>
      </c>
      <c r="GP18" s="87">
        <f t="shared" si="245"/>
        <v>50345</v>
      </c>
      <c r="GQ18" s="87">
        <f t="shared" si="245"/>
        <v>50375</v>
      </c>
      <c r="GR18" s="87">
        <f t="shared" si="245"/>
        <v>50406</v>
      </c>
      <c r="GS18" s="87">
        <f t="shared" si="245"/>
        <v>50437</v>
      </c>
      <c r="GT18" s="87">
        <f t="shared" si="245"/>
        <v>50465</v>
      </c>
      <c r="GU18" s="87">
        <f t="shared" si="245"/>
        <v>50496</v>
      </c>
      <c r="GV18" s="87">
        <f t="shared" si="245"/>
        <v>50526</v>
      </c>
      <c r="GW18" s="87">
        <f t="shared" si="245"/>
        <v>50557</v>
      </c>
      <c r="GX18" s="87">
        <f t="shared" si="245"/>
        <v>50587</v>
      </c>
      <c r="GY18" s="87">
        <f t="shared" si="245"/>
        <v>50618</v>
      </c>
      <c r="GZ18" s="87">
        <f t="shared" si="245"/>
        <v>50649</v>
      </c>
      <c r="HA18" s="87">
        <f t="shared" si="245"/>
        <v>50679</v>
      </c>
      <c r="HB18" s="87">
        <f t="shared" si="245"/>
        <v>50710</v>
      </c>
      <c r="HC18" s="87">
        <f t="shared" si="245"/>
        <v>50740</v>
      </c>
      <c r="HD18" s="87">
        <f t="shared" si="245"/>
        <v>50771</v>
      </c>
      <c r="HE18" s="87">
        <f t="shared" si="245"/>
        <v>50802</v>
      </c>
      <c r="HF18" s="87">
        <f t="shared" si="245"/>
        <v>50830</v>
      </c>
      <c r="HG18" s="87">
        <f t="shared" si="245"/>
        <v>50861</v>
      </c>
      <c r="HH18" s="87">
        <f t="shared" si="245"/>
        <v>50891</v>
      </c>
      <c r="HI18" s="87">
        <f t="shared" ref="HE18:HT20" si="246">HI$3</f>
        <v>50922</v>
      </c>
      <c r="HJ18" s="87">
        <f t="shared" si="246"/>
        <v>50952</v>
      </c>
      <c r="HK18" s="87">
        <f t="shared" si="246"/>
        <v>50983</v>
      </c>
      <c r="HL18" s="87">
        <f t="shared" si="246"/>
        <v>51014</v>
      </c>
      <c r="HM18" s="87">
        <f t="shared" si="246"/>
        <v>51044</v>
      </c>
      <c r="HN18" s="87">
        <f t="shared" si="246"/>
        <v>51075</v>
      </c>
      <c r="HO18" s="87">
        <f t="shared" si="246"/>
        <v>51105</v>
      </c>
      <c r="HP18" s="87">
        <f t="shared" si="246"/>
        <v>51136</v>
      </c>
      <c r="HQ18" s="87">
        <f t="shared" si="246"/>
        <v>51167</v>
      </c>
      <c r="HR18" s="87">
        <f t="shared" si="246"/>
        <v>51196</v>
      </c>
      <c r="HS18" s="87">
        <f t="shared" si="246"/>
        <v>51227</v>
      </c>
      <c r="HT18" s="87">
        <f t="shared" si="246"/>
        <v>51257</v>
      </c>
      <c r="HU18" s="87">
        <f t="shared" ref="HU18:IV20" si="247">HU$3</f>
        <v>51288</v>
      </c>
      <c r="HV18" s="87">
        <f t="shared" si="247"/>
        <v>51318</v>
      </c>
      <c r="HW18" s="87">
        <f t="shared" si="247"/>
        <v>51349</v>
      </c>
      <c r="HX18" s="87">
        <f t="shared" si="247"/>
        <v>51380</v>
      </c>
      <c r="HY18" s="87">
        <f t="shared" si="247"/>
        <v>51410</v>
      </c>
      <c r="HZ18" s="87">
        <f t="shared" si="247"/>
        <v>51441</v>
      </c>
      <c r="IA18" s="87">
        <f t="shared" si="247"/>
        <v>51471</v>
      </c>
      <c r="IB18" s="87">
        <f t="shared" si="247"/>
        <v>51502</v>
      </c>
      <c r="IC18" s="87">
        <f t="shared" si="247"/>
        <v>51533</v>
      </c>
      <c r="ID18" s="87">
        <f t="shared" si="247"/>
        <v>51561</v>
      </c>
      <c r="IE18" s="87">
        <f t="shared" si="247"/>
        <v>51592</v>
      </c>
      <c r="IF18" s="87">
        <f t="shared" si="247"/>
        <v>51622</v>
      </c>
      <c r="IG18" s="87">
        <f t="shared" si="247"/>
        <v>51653</v>
      </c>
      <c r="IH18" s="87">
        <f t="shared" si="247"/>
        <v>51683</v>
      </c>
      <c r="II18" s="87">
        <f t="shared" si="247"/>
        <v>51714</v>
      </c>
      <c r="IJ18" s="87">
        <f t="shared" si="247"/>
        <v>51745</v>
      </c>
      <c r="IK18" s="87">
        <f t="shared" si="247"/>
        <v>51775</v>
      </c>
      <c r="IL18" s="87">
        <f t="shared" si="247"/>
        <v>51806</v>
      </c>
      <c r="IM18" s="87">
        <f t="shared" si="247"/>
        <v>51836</v>
      </c>
      <c r="IN18" s="87">
        <f t="shared" si="247"/>
        <v>51867</v>
      </c>
      <c r="IO18" s="87">
        <f t="shared" si="247"/>
        <v>51898</v>
      </c>
      <c r="IP18" s="87">
        <f t="shared" si="247"/>
        <v>51926</v>
      </c>
      <c r="IQ18" s="87">
        <f t="shared" si="247"/>
        <v>51957</v>
      </c>
      <c r="IR18" s="87">
        <f t="shared" si="247"/>
        <v>51987</v>
      </c>
      <c r="IS18" s="87">
        <f t="shared" si="247"/>
        <v>52018</v>
      </c>
      <c r="IT18" s="87">
        <f t="shared" si="247"/>
        <v>52048</v>
      </c>
      <c r="IU18" s="87">
        <f t="shared" si="247"/>
        <v>52079</v>
      </c>
      <c r="IV18" s="87">
        <f t="shared" si="247"/>
        <v>52110</v>
      </c>
      <c r="IW18" s="87">
        <f t="shared" ref="IW18:KB20" si="248">IW$3</f>
        <v>52140</v>
      </c>
      <c r="IX18" s="87">
        <f t="shared" si="248"/>
        <v>52171</v>
      </c>
      <c r="IY18" s="87">
        <f t="shared" si="248"/>
        <v>52201</v>
      </c>
      <c r="IZ18" s="87">
        <f t="shared" si="248"/>
        <v>52232</v>
      </c>
      <c r="JA18" s="87">
        <f t="shared" si="248"/>
        <v>52263</v>
      </c>
      <c r="JB18" s="87">
        <f t="shared" si="248"/>
        <v>52291</v>
      </c>
      <c r="JC18" s="87">
        <f t="shared" si="248"/>
        <v>52322</v>
      </c>
      <c r="JD18" s="87">
        <f t="shared" si="248"/>
        <v>52352</v>
      </c>
      <c r="JE18" s="87">
        <f t="shared" si="248"/>
        <v>52383</v>
      </c>
      <c r="JF18" s="87">
        <f t="shared" si="248"/>
        <v>52413</v>
      </c>
      <c r="JG18" s="87">
        <f t="shared" si="248"/>
        <v>52444</v>
      </c>
      <c r="JH18" s="87">
        <f t="shared" si="248"/>
        <v>52475</v>
      </c>
      <c r="JI18" s="87">
        <f t="shared" si="248"/>
        <v>52505</v>
      </c>
      <c r="JJ18" s="87">
        <f t="shared" si="248"/>
        <v>52536</v>
      </c>
      <c r="JK18" s="87">
        <f t="shared" si="248"/>
        <v>52566</v>
      </c>
      <c r="JL18" s="87">
        <f t="shared" si="248"/>
        <v>52597</v>
      </c>
      <c r="JM18" s="87">
        <f t="shared" si="248"/>
        <v>52628</v>
      </c>
      <c r="JN18" s="87">
        <f t="shared" si="248"/>
        <v>52657</v>
      </c>
      <c r="JO18" s="87">
        <f t="shared" si="248"/>
        <v>52688</v>
      </c>
      <c r="JP18" s="87">
        <f t="shared" si="248"/>
        <v>52718</v>
      </c>
      <c r="JQ18" s="87">
        <f t="shared" si="248"/>
        <v>52749</v>
      </c>
      <c r="JR18" s="87">
        <f t="shared" si="248"/>
        <v>52779</v>
      </c>
      <c r="JS18" s="87">
        <f t="shared" si="248"/>
        <v>52810</v>
      </c>
      <c r="JT18" s="87">
        <f t="shared" si="248"/>
        <v>52841</v>
      </c>
      <c r="JU18" s="87">
        <f t="shared" si="248"/>
        <v>52871</v>
      </c>
      <c r="JV18" s="87">
        <f t="shared" si="248"/>
        <v>52902</v>
      </c>
      <c r="JW18" s="87">
        <f t="shared" si="248"/>
        <v>52932</v>
      </c>
      <c r="JX18" s="87">
        <f t="shared" si="248"/>
        <v>52963</v>
      </c>
      <c r="JY18" s="87">
        <f t="shared" si="248"/>
        <v>52994</v>
      </c>
      <c r="JZ18" s="87">
        <f t="shared" si="248"/>
        <v>53022</v>
      </c>
      <c r="KA18" s="87">
        <f t="shared" si="248"/>
        <v>53053</v>
      </c>
      <c r="KB18" s="87">
        <f t="shared" si="248"/>
        <v>53083</v>
      </c>
      <c r="KC18" s="87">
        <f t="shared" ref="JY18:KN20" si="249">KC$3</f>
        <v>53114</v>
      </c>
      <c r="KD18" s="87">
        <f t="shared" si="249"/>
        <v>53144</v>
      </c>
      <c r="KE18" s="87">
        <f t="shared" si="249"/>
        <v>53175</v>
      </c>
      <c r="KF18" s="87">
        <f t="shared" si="249"/>
        <v>53206</v>
      </c>
      <c r="KG18" s="87">
        <f t="shared" si="249"/>
        <v>53236</v>
      </c>
      <c r="KH18" s="87">
        <f t="shared" si="249"/>
        <v>53267</v>
      </c>
      <c r="KI18" s="87">
        <f t="shared" si="249"/>
        <v>53297</v>
      </c>
      <c r="KJ18" s="87">
        <f t="shared" si="249"/>
        <v>53328</v>
      </c>
      <c r="KK18" s="87">
        <f t="shared" si="249"/>
        <v>53359</v>
      </c>
      <c r="KL18" s="87">
        <f t="shared" si="249"/>
        <v>53387</v>
      </c>
      <c r="KM18" s="87">
        <f t="shared" si="249"/>
        <v>53418</v>
      </c>
      <c r="KN18" s="87">
        <f t="shared" si="249"/>
        <v>53448</v>
      </c>
      <c r="KO18" s="87">
        <f t="shared" ref="KO18:KR18" si="250">KO$3</f>
        <v>53479</v>
      </c>
      <c r="KP18" s="87">
        <f t="shared" si="250"/>
        <v>53509</v>
      </c>
      <c r="KQ18" s="87">
        <f t="shared" si="250"/>
        <v>53540</v>
      </c>
      <c r="KR18" s="87">
        <f t="shared" si="250"/>
        <v>53571</v>
      </c>
      <c r="KS18" s="86">
        <f t="shared" si="227"/>
        <v>5.414319248826291</v>
      </c>
    </row>
    <row r="19" spans="1:306" ht="15" customHeight="1" x14ac:dyDescent="0.3">
      <c r="A19" s="532" t="s">
        <v>656</v>
      </c>
      <c r="B19" s="84">
        <f>D19-C19+1</f>
        <v>396</v>
      </c>
      <c r="C19" s="88">
        <f>C20</f>
        <v>44470</v>
      </c>
      <c r="D19" s="88">
        <f>D20</f>
        <v>44865</v>
      </c>
      <c r="E19" s="87">
        <f t="shared" si="242"/>
        <v>44470</v>
      </c>
      <c r="F19" s="87">
        <f t="shared" si="242"/>
        <v>44501</v>
      </c>
      <c r="G19" s="87">
        <f t="shared" si="242"/>
        <v>44531</v>
      </c>
      <c r="H19" s="87">
        <f t="shared" si="242"/>
        <v>44562</v>
      </c>
      <c r="I19" s="87">
        <f t="shared" si="242"/>
        <v>44593</v>
      </c>
      <c r="J19" s="87">
        <f t="shared" si="242"/>
        <v>44621</v>
      </c>
      <c r="K19" s="87">
        <f t="shared" si="242"/>
        <v>44652</v>
      </c>
      <c r="L19" s="87">
        <f t="shared" si="242"/>
        <v>44682</v>
      </c>
      <c r="M19" s="87">
        <f t="shared" si="242"/>
        <v>44713</v>
      </c>
      <c r="N19" s="87">
        <f t="shared" si="242"/>
        <v>44743</v>
      </c>
      <c r="O19" s="87">
        <f t="shared" si="242"/>
        <v>44774</v>
      </c>
      <c r="P19" s="87">
        <f t="shared" si="242"/>
        <v>44805</v>
      </c>
      <c r="Q19" s="87">
        <f t="shared" si="242"/>
        <v>44835</v>
      </c>
      <c r="R19" s="87">
        <f t="shared" si="242"/>
        <v>44866</v>
      </c>
      <c r="S19" s="87">
        <f t="shared" si="242"/>
        <v>44896</v>
      </c>
      <c r="T19" s="87">
        <f t="shared" si="242"/>
        <v>44927</v>
      </c>
      <c r="U19" s="87">
        <f t="shared" si="242"/>
        <v>44958</v>
      </c>
      <c r="V19" s="87">
        <f t="shared" si="242"/>
        <v>44986</v>
      </c>
      <c r="W19" s="87">
        <f t="shared" si="242"/>
        <v>45017</v>
      </c>
      <c r="X19" s="87">
        <f t="shared" si="242"/>
        <v>45047</v>
      </c>
      <c r="Y19" s="87">
        <f t="shared" si="242"/>
        <v>45078</v>
      </c>
      <c r="Z19" s="87">
        <f t="shared" si="242"/>
        <v>45108</v>
      </c>
      <c r="AA19" s="87">
        <f t="shared" si="242"/>
        <v>45139</v>
      </c>
      <c r="AB19" s="87">
        <f t="shared" si="242"/>
        <v>45170</v>
      </c>
      <c r="AC19" s="87">
        <f t="shared" si="242"/>
        <v>45200</v>
      </c>
      <c r="AD19" s="87">
        <f t="shared" si="242"/>
        <v>45231</v>
      </c>
      <c r="AE19" s="87">
        <f t="shared" si="242"/>
        <v>45261</v>
      </c>
      <c r="AF19" s="87">
        <f t="shared" si="242"/>
        <v>45292</v>
      </c>
      <c r="AG19" s="87">
        <f t="shared" si="242"/>
        <v>45323</v>
      </c>
      <c r="AH19" s="87">
        <f t="shared" si="242"/>
        <v>45352</v>
      </c>
      <c r="AI19" s="87">
        <f t="shared" si="242"/>
        <v>45383</v>
      </c>
      <c r="AJ19" s="87">
        <f t="shared" si="242"/>
        <v>45413</v>
      </c>
      <c r="AK19" s="87">
        <f t="shared" si="243"/>
        <v>45444</v>
      </c>
      <c r="AL19" s="87">
        <f t="shared" si="243"/>
        <v>45474</v>
      </c>
      <c r="AM19" s="87">
        <f t="shared" si="243"/>
        <v>45505</v>
      </c>
      <c r="AN19" s="87">
        <f t="shared" si="243"/>
        <v>45536</v>
      </c>
      <c r="AO19" s="87">
        <f t="shared" si="243"/>
        <v>45566</v>
      </c>
      <c r="AP19" s="87">
        <f t="shared" si="243"/>
        <v>45597</v>
      </c>
      <c r="AQ19" s="87">
        <f t="shared" si="243"/>
        <v>45627</v>
      </c>
      <c r="AR19" s="87">
        <f t="shared" si="243"/>
        <v>45658</v>
      </c>
      <c r="AS19" s="87">
        <f t="shared" si="243"/>
        <v>45689</v>
      </c>
      <c r="AT19" s="87">
        <f t="shared" si="243"/>
        <v>45717</v>
      </c>
      <c r="AU19" s="87">
        <f t="shared" si="243"/>
        <v>45748</v>
      </c>
      <c r="AV19" s="87">
        <f t="shared" si="243"/>
        <v>45778</v>
      </c>
      <c r="AW19" s="87">
        <f t="shared" si="243"/>
        <v>45809</v>
      </c>
      <c r="AX19" s="87">
        <f t="shared" si="243"/>
        <v>45839</v>
      </c>
      <c r="AY19" s="87">
        <f t="shared" si="243"/>
        <v>45870</v>
      </c>
      <c r="AZ19" s="87">
        <f t="shared" si="243"/>
        <v>45901</v>
      </c>
      <c r="BA19" s="87">
        <f t="shared" si="243"/>
        <v>45931</v>
      </c>
      <c r="BB19" s="87">
        <f t="shared" si="243"/>
        <v>45962</v>
      </c>
      <c r="BC19" s="87">
        <f t="shared" si="243"/>
        <v>45992</v>
      </c>
      <c r="BD19" s="87">
        <f t="shared" si="243"/>
        <v>46023</v>
      </c>
      <c r="BE19" s="87">
        <f t="shared" si="243"/>
        <v>46054</v>
      </c>
      <c r="BF19" s="87">
        <f t="shared" si="243"/>
        <v>46082</v>
      </c>
      <c r="BG19" s="87">
        <f t="shared" si="243"/>
        <v>46113</v>
      </c>
      <c r="BH19" s="87">
        <f t="shared" si="243"/>
        <v>46143</v>
      </c>
      <c r="BI19" s="87">
        <f t="shared" si="243"/>
        <v>46174</v>
      </c>
      <c r="BJ19" s="87">
        <f t="shared" si="243"/>
        <v>46204</v>
      </c>
      <c r="BK19" s="87">
        <f t="shared" si="243"/>
        <v>46235</v>
      </c>
      <c r="BL19" s="87">
        <f t="shared" si="243"/>
        <v>46266</v>
      </c>
      <c r="BM19" s="87">
        <f t="shared" si="243"/>
        <v>46296</v>
      </c>
      <c r="BN19" s="87">
        <f t="shared" si="243"/>
        <v>46327</v>
      </c>
      <c r="BO19" s="87">
        <f t="shared" si="243"/>
        <v>46357</v>
      </c>
      <c r="BP19" s="87">
        <f t="shared" si="243"/>
        <v>46388</v>
      </c>
      <c r="BQ19" s="87">
        <f t="shared" si="244"/>
        <v>46419</v>
      </c>
      <c r="BR19" s="87">
        <f t="shared" si="244"/>
        <v>46447</v>
      </c>
      <c r="BS19" s="87">
        <f t="shared" si="244"/>
        <v>46478</v>
      </c>
      <c r="BT19" s="87">
        <f t="shared" si="244"/>
        <v>46508</v>
      </c>
      <c r="BU19" s="87">
        <f t="shared" si="244"/>
        <v>46539</v>
      </c>
      <c r="BV19" s="87">
        <f t="shared" si="244"/>
        <v>46569</v>
      </c>
      <c r="BW19" s="87">
        <f t="shared" si="244"/>
        <v>46600</v>
      </c>
      <c r="BX19" s="87">
        <f t="shared" si="244"/>
        <v>46631</v>
      </c>
      <c r="BY19" s="87">
        <f t="shared" si="244"/>
        <v>46661</v>
      </c>
      <c r="BZ19" s="87">
        <f t="shared" si="244"/>
        <v>46692</v>
      </c>
      <c r="CA19" s="87">
        <f t="shared" si="244"/>
        <v>46722</v>
      </c>
      <c r="CB19" s="87">
        <f t="shared" si="244"/>
        <v>46753</v>
      </c>
      <c r="CC19" s="87">
        <f t="shared" si="244"/>
        <v>46784</v>
      </c>
      <c r="CD19" s="87">
        <f t="shared" si="244"/>
        <v>46813</v>
      </c>
      <c r="CE19" s="87">
        <f t="shared" si="244"/>
        <v>46844</v>
      </c>
      <c r="CF19" s="87">
        <f t="shared" si="244"/>
        <v>46874</v>
      </c>
      <c r="CG19" s="87">
        <f t="shared" si="244"/>
        <v>46905</v>
      </c>
      <c r="CH19" s="87">
        <f t="shared" si="244"/>
        <v>46935</v>
      </c>
      <c r="CI19" s="87">
        <f t="shared" si="244"/>
        <v>46966</v>
      </c>
      <c r="CJ19" s="87">
        <f t="shared" si="244"/>
        <v>46997</v>
      </c>
      <c r="CK19" s="87">
        <f t="shared" si="244"/>
        <v>47027</v>
      </c>
      <c r="CL19" s="87">
        <f t="shared" si="244"/>
        <v>47058</v>
      </c>
      <c r="CM19" s="87">
        <f t="shared" si="244"/>
        <v>47088</v>
      </c>
      <c r="CN19" s="87">
        <f t="shared" si="244"/>
        <v>47119</v>
      </c>
      <c r="CO19" s="87">
        <f t="shared" si="244"/>
        <v>47150</v>
      </c>
      <c r="CP19" s="87">
        <f t="shared" si="244"/>
        <v>47178</v>
      </c>
      <c r="CQ19" s="87">
        <f t="shared" si="244"/>
        <v>47209</v>
      </c>
      <c r="CR19" s="87">
        <f t="shared" si="244"/>
        <v>47239</v>
      </c>
      <c r="CS19" s="87">
        <f t="shared" si="244"/>
        <v>47270</v>
      </c>
      <c r="CT19" s="87">
        <f t="shared" si="244"/>
        <v>47300</v>
      </c>
      <c r="CU19" s="87">
        <f t="shared" si="244"/>
        <v>47331</v>
      </c>
      <c r="CV19" s="87">
        <f t="shared" si="244"/>
        <v>47362</v>
      </c>
      <c r="CW19" s="87">
        <f t="shared" si="244"/>
        <v>47392</v>
      </c>
      <c r="CX19" s="87">
        <f t="shared" si="244"/>
        <v>47423</v>
      </c>
      <c r="CY19" s="87">
        <f t="shared" si="244"/>
        <v>47453</v>
      </c>
      <c r="CZ19" s="87">
        <f t="shared" si="244"/>
        <v>47484</v>
      </c>
      <c r="DA19" s="87">
        <f t="shared" si="244"/>
        <v>47515</v>
      </c>
      <c r="DB19" s="87">
        <f t="shared" si="244"/>
        <v>47543</v>
      </c>
      <c r="DC19" s="87">
        <f t="shared" si="244"/>
        <v>47574</v>
      </c>
      <c r="DD19" s="87">
        <f t="shared" si="244"/>
        <v>47604</v>
      </c>
      <c r="DE19" s="87">
        <f t="shared" si="244"/>
        <v>47635</v>
      </c>
      <c r="DF19" s="87">
        <f t="shared" si="244"/>
        <v>47665</v>
      </c>
      <c r="DG19" s="87">
        <f t="shared" si="244"/>
        <v>47696</v>
      </c>
      <c r="DH19" s="87">
        <f t="shared" si="244"/>
        <v>47727</v>
      </c>
      <c r="DI19" s="87">
        <f t="shared" si="244"/>
        <v>47757</v>
      </c>
      <c r="DJ19" s="87">
        <f t="shared" si="244"/>
        <v>47788</v>
      </c>
      <c r="DK19" s="87">
        <f t="shared" si="244"/>
        <v>47818</v>
      </c>
      <c r="DL19" s="87">
        <f t="shared" si="244"/>
        <v>47849</v>
      </c>
      <c r="DM19" s="87">
        <f t="shared" ref="DM19:FC19" si="251">DM$3</f>
        <v>47880</v>
      </c>
      <c r="DN19" s="87">
        <f t="shared" si="251"/>
        <v>47908</v>
      </c>
      <c r="DO19" s="87">
        <f t="shared" si="251"/>
        <v>47939</v>
      </c>
      <c r="DP19" s="87">
        <f t="shared" si="251"/>
        <v>47969</v>
      </c>
      <c r="DQ19" s="87">
        <f t="shared" si="251"/>
        <v>48000</v>
      </c>
      <c r="DR19" s="87">
        <f t="shared" si="251"/>
        <v>48030</v>
      </c>
      <c r="DS19" s="87">
        <f t="shared" si="251"/>
        <v>48061</v>
      </c>
      <c r="DT19" s="87">
        <f t="shared" si="251"/>
        <v>48092</v>
      </c>
      <c r="DU19" s="87">
        <f t="shared" si="251"/>
        <v>48122</v>
      </c>
      <c r="DV19" s="87">
        <f t="shared" si="251"/>
        <v>48153</v>
      </c>
      <c r="DW19" s="87">
        <f t="shared" si="251"/>
        <v>48183</v>
      </c>
      <c r="DX19" s="87">
        <f t="shared" si="251"/>
        <v>48214</v>
      </c>
      <c r="DY19" s="87">
        <f t="shared" si="251"/>
        <v>48245</v>
      </c>
      <c r="DZ19" s="87">
        <f t="shared" si="251"/>
        <v>48274</v>
      </c>
      <c r="EA19" s="87">
        <f t="shared" si="251"/>
        <v>48305</v>
      </c>
      <c r="EB19" s="87">
        <f t="shared" si="251"/>
        <v>48335</v>
      </c>
      <c r="EC19" s="87">
        <f t="shared" si="251"/>
        <v>48366</v>
      </c>
      <c r="ED19" s="87">
        <f t="shared" si="251"/>
        <v>48396</v>
      </c>
      <c r="EE19" s="87">
        <f t="shared" si="251"/>
        <v>48427</v>
      </c>
      <c r="EF19" s="87">
        <f t="shared" si="251"/>
        <v>48458</v>
      </c>
      <c r="EG19" s="87">
        <f t="shared" si="251"/>
        <v>48488</v>
      </c>
      <c r="EH19" s="87">
        <f t="shared" si="251"/>
        <v>48519</v>
      </c>
      <c r="EI19" s="87">
        <f t="shared" si="251"/>
        <v>48549</v>
      </c>
      <c r="EJ19" s="87">
        <f t="shared" si="251"/>
        <v>48580</v>
      </c>
      <c r="EK19" s="87">
        <f t="shared" si="251"/>
        <v>48611</v>
      </c>
      <c r="EL19" s="87">
        <f t="shared" si="251"/>
        <v>48639</v>
      </c>
      <c r="EM19" s="87">
        <f t="shared" si="251"/>
        <v>48670</v>
      </c>
      <c r="EN19" s="87">
        <f t="shared" si="251"/>
        <v>48700</v>
      </c>
      <c r="EO19" s="87">
        <f t="shared" si="251"/>
        <v>48731</v>
      </c>
      <c r="EP19" s="87">
        <f t="shared" si="251"/>
        <v>48761</v>
      </c>
      <c r="EQ19" s="87">
        <f t="shared" si="251"/>
        <v>48792</v>
      </c>
      <c r="ER19" s="87">
        <f t="shared" si="251"/>
        <v>48823</v>
      </c>
      <c r="ES19" s="87">
        <f t="shared" si="251"/>
        <v>48853</v>
      </c>
      <c r="ET19" s="87">
        <f t="shared" si="251"/>
        <v>48884</v>
      </c>
      <c r="EU19" s="87">
        <f t="shared" si="251"/>
        <v>48914</v>
      </c>
      <c r="EV19" s="87">
        <f t="shared" si="251"/>
        <v>48945</v>
      </c>
      <c r="EW19" s="87">
        <f t="shared" si="251"/>
        <v>48976</v>
      </c>
      <c r="EX19" s="87">
        <f t="shared" si="251"/>
        <v>49004</v>
      </c>
      <c r="EY19" s="87">
        <f t="shared" si="251"/>
        <v>49035</v>
      </c>
      <c r="EZ19" s="87">
        <f t="shared" si="251"/>
        <v>49065</v>
      </c>
      <c r="FA19" s="87">
        <f t="shared" si="251"/>
        <v>49096</v>
      </c>
      <c r="FB19" s="87">
        <f t="shared" si="251"/>
        <v>49126</v>
      </c>
      <c r="FC19" s="87">
        <f t="shared" si="251"/>
        <v>49157</v>
      </c>
      <c r="FD19" s="87">
        <f t="shared" ref="FD19:GB20" si="252">FD$3</f>
        <v>49188</v>
      </c>
      <c r="FE19" s="87">
        <f t="shared" si="252"/>
        <v>49218</v>
      </c>
      <c r="FF19" s="87">
        <f t="shared" si="252"/>
        <v>49249</v>
      </c>
      <c r="FG19" s="87">
        <f t="shared" si="252"/>
        <v>49279</v>
      </c>
      <c r="FH19" s="87">
        <f t="shared" si="252"/>
        <v>49310</v>
      </c>
      <c r="FI19" s="87">
        <f t="shared" si="252"/>
        <v>49341</v>
      </c>
      <c r="FJ19" s="87">
        <f t="shared" si="252"/>
        <v>49369</v>
      </c>
      <c r="FK19" s="87">
        <f t="shared" si="252"/>
        <v>49400</v>
      </c>
      <c r="FL19" s="87">
        <f t="shared" si="252"/>
        <v>49430</v>
      </c>
      <c r="FM19" s="87">
        <f t="shared" si="252"/>
        <v>49461</v>
      </c>
      <c r="FN19" s="87">
        <f t="shared" si="252"/>
        <v>49491</v>
      </c>
      <c r="FO19" s="87">
        <f t="shared" si="252"/>
        <v>49522</v>
      </c>
      <c r="FP19" s="87">
        <f t="shared" si="252"/>
        <v>49553</v>
      </c>
      <c r="FQ19" s="87">
        <f t="shared" si="252"/>
        <v>49583</v>
      </c>
      <c r="FR19" s="87">
        <f t="shared" si="252"/>
        <v>49614</v>
      </c>
      <c r="FS19" s="87">
        <f t="shared" si="252"/>
        <v>49644</v>
      </c>
      <c r="FT19" s="87">
        <f t="shared" si="252"/>
        <v>49675</v>
      </c>
      <c r="FU19" s="87">
        <f t="shared" si="252"/>
        <v>49706</v>
      </c>
      <c r="FV19" s="87">
        <f t="shared" si="252"/>
        <v>49735</v>
      </c>
      <c r="FW19" s="87">
        <f t="shared" si="252"/>
        <v>49766</v>
      </c>
      <c r="FX19" s="87">
        <f t="shared" si="252"/>
        <v>49796</v>
      </c>
      <c r="FY19" s="87">
        <f t="shared" si="252"/>
        <v>49827</v>
      </c>
      <c r="FZ19" s="87">
        <f t="shared" si="252"/>
        <v>49857</v>
      </c>
      <c r="GA19" s="87">
        <f t="shared" si="252"/>
        <v>49888</v>
      </c>
      <c r="GB19" s="87">
        <f t="shared" si="252"/>
        <v>49919</v>
      </c>
      <c r="GC19" s="87">
        <f t="shared" si="245"/>
        <v>49949</v>
      </c>
      <c r="GD19" s="87">
        <f t="shared" si="245"/>
        <v>49980</v>
      </c>
      <c r="GE19" s="87">
        <f t="shared" si="245"/>
        <v>50010</v>
      </c>
      <c r="GF19" s="87">
        <f t="shared" si="245"/>
        <v>50041</v>
      </c>
      <c r="GG19" s="87">
        <f t="shared" si="245"/>
        <v>50072</v>
      </c>
      <c r="GH19" s="87">
        <f t="shared" si="245"/>
        <v>50100</v>
      </c>
      <c r="GI19" s="87">
        <f t="shared" si="245"/>
        <v>50131</v>
      </c>
      <c r="GJ19" s="87">
        <f t="shared" si="245"/>
        <v>50161</v>
      </c>
      <c r="GK19" s="87">
        <f t="shared" si="245"/>
        <v>50192</v>
      </c>
      <c r="GL19" s="87">
        <f t="shared" si="245"/>
        <v>50222</v>
      </c>
      <c r="GM19" s="87">
        <f t="shared" si="245"/>
        <v>50253</v>
      </c>
      <c r="GN19" s="87">
        <f t="shared" si="245"/>
        <v>50284</v>
      </c>
      <c r="GO19" s="87">
        <f t="shared" si="245"/>
        <v>50314</v>
      </c>
      <c r="GP19" s="87">
        <f t="shared" si="245"/>
        <v>50345</v>
      </c>
      <c r="GQ19" s="87">
        <f t="shared" si="245"/>
        <v>50375</v>
      </c>
      <c r="GR19" s="87">
        <f t="shared" si="245"/>
        <v>50406</v>
      </c>
      <c r="GS19" s="87">
        <f t="shared" si="245"/>
        <v>50437</v>
      </c>
      <c r="GT19" s="87">
        <f t="shared" si="245"/>
        <v>50465</v>
      </c>
      <c r="GU19" s="87">
        <f t="shared" si="245"/>
        <v>50496</v>
      </c>
      <c r="GV19" s="87">
        <f t="shared" si="245"/>
        <v>50526</v>
      </c>
      <c r="GW19" s="87">
        <f t="shared" si="245"/>
        <v>50557</v>
      </c>
      <c r="GX19" s="87">
        <f t="shared" si="245"/>
        <v>50587</v>
      </c>
      <c r="GY19" s="87">
        <f t="shared" si="245"/>
        <v>50618</v>
      </c>
      <c r="GZ19" s="87">
        <f t="shared" si="245"/>
        <v>50649</v>
      </c>
      <c r="HA19" s="87">
        <f t="shared" si="245"/>
        <v>50679</v>
      </c>
      <c r="HB19" s="87">
        <f t="shared" si="245"/>
        <v>50710</v>
      </c>
      <c r="HC19" s="87">
        <f t="shared" si="245"/>
        <v>50740</v>
      </c>
      <c r="HD19" s="87">
        <f t="shared" si="245"/>
        <v>50771</v>
      </c>
      <c r="HE19" s="87">
        <f t="shared" si="246"/>
        <v>50802</v>
      </c>
      <c r="HF19" s="87">
        <f t="shared" si="246"/>
        <v>50830</v>
      </c>
      <c r="HG19" s="87">
        <f t="shared" si="246"/>
        <v>50861</v>
      </c>
      <c r="HH19" s="87">
        <f t="shared" si="246"/>
        <v>50891</v>
      </c>
      <c r="HI19" s="87">
        <f t="shared" si="246"/>
        <v>50922</v>
      </c>
      <c r="HJ19" s="87">
        <f t="shared" si="246"/>
        <v>50952</v>
      </c>
      <c r="HK19" s="87">
        <f t="shared" si="246"/>
        <v>50983</v>
      </c>
      <c r="HL19" s="87">
        <f t="shared" si="246"/>
        <v>51014</v>
      </c>
      <c r="HM19" s="87">
        <f t="shared" si="246"/>
        <v>51044</v>
      </c>
      <c r="HN19" s="87">
        <f t="shared" si="246"/>
        <v>51075</v>
      </c>
      <c r="HO19" s="87">
        <f t="shared" si="246"/>
        <v>51105</v>
      </c>
      <c r="HP19" s="87">
        <f t="shared" si="246"/>
        <v>51136</v>
      </c>
      <c r="HQ19" s="87">
        <f t="shared" si="246"/>
        <v>51167</v>
      </c>
      <c r="HR19" s="87">
        <f t="shared" si="246"/>
        <v>51196</v>
      </c>
      <c r="HS19" s="87">
        <f t="shared" si="246"/>
        <v>51227</v>
      </c>
      <c r="HT19" s="87">
        <f t="shared" si="246"/>
        <v>51257</v>
      </c>
      <c r="HU19" s="87">
        <f t="shared" ref="HU19:IN20" si="253">HU$3</f>
        <v>51288</v>
      </c>
      <c r="HV19" s="87">
        <f t="shared" si="253"/>
        <v>51318</v>
      </c>
      <c r="HW19" s="87">
        <f t="shared" si="253"/>
        <v>51349</v>
      </c>
      <c r="HX19" s="87">
        <f t="shared" si="253"/>
        <v>51380</v>
      </c>
      <c r="HY19" s="87">
        <f t="shared" si="253"/>
        <v>51410</v>
      </c>
      <c r="HZ19" s="87">
        <f t="shared" si="253"/>
        <v>51441</v>
      </c>
      <c r="IA19" s="87">
        <f t="shared" si="253"/>
        <v>51471</v>
      </c>
      <c r="IB19" s="87">
        <f t="shared" si="253"/>
        <v>51502</v>
      </c>
      <c r="IC19" s="87">
        <f t="shared" si="253"/>
        <v>51533</v>
      </c>
      <c r="ID19" s="87">
        <f t="shared" si="253"/>
        <v>51561</v>
      </c>
      <c r="IE19" s="87">
        <f t="shared" si="253"/>
        <v>51592</v>
      </c>
      <c r="IF19" s="87">
        <f t="shared" si="253"/>
        <v>51622</v>
      </c>
      <c r="IG19" s="87">
        <f t="shared" si="253"/>
        <v>51653</v>
      </c>
      <c r="IH19" s="87">
        <f t="shared" si="253"/>
        <v>51683</v>
      </c>
      <c r="II19" s="87">
        <f t="shared" si="253"/>
        <v>51714</v>
      </c>
      <c r="IJ19" s="87">
        <f t="shared" si="253"/>
        <v>51745</v>
      </c>
      <c r="IK19" s="87">
        <f t="shared" si="253"/>
        <v>51775</v>
      </c>
      <c r="IL19" s="87">
        <f t="shared" si="253"/>
        <v>51806</v>
      </c>
      <c r="IM19" s="87">
        <f t="shared" si="253"/>
        <v>51836</v>
      </c>
      <c r="IN19" s="87">
        <f t="shared" si="253"/>
        <v>51867</v>
      </c>
      <c r="IO19" s="87">
        <f t="shared" si="247"/>
        <v>51898</v>
      </c>
      <c r="IP19" s="87">
        <f t="shared" si="247"/>
        <v>51926</v>
      </c>
      <c r="IQ19" s="87">
        <f t="shared" si="247"/>
        <v>51957</v>
      </c>
      <c r="IR19" s="87">
        <f t="shared" si="247"/>
        <v>51987</v>
      </c>
      <c r="IS19" s="87">
        <f t="shared" si="247"/>
        <v>52018</v>
      </c>
      <c r="IT19" s="87">
        <f t="shared" si="247"/>
        <v>52048</v>
      </c>
      <c r="IU19" s="87">
        <f t="shared" si="247"/>
        <v>52079</v>
      </c>
      <c r="IV19" s="87">
        <f t="shared" si="247"/>
        <v>52110</v>
      </c>
      <c r="IW19" s="87">
        <f t="shared" si="248"/>
        <v>52140</v>
      </c>
      <c r="IX19" s="87">
        <f t="shared" si="248"/>
        <v>52171</v>
      </c>
      <c r="IY19" s="87">
        <f t="shared" si="248"/>
        <v>52201</v>
      </c>
      <c r="IZ19" s="87">
        <f t="shared" si="248"/>
        <v>52232</v>
      </c>
      <c r="JA19" s="87">
        <f t="shared" si="248"/>
        <v>52263</v>
      </c>
      <c r="JB19" s="87">
        <f t="shared" si="248"/>
        <v>52291</v>
      </c>
      <c r="JC19" s="87">
        <f t="shared" si="248"/>
        <v>52322</v>
      </c>
      <c r="JD19" s="87">
        <f t="shared" si="248"/>
        <v>52352</v>
      </c>
      <c r="JE19" s="87">
        <f t="shared" si="248"/>
        <v>52383</v>
      </c>
      <c r="JF19" s="87">
        <f t="shared" si="248"/>
        <v>52413</v>
      </c>
      <c r="JG19" s="87">
        <f t="shared" si="248"/>
        <v>52444</v>
      </c>
      <c r="JH19" s="87">
        <f t="shared" si="248"/>
        <v>52475</v>
      </c>
      <c r="JI19" s="87">
        <f t="shared" si="248"/>
        <v>52505</v>
      </c>
      <c r="JJ19" s="87">
        <f t="shared" si="248"/>
        <v>52536</v>
      </c>
      <c r="JK19" s="87">
        <f t="shared" si="248"/>
        <v>52566</v>
      </c>
      <c r="JL19" s="87">
        <f t="shared" si="248"/>
        <v>52597</v>
      </c>
      <c r="JM19" s="87">
        <f t="shared" si="248"/>
        <v>52628</v>
      </c>
      <c r="JN19" s="87">
        <f t="shared" si="248"/>
        <v>52657</v>
      </c>
      <c r="JO19" s="87">
        <f t="shared" si="248"/>
        <v>52688</v>
      </c>
      <c r="JP19" s="87">
        <f t="shared" si="248"/>
        <v>52718</v>
      </c>
      <c r="JQ19" s="87">
        <f t="shared" si="248"/>
        <v>52749</v>
      </c>
      <c r="JR19" s="87">
        <f t="shared" si="248"/>
        <v>52779</v>
      </c>
      <c r="JS19" s="87">
        <f t="shared" si="248"/>
        <v>52810</v>
      </c>
      <c r="JT19" s="87">
        <f t="shared" si="248"/>
        <v>52841</v>
      </c>
      <c r="JU19" s="87">
        <f t="shared" si="248"/>
        <v>52871</v>
      </c>
      <c r="JV19" s="87">
        <f t="shared" si="248"/>
        <v>52902</v>
      </c>
      <c r="JW19" s="87">
        <f t="shared" si="248"/>
        <v>52932</v>
      </c>
      <c r="JX19" s="87">
        <f t="shared" si="248"/>
        <v>52963</v>
      </c>
      <c r="JY19" s="87">
        <f t="shared" si="249"/>
        <v>52994</v>
      </c>
      <c r="JZ19" s="87">
        <f t="shared" si="249"/>
        <v>53022</v>
      </c>
      <c r="KA19" s="87">
        <f t="shared" si="249"/>
        <v>53053</v>
      </c>
      <c r="KB19" s="87">
        <f t="shared" si="249"/>
        <v>53083</v>
      </c>
      <c r="KC19" s="87">
        <f t="shared" si="249"/>
        <v>53114</v>
      </c>
      <c r="KD19" s="87">
        <f t="shared" si="249"/>
        <v>53144</v>
      </c>
      <c r="KE19" s="87">
        <f t="shared" si="249"/>
        <v>53175</v>
      </c>
      <c r="KF19" s="87">
        <f t="shared" si="249"/>
        <v>53206</v>
      </c>
      <c r="KG19" s="87">
        <f t="shared" si="249"/>
        <v>53236</v>
      </c>
      <c r="KH19" s="87">
        <f t="shared" si="249"/>
        <v>53267</v>
      </c>
      <c r="KI19" s="87">
        <f t="shared" si="249"/>
        <v>53297</v>
      </c>
      <c r="KJ19" s="87">
        <f t="shared" si="249"/>
        <v>53328</v>
      </c>
      <c r="KK19" s="87">
        <f t="shared" si="249"/>
        <v>53359</v>
      </c>
      <c r="KL19" s="87">
        <f t="shared" si="249"/>
        <v>53387</v>
      </c>
      <c r="KM19" s="87">
        <f t="shared" si="249"/>
        <v>53418</v>
      </c>
      <c r="KN19" s="87">
        <f t="shared" si="249"/>
        <v>53448</v>
      </c>
      <c r="KO19" s="87">
        <f t="shared" ref="KO19:KR20" si="254">KO$3</f>
        <v>53479</v>
      </c>
      <c r="KP19" s="87">
        <f t="shared" si="254"/>
        <v>53509</v>
      </c>
      <c r="KQ19" s="87">
        <f t="shared" si="254"/>
        <v>53540</v>
      </c>
      <c r="KR19" s="87">
        <f t="shared" si="254"/>
        <v>53571</v>
      </c>
      <c r="KS19" s="86">
        <f t="shared" si="227"/>
        <v>1.0821917808219179</v>
      </c>
    </row>
    <row r="20" spans="1:306" ht="15" customHeight="1" x14ac:dyDescent="0.3">
      <c r="A20" s="532" t="s">
        <v>1424</v>
      </c>
      <c r="B20" s="84">
        <f>D20-C20+1</f>
        <v>396</v>
      </c>
      <c r="C20" s="88">
        <v>44470</v>
      </c>
      <c r="D20" s="88">
        <f>C21-1</f>
        <v>44865</v>
      </c>
      <c r="E20" s="87">
        <f t="shared" si="242"/>
        <v>44470</v>
      </c>
      <c r="F20" s="87">
        <f t="shared" si="242"/>
        <v>44501</v>
      </c>
      <c r="G20" s="87">
        <f t="shared" si="242"/>
        <v>44531</v>
      </c>
      <c r="H20" s="87">
        <f t="shared" si="242"/>
        <v>44562</v>
      </c>
      <c r="I20" s="87">
        <f t="shared" si="242"/>
        <v>44593</v>
      </c>
      <c r="J20" s="87">
        <f t="shared" si="242"/>
        <v>44621</v>
      </c>
      <c r="K20" s="87">
        <f t="shared" si="242"/>
        <v>44652</v>
      </c>
      <c r="L20" s="87">
        <f t="shared" si="242"/>
        <v>44682</v>
      </c>
      <c r="M20" s="87">
        <f t="shared" si="242"/>
        <v>44713</v>
      </c>
      <c r="N20" s="87">
        <f t="shared" si="242"/>
        <v>44743</v>
      </c>
      <c r="O20" s="87">
        <f t="shared" si="242"/>
        <v>44774</v>
      </c>
      <c r="P20" s="87">
        <f t="shared" si="242"/>
        <v>44805</v>
      </c>
      <c r="Q20" s="87">
        <f t="shared" si="242"/>
        <v>44835</v>
      </c>
      <c r="R20" s="87">
        <f t="shared" si="242"/>
        <v>44866</v>
      </c>
      <c r="S20" s="87">
        <f t="shared" si="242"/>
        <v>44896</v>
      </c>
      <c r="T20" s="87">
        <f t="shared" si="242"/>
        <v>44927</v>
      </c>
      <c r="U20" s="87">
        <f t="shared" si="242"/>
        <v>44958</v>
      </c>
      <c r="V20" s="87">
        <f t="shared" si="242"/>
        <v>44986</v>
      </c>
      <c r="W20" s="87">
        <f t="shared" si="242"/>
        <v>45017</v>
      </c>
      <c r="X20" s="87">
        <f t="shared" si="242"/>
        <v>45047</v>
      </c>
      <c r="Y20" s="87">
        <f t="shared" si="242"/>
        <v>45078</v>
      </c>
      <c r="Z20" s="87">
        <f t="shared" si="242"/>
        <v>45108</v>
      </c>
      <c r="AA20" s="87">
        <f t="shared" si="242"/>
        <v>45139</v>
      </c>
      <c r="AB20" s="87">
        <f t="shared" si="242"/>
        <v>45170</v>
      </c>
      <c r="AC20" s="87">
        <f t="shared" si="242"/>
        <v>45200</v>
      </c>
      <c r="AD20" s="87">
        <f t="shared" si="242"/>
        <v>45231</v>
      </c>
      <c r="AE20" s="87">
        <f t="shared" si="242"/>
        <v>45261</v>
      </c>
      <c r="AF20" s="87">
        <f t="shared" si="242"/>
        <v>45292</v>
      </c>
      <c r="AG20" s="87">
        <f t="shared" si="242"/>
        <v>45323</v>
      </c>
      <c r="AH20" s="87">
        <f t="shared" si="242"/>
        <v>45352</v>
      </c>
      <c r="AI20" s="87">
        <f t="shared" si="242"/>
        <v>45383</v>
      </c>
      <c r="AJ20" s="87">
        <f t="shared" si="242"/>
        <v>45413</v>
      </c>
      <c r="AK20" s="87">
        <f t="shared" si="243"/>
        <v>45444</v>
      </c>
      <c r="AL20" s="87">
        <f t="shared" si="243"/>
        <v>45474</v>
      </c>
      <c r="AM20" s="87">
        <f t="shared" si="243"/>
        <v>45505</v>
      </c>
      <c r="AN20" s="87">
        <f t="shared" si="243"/>
        <v>45536</v>
      </c>
      <c r="AO20" s="87">
        <f t="shared" si="243"/>
        <v>45566</v>
      </c>
      <c r="AP20" s="87">
        <f t="shared" si="243"/>
        <v>45597</v>
      </c>
      <c r="AQ20" s="87">
        <f t="shared" si="243"/>
        <v>45627</v>
      </c>
      <c r="AR20" s="87">
        <f t="shared" si="243"/>
        <v>45658</v>
      </c>
      <c r="AS20" s="87">
        <f t="shared" si="243"/>
        <v>45689</v>
      </c>
      <c r="AT20" s="87">
        <f t="shared" si="243"/>
        <v>45717</v>
      </c>
      <c r="AU20" s="87">
        <f t="shared" si="243"/>
        <v>45748</v>
      </c>
      <c r="AV20" s="87">
        <f t="shared" si="243"/>
        <v>45778</v>
      </c>
      <c r="AW20" s="87">
        <f t="shared" si="243"/>
        <v>45809</v>
      </c>
      <c r="AX20" s="87">
        <f t="shared" si="243"/>
        <v>45839</v>
      </c>
      <c r="AY20" s="87">
        <f t="shared" si="243"/>
        <v>45870</v>
      </c>
      <c r="AZ20" s="87">
        <f t="shared" si="243"/>
        <v>45901</v>
      </c>
      <c r="BA20" s="87">
        <f t="shared" si="243"/>
        <v>45931</v>
      </c>
      <c r="BB20" s="87">
        <f t="shared" si="243"/>
        <v>45962</v>
      </c>
      <c r="BC20" s="87">
        <f t="shared" si="243"/>
        <v>45992</v>
      </c>
      <c r="BD20" s="87">
        <f t="shared" si="243"/>
        <v>46023</v>
      </c>
      <c r="BE20" s="87">
        <f t="shared" si="243"/>
        <v>46054</v>
      </c>
      <c r="BF20" s="87">
        <f t="shared" si="243"/>
        <v>46082</v>
      </c>
      <c r="BG20" s="87">
        <f t="shared" si="243"/>
        <v>46113</v>
      </c>
      <c r="BH20" s="87">
        <f t="shared" si="243"/>
        <v>46143</v>
      </c>
      <c r="BI20" s="87">
        <f t="shared" si="243"/>
        <v>46174</v>
      </c>
      <c r="BJ20" s="87">
        <f t="shared" si="243"/>
        <v>46204</v>
      </c>
      <c r="BK20" s="87">
        <f t="shared" si="243"/>
        <v>46235</v>
      </c>
      <c r="BL20" s="87">
        <f t="shared" si="243"/>
        <v>46266</v>
      </c>
      <c r="BM20" s="87">
        <f t="shared" si="243"/>
        <v>46296</v>
      </c>
      <c r="BN20" s="87">
        <f t="shared" si="243"/>
        <v>46327</v>
      </c>
      <c r="BO20" s="87">
        <f t="shared" si="243"/>
        <v>46357</v>
      </c>
      <c r="BP20" s="87">
        <f t="shared" si="243"/>
        <v>46388</v>
      </c>
      <c r="BQ20" s="87">
        <f t="shared" si="244"/>
        <v>46419</v>
      </c>
      <c r="BR20" s="87">
        <f t="shared" si="244"/>
        <v>46447</v>
      </c>
      <c r="BS20" s="87">
        <f t="shared" si="244"/>
        <v>46478</v>
      </c>
      <c r="BT20" s="87">
        <f t="shared" si="244"/>
        <v>46508</v>
      </c>
      <c r="BU20" s="87">
        <f t="shared" si="244"/>
        <v>46539</v>
      </c>
      <c r="BV20" s="87">
        <f t="shared" si="244"/>
        <v>46569</v>
      </c>
      <c r="BW20" s="87">
        <f t="shared" si="244"/>
        <v>46600</v>
      </c>
      <c r="BX20" s="87">
        <f t="shared" si="244"/>
        <v>46631</v>
      </c>
      <c r="BY20" s="87">
        <f t="shared" si="244"/>
        <v>46661</v>
      </c>
      <c r="BZ20" s="87">
        <f t="shared" si="244"/>
        <v>46692</v>
      </c>
      <c r="CA20" s="87">
        <f t="shared" si="244"/>
        <v>46722</v>
      </c>
      <c r="CB20" s="87">
        <f t="shared" si="244"/>
        <v>46753</v>
      </c>
      <c r="CC20" s="87">
        <f t="shared" si="244"/>
        <v>46784</v>
      </c>
      <c r="CD20" s="87">
        <f t="shared" si="244"/>
        <v>46813</v>
      </c>
      <c r="CE20" s="87">
        <f t="shared" si="244"/>
        <v>46844</v>
      </c>
      <c r="CF20" s="87">
        <f t="shared" si="244"/>
        <v>46874</v>
      </c>
      <c r="CG20" s="87">
        <f t="shared" si="244"/>
        <v>46905</v>
      </c>
      <c r="CH20" s="87">
        <f t="shared" si="244"/>
        <v>46935</v>
      </c>
      <c r="CI20" s="87">
        <f t="shared" si="244"/>
        <v>46966</v>
      </c>
      <c r="CJ20" s="87">
        <f t="shared" si="244"/>
        <v>46997</v>
      </c>
      <c r="CK20" s="87">
        <f t="shared" si="244"/>
        <v>47027</v>
      </c>
      <c r="CL20" s="87">
        <f t="shared" si="244"/>
        <v>47058</v>
      </c>
      <c r="CM20" s="87">
        <f t="shared" si="244"/>
        <v>47088</v>
      </c>
      <c r="CN20" s="87">
        <f t="shared" si="244"/>
        <v>47119</v>
      </c>
      <c r="CO20" s="87">
        <f t="shared" si="244"/>
        <v>47150</v>
      </c>
      <c r="CP20" s="87">
        <f t="shared" si="244"/>
        <v>47178</v>
      </c>
      <c r="CQ20" s="87">
        <f t="shared" si="244"/>
        <v>47209</v>
      </c>
      <c r="CR20" s="87">
        <f t="shared" si="244"/>
        <v>47239</v>
      </c>
      <c r="CS20" s="87">
        <f t="shared" si="244"/>
        <v>47270</v>
      </c>
      <c r="CT20" s="87">
        <f t="shared" si="244"/>
        <v>47300</v>
      </c>
      <c r="CU20" s="87">
        <f t="shared" si="244"/>
        <v>47331</v>
      </c>
      <c r="CV20" s="87">
        <f t="shared" si="244"/>
        <v>47362</v>
      </c>
      <c r="CW20" s="87">
        <f t="shared" si="244"/>
        <v>47392</v>
      </c>
      <c r="CX20" s="87">
        <f t="shared" si="244"/>
        <v>47423</v>
      </c>
      <c r="CY20" s="87">
        <f t="shared" si="244"/>
        <v>47453</v>
      </c>
      <c r="CZ20" s="87">
        <f t="shared" si="244"/>
        <v>47484</v>
      </c>
      <c r="DA20" s="87">
        <f t="shared" si="244"/>
        <v>47515</v>
      </c>
      <c r="DB20" s="87">
        <f t="shared" si="244"/>
        <v>47543</v>
      </c>
      <c r="DC20" s="87">
        <f t="shared" si="244"/>
        <v>47574</v>
      </c>
      <c r="DD20" s="87">
        <f t="shared" si="244"/>
        <v>47604</v>
      </c>
      <c r="DE20" s="87">
        <f t="shared" si="244"/>
        <v>47635</v>
      </c>
      <c r="DF20" s="87">
        <f t="shared" si="244"/>
        <v>47665</v>
      </c>
      <c r="DG20" s="87">
        <f t="shared" si="244"/>
        <v>47696</v>
      </c>
      <c r="DH20" s="87">
        <f t="shared" si="244"/>
        <v>47727</v>
      </c>
      <c r="DI20" s="87">
        <f t="shared" si="244"/>
        <v>47757</v>
      </c>
      <c r="DJ20" s="87">
        <f t="shared" si="244"/>
        <v>47788</v>
      </c>
      <c r="DK20" s="87">
        <f t="shared" si="244"/>
        <v>47818</v>
      </c>
      <c r="DL20" s="87">
        <f t="shared" si="244"/>
        <v>47849</v>
      </c>
      <c r="DM20" s="87">
        <f t="shared" si="244"/>
        <v>47880</v>
      </c>
      <c r="DN20" s="87">
        <f t="shared" si="244"/>
        <v>47908</v>
      </c>
      <c r="DO20" s="87">
        <f t="shared" si="244"/>
        <v>47939</v>
      </c>
      <c r="DP20" s="87">
        <f t="shared" si="244"/>
        <v>47969</v>
      </c>
      <c r="DQ20" s="87">
        <f t="shared" si="244"/>
        <v>48000</v>
      </c>
      <c r="DR20" s="87">
        <f t="shared" si="244"/>
        <v>48030</v>
      </c>
      <c r="DS20" s="87">
        <f t="shared" si="244"/>
        <v>48061</v>
      </c>
      <c r="DT20" s="87">
        <f t="shared" si="244"/>
        <v>48092</v>
      </c>
      <c r="DU20" s="87">
        <f t="shared" si="244"/>
        <v>48122</v>
      </c>
      <c r="DV20" s="87">
        <f t="shared" si="244"/>
        <v>48153</v>
      </c>
      <c r="DW20" s="87">
        <f t="shared" si="244"/>
        <v>48183</v>
      </c>
      <c r="DX20" s="87">
        <f t="shared" si="244"/>
        <v>48214</v>
      </c>
      <c r="DY20" s="87">
        <f t="shared" si="244"/>
        <v>48245</v>
      </c>
      <c r="DZ20" s="87">
        <f t="shared" si="244"/>
        <v>48274</v>
      </c>
      <c r="EA20" s="87">
        <f t="shared" si="244"/>
        <v>48305</v>
      </c>
      <c r="EB20" s="87">
        <f t="shared" si="244"/>
        <v>48335</v>
      </c>
      <c r="EC20" s="87">
        <f t="shared" si="244"/>
        <v>48366</v>
      </c>
      <c r="ED20" s="87">
        <f t="shared" si="244"/>
        <v>48396</v>
      </c>
      <c r="EE20" s="87">
        <f t="shared" si="244"/>
        <v>48427</v>
      </c>
      <c r="EF20" s="87">
        <f t="shared" si="244"/>
        <v>48458</v>
      </c>
      <c r="EG20" s="87">
        <f t="shared" si="244"/>
        <v>48488</v>
      </c>
      <c r="EH20" s="87">
        <f t="shared" si="244"/>
        <v>48519</v>
      </c>
      <c r="EI20" s="87">
        <f t="shared" si="244"/>
        <v>48549</v>
      </c>
      <c r="EJ20" s="87">
        <f t="shared" si="244"/>
        <v>48580</v>
      </c>
      <c r="EK20" s="87">
        <f t="shared" si="244"/>
        <v>48611</v>
      </c>
      <c r="EL20" s="87">
        <f t="shared" si="244"/>
        <v>48639</v>
      </c>
      <c r="EM20" s="87">
        <f t="shared" si="244"/>
        <v>48670</v>
      </c>
      <c r="EN20" s="87">
        <f t="shared" si="244"/>
        <v>48700</v>
      </c>
      <c r="EO20" s="87">
        <f t="shared" si="244"/>
        <v>48731</v>
      </c>
      <c r="EP20" s="87">
        <f t="shared" si="244"/>
        <v>48761</v>
      </c>
      <c r="EQ20" s="87">
        <f t="shared" si="244"/>
        <v>48792</v>
      </c>
      <c r="ER20" s="87">
        <f t="shared" si="244"/>
        <v>48823</v>
      </c>
      <c r="ES20" s="87">
        <f t="shared" si="244"/>
        <v>48853</v>
      </c>
      <c r="ET20" s="87">
        <f t="shared" si="244"/>
        <v>48884</v>
      </c>
      <c r="EU20" s="87">
        <f t="shared" si="244"/>
        <v>48914</v>
      </c>
      <c r="EV20" s="87">
        <f t="shared" si="244"/>
        <v>48945</v>
      </c>
      <c r="EW20" s="87">
        <f t="shared" si="244"/>
        <v>48976</v>
      </c>
      <c r="EX20" s="87">
        <f t="shared" si="244"/>
        <v>49004</v>
      </c>
      <c r="EY20" s="87">
        <f t="shared" si="244"/>
        <v>49035</v>
      </c>
      <c r="EZ20" s="87">
        <f t="shared" si="244"/>
        <v>49065</v>
      </c>
      <c r="FA20" s="87">
        <f t="shared" si="244"/>
        <v>49096</v>
      </c>
      <c r="FB20" s="87">
        <f t="shared" si="244"/>
        <v>49126</v>
      </c>
      <c r="FC20" s="87">
        <f t="shared" si="244"/>
        <v>49157</v>
      </c>
      <c r="FD20" s="87">
        <f t="shared" si="252"/>
        <v>49188</v>
      </c>
      <c r="FE20" s="87">
        <f t="shared" si="252"/>
        <v>49218</v>
      </c>
      <c r="FF20" s="87">
        <f t="shared" si="252"/>
        <v>49249</v>
      </c>
      <c r="FG20" s="87">
        <f t="shared" si="252"/>
        <v>49279</v>
      </c>
      <c r="FH20" s="87">
        <f t="shared" si="252"/>
        <v>49310</v>
      </c>
      <c r="FI20" s="87">
        <f t="shared" si="252"/>
        <v>49341</v>
      </c>
      <c r="FJ20" s="87">
        <f t="shared" si="252"/>
        <v>49369</v>
      </c>
      <c r="FK20" s="87">
        <f t="shared" si="252"/>
        <v>49400</v>
      </c>
      <c r="FL20" s="87">
        <f t="shared" si="252"/>
        <v>49430</v>
      </c>
      <c r="FM20" s="87">
        <f t="shared" si="252"/>
        <v>49461</v>
      </c>
      <c r="FN20" s="87">
        <f t="shared" si="252"/>
        <v>49491</v>
      </c>
      <c r="FO20" s="87">
        <f t="shared" si="252"/>
        <v>49522</v>
      </c>
      <c r="FP20" s="87">
        <f t="shared" si="252"/>
        <v>49553</v>
      </c>
      <c r="FQ20" s="87">
        <f t="shared" si="252"/>
        <v>49583</v>
      </c>
      <c r="FR20" s="87">
        <f t="shared" si="252"/>
        <v>49614</v>
      </c>
      <c r="FS20" s="87">
        <f t="shared" si="252"/>
        <v>49644</v>
      </c>
      <c r="FT20" s="87">
        <f t="shared" si="252"/>
        <v>49675</v>
      </c>
      <c r="FU20" s="87">
        <f t="shared" si="252"/>
        <v>49706</v>
      </c>
      <c r="FV20" s="87">
        <f t="shared" si="252"/>
        <v>49735</v>
      </c>
      <c r="FW20" s="87">
        <f t="shared" si="252"/>
        <v>49766</v>
      </c>
      <c r="FX20" s="87">
        <f t="shared" si="252"/>
        <v>49796</v>
      </c>
      <c r="FY20" s="87">
        <f t="shared" si="252"/>
        <v>49827</v>
      </c>
      <c r="FZ20" s="87">
        <f t="shared" si="252"/>
        <v>49857</v>
      </c>
      <c r="GA20" s="87">
        <f t="shared" si="252"/>
        <v>49888</v>
      </c>
      <c r="GB20" s="87">
        <f t="shared" si="252"/>
        <v>49919</v>
      </c>
      <c r="GC20" s="87">
        <f t="shared" si="245"/>
        <v>49949</v>
      </c>
      <c r="GD20" s="87">
        <f t="shared" si="245"/>
        <v>49980</v>
      </c>
      <c r="GE20" s="87">
        <f t="shared" si="245"/>
        <v>50010</v>
      </c>
      <c r="GF20" s="87">
        <f t="shared" si="245"/>
        <v>50041</v>
      </c>
      <c r="GG20" s="87">
        <f t="shared" si="245"/>
        <v>50072</v>
      </c>
      <c r="GH20" s="87">
        <f t="shared" si="245"/>
        <v>50100</v>
      </c>
      <c r="GI20" s="87">
        <f t="shared" si="245"/>
        <v>50131</v>
      </c>
      <c r="GJ20" s="87">
        <f t="shared" si="245"/>
        <v>50161</v>
      </c>
      <c r="GK20" s="87">
        <f t="shared" si="245"/>
        <v>50192</v>
      </c>
      <c r="GL20" s="87">
        <f t="shared" si="245"/>
        <v>50222</v>
      </c>
      <c r="GM20" s="87">
        <f t="shared" si="245"/>
        <v>50253</v>
      </c>
      <c r="GN20" s="87">
        <f t="shared" si="245"/>
        <v>50284</v>
      </c>
      <c r="GO20" s="87">
        <f t="shared" si="245"/>
        <v>50314</v>
      </c>
      <c r="GP20" s="87">
        <f t="shared" si="245"/>
        <v>50345</v>
      </c>
      <c r="GQ20" s="87">
        <f t="shared" si="245"/>
        <v>50375</v>
      </c>
      <c r="GR20" s="87">
        <f t="shared" si="245"/>
        <v>50406</v>
      </c>
      <c r="GS20" s="87">
        <f t="shared" si="245"/>
        <v>50437</v>
      </c>
      <c r="GT20" s="87">
        <f t="shared" si="245"/>
        <v>50465</v>
      </c>
      <c r="GU20" s="87">
        <f t="shared" si="245"/>
        <v>50496</v>
      </c>
      <c r="GV20" s="87">
        <f t="shared" si="245"/>
        <v>50526</v>
      </c>
      <c r="GW20" s="87">
        <f t="shared" si="245"/>
        <v>50557</v>
      </c>
      <c r="GX20" s="87">
        <f t="shared" si="245"/>
        <v>50587</v>
      </c>
      <c r="GY20" s="87">
        <f t="shared" si="245"/>
        <v>50618</v>
      </c>
      <c r="GZ20" s="87">
        <f t="shared" si="245"/>
        <v>50649</v>
      </c>
      <c r="HA20" s="87">
        <f t="shared" si="245"/>
        <v>50679</v>
      </c>
      <c r="HB20" s="87">
        <f t="shared" si="245"/>
        <v>50710</v>
      </c>
      <c r="HC20" s="87">
        <f t="shared" si="245"/>
        <v>50740</v>
      </c>
      <c r="HD20" s="87">
        <f t="shared" si="245"/>
        <v>50771</v>
      </c>
      <c r="HE20" s="87">
        <f t="shared" si="246"/>
        <v>50802</v>
      </c>
      <c r="HF20" s="87">
        <f t="shared" si="246"/>
        <v>50830</v>
      </c>
      <c r="HG20" s="87">
        <f t="shared" si="246"/>
        <v>50861</v>
      </c>
      <c r="HH20" s="87">
        <f t="shared" si="246"/>
        <v>50891</v>
      </c>
      <c r="HI20" s="87">
        <f t="shared" si="246"/>
        <v>50922</v>
      </c>
      <c r="HJ20" s="87">
        <f t="shared" si="246"/>
        <v>50952</v>
      </c>
      <c r="HK20" s="87">
        <f t="shared" si="246"/>
        <v>50983</v>
      </c>
      <c r="HL20" s="87">
        <f t="shared" si="246"/>
        <v>51014</v>
      </c>
      <c r="HM20" s="87">
        <f t="shared" si="246"/>
        <v>51044</v>
      </c>
      <c r="HN20" s="87">
        <f t="shared" si="246"/>
        <v>51075</v>
      </c>
      <c r="HO20" s="87">
        <f t="shared" si="246"/>
        <v>51105</v>
      </c>
      <c r="HP20" s="87">
        <f t="shared" si="246"/>
        <v>51136</v>
      </c>
      <c r="HQ20" s="87">
        <f t="shared" si="246"/>
        <v>51167</v>
      </c>
      <c r="HR20" s="87">
        <f t="shared" si="246"/>
        <v>51196</v>
      </c>
      <c r="HS20" s="87">
        <f t="shared" si="246"/>
        <v>51227</v>
      </c>
      <c r="HT20" s="87">
        <f t="shared" si="246"/>
        <v>51257</v>
      </c>
      <c r="HU20" s="87">
        <f t="shared" si="253"/>
        <v>51288</v>
      </c>
      <c r="HV20" s="87">
        <f t="shared" si="253"/>
        <v>51318</v>
      </c>
      <c r="HW20" s="87">
        <f t="shared" si="253"/>
        <v>51349</v>
      </c>
      <c r="HX20" s="87">
        <f t="shared" si="253"/>
        <v>51380</v>
      </c>
      <c r="HY20" s="87">
        <f t="shared" si="253"/>
        <v>51410</v>
      </c>
      <c r="HZ20" s="87">
        <f t="shared" si="253"/>
        <v>51441</v>
      </c>
      <c r="IA20" s="87">
        <f t="shared" si="253"/>
        <v>51471</v>
      </c>
      <c r="IB20" s="87">
        <f t="shared" si="253"/>
        <v>51502</v>
      </c>
      <c r="IC20" s="87">
        <f t="shared" si="253"/>
        <v>51533</v>
      </c>
      <c r="ID20" s="87">
        <f t="shared" si="253"/>
        <v>51561</v>
      </c>
      <c r="IE20" s="87">
        <f t="shared" si="253"/>
        <v>51592</v>
      </c>
      <c r="IF20" s="87">
        <f t="shared" si="253"/>
        <v>51622</v>
      </c>
      <c r="IG20" s="87">
        <f t="shared" si="253"/>
        <v>51653</v>
      </c>
      <c r="IH20" s="87">
        <f t="shared" si="253"/>
        <v>51683</v>
      </c>
      <c r="II20" s="87">
        <f t="shared" si="253"/>
        <v>51714</v>
      </c>
      <c r="IJ20" s="87">
        <f t="shared" si="253"/>
        <v>51745</v>
      </c>
      <c r="IK20" s="87">
        <f t="shared" si="253"/>
        <v>51775</v>
      </c>
      <c r="IL20" s="87">
        <f t="shared" si="253"/>
        <v>51806</v>
      </c>
      <c r="IM20" s="87">
        <f t="shared" si="253"/>
        <v>51836</v>
      </c>
      <c r="IN20" s="87">
        <f t="shared" si="253"/>
        <v>51867</v>
      </c>
      <c r="IO20" s="87">
        <f t="shared" si="247"/>
        <v>51898</v>
      </c>
      <c r="IP20" s="87">
        <f t="shared" si="247"/>
        <v>51926</v>
      </c>
      <c r="IQ20" s="87">
        <f t="shared" si="247"/>
        <v>51957</v>
      </c>
      <c r="IR20" s="87">
        <f t="shared" si="247"/>
        <v>51987</v>
      </c>
      <c r="IS20" s="87">
        <f t="shared" si="247"/>
        <v>52018</v>
      </c>
      <c r="IT20" s="87">
        <f t="shared" si="247"/>
        <v>52048</v>
      </c>
      <c r="IU20" s="87">
        <f t="shared" si="247"/>
        <v>52079</v>
      </c>
      <c r="IV20" s="87">
        <f t="shared" si="247"/>
        <v>52110</v>
      </c>
      <c r="IW20" s="87">
        <f t="shared" si="248"/>
        <v>52140</v>
      </c>
      <c r="IX20" s="87">
        <f t="shared" si="248"/>
        <v>52171</v>
      </c>
      <c r="IY20" s="87">
        <f t="shared" si="248"/>
        <v>52201</v>
      </c>
      <c r="IZ20" s="87">
        <f t="shared" si="248"/>
        <v>52232</v>
      </c>
      <c r="JA20" s="87">
        <f t="shared" si="248"/>
        <v>52263</v>
      </c>
      <c r="JB20" s="87">
        <f t="shared" si="248"/>
        <v>52291</v>
      </c>
      <c r="JC20" s="87">
        <f t="shared" si="248"/>
        <v>52322</v>
      </c>
      <c r="JD20" s="87">
        <f t="shared" si="248"/>
        <v>52352</v>
      </c>
      <c r="JE20" s="87">
        <f t="shared" si="248"/>
        <v>52383</v>
      </c>
      <c r="JF20" s="87">
        <f t="shared" si="248"/>
        <v>52413</v>
      </c>
      <c r="JG20" s="87">
        <f t="shared" si="248"/>
        <v>52444</v>
      </c>
      <c r="JH20" s="87">
        <f t="shared" si="248"/>
        <v>52475</v>
      </c>
      <c r="JI20" s="87">
        <f t="shared" si="248"/>
        <v>52505</v>
      </c>
      <c r="JJ20" s="87">
        <f t="shared" si="248"/>
        <v>52536</v>
      </c>
      <c r="JK20" s="87">
        <f t="shared" si="248"/>
        <v>52566</v>
      </c>
      <c r="JL20" s="87">
        <f t="shared" si="248"/>
        <v>52597</v>
      </c>
      <c r="JM20" s="87">
        <f t="shared" si="248"/>
        <v>52628</v>
      </c>
      <c r="JN20" s="87">
        <f t="shared" si="248"/>
        <v>52657</v>
      </c>
      <c r="JO20" s="87">
        <f t="shared" si="248"/>
        <v>52688</v>
      </c>
      <c r="JP20" s="87">
        <f t="shared" si="248"/>
        <v>52718</v>
      </c>
      <c r="JQ20" s="87">
        <f t="shared" si="248"/>
        <v>52749</v>
      </c>
      <c r="JR20" s="87">
        <f t="shared" si="248"/>
        <v>52779</v>
      </c>
      <c r="JS20" s="87">
        <f t="shared" si="248"/>
        <v>52810</v>
      </c>
      <c r="JT20" s="87">
        <f t="shared" si="248"/>
        <v>52841</v>
      </c>
      <c r="JU20" s="87">
        <f t="shared" si="248"/>
        <v>52871</v>
      </c>
      <c r="JV20" s="87">
        <f t="shared" si="248"/>
        <v>52902</v>
      </c>
      <c r="JW20" s="87">
        <f t="shared" si="248"/>
        <v>52932</v>
      </c>
      <c r="JX20" s="87">
        <f t="shared" si="248"/>
        <v>52963</v>
      </c>
      <c r="JY20" s="87">
        <f t="shared" si="249"/>
        <v>52994</v>
      </c>
      <c r="JZ20" s="87">
        <f t="shared" si="249"/>
        <v>53022</v>
      </c>
      <c r="KA20" s="87">
        <f t="shared" si="249"/>
        <v>53053</v>
      </c>
      <c r="KB20" s="87">
        <f t="shared" si="249"/>
        <v>53083</v>
      </c>
      <c r="KC20" s="87">
        <f t="shared" si="249"/>
        <v>53114</v>
      </c>
      <c r="KD20" s="87">
        <f t="shared" si="249"/>
        <v>53144</v>
      </c>
      <c r="KE20" s="87">
        <f t="shared" si="249"/>
        <v>53175</v>
      </c>
      <c r="KF20" s="87">
        <f t="shared" si="249"/>
        <v>53206</v>
      </c>
      <c r="KG20" s="87">
        <f t="shared" si="249"/>
        <v>53236</v>
      </c>
      <c r="KH20" s="87">
        <f t="shared" si="249"/>
        <v>53267</v>
      </c>
      <c r="KI20" s="87">
        <f t="shared" si="249"/>
        <v>53297</v>
      </c>
      <c r="KJ20" s="87">
        <f t="shared" si="249"/>
        <v>53328</v>
      </c>
      <c r="KK20" s="87">
        <f t="shared" si="249"/>
        <v>53359</v>
      </c>
      <c r="KL20" s="87">
        <f t="shared" si="249"/>
        <v>53387</v>
      </c>
      <c r="KM20" s="87">
        <f t="shared" si="249"/>
        <v>53418</v>
      </c>
      <c r="KN20" s="87">
        <f t="shared" si="249"/>
        <v>53448</v>
      </c>
      <c r="KO20" s="87">
        <f t="shared" si="254"/>
        <v>53479</v>
      </c>
      <c r="KP20" s="87">
        <f t="shared" si="254"/>
        <v>53509</v>
      </c>
      <c r="KQ20" s="87">
        <f t="shared" si="254"/>
        <v>53540</v>
      </c>
      <c r="KR20" s="87">
        <f t="shared" si="254"/>
        <v>53571</v>
      </c>
      <c r="KS20" s="86">
        <f t="shared" si="227"/>
        <v>1.0821917808219179</v>
      </c>
    </row>
    <row r="21" spans="1:306" ht="15" customHeight="1" x14ac:dyDescent="0.3">
      <c r="A21" s="532" t="s">
        <v>1166</v>
      </c>
      <c r="B21" s="84">
        <f>D21-C21+1</f>
        <v>120</v>
      </c>
      <c r="C21" s="88">
        <v>44866</v>
      </c>
      <c r="D21" s="88">
        <f>C22-1</f>
        <v>44985</v>
      </c>
      <c r="E21" s="87">
        <f t="shared" ref="E21:AJ21" si="255">E$3</f>
        <v>44470</v>
      </c>
      <c r="F21" s="87">
        <f t="shared" si="255"/>
        <v>44501</v>
      </c>
      <c r="G21" s="87">
        <f t="shared" si="255"/>
        <v>44531</v>
      </c>
      <c r="H21" s="87">
        <f t="shared" si="255"/>
        <v>44562</v>
      </c>
      <c r="I21" s="87">
        <f t="shared" si="255"/>
        <v>44593</v>
      </c>
      <c r="J21" s="87">
        <f t="shared" si="255"/>
        <v>44621</v>
      </c>
      <c r="K21" s="87">
        <f t="shared" si="255"/>
        <v>44652</v>
      </c>
      <c r="L21" s="87">
        <f t="shared" si="255"/>
        <v>44682</v>
      </c>
      <c r="M21" s="87">
        <f t="shared" si="255"/>
        <v>44713</v>
      </c>
      <c r="N21" s="87">
        <f t="shared" si="255"/>
        <v>44743</v>
      </c>
      <c r="O21" s="87">
        <f t="shared" si="255"/>
        <v>44774</v>
      </c>
      <c r="P21" s="87">
        <f t="shared" si="255"/>
        <v>44805</v>
      </c>
      <c r="Q21" s="87">
        <f t="shared" si="255"/>
        <v>44835</v>
      </c>
      <c r="R21" s="87">
        <f t="shared" si="255"/>
        <v>44866</v>
      </c>
      <c r="S21" s="87">
        <f t="shared" si="255"/>
        <v>44896</v>
      </c>
      <c r="T21" s="87">
        <f t="shared" si="255"/>
        <v>44927</v>
      </c>
      <c r="U21" s="87">
        <f t="shared" si="255"/>
        <v>44958</v>
      </c>
      <c r="V21" s="87">
        <f t="shared" si="255"/>
        <v>44986</v>
      </c>
      <c r="W21" s="87">
        <f t="shared" si="255"/>
        <v>45017</v>
      </c>
      <c r="X21" s="87">
        <f t="shared" si="255"/>
        <v>45047</v>
      </c>
      <c r="Y21" s="87">
        <f t="shared" si="255"/>
        <v>45078</v>
      </c>
      <c r="Z21" s="87">
        <f t="shared" si="255"/>
        <v>45108</v>
      </c>
      <c r="AA21" s="87">
        <f t="shared" si="255"/>
        <v>45139</v>
      </c>
      <c r="AB21" s="87">
        <f t="shared" si="255"/>
        <v>45170</v>
      </c>
      <c r="AC21" s="87">
        <f t="shared" si="255"/>
        <v>45200</v>
      </c>
      <c r="AD21" s="87">
        <f t="shared" si="255"/>
        <v>45231</v>
      </c>
      <c r="AE21" s="87">
        <f t="shared" si="255"/>
        <v>45261</v>
      </c>
      <c r="AF21" s="87">
        <f t="shared" si="255"/>
        <v>45292</v>
      </c>
      <c r="AG21" s="87">
        <f t="shared" si="255"/>
        <v>45323</v>
      </c>
      <c r="AH21" s="87">
        <f t="shared" si="255"/>
        <v>45352</v>
      </c>
      <c r="AI21" s="87">
        <f t="shared" si="255"/>
        <v>45383</v>
      </c>
      <c r="AJ21" s="87">
        <f t="shared" si="255"/>
        <v>45413</v>
      </c>
      <c r="AK21" s="87">
        <f t="shared" ref="AK21:BP21" si="256">AK$3</f>
        <v>45444</v>
      </c>
      <c r="AL21" s="87">
        <f t="shared" si="256"/>
        <v>45474</v>
      </c>
      <c r="AM21" s="87">
        <f t="shared" si="256"/>
        <v>45505</v>
      </c>
      <c r="AN21" s="87">
        <f t="shared" si="256"/>
        <v>45536</v>
      </c>
      <c r="AO21" s="87">
        <f t="shared" si="256"/>
        <v>45566</v>
      </c>
      <c r="AP21" s="87">
        <f t="shared" si="256"/>
        <v>45597</v>
      </c>
      <c r="AQ21" s="87">
        <f t="shared" si="256"/>
        <v>45627</v>
      </c>
      <c r="AR21" s="87">
        <f t="shared" si="256"/>
        <v>45658</v>
      </c>
      <c r="AS21" s="87">
        <f t="shared" si="256"/>
        <v>45689</v>
      </c>
      <c r="AT21" s="87">
        <f t="shared" si="256"/>
        <v>45717</v>
      </c>
      <c r="AU21" s="87">
        <f t="shared" si="256"/>
        <v>45748</v>
      </c>
      <c r="AV21" s="87">
        <f t="shared" si="256"/>
        <v>45778</v>
      </c>
      <c r="AW21" s="87">
        <f t="shared" si="256"/>
        <v>45809</v>
      </c>
      <c r="AX21" s="87">
        <f t="shared" si="256"/>
        <v>45839</v>
      </c>
      <c r="AY21" s="87">
        <f t="shared" si="256"/>
        <v>45870</v>
      </c>
      <c r="AZ21" s="87">
        <f t="shared" si="256"/>
        <v>45901</v>
      </c>
      <c r="BA21" s="87">
        <f t="shared" si="256"/>
        <v>45931</v>
      </c>
      <c r="BB21" s="87">
        <f t="shared" si="256"/>
        <v>45962</v>
      </c>
      <c r="BC21" s="87">
        <f t="shared" si="256"/>
        <v>45992</v>
      </c>
      <c r="BD21" s="87">
        <f t="shared" si="256"/>
        <v>46023</v>
      </c>
      <c r="BE21" s="87">
        <f t="shared" si="256"/>
        <v>46054</v>
      </c>
      <c r="BF21" s="87">
        <f t="shared" si="256"/>
        <v>46082</v>
      </c>
      <c r="BG21" s="87">
        <f t="shared" si="256"/>
        <v>46113</v>
      </c>
      <c r="BH21" s="87">
        <f t="shared" si="256"/>
        <v>46143</v>
      </c>
      <c r="BI21" s="87">
        <f t="shared" si="256"/>
        <v>46174</v>
      </c>
      <c r="BJ21" s="87">
        <f t="shared" si="256"/>
        <v>46204</v>
      </c>
      <c r="BK21" s="87">
        <f t="shared" si="256"/>
        <v>46235</v>
      </c>
      <c r="BL21" s="87">
        <f t="shared" si="256"/>
        <v>46266</v>
      </c>
      <c r="BM21" s="87">
        <f t="shared" si="256"/>
        <v>46296</v>
      </c>
      <c r="BN21" s="87">
        <f t="shared" si="256"/>
        <v>46327</v>
      </c>
      <c r="BO21" s="87">
        <f t="shared" si="256"/>
        <v>46357</v>
      </c>
      <c r="BP21" s="87">
        <f t="shared" si="256"/>
        <v>46388</v>
      </c>
      <c r="BQ21" s="87">
        <f t="shared" ref="BQ21:KM21" si="257">BQ$3</f>
        <v>46419</v>
      </c>
      <c r="BR21" s="87">
        <f t="shared" si="257"/>
        <v>46447</v>
      </c>
      <c r="BS21" s="87">
        <f t="shared" si="257"/>
        <v>46478</v>
      </c>
      <c r="BT21" s="87">
        <f t="shared" si="257"/>
        <v>46508</v>
      </c>
      <c r="BU21" s="87">
        <f t="shared" si="257"/>
        <v>46539</v>
      </c>
      <c r="BV21" s="87">
        <f t="shared" si="257"/>
        <v>46569</v>
      </c>
      <c r="BW21" s="87">
        <f t="shared" si="257"/>
        <v>46600</v>
      </c>
      <c r="BX21" s="87">
        <f t="shared" si="257"/>
        <v>46631</v>
      </c>
      <c r="BY21" s="87">
        <f t="shared" si="257"/>
        <v>46661</v>
      </c>
      <c r="BZ21" s="87">
        <f t="shared" si="257"/>
        <v>46692</v>
      </c>
      <c r="CA21" s="87">
        <f t="shared" si="257"/>
        <v>46722</v>
      </c>
      <c r="CB21" s="87">
        <f t="shared" si="257"/>
        <v>46753</v>
      </c>
      <c r="CC21" s="87">
        <f t="shared" si="257"/>
        <v>46784</v>
      </c>
      <c r="CD21" s="87">
        <f t="shared" si="257"/>
        <v>46813</v>
      </c>
      <c r="CE21" s="87">
        <f t="shared" si="257"/>
        <v>46844</v>
      </c>
      <c r="CF21" s="87">
        <f t="shared" si="257"/>
        <v>46874</v>
      </c>
      <c r="CG21" s="87">
        <f t="shared" si="257"/>
        <v>46905</v>
      </c>
      <c r="CH21" s="87">
        <f t="shared" si="257"/>
        <v>46935</v>
      </c>
      <c r="CI21" s="87">
        <f t="shared" si="257"/>
        <v>46966</v>
      </c>
      <c r="CJ21" s="87">
        <f t="shared" si="257"/>
        <v>46997</v>
      </c>
      <c r="CK21" s="87">
        <f t="shared" si="257"/>
        <v>47027</v>
      </c>
      <c r="CL21" s="87">
        <f t="shared" si="257"/>
        <v>47058</v>
      </c>
      <c r="CM21" s="87">
        <f t="shared" si="257"/>
        <v>47088</v>
      </c>
      <c r="CN21" s="87">
        <f t="shared" si="257"/>
        <v>47119</v>
      </c>
      <c r="CO21" s="87">
        <f t="shared" si="257"/>
        <v>47150</v>
      </c>
      <c r="CP21" s="87">
        <f t="shared" si="257"/>
        <v>47178</v>
      </c>
      <c r="CQ21" s="87">
        <f t="shared" si="257"/>
        <v>47209</v>
      </c>
      <c r="CR21" s="87">
        <f t="shared" si="257"/>
        <v>47239</v>
      </c>
      <c r="CS21" s="87">
        <f t="shared" si="257"/>
        <v>47270</v>
      </c>
      <c r="CT21" s="87">
        <f t="shared" si="257"/>
        <v>47300</v>
      </c>
      <c r="CU21" s="87">
        <f t="shared" si="257"/>
        <v>47331</v>
      </c>
      <c r="CV21" s="87">
        <f t="shared" si="257"/>
        <v>47362</v>
      </c>
      <c r="CW21" s="87">
        <f t="shared" si="257"/>
        <v>47392</v>
      </c>
      <c r="CX21" s="87">
        <f t="shared" si="257"/>
        <v>47423</v>
      </c>
      <c r="CY21" s="87">
        <f t="shared" si="257"/>
        <v>47453</v>
      </c>
      <c r="CZ21" s="87">
        <f t="shared" si="257"/>
        <v>47484</v>
      </c>
      <c r="DA21" s="87">
        <f t="shared" si="257"/>
        <v>47515</v>
      </c>
      <c r="DB21" s="87">
        <f t="shared" si="257"/>
        <v>47543</v>
      </c>
      <c r="DC21" s="87">
        <f t="shared" si="257"/>
        <v>47574</v>
      </c>
      <c r="DD21" s="87">
        <f t="shared" si="257"/>
        <v>47604</v>
      </c>
      <c r="DE21" s="87">
        <f t="shared" si="257"/>
        <v>47635</v>
      </c>
      <c r="DF21" s="87">
        <f t="shared" si="257"/>
        <v>47665</v>
      </c>
      <c r="DG21" s="87">
        <f t="shared" si="257"/>
        <v>47696</v>
      </c>
      <c r="DH21" s="87">
        <f t="shared" si="257"/>
        <v>47727</v>
      </c>
      <c r="DI21" s="87">
        <f t="shared" si="257"/>
        <v>47757</v>
      </c>
      <c r="DJ21" s="87">
        <f t="shared" si="257"/>
        <v>47788</v>
      </c>
      <c r="DK21" s="87">
        <f t="shared" si="257"/>
        <v>47818</v>
      </c>
      <c r="DL21" s="87">
        <f t="shared" si="257"/>
        <v>47849</v>
      </c>
      <c r="DM21" s="87">
        <f t="shared" si="257"/>
        <v>47880</v>
      </c>
      <c r="DN21" s="87">
        <f t="shared" si="257"/>
        <v>47908</v>
      </c>
      <c r="DO21" s="87">
        <f t="shared" si="257"/>
        <v>47939</v>
      </c>
      <c r="DP21" s="87">
        <f t="shared" si="257"/>
        <v>47969</v>
      </c>
      <c r="DQ21" s="87">
        <f t="shared" si="257"/>
        <v>48000</v>
      </c>
      <c r="DR21" s="87">
        <f t="shared" si="257"/>
        <v>48030</v>
      </c>
      <c r="DS21" s="87">
        <f t="shared" si="257"/>
        <v>48061</v>
      </c>
      <c r="DT21" s="87">
        <f t="shared" si="257"/>
        <v>48092</v>
      </c>
      <c r="DU21" s="87">
        <f t="shared" si="257"/>
        <v>48122</v>
      </c>
      <c r="DV21" s="87">
        <f t="shared" si="257"/>
        <v>48153</v>
      </c>
      <c r="DW21" s="87">
        <f t="shared" si="257"/>
        <v>48183</v>
      </c>
      <c r="DX21" s="87">
        <f t="shared" si="257"/>
        <v>48214</v>
      </c>
      <c r="DY21" s="87">
        <f t="shared" si="257"/>
        <v>48245</v>
      </c>
      <c r="DZ21" s="87">
        <f t="shared" si="257"/>
        <v>48274</v>
      </c>
      <c r="EA21" s="87">
        <f t="shared" si="257"/>
        <v>48305</v>
      </c>
      <c r="EB21" s="87">
        <f t="shared" si="257"/>
        <v>48335</v>
      </c>
      <c r="EC21" s="87">
        <f t="shared" si="257"/>
        <v>48366</v>
      </c>
      <c r="ED21" s="87">
        <f t="shared" si="257"/>
        <v>48396</v>
      </c>
      <c r="EE21" s="87">
        <f t="shared" si="257"/>
        <v>48427</v>
      </c>
      <c r="EF21" s="87">
        <f t="shared" si="257"/>
        <v>48458</v>
      </c>
      <c r="EG21" s="87">
        <f t="shared" si="257"/>
        <v>48488</v>
      </c>
      <c r="EH21" s="87">
        <f t="shared" si="257"/>
        <v>48519</v>
      </c>
      <c r="EI21" s="87">
        <f t="shared" si="257"/>
        <v>48549</v>
      </c>
      <c r="EJ21" s="87">
        <f t="shared" si="257"/>
        <v>48580</v>
      </c>
      <c r="EK21" s="87">
        <f t="shared" si="257"/>
        <v>48611</v>
      </c>
      <c r="EL21" s="87">
        <f t="shared" si="257"/>
        <v>48639</v>
      </c>
      <c r="EM21" s="87">
        <f t="shared" si="257"/>
        <v>48670</v>
      </c>
      <c r="EN21" s="87">
        <f t="shared" si="257"/>
        <v>48700</v>
      </c>
      <c r="EO21" s="87">
        <f t="shared" si="257"/>
        <v>48731</v>
      </c>
      <c r="EP21" s="87">
        <f t="shared" si="257"/>
        <v>48761</v>
      </c>
      <c r="EQ21" s="87">
        <f t="shared" si="257"/>
        <v>48792</v>
      </c>
      <c r="ER21" s="87">
        <f t="shared" si="257"/>
        <v>48823</v>
      </c>
      <c r="ES21" s="87">
        <f t="shared" si="257"/>
        <v>48853</v>
      </c>
      <c r="ET21" s="87">
        <f t="shared" si="257"/>
        <v>48884</v>
      </c>
      <c r="EU21" s="87">
        <f t="shared" si="257"/>
        <v>48914</v>
      </c>
      <c r="EV21" s="87">
        <f t="shared" si="257"/>
        <v>48945</v>
      </c>
      <c r="EW21" s="87">
        <f t="shared" si="257"/>
        <v>48976</v>
      </c>
      <c r="EX21" s="87">
        <f t="shared" si="257"/>
        <v>49004</v>
      </c>
      <c r="EY21" s="87">
        <f t="shared" si="257"/>
        <v>49035</v>
      </c>
      <c r="EZ21" s="87">
        <f t="shared" si="257"/>
        <v>49065</v>
      </c>
      <c r="FA21" s="87">
        <f t="shared" si="257"/>
        <v>49096</v>
      </c>
      <c r="FB21" s="87">
        <f t="shared" si="257"/>
        <v>49126</v>
      </c>
      <c r="FC21" s="87">
        <f t="shared" si="257"/>
        <v>49157</v>
      </c>
      <c r="FD21" s="87">
        <f t="shared" si="257"/>
        <v>49188</v>
      </c>
      <c r="FE21" s="87">
        <f t="shared" si="257"/>
        <v>49218</v>
      </c>
      <c r="FF21" s="87">
        <f t="shared" si="257"/>
        <v>49249</v>
      </c>
      <c r="FG21" s="87">
        <f t="shared" si="257"/>
        <v>49279</v>
      </c>
      <c r="FH21" s="87">
        <f t="shared" si="257"/>
        <v>49310</v>
      </c>
      <c r="FI21" s="87">
        <f t="shared" si="257"/>
        <v>49341</v>
      </c>
      <c r="FJ21" s="87">
        <f t="shared" si="257"/>
        <v>49369</v>
      </c>
      <c r="FK21" s="87">
        <f t="shared" si="257"/>
        <v>49400</v>
      </c>
      <c r="FL21" s="87">
        <f t="shared" si="257"/>
        <v>49430</v>
      </c>
      <c r="FM21" s="87">
        <f t="shared" si="257"/>
        <v>49461</v>
      </c>
      <c r="FN21" s="87">
        <f t="shared" si="257"/>
        <v>49491</v>
      </c>
      <c r="FO21" s="87">
        <f t="shared" si="257"/>
        <v>49522</v>
      </c>
      <c r="FP21" s="87">
        <f t="shared" si="257"/>
        <v>49553</v>
      </c>
      <c r="FQ21" s="87">
        <f t="shared" si="257"/>
        <v>49583</v>
      </c>
      <c r="FR21" s="87">
        <f t="shared" si="257"/>
        <v>49614</v>
      </c>
      <c r="FS21" s="87">
        <f t="shared" si="257"/>
        <v>49644</v>
      </c>
      <c r="FT21" s="87">
        <f t="shared" si="257"/>
        <v>49675</v>
      </c>
      <c r="FU21" s="87">
        <f t="shared" si="257"/>
        <v>49706</v>
      </c>
      <c r="FV21" s="87">
        <f t="shared" si="257"/>
        <v>49735</v>
      </c>
      <c r="FW21" s="87">
        <f t="shared" si="257"/>
        <v>49766</v>
      </c>
      <c r="FX21" s="87">
        <f t="shared" si="257"/>
        <v>49796</v>
      </c>
      <c r="FY21" s="87">
        <f t="shared" si="257"/>
        <v>49827</v>
      </c>
      <c r="FZ21" s="87">
        <f t="shared" si="257"/>
        <v>49857</v>
      </c>
      <c r="GA21" s="87">
        <f t="shared" si="257"/>
        <v>49888</v>
      </c>
      <c r="GB21" s="87">
        <f t="shared" si="257"/>
        <v>49919</v>
      </c>
      <c r="GC21" s="87">
        <f t="shared" si="257"/>
        <v>49949</v>
      </c>
      <c r="GD21" s="87">
        <f t="shared" si="257"/>
        <v>49980</v>
      </c>
      <c r="GE21" s="87">
        <f t="shared" si="257"/>
        <v>50010</v>
      </c>
      <c r="GF21" s="87">
        <f t="shared" si="257"/>
        <v>50041</v>
      </c>
      <c r="GG21" s="87">
        <f t="shared" si="257"/>
        <v>50072</v>
      </c>
      <c r="GH21" s="87">
        <f t="shared" si="257"/>
        <v>50100</v>
      </c>
      <c r="GI21" s="87">
        <f t="shared" si="257"/>
        <v>50131</v>
      </c>
      <c r="GJ21" s="87">
        <f t="shared" si="257"/>
        <v>50161</v>
      </c>
      <c r="GK21" s="87">
        <f t="shared" si="257"/>
        <v>50192</v>
      </c>
      <c r="GL21" s="87">
        <f t="shared" si="257"/>
        <v>50222</v>
      </c>
      <c r="GM21" s="87">
        <f t="shared" si="257"/>
        <v>50253</v>
      </c>
      <c r="GN21" s="87">
        <f t="shared" si="257"/>
        <v>50284</v>
      </c>
      <c r="GO21" s="87">
        <f t="shared" si="257"/>
        <v>50314</v>
      </c>
      <c r="GP21" s="87">
        <f t="shared" si="257"/>
        <v>50345</v>
      </c>
      <c r="GQ21" s="87">
        <f t="shared" si="257"/>
        <v>50375</v>
      </c>
      <c r="GR21" s="87">
        <f t="shared" si="257"/>
        <v>50406</v>
      </c>
      <c r="GS21" s="87">
        <f t="shared" si="257"/>
        <v>50437</v>
      </c>
      <c r="GT21" s="87">
        <f t="shared" si="257"/>
        <v>50465</v>
      </c>
      <c r="GU21" s="87">
        <f t="shared" si="257"/>
        <v>50496</v>
      </c>
      <c r="GV21" s="87">
        <f t="shared" si="257"/>
        <v>50526</v>
      </c>
      <c r="GW21" s="87">
        <f t="shared" si="257"/>
        <v>50557</v>
      </c>
      <c r="GX21" s="87">
        <f t="shared" si="257"/>
        <v>50587</v>
      </c>
      <c r="GY21" s="87">
        <f t="shared" si="257"/>
        <v>50618</v>
      </c>
      <c r="GZ21" s="87">
        <f t="shared" si="257"/>
        <v>50649</v>
      </c>
      <c r="HA21" s="87">
        <f t="shared" si="257"/>
        <v>50679</v>
      </c>
      <c r="HB21" s="87">
        <f t="shared" si="257"/>
        <v>50710</v>
      </c>
      <c r="HC21" s="87">
        <f t="shared" si="257"/>
        <v>50740</v>
      </c>
      <c r="HD21" s="87">
        <f t="shared" si="257"/>
        <v>50771</v>
      </c>
      <c r="HE21" s="87">
        <f t="shared" si="257"/>
        <v>50802</v>
      </c>
      <c r="HF21" s="87">
        <f t="shared" si="257"/>
        <v>50830</v>
      </c>
      <c r="HG21" s="87">
        <f t="shared" si="257"/>
        <v>50861</v>
      </c>
      <c r="HH21" s="87">
        <f t="shared" si="257"/>
        <v>50891</v>
      </c>
      <c r="HI21" s="87">
        <f t="shared" si="257"/>
        <v>50922</v>
      </c>
      <c r="HJ21" s="87">
        <f t="shared" si="257"/>
        <v>50952</v>
      </c>
      <c r="HK21" s="87">
        <f t="shared" si="257"/>
        <v>50983</v>
      </c>
      <c r="HL21" s="87">
        <f t="shared" si="257"/>
        <v>51014</v>
      </c>
      <c r="HM21" s="87">
        <f t="shared" si="257"/>
        <v>51044</v>
      </c>
      <c r="HN21" s="87">
        <f t="shared" si="257"/>
        <v>51075</v>
      </c>
      <c r="HO21" s="87">
        <f t="shared" si="257"/>
        <v>51105</v>
      </c>
      <c r="HP21" s="87">
        <f t="shared" si="257"/>
        <v>51136</v>
      </c>
      <c r="HQ21" s="87">
        <f t="shared" si="257"/>
        <v>51167</v>
      </c>
      <c r="HR21" s="87">
        <f t="shared" si="257"/>
        <v>51196</v>
      </c>
      <c r="HS21" s="87">
        <f t="shared" si="257"/>
        <v>51227</v>
      </c>
      <c r="HT21" s="87">
        <f t="shared" si="257"/>
        <v>51257</v>
      </c>
      <c r="HU21" s="87">
        <f t="shared" si="257"/>
        <v>51288</v>
      </c>
      <c r="HV21" s="87">
        <f t="shared" si="257"/>
        <v>51318</v>
      </c>
      <c r="HW21" s="87">
        <f t="shared" si="257"/>
        <v>51349</v>
      </c>
      <c r="HX21" s="87">
        <f t="shared" si="257"/>
        <v>51380</v>
      </c>
      <c r="HY21" s="87">
        <f t="shared" si="257"/>
        <v>51410</v>
      </c>
      <c r="HZ21" s="87">
        <f t="shared" si="257"/>
        <v>51441</v>
      </c>
      <c r="IA21" s="87">
        <f t="shared" si="257"/>
        <v>51471</v>
      </c>
      <c r="IB21" s="87">
        <f t="shared" si="257"/>
        <v>51502</v>
      </c>
      <c r="IC21" s="87">
        <f t="shared" si="257"/>
        <v>51533</v>
      </c>
      <c r="ID21" s="87">
        <f t="shared" si="257"/>
        <v>51561</v>
      </c>
      <c r="IE21" s="87">
        <f t="shared" si="257"/>
        <v>51592</v>
      </c>
      <c r="IF21" s="87">
        <f t="shared" si="257"/>
        <v>51622</v>
      </c>
      <c r="IG21" s="87">
        <f t="shared" si="257"/>
        <v>51653</v>
      </c>
      <c r="IH21" s="87">
        <f t="shared" si="257"/>
        <v>51683</v>
      </c>
      <c r="II21" s="87">
        <f t="shared" si="257"/>
        <v>51714</v>
      </c>
      <c r="IJ21" s="87">
        <f t="shared" si="257"/>
        <v>51745</v>
      </c>
      <c r="IK21" s="87">
        <f t="shared" si="257"/>
        <v>51775</v>
      </c>
      <c r="IL21" s="87">
        <f t="shared" si="257"/>
        <v>51806</v>
      </c>
      <c r="IM21" s="87">
        <f t="shared" si="257"/>
        <v>51836</v>
      </c>
      <c r="IN21" s="87">
        <f t="shared" si="257"/>
        <v>51867</v>
      </c>
      <c r="IO21" s="87">
        <f t="shared" si="257"/>
        <v>51898</v>
      </c>
      <c r="IP21" s="87">
        <f t="shared" si="257"/>
        <v>51926</v>
      </c>
      <c r="IQ21" s="87">
        <f t="shared" si="257"/>
        <v>51957</v>
      </c>
      <c r="IR21" s="87">
        <f t="shared" si="257"/>
        <v>51987</v>
      </c>
      <c r="IS21" s="87">
        <f t="shared" si="257"/>
        <v>52018</v>
      </c>
      <c r="IT21" s="87">
        <f t="shared" si="257"/>
        <v>52048</v>
      </c>
      <c r="IU21" s="87">
        <f t="shared" si="257"/>
        <v>52079</v>
      </c>
      <c r="IV21" s="87">
        <f t="shared" si="257"/>
        <v>52110</v>
      </c>
      <c r="IW21" s="87">
        <f t="shared" si="257"/>
        <v>52140</v>
      </c>
      <c r="IX21" s="87">
        <f t="shared" si="257"/>
        <v>52171</v>
      </c>
      <c r="IY21" s="87">
        <f t="shared" si="257"/>
        <v>52201</v>
      </c>
      <c r="IZ21" s="87">
        <f t="shared" si="257"/>
        <v>52232</v>
      </c>
      <c r="JA21" s="87">
        <f t="shared" si="257"/>
        <v>52263</v>
      </c>
      <c r="JB21" s="87">
        <f t="shared" si="257"/>
        <v>52291</v>
      </c>
      <c r="JC21" s="87">
        <f t="shared" si="257"/>
        <v>52322</v>
      </c>
      <c r="JD21" s="87">
        <f t="shared" si="257"/>
        <v>52352</v>
      </c>
      <c r="JE21" s="87">
        <f t="shared" si="257"/>
        <v>52383</v>
      </c>
      <c r="JF21" s="87">
        <f t="shared" si="257"/>
        <v>52413</v>
      </c>
      <c r="JG21" s="87">
        <f t="shared" si="257"/>
        <v>52444</v>
      </c>
      <c r="JH21" s="87">
        <f t="shared" si="257"/>
        <v>52475</v>
      </c>
      <c r="JI21" s="87">
        <f t="shared" si="257"/>
        <v>52505</v>
      </c>
      <c r="JJ21" s="87">
        <f t="shared" si="257"/>
        <v>52536</v>
      </c>
      <c r="JK21" s="87">
        <f t="shared" si="257"/>
        <v>52566</v>
      </c>
      <c r="JL21" s="87">
        <f t="shared" si="257"/>
        <v>52597</v>
      </c>
      <c r="JM21" s="87">
        <f t="shared" si="257"/>
        <v>52628</v>
      </c>
      <c r="JN21" s="87">
        <f t="shared" si="257"/>
        <v>52657</v>
      </c>
      <c r="JO21" s="87">
        <f t="shared" si="257"/>
        <v>52688</v>
      </c>
      <c r="JP21" s="87">
        <f t="shared" si="257"/>
        <v>52718</v>
      </c>
      <c r="JQ21" s="87">
        <f t="shared" si="257"/>
        <v>52749</v>
      </c>
      <c r="JR21" s="87">
        <f t="shared" si="257"/>
        <v>52779</v>
      </c>
      <c r="JS21" s="87">
        <f t="shared" si="257"/>
        <v>52810</v>
      </c>
      <c r="JT21" s="87">
        <f t="shared" si="257"/>
        <v>52841</v>
      </c>
      <c r="JU21" s="87">
        <f t="shared" si="257"/>
        <v>52871</v>
      </c>
      <c r="JV21" s="87">
        <f t="shared" si="257"/>
        <v>52902</v>
      </c>
      <c r="JW21" s="87">
        <f t="shared" si="257"/>
        <v>52932</v>
      </c>
      <c r="JX21" s="87">
        <f t="shared" si="257"/>
        <v>52963</v>
      </c>
      <c r="JY21" s="87">
        <f t="shared" si="257"/>
        <v>52994</v>
      </c>
      <c r="JZ21" s="87">
        <f t="shared" si="257"/>
        <v>53022</v>
      </c>
      <c r="KA21" s="87">
        <f t="shared" si="257"/>
        <v>53053</v>
      </c>
      <c r="KB21" s="87">
        <f t="shared" si="257"/>
        <v>53083</v>
      </c>
      <c r="KC21" s="87">
        <f t="shared" si="257"/>
        <v>53114</v>
      </c>
      <c r="KD21" s="87">
        <f t="shared" si="257"/>
        <v>53144</v>
      </c>
      <c r="KE21" s="87">
        <f t="shared" si="257"/>
        <v>53175</v>
      </c>
      <c r="KF21" s="87">
        <f t="shared" si="257"/>
        <v>53206</v>
      </c>
      <c r="KG21" s="87">
        <f t="shared" si="257"/>
        <v>53236</v>
      </c>
      <c r="KH21" s="87">
        <f t="shared" si="257"/>
        <v>53267</v>
      </c>
      <c r="KI21" s="87">
        <f t="shared" si="257"/>
        <v>53297</v>
      </c>
      <c r="KJ21" s="87">
        <f t="shared" si="257"/>
        <v>53328</v>
      </c>
      <c r="KK21" s="87">
        <f t="shared" si="257"/>
        <v>53359</v>
      </c>
      <c r="KL21" s="87">
        <f t="shared" si="257"/>
        <v>53387</v>
      </c>
      <c r="KM21" s="87">
        <f t="shared" si="257"/>
        <v>53418</v>
      </c>
      <c r="KN21" s="87">
        <f t="shared" ref="KN21:KR21" si="258">KN$3</f>
        <v>53448</v>
      </c>
      <c r="KO21" s="87">
        <f t="shared" si="258"/>
        <v>53479</v>
      </c>
      <c r="KP21" s="87">
        <f t="shared" si="258"/>
        <v>53509</v>
      </c>
      <c r="KQ21" s="87">
        <f t="shared" si="258"/>
        <v>53540</v>
      </c>
      <c r="KR21" s="87">
        <f t="shared" si="258"/>
        <v>53571</v>
      </c>
      <c r="KS21" s="86">
        <f t="shared" si="227"/>
        <v>0.32602739726027397</v>
      </c>
    </row>
    <row r="22" spans="1:306" ht="15" customHeight="1" x14ac:dyDescent="0.3">
      <c r="A22" s="532" t="s">
        <v>1225</v>
      </c>
      <c r="B22" s="84">
        <f>D22-C22+1</f>
        <v>1462</v>
      </c>
      <c r="C22" s="88">
        <v>44986</v>
      </c>
      <c r="D22" s="88">
        <f>EDATE(C22,48)</f>
        <v>46447</v>
      </c>
      <c r="E22" s="87">
        <f t="shared" ref="E22:AJ22" si="259">E$3</f>
        <v>44470</v>
      </c>
      <c r="F22" s="87">
        <f t="shared" si="259"/>
        <v>44501</v>
      </c>
      <c r="G22" s="87">
        <f t="shared" si="259"/>
        <v>44531</v>
      </c>
      <c r="H22" s="87">
        <f t="shared" si="259"/>
        <v>44562</v>
      </c>
      <c r="I22" s="87">
        <f t="shared" si="259"/>
        <v>44593</v>
      </c>
      <c r="J22" s="87">
        <f t="shared" si="259"/>
        <v>44621</v>
      </c>
      <c r="K22" s="87">
        <f t="shared" si="259"/>
        <v>44652</v>
      </c>
      <c r="L22" s="87">
        <f t="shared" si="259"/>
        <v>44682</v>
      </c>
      <c r="M22" s="87">
        <f t="shared" si="259"/>
        <v>44713</v>
      </c>
      <c r="N22" s="87">
        <f t="shared" si="259"/>
        <v>44743</v>
      </c>
      <c r="O22" s="87">
        <f t="shared" si="259"/>
        <v>44774</v>
      </c>
      <c r="P22" s="87">
        <f t="shared" si="259"/>
        <v>44805</v>
      </c>
      <c r="Q22" s="87">
        <f t="shared" si="259"/>
        <v>44835</v>
      </c>
      <c r="R22" s="87">
        <f t="shared" si="259"/>
        <v>44866</v>
      </c>
      <c r="S22" s="87">
        <f t="shared" si="259"/>
        <v>44896</v>
      </c>
      <c r="T22" s="87">
        <f t="shared" si="259"/>
        <v>44927</v>
      </c>
      <c r="U22" s="87">
        <f t="shared" si="259"/>
        <v>44958</v>
      </c>
      <c r="V22" s="87">
        <f t="shared" si="259"/>
        <v>44986</v>
      </c>
      <c r="W22" s="87">
        <f t="shared" si="259"/>
        <v>45017</v>
      </c>
      <c r="X22" s="87">
        <f t="shared" si="259"/>
        <v>45047</v>
      </c>
      <c r="Y22" s="87">
        <f t="shared" si="259"/>
        <v>45078</v>
      </c>
      <c r="Z22" s="87">
        <f t="shared" si="259"/>
        <v>45108</v>
      </c>
      <c r="AA22" s="87">
        <f t="shared" si="259"/>
        <v>45139</v>
      </c>
      <c r="AB22" s="87">
        <f t="shared" si="259"/>
        <v>45170</v>
      </c>
      <c r="AC22" s="87">
        <f t="shared" si="259"/>
        <v>45200</v>
      </c>
      <c r="AD22" s="87">
        <f t="shared" si="259"/>
        <v>45231</v>
      </c>
      <c r="AE22" s="87">
        <f t="shared" si="259"/>
        <v>45261</v>
      </c>
      <c r="AF22" s="87">
        <f t="shared" si="259"/>
        <v>45292</v>
      </c>
      <c r="AG22" s="87">
        <f t="shared" si="259"/>
        <v>45323</v>
      </c>
      <c r="AH22" s="87">
        <f t="shared" si="259"/>
        <v>45352</v>
      </c>
      <c r="AI22" s="87">
        <f t="shared" si="259"/>
        <v>45383</v>
      </c>
      <c r="AJ22" s="87">
        <f t="shared" si="259"/>
        <v>45413</v>
      </c>
      <c r="AK22" s="87">
        <f t="shared" ref="AK22:BP22" si="260">AK$3</f>
        <v>45444</v>
      </c>
      <c r="AL22" s="87">
        <f t="shared" si="260"/>
        <v>45474</v>
      </c>
      <c r="AM22" s="87">
        <f t="shared" si="260"/>
        <v>45505</v>
      </c>
      <c r="AN22" s="87">
        <f t="shared" si="260"/>
        <v>45536</v>
      </c>
      <c r="AO22" s="87">
        <f t="shared" si="260"/>
        <v>45566</v>
      </c>
      <c r="AP22" s="87">
        <f t="shared" si="260"/>
        <v>45597</v>
      </c>
      <c r="AQ22" s="87">
        <f t="shared" si="260"/>
        <v>45627</v>
      </c>
      <c r="AR22" s="87">
        <f t="shared" si="260"/>
        <v>45658</v>
      </c>
      <c r="AS22" s="87">
        <f t="shared" si="260"/>
        <v>45689</v>
      </c>
      <c r="AT22" s="87">
        <f t="shared" si="260"/>
        <v>45717</v>
      </c>
      <c r="AU22" s="87">
        <f t="shared" si="260"/>
        <v>45748</v>
      </c>
      <c r="AV22" s="87">
        <f t="shared" si="260"/>
        <v>45778</v>
      </c>
      <c r="AW22" s="87">
        <f t="shared" si="260"/>
        <v>45809</v>
      </c>
      <c r="AX22" s="87">
        <f t="shared" si="260"/>
        <v>45839</v>
      </c>
      <c r="AY22" s="87">
        <f t="shared" si="260"/>
        <v>45870</v>
      </c>
      <c r="AZ22" s="87">
        <f t="shared" si="260"/>
        <v>45901</v>
      </c>
      <c r="BA22" s="87">
        <f t="shared" si="260"/>
        <v>45931</v>
      </c>
      <c r="BB22" s="87">
        <f t="shared" si="260"/>
        <v>45962</v>
      </c>
      <c r="BC22" s="87">
        <f t="shared" si="260"/>
        <v>45992</v>
      </c>
      <c r="BD22" s="87">
        <f t="shared" si="260"/>
        <v>46023</v>
      </c>
      <c r="BE22" s="87">
        <f t="shared" si="260"/>
        <v>46054</v>
      </c>
      <c r="BF22" s="87">
        <f t="shared" si="260"/>
        <v>46082</v>
      </c>
      <c r="BG22" s="87">
        <f t="shared" si="260"/>
        <v>46113</v>
      </c>
      <c r="BH22" s="87">
        <f t="shared" si="260"/>
        <v>46143</v>
      </c>
      <c r="BI22" s="87">
        <f t="shared" si="260"/>
        <v>46174</v>
      </c>
      <c r="BJ22" s="87">
        <f t="shared" si="260"/>
        <v>46204</v>
      </c>
      <c r="BK22" s="87">
        <f t="shared" si="260"/>
        <v>46235</v>
      </c>
      <c r="BL22" s="87">
        <f t="shared" si="260"/>
        <v>46266</v>
      </c>
      <c r="BM22" s="87">
        <f t="shared" si="260"/>
        <v>46296</v>
      </c>
      <c r="BN22" s="87">
        <f t="shared" si="260"/>
        <v>46327</v>
      </c>
      <c r="BO22" s="87">
        <f t="shared" si="260"/>
        <v>46357</v>
      </c>
      <c r="BP22" s="87">
        <f t="shared" si="260"/>
        <v>46388</v>
      </c>
      <c r="BQ22" s="87">
        <f t="shared" ref="BQ22:KM22" si="261">BQ$3</f>
        <v>46419</v>
      </c>
      <c r="BR22" s="87">
        <f t="shared" si="261"/>
        <v>46447</v>
      </c>
      <c r="BS22" s="87">
        <f t="shared" si="261"/>
        <v>46478</v>
      </c>
      <c r="BT22" s="87">
        <f t="shared" si="261"/>
        <v>46508</v>
      </c>
      <c r="BU22" s="87">
        <f t="shared" si="261"/>
        <v>46539</v>
      </c>
      <c r="BV22" s="87">
        <f t="shared" si="261"/>
        <v>46569</v>
      </c>
      <c r="BW22" s="87">
        <f t="shared" si="261"/>
        <v>46600</v>
      </c>
      <c r="BX22" s="87">
        <f t="shared" si="261"/>
        <v>46631</v>
      </c>
      <c r="BY22" s="87">
        <f t="shared" si="261"/>
        <v>46661</v>
      </c>
      <c r="BZ22" s="87">
        <f t="shared" si="261"/>
        <v>46692</v>
      </c>
      <c r="CA22" s="87">
        <f t="shared" si="261"/>
        <v>46722</v>
      </c>
      <c r="CB22" s="87">
        <f t="shared" si="261"/>
        <v>46753</v>
      </c>
      <c r="CC22" s="87">
        <f t="shared" si="261"/>
        <v>46784</v>
      </c>
      <c r="CD22" s="87">
        <f t="shared" si="261"/>
        <v>46813</v>
      </c>
      <c r="CE22" s="87">
        <f t="shared" si="261"/>
        <v>46844</v>
      </c>
      <c r="CF22" s="87">
        <f t="shared" si="261"/>
        <v>46874</v>
      </c>
      <c r="CG22" s="87">
        <f t="shared" si="261"/>
        <v>46905</v>
      </c>
      <c r="CH22" s="87">
        <f t="shared" si="261"/>
        <v>46935</v>
      </c>
      <c r="CI22" s="87">
        <f t="shared" si="261"/>
        <v>46966</v>
      </c>
      <c r="CJ22" s="87">
        <f t="shared" si="261"/>
        <v>46997</v>
      </c>
      <c r="CK22" s="87">
        <f t="shared" si="261"/>
        <v>47027</v>
      </c>
      <c r="CL22" s="87">
        <f t="shared" si="261"/>
        <v>47058</v>
      </c>
      <c r="CM22" s="87">
        <f t="shared" si="261"/>
        <v>47088</v>
      </c>
      <c r="CN22" s="87">
        <f t="shared" si="261"/>
        <v>47119</v>
      </c>
      <c r="CO22" s="87">
        <f t="shared" si="261"/>
        <v>47150</v>
      </c>
      <c r="CP22" s="87">
        <f t="shared" si="261"/>
        <v>47178</v>
      </c>
      <c r="CQ22" s="87">
        <f t="shared" si="261"/>
        <v>47209</v>
      </c>
      <c r="CR22" s="87">
        <f t="shared" si="261"/>
        <v>47239</v>
      </c>
      <c r="CS22" s="87">
        <f t="shared" si="261"/>
        <v>47270</v>
      </c>
      <c r="CT22" s="87">
        <f t="shared" si="261"/>
        <v>47300</v>
      </c>
      <c r="CU22" s="87">
        <f t="shared" si="261"/>
        <v>47331</v>
      </c>
      <c r="CV22" s="87">
        <f t="shared" si="261"/>
        <v>47362</v>
      </c>
      <c r="CW22" s="87">
        <f t="shared" si="261"/>
        <v>47392</v>
      </c>
      <c r="CX22" s="87">
        <f t="shared" si="261"/>
        <v>47423</v>
      </c>
      <c r="CY22" s="87">
        <f t="shared" si="261"/>
        <v>47453</v>
      </c>
      <c r="CZ22" s="87">
        <f t="shared" si="261"/>
        <v>47484</v>
      </c>
      <c r="DA22" s="87">
        <f t="shared" si="261"/>
        <v>47515</v>
      </c>
      <c r="DB22" s="87">
        <f t="shared" si="261"/>
        <v>47543</v>
      </c>
      <c r="DC22" s="87">
        <f t="shared" si="261"/>
        <v>47574</v>
      </c>
      <c r="DD22" s="87">
        <f t="shared" si="261"/>
        <v>47604</v>
      </c>
      <c r="DE22" s="87">
        <f t="shared" si="261"/>
        <v>47635</v>
      </c>
      <c r="DF22" s="87">
        <f t="shared" si="261"/>
        <v>47665</v>
      </c>
      <c r="DG22" s="87">
        <f t="shared" si="261"/>
        <v>47696</v>
      </c>
      <c r="DH22" s="87">
        <f t="shared" si="261"/>
        <v>47727</v>
      </c>
      <c r="DI22" s="87">
        <f t="shared" si="261"/>
        <v>47757</v>
      </c>
      <c r="DJ22" s="87">
        <f t="shared" si="261"/>
        <v>47788</v>
      </c>
      <c r="DK22" s="87">
        <f t="shared" si="261"/>
        <v>47818</v>
      </c>
      <c r="DL22" s="87">
        <f t="shared" si="261"/>
        <v>47849</v>
      </c>
      <c r="DM22" s="87">
        <f t="shared" si="261"/>
        <v>47880</v>
      </c>
      <c r="DN22" s="87">
        <f t="shared" si="261"/>
        <v>47908</v>
      </c>
      <c r="DO22" s="87">
        <f t="shared" si="261"/>
        <v>47939</v>
      </c>
      <c r="DP22" s="87">
        <f t="shared" si="261"/>
        <v>47969</v>
      </c>
      <c r="DQ22" s="87">
        <f t="shared" si="261"/>
        <v>48000</v>
      </c>
      <c r="DR22" s="87">
        <f t="shared" si="261"/>
        <v>48030</v>
      </c>
      <c r="DS22" s="87">
        <f t="shared" si="261"/>
        <v>48061</v>
      </c>
      <c r="DT22" s="87">
        <f t="shared" si="261"/>
        <v>48092</v>
      </c>
      <c r="DU22" s="87">
        <f t="shared" si="261"/>
        <v>48122</v>
      </c>
      <c r="DV22" s="87">
        <f t="shared" si="261"/>
        <v>48153</v>
      </c>
      <c r="DW22" s="87">
        <f t="shared" si="261"/>
        <v>48183</v>
      </c>
      <c r="DX22" s="87">
        <f t="shared" si="261"/>
        <v>48214</v>
      </c>
      <c r="DY22" s="87">
        <f t="shared" si="261"/>
        <v>48245</v>
      </c>
      <c r="DZ22" s="87">
        <f t="shared" si="261"/>
        <v>48274</v>
      </c>
      <c r="EA22" s="87">
        <f t="shared" si="261"/>
        <v>48305</v>
      </c>
      <c r="EB22" s="87">
        <f t="shared" si="261"/>
        <v>48335</v>
      </c>
      <c r="EC22" s="87">
        <f t="shared" si="261"/>
        <v>48366</v>
      </c>
      <c r="ED22" s="87">
        <f t="shared" si="261"/>
        <v>48396</v>
      </c>
      <c r="EE22" s="87">
        <f t="shared" si="261"/>
        <v>48427</v>
      </c>
      <c r="EF22" s="87">
        <f t="shared" si="261"/>
        <v>48458</v>
      </c>
      <c r="EG22" s="87">
        <f t="shared" si="261"/>
        <v>48488</v>
      </c>
      <c r="EH22" s="87">
        <f t="shared" si="261"/>
        <v>48519</v>
      </c>
      <c r="EI22" s="87">
        <f t="shared" si="261"/>
        <v>48549</v>
      </c>
      <c r="EJ22" s="87">
        <f t="shared" si="261"/>
        <v>48580</v>
      </c>
      <c r="EK22" s="87">
        <f t="shared" si="261"/>
        <v>48611</v>
      </c>
      <c r="EL22" s="87">
        <f t="shared" si="261"/>
        <v>48639</v>
      </c>
      <c r="EM22" s="87">
        <f t="shared" si="261"/>
        <v>48670</v>
      </c>
      <c r="EN22" s="87">
        <f t="shared" si="261"/>
        <v>48700</v>
      </c>
      <c r="EO22" s="87">
        <f t="shared" si="261"/>
        <v>48731</v>
      </c>
      <c r="EP22" s="87">
        <f t="shared" si="261"/>
        <v>48761</v>
      </c>
      <c r="EQ22" s="87">
        <f t="shared" si="261"/>
        <v>48792</v>
      </c>
      <c r="ER22" s="87">
        <f t="shared" si="261"/>
        <v>48823</v>
      </c>
      <c r="ES22" s="87">
        <f t="shared" si="261"/>
        <v>48853</v>
      </c>
      <c r="ET22" s="87">
        <f t="shared" si="261"/>
        <v>48884</v>
      </c>
      <c r="EU22" s="87">
        <f t="shared" si="261"/>
        <v>48914</v>
      </c>
      <c r="EV22" s="87">
        <f t="shared" si="261"/>
        <v>48945</v>
      </c>
      <c r="EW22" s="87">
        <f t="shared" si="261"/>
        <v>48976</v>
      </c>
      <c r="EX22" s="87">
        <f t="shared" si="261"/>
        <v>49004</v>
      </c>
      <c r="EY22" s="87">
        <f t="shared" si="261"/>
        <v>49035</v>
      </c>
      <c r="EZ22" s="87">
        <f t="shared" si="261"/>
        <v>49065</v>
      </c>
      <c r="FA22" s="87">
        <f t="shared" si="261"/>
        <v>49096</v>
      </c>
      <c r="FB22" s="87">
        <f t="shared" si="261"/>
        <v>49126</v>
      </c>
      <c r="FC22" s="87">
        <f t="shared" si="261"/>
        <v>49157</v>
      </c>
      <c r="FD22" s="87">
        <f t="shared" si="261"/>
        <v>49188</v>
      </c>
      <c r="FE22" s="87">
        <f t="shared" si="261"/>
        <v>49218</v>
      </c>
      <c r="FF22" s="87">
        <f t="shared" si="261"/>
        <v>49249</v>
      </c>
      <c r="FG22" s="87">
        <f t="shared" si="261"/>
        <v>49279</v>
      </c>
      <c r="FH22" s="87">
        <f t="shared" si="261"/>
        <v>49310</v>
      </c>
      <c r="FI22" s="87">
        <f t="shared" si="261"/>
        <v>49341</v>
      </c>
      <c r="FJ22" s="87">
        <f t="shared" si="261"/>
        <v>49369</v>
      </c>
      <c r="FK22" s="87">
        <f t="shared" si="261"/>
        <v>49400</v>
      </c>
      <c r="FL22" s="87">
        <f t="shared" si="261"/>
        <v>49430</v>
      </c>
      <c r="FM22" s="87">
        <f t="shared" si="261"/>
        <v>49461</v>
      </c>
      <c r="FN22" s="87">
        <f t="shared" si="261"/>
        <v>49491</v>
      </c>
      <c r="FO22" s="87">
        <f t="shared" si="261"/>
        <v>49522</v>
      </c>
      <c r="FP22" s="87">
        <f t="shared" si="261"/>
        <v>49553</v>
      </c>
      <c r="FQ22" s="87">
        <f t="shared" si="261"/>
        <v>49583</v>
      </c>
      <c r="FR22" s="87">
        <f t="shared" si="261"/>
        <v>49614</v>
      </c>
      <c r="FS22" s="87">
        <f t="shared" si="261"/>
        <v>49644</v>
      </c>
      <c r="FT22" s="87">
        <f t="shared" si="261"/>
        <v>49675</v>
      </c>
      <c r="FU22" s="87">
        <f t="shared" si="261"/>
        <v>49706</v>
      </c>
      <c r="FV22" s="87">
        <f t="shared" si="261"/>
        <v>49735</v>
      </c>
      <c r="FW22" s="87">
        <f t="shared" si="261"/>
        <v>49766</v>
      </c>
      <c r="FX22" s="87">
        <f t="shared" si="261"/>
        <v>49796</v>
      </c>
      <c r="FY22" s="87">
        <f t="shared" si="261"/>
        <v>49827</v>
      </c>
      <c r="FZ22" s="87">
        <f t="shared" si="261"/>
        <v>49857</v>
      </c>
      <c r="GA22" s="87">
        <f t="shared" si="261"/>
        <v>49888</v>
      </c>
      <c r="GB22" s="87">
        <f t="shared" si="261"/>
        <v>49919</v>
      </c>
      <c r="GC22" s="87">
        <f t="shared" si="261"/>
        <v>49949</v>
      </c>
      <c r="GD22" s="87">
        <f t="shared" si="261"/>
        <v>49980</v>
      </c>
      <c r="GE22" s="87">
        <f t="shared" si="261"/>
        <v>50010</v>
      </c>
      <c r="GF22" s="87">
        <f t="shared" si="261"/>
        <v>50041</v>
      </c>
      <c r="GG22" s="87">
        <f t="shared" si="261"/>
        <v>50072</v>
      </c>
      <c r="GH22" s="87">
        <f t="shared" si="261"/>
        <v>50100</v>
      </c>
      <c r="GI22" s="87">
        <f t="shared" si="261"/>
        <v>50131</v>
      </c>
      <c r="GJ22" s="87">
        <f t="shared" si="261"/>
        <v>50161</v>
      </c>
      <c r="GK22" s="87">
        <f t="shared" si="261"/>
        <v>50192</v>
      </c>
      <c r="GL22" s="87">
        <f t="shared" si="261"/>
        <v>50222</v>
      </c>
      <c r="GM22" s="87">
        <f t="shared" si="261"/>
        <v>50253</v>
      </c>
      <c r="GN22" s="87">
        <f t="shared" si="261"/>
        <v>50284</v>
      </c>
      <c r="GO22" s="87">
        <f t="shared" si="261"/>
        <v>50314</v>
      </c>
      <c r="GP22" s="87">
        <f t="shared" si="261"/>
        <v>50345</v>
      </c>
      <c r="GQ22" s="87">
        <f t="shared" si="261"/>
        <v>50375</v>
      </c>
      <c r="GR22" s="87">
        <f t="shared" si="261"/>
        <v>50406</v>
      </c>
      <c r="GS22" s="87">
        <f t="shared" si="261"/>
        <v>50437</v>
      </c>
      <c r="GT22" s="87">
        <f t="shared" si="261"/>
        <v>50465</v>
      </c>
      <c r="GU22" s="87">
        <f t="shared" si="261"/>
        <v>50496</v>
      </c>
      <c r="GV22" s="87">
        <f t="shared" si="261"/>
        <v>50526</v>
      </c>
      <c r="GW22" s="87">
        <f t="shared" si="261"/>
        <v>50557</v>
      </c>
      <c r="GX22" s="87">
        <f t="shared" si="261"/>
        <v>50587</v>
      </c>
      <c r="GY22" s="87">
        <f t="shared" si="261"/>
        <v>50618</v>
      </c>
      <c r="GZ22" s="87">
        <f t="shared" si="261"/>
        <v>50649</v>
      </c>
      <c r="HA22" s="87">
        <f t="shared" si="261"/>
        <v>50679</v>
      </c>
      <c r="HB22" s="87">
        <f t="shared" si="261"/>
        <v>50710</v>
      </c>
      <c r="HC22" s="87">
        <f t="shared" si="261"/>
        <v>50740</v>
      </c>
      <c r="HD22" s="87">
        <f t="shared" si="261"/>
        <v>50771</v>
      </c>
      <c r="HE22" s="87">
        <f t="shared" si="261"/>
        <v>50802</v>
      </c>
      <c r="HF22" s="87">
        <f t="shared" si="261"/>
        <v>50830</v>
      </c>
      <c r="HG22" s="87">
        <f t="shared" si="261"/>
        <v>50861</v>
      </c>
      <c r="HH22" s="87">
        <f t="shared" si="261"/>
        <v>50891</v>
      </c>
      <c r="HI22" s="87">
        <f t="shared" si="261"/>
        <v>50922</v>
      </c>
      <c r="HJ22" s="87">
        <f t="shared" si="261"/>
        <v>50952</v>
      </c>
      <c r="HK22" s="87">
        <f t="shared" si="261"/>
        <v>50983</v>
      </c>
      <c r="HL22" s="87">
        <f t="shared" si="261"/>
        <v>51014</v>
      </c>
      <c r="HM22" s="87">
        <f t="shared" si="261"/>
        <v>51044</v>
      </c>
      <c r="HN22" s="87">
        <f t="shared" si="261"/>
        <v>51075</v>
      </c>
      <c r="HO22" s="87">
        <f t="shared" si="261"/>
        <v>51105</v>
      </c>
      <c r="HP22" s="87">
        <f t="shared" si="261"/>
        <v>51136</v>
      </c>
      <c r="HQ22" s="87">
        <f t="shared" si="261"/>
        <v>51167</v>
      </c>
      <c r="HR22" s="87">
        <f t="shared" si="261"/>
        <v>51196</v>
      </c>
      <c r="HS22" s="87">
        <f t="shared" si="261"/>
        <v>51227</v>
      </c>
      <c r="HT22" s="87">
        <f t="shared" si="261"/>
        <v>51257</v>
      </c>
      <c r="HU22" s="87">
        <f t="shared" si="261"/>
        <v>51288</v>
      </c>
      <c r="HV22" s="87">
        <f t="shared" si="261"/>
        <v>51318</v>
      </c>
      <c r="HW22" s="87">
        <f t="shared" si="261"/>
        <v>51349</v>
      </c>
      <c r="HX22" s="87">
        <f t="shared" si="261"/>
        <v>51380</v>
      </c>
      <c r="HY22" s="87">
        <f t="shared" si="261"/>
        <v>51410</v>
      </c>
      <c r="HZ22" s="87">
        <f t="shared" si="261"/>
        <v>51441</v>
      </c>
      <c r="IA22" s="87">
        <f t="shared" si="261"/>
        <v>51471</v>
      </c>
      <c r="IB22" s="87">
        <f t="shared" si="261"/>
        <v>51502</v>
      </c>
      <c r="IC22" s="87">
        <f t="shared" si="261"/>
        <v>51533</v>
      </c>
      <c r="ID22" s="87">
        <f t="shared" si="261"/>
        <v>51561</v>
      </c>
      <c r="IE22" s="87">
        <f t="shared" si="261"/>
        <v>51592</v>
      </c>
      <c r="IF22" s="87">
        <f t="shared" si="261"/>
        <v>51622</v>
      </c>
      <c r="IG22" s="87">
        <f t="shared" si="261"/>
        <v>51653</v>
      </c>
      <c r="IH22" s="87">
        <f t="shared" si="261"/>
        <v>51683</v>
      </c>
      <c r="II22" s="87">
        <f t="shared" si="261"/>
        <v>51714</v>
      </c>
      <c r="IJ22" s="87">
        <f t="shared" si="261"/>
        <v>51745</v>
      </c>
      <c r="IK22" s="87">
        <f t="shared" si="261"/>
        <v>51775</v>
      </c>
      <c r="IL22" s="87">
        <f t="shared" si="261"/>
        <v>51806</v>
      </c>
      <c r="IM22" s="87">
        <f t="shared" si="261"/>
        <v>51836</v>
      </c>
      <c r="IN22" s="87">
        <f t="shared" si="261"/>
        <v>51867</v>
      </c>
      <c r="IO22" s="87">
        <f t="shared" si="261"/>
        <v>51898</v>
      </c>
      <c r="IP22" s="87">
        <f t="shared" si="261"/>
        <v>51926</v>
      </c>
      <c r="IQ22" s="87">
        <f t="shared" si="261"/>
        <v>51957</v>
      </c>
      <c r="IR22" s="87">
        <f t="shared" si="261"/>
        <v>51987</v>
      </c>
      <c r="IS22" s="87">
        <f t="shared" si="261"/>
        <v>52018</v>
      </c>
      <c r="IT22" s="87">
        <f t="shared" si="261"/>
        <v>52048</v>
      </c>
      <c r="IU22" s="87">
        <f t="shared" si="261"/>
        <v>52079</v>
      </c>
      <c r="IV22" s="87">
        <f t="shared" si="261"/>
        <v>52110</v>
      </c>
      <c r="IW22" s="87">
        <f t="shared" si="261"/>
        <v>52140</v>
      </c>
      <c r="IX22" s="87">
        <f t="shared" si="261"/>
        <v>52171</v>
      </c>
      <c r="IY22" s="87">
        <f t="shared" si="261"/>
        <v>52201</v>
      </c>
      <c r="IZ22" s="87">
        <f t="shared" si="261"/>
        <v>52232</v>
      </c>
      <c r="JA22" s="87">
        <f t="shared" si="261"/>
        <v>52263</v>
      </c>
      <c r="JB22" s="87">
        <f t="shared" si="261"/>
        <v>52291</v>
      </c>
      <c r="JC22" s="87">
        <f t="shared" si="261"/>
        <v>52322</v>
      </c>
      <c r="JD22" s="87">
        <f t="shared" si="261"/>
        <v>52352</v>
      </c>
      <c r="JE22" s="87">
        <f t="shared" si="261"/>
        <v>52383</v>
      </c>
      <c r="JF22" s="87">
        <f t="shared" si="261"/>
        <v>52413</v>
      </c>
      <c r="JG22" s="87">
        <f t="shared" si="261"/>
        <v>52444</v>
      </c>
      <c r="JH22" s="87">
        <f t="shared" si="261"/>
        <v>52475</v>
      </c>
      <c r="JI22" s="87">
        <f t="shared" si="261"/>
        <v>52505</v>
      </c>
      <c r="JJ22" s="87">
        <f t="shared" si="261"/>
        <v>52536</v>
      </c>
      <c r="JK22" s="87">
        <f t="shared" si="261"/>
        <v>52566</v>
      </c>
      <c r="JL22" s="87">
        <f t="shared" si="261"/>
        <v>52597</v>
      </c>
      <c r="JM22" s="87">
        <f t="shared" si="261"/>
        <v>52628</v>
      </c>
      <c r="JN22" s="87">
        <f t="shared" si="261"/>
        <v>52657</v>
      </c>
      <c r="JO22" s="87">
        <f t="shared" si="261"/>
        <v>52688</v>
      </c>
      <c r="JP22" s="87">
        <f t="shared" si="261"/>
        <v>52718</v>
      </c>
      <c r="JQ22" s="87">
        <f t="shared" si="261"/>
        <v>52749</v>
      </c>
      <c r="JR22" s="87">
        <f t="shared" si="261"/>
        <v>52779</v>
      </c>
      <c r="JS22" s="87">
        <f t="shared" si="261"/>
        <v>52810</v>
      </c>
      <c r="JT22" s="87">
        <f t="shared" si="261"/>
        <v>52841</v>
      </c>
      <c r="JU22" s="87">
        <f t="shared" si="261"/>
        <v>52871</v>
      </c>
      <c r="JV22" s="87">
        <f t="shared" si="261"/>
        <v>52902</v>
      </c>
      <c r="JW22" s="87">
        <f t="shared" si="261"/>
        <v>52932</v>
      </c>
      <c r="JX22" s="87">
        <f t="shared" si="261"/>
        <v>52963</v>
      </c>
      <c r="JY22" s="87">
        <f t="shared" si="261"/>
        <v>52994</v>
      </c>
      <c r="JZ22" s="87">
        <f t="shared" si="261"/>
        <v>53022</v>
      </c>
      <c r="KA22" s="87">
        <f t="shared" si="261"/>
        <v>53053</v>
      </c>
      <c r="KB22" s="87">
        <f t="shared" si="261"/>
        <v>53083</v>
      </c>
      <c r="KC22" s="87">
        <f t="shared" si="261"/>
        <v>53114</v>
      </c>
      <c r="KD22" s="87">
        <f t="shared" si="261"/>
        <v>53144</v>
      </c>
      <c r="KE22" s="87">
        <f t="shared" si="261"/>
        <v>53175</v>
      </c>
      <c r="KF22" s="87">
        <f t="shared" si="261"/>
        <v>53206</v>
      </c>
      <c r="KG22" s="87">
        <f t="shared" si="261"/>
        <v>53236</v>
      </c>
      <c r="KH22" s="87">
        <f t="shared" si="261"/>
        <v>53267</v>
      </c>
      <c r="KI22" s="87">
        <f t="shared" si="261"/>
        <v>53297</v>
      </c>
      <c r="KJ22" s="87">
        <f t="shared" si="261"/>
        <v>53328</v>
      </c>
      <c r="KK22" s="87">
        <f t="shared" si="261"/>
        <v>53359</v>
      </c>
      <c r="KL22" s="87">
        <f t="shared" si="261"/>
        <v>53387</v>
      </c>
      <c r="KM22" s="87">
        <f t="shared" si="261"/>
        <v>53418</v>
      </c>
      <c r="KN22" s="87">
        <f t="shared" ref="KN22:KR22" si="262">KN$3</f>
        <v>53448</v>
      </c>
      <c r="KO22" s="87">
        <f t="shared" si="262"/>
        <v>53479</v>
      </c>
      <c r="KP22" s="87">
        <f t="shared" si="262"/>
        <v>53509</v>
      </c>
      <c r="KQ22" s="87">
        <f t="shared" si="262"/>
        <v>53540</v>
      </c>
      <c r="KR22" s="87">
        <f t="shared" si="262"/>
        <v>53571</v>
      </c>
      <c r="KS22" s="86">
        <f t="shared" si="227"/>
        <v>4.0005476451259581</v>
      </c>
      <c r="KT22" s="85"/>
    </row>
    <row r="23" spans="1:306" ht="5.0999999999999996" customHeight="1" x14ac:dyDescent="0.3">
      <c r="B23" s="84"/>
      <c r="C23" s="83"/>
      <c r="D23" s="83"/>
      <c r="KS23" s="82"/>
    </row>
    <row r="24" spans="1:306" ht="5.0999999999999996" customHeight="1" x14ac:dyDescent="0.3">
      <c r="A24" s="565"/>
      <c r="B24" s="565"/>
      <c r="C24" s="566"/>
      <c r="D24" s="566"/>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5"/>
      <c r="AH24" s="565"/>
      <c r="AI24" s="565"/>
      <c r="AJ24" s="565"/>
      <c r="AK24" s="565"/>
      <c r="AL24" s="565"/>
      <c r="AM24" s="565"/>
      <c r="AN24" s="565"/>
      <c r="AO24" s="565"/>
      <c r="AP24" s="565"/>
      <c r="AQ24" s="565"/>
      <c r="AR24" s="565"/>
      <c r="AS24" s="565"/>
      <c r="AT24" s="565"/>
      <c r="AU24" s="565"/>
      <c r="AV24" s="565"/>
      <c r="AW24" s="565"/>
      <c r="AX24" s="565"/>
      <c r="AY24" s="565"/>
      <c r="AZ24" s="565"/>
      <c r="BA24" s="565"/>
      <c r="BB24" s="565"/>
      <c r="BC24" s="565"/>
      <c r="BD24" s="565"/>
      <c r="BE24" s="565"/>
      <c r="BF24" s="565"/>
      <c r="BG24" s="565"/>
      <c r="BH24" s="565"/>
      <c r="BI24" s="565"/>
      <c r="BJ24" s="565"/>
      <c r="BK24" s="565"/>
      <c r="BL24" s="565"/>
      <c r="BM24" s="565"/>
      <c r="BN24" s="565"/>
      <c r="BO24" s="565"/>
      <c r="BP24" s="565"/>
      <c r="BQ24" s="565"/>
      <c r="BR24" s="565"/>
      <c r="BS24" s="565"/>
      <c r="BT24" s="565"/>
      <c r="BU24" s="565"/>
      <c r="BV24" s="565"/>
      <c r="BW24" s="565"/>
      <c r="BX24" s="565"/>
      <c r="BY24" s="565"/>
      <c r="BZ24" s="565"/>
      <c r="CA24" s="565"/>
      <c r="CB24" s="565"/>
      <c r="CC24" s="565"/>
      <c r="CD24" s="565"/>
      <c r="CE24" s="565"/>
      <c r="CF24" s="565"/>
      <c r="CG24" s="565"/>
      <c r="CH24" s="565"/>
      <c r="CI24" s="565"/>
      <c r="CJ24" s="565"/>
      <c r="CK24" s="565"/>
      <c r="CL24" s="565"/>
      <c r="CM24" s="565"/>
      <c r="CN24" s="565"/>
      <c r="CO24" s="565"/>
      <c r="CP24" s="565"/>
      <c r="CQ24" s="565"/>
      <c r="CR24" s="565"/>
      <c r="CS24" s="565"/>
      <c r="CT24" s="565"/>
      <c r="CU24" s="565"/>
      <c r="CV24" s="565"/>
      <c r="CW24" s="565"/>
      <c r="CX24" s="565"/>
      <c r="CY24" s="565"/>
      <c r="CZ24" s="565"/>
      <c r="DA24" s="565"/>
      <c r="DB24" s="565"/>
      <c r="DC24" s="565"/>
      <c r="DD24" s="565"/>
      <c r="DE24" s="565"/>
      <c r="DF24" s="565"/>
      <c r="DG24" s="565"/>
      <c r="DH24" s="565"/>
      <c r="DI24" s="565"/>
      <c r="DJ24" s="565"/>
      <c r="DK24" s="565"/>
      <c r="DL24" s="565"/>
      <c r="DM24" s="565"/>
      <c r="DN24" s="565"/>
      <c r="DO24" s="565"/>
      <c r="DP24" s="565"/>
      <c r="DQ24" s="565"/>
      <c r="DR24" s="565"/>
      <c r="DS24" s="565"/>
      <c r="DT24" s="565"/>
      <c r="DU24" s="565"/>
      <c r="DV24" s="565"/>
      <c r="DW24" s="565"/>
      <c r="DX24" s="565"/>
      <c r="DY24" s="565"/>
      <c r="DZ24" s="565"/>
      <c r="EA24" s="565"/>
      <c r="EB24" s="565"/>
      <c r="EC24" s="565"/>
      <c r="ED24" s="565"/>
      <c r="EE24" s="565"/>
      <c r="EF24" s="565"/>
      <c r="EG24" s="565"/>
      <c r="EH24" s="565"/>
      <c r="EI24" s="565"/>
      <c r="EJ24" s="565"/>
      <c r="EK24" s="565"/>
      <c r="EL24" s="565"/>
      <c r="EM24" s="565"/>
      <c r="EN24" s="565"/>
      <c r="EO24" s="565"/>
      <c r="EP24" s="565"/>
      <c r="EQ24" s="565"/>
      <c r="ER24" s="565"/>
      <c r="ES24" s="565"/>
      <c r="ET24" s="565"/>
      <c r="EU24" s="565"/>
      <c r="EV24" s="565"/>
      <c r="EW24" s="565"/>
      <c r="EX24" s="565"/>
      <c r="EY24" s="565"/>
      <c r="EZ24" s="565"/>
      <c r="FA24" s="565"/>
      <c r="FB24" s="565"/>
      <c r="FC24" s="565"/>
      <c r="FD24" s="565"/>
      <c r="FE24" s="565"/>
      <c r="FF24" s="565"/>
      <c r="FG24" s="565"/>
      <c r="FH24" s="565"/>
      <c r="FI24" s="565"/>
      <c r="FJ24" s="565"/>
      <c r="FK24" s="565"/>
      <c r="FL24" s="565"/>
      <c r="FM24" s="565"/>
      <c r="FN24" s="565"/>
      <c r="FO24" s="565"/>
      <c r="FP24" s="565"/>
      <c r="FQ24" s="565"/>
      <c r="FR24" s="565"/>
      <c r="FS24" s="565"/>
      <c r="FT24" s="565"/>
      <c r="FU24" s="565"/>
      <c r="FV24" s="565"/>
      <c r="FW24" s="565"/>
      <c r="FX24" s="565"/>
      <c r="FY24" s="565"/>
      <c r="FZ24" s="565"/>
      <c r="GA24" s="565"/>
      <c r="GB24" s="565"/>
      <c r="GC24" s="565"/>
      <c r="GD24" s="565"/>
      <c r="GE24" s="565"/>
      <c r="GF24" s="565"/>
      <c r="GG24" s="565"/>
      <c r="GH24" s="565"/>
      <c r="GI24" s="565"/>
      <c r="GJ24" s="565"/>
      <c r="GK24" s="565"/>
      <c r="GL24" s="565"/>
      <c r="GM24" s="565"/>
      <c r="GN24" s="565"/>
      <c r="GO24" s="565"/>
      <c r="GP24" s="565"/>
      <c r="GQ24" s="565"/>
      <c r="GR24" s="565"/>
      <c r="GS24" s="565"/>
      <c r="GT24" s="565"/>
      <c r="GU24" s="565"/>
      <c r="GV24" s="565"/>
      <c r="GW24" s="565"/>
      <c r="GX24" s="565"/>
      <c r="GY24" s="565"/>
      <c r="GZ24" s="565"/>
      <c r="HA24" s="565"/>
      <c r="HB24" s="565"/>
      <c r="HC24" s="565"/>
      <c r="HD24" s="565"/>
      <c r="HE24" s="565"/>
      <c r="HF24" s="565"/>
      <c r="HG24" s="565"/>
      <c r="HH24" s="565"/>
      <c r="HI24" s="565"/>
      <c r="HJ24" s="565"/>
      <c r="HK24" s="565"/>
      <c r="HL24" s="565"/>
      <c r="HM24" s="565"/>
      <c r="HN24" s="565"/>
      <c r="HO24" s="565"/>
      <c r="HP24" s="565"/>
      <c r="HQ24" s="565"/>
      <c r="HR24" s="565"/>
      <c r="HS24" s="565"/>
      <c r="HT24" s="565"/>
      <c r="HU24" s="565"/>
      <c r="HV24" s="565"/>
      <c r="HW24" s="565"/>
      <c r="HX24" s="565"/>
      <c r="HY24" s="565"/>
      <c r="HZ24" s="565"/>
      <c r="IA24" s="565"/>
      <c r="IB24" s="565"/>
      <c r="IC24" s="565"/>
      <c r="ID24" s="565"/>
      <c r="IE24" s="565"/>
      <c r="IF24" s="565"/>
      <c r="IG24" s="565"/>
      <c r="IH24" s="565"/>
      <c r="II24" s="565"/>
      <c r="IJ24" s="565"/>
      <c r="IK24" s="565"/>
      <c r="IL24" s="565"/>
      <c r="IM24" s="565"/>
      <c r="IN24" s="565"/>
      <c r="IO24" s="565"/>
      <c r="IP24" s="565"/>
      <c r="IQ24" s="565"/>
      <c r="IR24" s="565"/>
      <c r="IS24" s="565"/>
      <c r="IT24" s="565"/>
      <c r="IU24" s="565"/>
      <c r="IV24" s="565"/>
      <c r="IW24" s="565"/>
      <c r="IX24" s="565"/>
      <c r="IY24" s="565"/>
      <c r="IZ24" s="565"/>
      <c r="JA24" s="565"/>
      <c r="JB24" s="565"/>
      <c r="JC24" s="565"/>
      <c r="JD24" s="565"/>
      <c r="JE24" s="565"/>
      <c r="JF24" s="565"/>
      <c r="JG24" s="565"/>
      <c r="JH24" s="565"/>
      <c r="JI24" s="565"/>
      <c r="JJ24" s="565"/>
      <c r="JK24" s="565"/>
      <c r="JL24" s="565"/>
      <c r="JM24" s="565"/>
      <c r="JN24" s="565"/>
      <c r="JO24" s="565"/>
      <c r="JP24" s="565"/>
      <c r="JQ24" s="565"/>
      <c r="JR24" s="565"/>
      <c r="JS24" s="565"/>
      <c r="JT24" s="565"/>
      <c r="JU24" s="565"/>
      <c r="JV24" s="565"/>
      <c r="JW24" s="565"/>
      <c r="JX24" s="565"/>
      <c r="JY24" s="565"/>
      <c r="JZ24" s="565"/>
      <c r="KA24" s="565"/>
      <c r="KB24" s="565"/>
      <c r="KC24" s="565"/>
      <c r="KD24" s="565"/>
      <c r="KE24" s="565"/>
      <c r="KF24" s="565"/>
      <c r="KG24" s="565"/>
      <c r="KH24" s="565"/>
      <c r="KI24" s="565"/>
      <c r="KJ24" s="565"/>
      <c r="KK24" s="565"/>
      <c r="KL24" s="565"/>
      <c r="KM24" s="565"/>
      <c r="KN24" s="565"/>
      <c r="KO24" s="565"/>
      <c r="KP24" s="565"/>
      <c r="KQ24" s="565"/>
      <c r="KR24" s="565"/>
      <c r="KS24" s="567"/>
    </row>
    <row r="25" spans="1:306" ht="15" customHeight="1" x14ac:dyDescent="0.3">
      <c r="A25" s="568" t="str">
        <f>"Schedule Contingency @ "&amp;TEXT('I-Project Contingency'!$I$8,"0%")&amp;" Confidence Level"</f>
        <v>Schedule Contingency @ 80% Confidence Level</v>
      </c>
      <c r="B25" s="569">
        <f>D25-C25+1</f>
        <v>139</v>
      </c>
      <c r="C25" s="570">
        <f>'I-Project Contingency'!$I$10+1</f>
        <v>46448</v>
      </c>
      <c r="D25" s="570">
        <f>'I-Project Contingency'!$I$14</f>
        <v>46586</v>
      </c>
      <c r="E25" s="87">
        <f t="shared" ref="E25:AJ25" si="263">E$3</f>
        <v>44470</v>
      </c>
      <c r="F25" s="87">
        <f t="shared" si="263"/>
        <v>44501</v>
      </c>
      <c r="G25" s="87">
        <f t="shared" si="263"/>
        <v>44531</v>
      </c>
      <c r="H25" s="87">
        <f t="shared" si="263"/>
        <v>44562</v>
      </c>
      <c r="I25" s="87">
        <f t="shared" si="263"/>
        <v>44593</v>
      </c>
      <c r="J25" s="87">
        <f t="shared" si="263"/>
        <v>44621</v>
      </c>
      <c r="K25" s="87">
        <f t="shared" si="263"/>
        <v>44652</v>
      </c>
      <c r="L25" s="87">
        <f t="shared" si="263"/>
        <v>44682</v>
      </c>
      <c r="M25" s="87">
        <f t="shared" si="263"/>
        <v>44713</v>
      </c>
      <c r="N25" s="87">
        <f t="shared" si="263"/>
        <v>44743</v>
      </c>
      <c r="O25" s="87">
        <f t="shared" si="263"/>
        <v>44774</v>
      </c>
      <c r="P25" s="87">
        <f t="shared" si="263"/>
        <v>44805</v>
      </c>
      <c r="Q25" s="87">
        <f t="shared" si="263"/>
        <v>44835</v>
      </c>
      <c r="R25" s="87">
        <f t="shared" si="263"/>
        <v>44866</v>
      </c>
      <c r="S25" s="87">
        <f t="shared" si="263"/>
        <v>44896</v>
      </c>
      <c r="T25" s="87">
        <f t="shared" si="263"/>
        <v>44927</v>
      </c>
      <c r="U25" s="87">
        <f t="shared" si="263"/>
        <v>44958</v>
      </c>
      <c r="V25" s="87">
        <f t="shared" si="263"/>
        <v>44986</v>
      </c>
      <c r="W25" s="87">
        <f t="shared" si="263"/>
        <v>45017</v>
      </c>
      <c r="X25" s="87">
        <f t="shared" si="263"/>
        <v>45047</v>
      </c>
      <c r="Y25" s="87">
        <f t="shared" si="263"/>
        <v>45078</v>
      </c>
      <c r="Z25" s="87">
        <f t="shared" si="263"/>
        <v>45108</v>
      </c>
      <c r="AA25" s="87">
        <f t="shared" si="263"/>
        <v>45139</v>
      </c>
      <c r="AB25" s="87">
        <f t="shared" si="263"/>
        <v>45170</v>
      </c>
      <c r="AC25" s="87">
        <f t="shared" si="263"/>
        <v>45200</v>
      </c>
      <c r="AD25" s="87">
        <f t="shared" si="263"/>
        <v>45231</v>
      </c>
      <c r="AE25" s="87">
        <f t="shared" si="263"/>
        <v>45261</v>
      </c>
      <c r="AF25" s="87">
        <f t="shared" si="263"/>
        <v>45292</v>
      </c>
      <c r="AG25" s="87">
        <f t="shared" si="263"/>
        <v>45323</v>
      </c>
      <c r="AH25" s="87">
        <f t="shared" si="263"/>
        <v>45352</v>
      </c>
      <c r="AI25" s="87">
        <f t="shared" si="263"/>
        <v>45383</v>
      </c>
      <c r="AJ25" s="87">
        <f t="shared" si="263"/>
        <v>45413</v>
      </c>
      <c r="AK25" s="87">
        <f t="shared" ref="AK25:BP25" si="264">AK$3</f>
        <v>45444</v>
      </c>
      <c r="AL25" s="87">
        <f t="shared" si="264"/>
        <v>45474</v>
      </c>
      <c r="AM25" s="87">
        <f t="shared" si="264"/>
        <v>45505</v>
      </c>
      <c r="AN25" s="87">
        <f t="shared" si="264"/>
        <v>45536</v>
      </c>
      <c r="AO25" s="87">
        <f t="shared" si="264"/>
        <v>45566</v>
      </c>
      <c r="AP25" s="87">
        <f t="shared" si="264"/>
        <v>45597</v>
      </c>
      <c r="AQ25" s="87">
        <f t="shared" si="264"/>
        <v>45627</v>
      </c>
      <c r="AR25" s="87">
        <f t="shared" si="264"/>
        <v>45658</v>
      </c>
      <c r="AS25" s="87">
        <f t="shared" si="264"/>
        <v>45689</v>
      </c>
      <c r="AT25" s="87">
        <f t="shared" si="264"/>
        <v>45717</v>
      </c>
      <c r="AU25" s="87">
        <f t="shared" si="264"/>
        <v>45748</v>
      </c>
      <c r="AV25" s="87">
        <f t="shared" si="264"/>
        <v>45778</v>
      </c>
      <c r="AW25" s="87">
        <f t="shared" si="264"/>
        <v>45809</v>
      </c>
      <c r="AX25" s="87">
        <f t="shared" si="264"/>
        <v>45839</v>
      </c>
      <c r="AY25" s="87">
        <f t="shared" si="264"/>
        <v>45870</v>
      </c>
      <c r="AZ25" s="87">
        <f t="shared" si="264"/>
        <v>45901</v>
      </c>
      <c r="BA25" s="87">
        <f t="shared" si="264"/>
        <v>45931</v>
      </c>
      <c r="BB25" s="87">
        <f t="shared" si="264"/>
        <v>45962</v>
      </c>
      <c r="BC25" s="87">
        <f t="shared" si="264"/>
        <v>45992</v>
      </c>
      <c r="BD25" s="87">
        <f t="shared" si="264"/>
        <v>46023</v>
      </c>
      <c r="BE25" s="87">
        <f t="shared" si="264"/>
        <v>46054</v>
      </c>
      <c r="BF25" s="87">
        <f t="shared" si="264"/>
        <v>46082</v>
      </c>
      <c r="BG25" s="87">
        <f t="shared" si="264"/>
        <v>46113</v>
      </c>
      <c r="BH25" s="87">
        <f t="shared" si="264"/>
        <v>46143</v>
      </c>
      <c r="BI25" s="87">
        <f t="shared" si="264"/>
        <v>46174</v>
      </c>
      <c r="BJ25" s="87">
        <f t="shared" si="264"/>
        <v>46204</v>
      </c>
      <c r="BK25" s="87">
        <f t="shared" si="264"/>
        <v>46235</v>
      </c>
      <c r="BL25" s="87">
        <f t="shared" si="264"/>
        <v>46266</v>
      </c>
      <c r="BM25" s="87">
        <f t="shared" si="264"/>
        <v>46296</v>
      </c>
      <c r="BN25" s="87">
        <f t="shared" si="264"/>
        <v>46327</v>
      </c>
      <c r="BO25" s="87">
        <f t="shared" si="264"/>
        <v>46357</v>
      </c>
      <c r="BP25" s="87">
        <f t="shared" si="264"/>
        <v>46388</v>
      </c>
      <c r="BQ25" s="87">
        <f t="shared" ref="BQ25:KM25" si="265">BQ$3</f>
        <v>46419</v>
      </c>
      <c r="BR25" s="87">
        <f t="shared" si="265"/>
        <v>46447</v>
      </c>
      <c r="BS25" s="87">
        <f t="shared" si="265"/>
        <v>46478</v>
      </c>
      <c r="BT25" s="87">
        <f t="shared" si="265"/>
        <v>46508</v>
      </c>
      <c r="BU25" s="87">
        <f t="shared" si="265"/>
        <v>46539</v>
      </c>
      <c r="BV25" s="87">
        <f t="shared" si="265"/>
        <v>46569</v>
      </c>
      <c r="BW25" s="87">
        <f t="shared" si="265"/>
        <v>46600</v>
      </c>
      <c r="BX25" s="87">
        <f t="shared" si="265"/>
        <v>46631</v>
      </c>
      <c r="BY25" s="87">
        <f t="shared" si="265"/>
        <v>46661</v>
      </c>
      <c r="BZ25" s="87">
        <f t="shared" si="265"/>
        <v>46692</v>
      </c>
      <c r="CA25" s="87">
        <f t="shared" si="265"/>
        <v>46722</v>
      </c>
      <c r="CB25" s="87">
        <f t="shared" si="265"/>
        <v>46753</v>
      </c>
      <c r="CC25" s="87">
        <f t="shared" si="265"/>
        <v>46784</v>
      </c>
      <c r="CD25" s="87">
        <f t="shared" si="265"/>
        <v>46813</v>
      </c>
      <c r="CE25" s="87">
        <f t="shared" si="265"/>
        <v>46844</v>
      </c>
      <c r="CF25" s="87">
        <f t="shared" si="265"/>
        <v>46874</v>
      </c>
      <c r="CG25" s="87">
        <f t="shared" si="265"/>
        <v>46905</v>
      </c>
      <c r="CH25" s="87">
        <f t="shared" si="265"/>
        <v>46935</v>
      </c>
      <c r="CI25" s="87">
        <f t="shared" si="265"/>
        <v>46966</v>
      </c>
      <c r="CJ25" s="87">
        <f t="shared" si="265"/>
        <v>46997</v>
      </c>
      <c r="CK25" s="87">
        <f t="shared" si="265"/>
        <v>47027</v>
      </c>
      <c r="CL25" s="87">
        <f t="shared" si="265"/>
        <v>47058</v>
      </c>
      <c r="CM25" s="87">
        <f t="shared" si="265"/>
        <v>47088</v>
      </c>
      <c r="CN25" s="87">
        <f t="shared" si="265"/>
        <v>47119</v>
      </c>
      <c r="CO25" s="87">
        <f t="shared" si="265"/>
        <v>47150</v>
      </c>
      <c r="CP25" s="87">
        <f t="shared" si="265"/>
        <v>47178</v>
      </c>
      <c r="CQ25" s="87">
        <f t="shared" si="265"/>
        <v>47209</v>
      </c>
      <c r="CR25" s="87">
        <f t="shared" si="265"/>
        <v>47239</v>
      </c>
      <c r="CS25" s="87">
        <f t="shared" si="265"/>
        <v>47270</v>
      </c>
      <c r="CT25" s="87">
        <f t="shared" si="265"/>
        <v>47300</v>
      </c>
      <c r="CU25" s="87">
        <f t="shared" si="265"/>
        <v>47331</v>
      </c>
      <c r="CV25" s="87">
        <f t="shared" si="265"/>
        <v>47362</v>
      </c>
      <c r="CW25" s="87">
        <f t="shared" si="265"/>
        <v>47392</v>
      </c>
      <c r="CX25" s="87">
        <f t="shared" si="265"/>
        <v>47423</v>
      </c>
      <c r="CY25" s="87">
        <f t="shared" si="265"/>
        <v>47453</v>
      </c>
      <c r="CZ25" s="87">
        <f t="shared" si="265"/>
        <v>47484</v>
      </c>
      <c r="DA25" s="87">
        <f t="shared" si="265"/>
        <v>47515</v>
      </c>
      <c r="DB25" s="87">
        <f t="shared" si="265"/>
        <v>47543</v>
      </c>
      <c r="DC25" s="87">
        <f t="shared" si="265"/>
        <v>47574</v>
      </c>
      <c r="DD25" s="87">
        <f t="shared" si="265"/>
        <v>47604</v>
      </c>
      <c r="DE25" s="87">
        <f t="shared" si="265"/>
        <v>47635</v>
      </c>
      <c r="DF25" s="87">
        <f t="shared" si="265"/>
        <v>47665</v>
      </c>
      <c r="DG25" s="87">
        <f t="shared" si="265"/>
        <v>47696</v>
      </c>
      <c r="DH25" s="87">
        <f t="shared" si="265"/>
        <v>47727</v>
      </c>
      <c r="DI25" s="87">
        <f t="shared" si="265"/>
        <v>47757</v>
      </c>
      <c r="DJ25" s="87">
        <f t="shared" si="265"/>
        <v>47788</v>
      </c>
      <c r="DK25" s="87">
        <f t="shared" si="265"/>
        <v>47818</v>
      </c>
      <c r="DL25" s="87">
        <f t="shared" si="265"/>
        <v>47849</v>
      </c>
      <c r="DM25" s="87">
        <f t="shared" si="265"/>
        <v>47880</v>
      </c>
      <c r="DN25" s="87">
        <f t="shared" si="265"/>
        <v>47908</v>
      </c>
      <c r="DO25" s="87">
        <f t="shared" si="265"/>
        <v>47939</v>
      </c>
      <c r="DP25" s="87">
        <f t="shared" si="265"/>
        <v>47969</v>
      </c>
      <c r="DQ25" s="87">
        <f t="shared" si="265"/>
        <v>48000</v>
      </c>
      <c r="DR25" s="87">
        <f t="shared" si="265"/>
        <v>48030</v>
      </c>
      <c r="DS25" s="87">
        <f t="shared" si="265"/>
        <v>48061</v>
      </c>
      <c r="DT25" s="87">
        <f t="shared" si="265"/>
        <v>48092</v>
      </c>
      <c r="DU25" s="87">
        <f t="shared" si="265"/>
        <v>48122</v>
      </c>
      <c r="DV25" s="87">
        <f t="shared" si="265"/>
        <v>48153</v>
      </c>
      <c r="DW25" s="87">
        <f t="shared" si="265"/>
        <v>48183</v>
      </c>
      <c r="DX25" s="87">
        <f t="shared" si="265"/>
        <v>48214</v>
      </c>
      <c r="DY25" s="87">
        <f t="shared" si="265"/>
        <v>48245</v>
      </c>
      <c r="DZ25" s="87">
        <f t="shared" si="265"/>
        <v>48274</v>
      </c>
      <c r="EA25" s="87">
        <f t="shared" si="265"/>
        <v>48305</v>
      </c>
      <c r="EB25" s="87">
        <f t="shared" si="265"/>
        <v>48335</v>
      </c>
      <c r="EC25" s="87">
        <f t="shared" si="265"/>
        <v>48366</v>
      </c>
      <c r="ED25" s="87">
        <f t="shared" si="265"/>
        <v>48396</v>
      </c>
      <c r="EE25" s="87">
        <f t="shared" si="265"/>
        <v>48427</v>
      </c>
      <c r="EF25" s="87">
        <f t="shared" si="265"/>
        <v>48458</v>
      </c>
      <c r="EG25" s="87">
        <f t="shared" si="265"/>
        <v>48488</v>
      </c>
      <c r="EH25" s="87">
        <f t="shared" si="265"/>
        <v>48519</v>
      </c>
      <c r="EI25" s="87">
        <f t="shared" si="265"/>
        <v>48549</v>
      </c>
      <c r="EJ25" s="87">
        <f t="shared" si="265"/>
        <v>48580</v>
      </c>
      <c r="EK25" s="87">
        <f t="shared" si="265"/>
        <v>48611</v>
      </c>
      <c r="EL25" s="87">
        <f t="shared" si="265"/>
        <v>48639</v>
      </c>
      <c r="EM25" s="87">
        <f t="shared" si="265"/>
        <v>48670</v>
      </c>
      <c r="EN25" s="87">
        <f t="shared" si="265"/>
        <v>48700</v>
      </c>
      <c r="EO25" s="87">
        <f t="shared" si="265"/>
        <v>48731</v>
      </c>
      <c r="EP25" s="87">
        <f t="shared" si="265"/>
        <v>48761</v>
      </c>
      <c r="EQ25" s="87">
        <f t="shared" si="265"/>
        <v>48792</v>
      </c>
      <c r="ER25" s="87">
        <f t="shared" si="265"/>
        <v>48823</v>
      </c>
      <c r="ES25" s="87">
        <f t="shared" si="265"/>
        <v>48853</v>
      </c>
      <c r="ET25" s="87">
        <f t="shared" si="265"/>
        <v>48884</v>
      </c>
      <c r="EU25" s="87">
        <f t="shared" si="265"/>
        <v>48914</v>
      </c>
      <c r="EV25" s="87">
        <f t="shared" si="265"/>
        <v>48945</v>
      </c>
      <c r="EW25" s="87">
        <f t="shared" si="265"/>
        <v>48976</v>
      </c>
      <c r="EX25" s="87">
        <f t="shared" si="265"/>
        <v>49004</v>
      </c>
      <c r="EY25" s="87">
        <f t="shared" si="265"/>
        <v>49035</v>
      </c>
      <c r="EZ25" s="87">
        <f t="shared" si="265"/>
        <v>49065</v>
      </c>
      <c r="FA25" s="87">
        <f t="shared" si="265"/>
        <v>49096</v>
      </c>
      <c r="FB25" s="87">
        <f t="shared" si="265"/>
        <v>49126</v>
      </c>
      <c r="FC25" s="87">
        <f t="shared" si="265"/>
        <v>49157</v>
      </c>
      <c r="FD25" s="87">
        <f t="shared" si="265"/>
        <v>49188</v>
      </c>
      <c r="FE25" s="87">
        <f t="shared" si="265"/>
        <v>49218</v>
      </c>
      <c r="FF25" s="87">
        <f t="shared" si="265"/>
        <v>49249</v>
      </c>
      <c r="FG25" s="87">
        <f t="shared" si="265"/>
        <v>49279</v>
      </c>
      <c r="FH25" s="87">
        <f t="shared" si="265"/>
        <v>49310</v>
      </c>
      <c r="FI25" s="87">
        <f t="shared" si="265"/>
        <v>49341</v>
      </c>
      <c r="FJ25" s="87">
        <f t="shared" si="265"/>
        <v>49369</v>
      </c>
      <c r="FK25" s="87">
        <f t="shared" si="265"/>
        <v>49400</v>
      </c>
      <c r="FL25" s="87">
        <f t="shared" si="265"/>
        <v>49430</v>
      </c>
      <c r="FM25" s="87">
        <f t="shared" si="265"/>
        <v>49461</v>
      </c>
      <c r="FN25" s="87">
        <f t="shared" si="265"/>
        <v>49491</v>
      </c>
      <c r="FO25" s="87">
        <f t="shared" si="265"/>
        <v>49522</v>
      </c>
      <c r="FP25" s="87">
        <f t="shared" si="265"/>
        <v>49553</v>
      </c>
      <c r="FQ25" s="87">
        <f t="shared" si="265"/>
        <v>49583</v>
      </c>
      <c r="FR25" s="87">
        <f t="shared" si="265"/>
        <v>49614</v>
      </c>
      <c r="FS25" s="87">
        <f t="shared" si="265"/>
        <v>49644</v>
      </c>
      <c r="FT25" s="87">
        <f t="shared" si="265"/>
        <v>49675</v>
      </c>
      <c r="FU25" s="87">
        <f t="shared" si="265"/>
        <v>49706</v>
      </c>
      <c r="FV25" s="87">
        <f t="shared" si="265"/>
        <v>49735</v>
      </c>
      <c r="FW25" s="87">
        <f t="shared" si="265"/>
        <v>49766</v>
      </c>
      <c r="FX25" s="87">
        <f t="shared" si="265"/>
        <v>49796</v>
      </c>
      <c r="FY25" s="87">
        <f t="shared" si="265"/>
        <v>49827</v>
      </c>
      <c r="FZ25" s="87">
        <f t="shared" si="265"/>
        <v>49857</v>
      </c>
      <c r="GA25" s="87">
        <f t="shared" si="265"/>
        <v>49888</v>
      </c>
      <c r="GB25" s="87">
        <f t="shared" si="265"/>
        <v>49919</v>
      </c>
      <c r="GC25" s="87">
        <f t="shared" si="265"/>
        <v>49949</v>
      </c>
      <c r="GD25" s="87">
        <f t="shared" si="265"/>
        <v>49980</v>
      </c>
      <c r="GE25" s="87">
        <f t="shared" si="265"/>
        <v>50010</v>
      </c>
      <c r="GF25" s="87">
        <f t="shared" si="265"/>
        <v>50041</v>
      </c>
      <c r="GG25" s="87">
        <f t="shared" si="265"/>
        <v>50072</v>
      </c>
      <c r="GH25" s="87">
        <f t="shared" si="265"/>
        <v>50100</v>
      </c>
      <c r="GI25" s="87">
        <f t="shared" si="265"/>
        <v>50131</v>
      </c>
      <c r="GJ25" s="87">
        <f t="shared" si="265"/>
        <v>50161</v>
      </c>
      <c r="GK25" s="87">
        <f t="shared" si="265"/>
        <v>50192</v>
      </c>
      <c r="GL25" s="87">
        <f t="shared" si="265"/>
        <v>50222</v>
      </c>
      <c r="GM25" s="87">
        <f t="shared" si="265"/>
        <v>50253</v>
      </c>
      <c r="GN25" s="87">
        <f t="shared" si="265"/>
        <v>50284</v>
      </c>
      <c r="GO25" s="87">
        <f t="shared" si="265"/>
        <v>50314</v>
      </c>
      <c r="GP25" s="87">
        <f t="shared" si="265"/>
        <v>50345</v>
      </c>
      <c r="GQ25" s="87">
        <f t="shared" si="265"/>
        <v>50375</v>
      </c>
      <c r="GR25" s="87">
        <f t="shared" si="265"/>
        <v>50406</v>
      </c>
      <c r="GS25" s="87">
        <f t="shared" si="265"/>
        <v>50437</v>
      </c>
      <c r="GT25" s="87">
        <f t="shared" si="265"/>
        <v>50465</v>
      </c>
      <c r="GU25" s="87">
        <f t="shared" si="265"/>
        <v>50496</v>
      </c>
      <c r="GV25" s="87">
        <f t="shared" si="265"/>
        <v>50526</v>
      </c>
      <c r="GW25" s="87">
        <f t="shared" si="265"/>
        <v>50557</v>
      </c>
      <c r="GX25" s="87">
        <f t="shared" si="265"/>
        <v>50587</v>
      </c>
      <c r="GY25" s="87">
        <f t="shared" si="265"/>
        <v>50618</v>
      </c>
      <c r="GZ25" s="87">
        <f t="shared" si="265"/>
        <v>50649</v>
      </c>
      <c r="HA25" s="87">
        <f t="shared" si="265"/>
        <v>50679</v>
      </c>
      <c r="HB25" s="87">
        <f t="shared" si="265"/>
        <v>50710</v>
      </c>
      <c r="HC25" s="87">
        <f t="shared" si="265"/>
        <v>50740</v>
      </c>
      <c r="HD25" s="87">
        <f t="shared" si="265"/>
        <v>50771</v>
      </c>
      <c r="HE25" s="87">
        <f t="shared" si="265"/>
        <v>50802</v>
      </c>
      <c r="HF25" s="87">
        <f t="shared" si="265"/>
        <v>50830</v>
      </c>
      <c r="HG25" s="87">
        <f t="shared" si="265"/>
        <v>50861</v>
      </c>
      <c r="HH25" s="87">
        <f t="shared" si="265"/>
        <v>50891</v>
      </c>
      <c r="HI25" s="87">
        <f t="shared" si="265"/>
        <v>50922</v>
      </c>
      <c r="HJ25" s="87">
        <f t="shared" si="265"/>
        <v>50952</v>
      </c>
      <c r="HK25" s="87">
        <f t="shared" si="265"/>
        <v>50983</v>
      </c>
      <c r="HL25" s="87">
        <f t="shared" si="265"/>
        <v>51014</v>
      </c>
      <c r="HM25" s="87">
        <f t="shared" si="265"/>
        <v>51044</v>
      </c>
      <c r="HN25" s="87">
        <f t="shared" si="265"/>
        <v>51075</v>
      </c>
      <c r="HO25" s="87">
        <f t="shared" si="265"/>
        <v>51105</v>
      </c>
      <c r="HP25" s="87">
        <f t="shared" si="265"/>
        <v>51136</v>
      </c>
      <c r="HQ25" s="87">
        <f t="shared" si="265"/>
        <v>51167</v>
      </c>
      <c r="HR25" s="87">
        <f t="shared" si="265"/>
        <v>51196</v>
      </c>
      <c r="HS25" s="87">
        <f t="shared" si="265"/>
        <v>51227</v>
      </c>
      <c r="HT25" s="87">
        <f t="shared" si="265"/>
        <v>51257</v>
      </c>
      <c r="HU25" s="87">
        <f t="shared" si="265"/>
        <v>51288</v>
      </c>
      <c r="HV25" s="87">
        <f t="shared" si="265"/>
        <v>51318</v>
      </c>
      <c r="HW25" s="87">
        <f t="shared" si="265"/>
        <v>51349</v>
      </c>
      <c r="HX25" s="87">
        <f t="shared" si="265"/>
        <v>51380</v>
      </c>
      <c r="HY25" s="87">
        <f t="shared" si="265"/>
        <v>51410</v>
      </c>
      <c r="HZ25" s="87">
        <f t="shared" si="265"/>
        <v>51441</v>
      </c>
      <c r="IA25" s="87">
        <f t="shared" si="265"/>
        <v>51471</v>
      </c>
      <c r="IB25" s="87">
        <f t="shared" si="265"/>
        <v>51502</v>
      </c>
      <c r="IC25" s="87">
        <f t="shared" si="265"/>
        <v>51533</v>
      </c>
      <c r="ID25" s="87">
        <f t="shared" si="265"/>
        <v>51561</v>
      </c>
      <c r="IE25" s="87">
        <f t="shared" si="265"/>
        <v>51592</v>
      </c>
      <c r="IF25" s="87">
        <f t="shared" si="265"/>
        <v>51622</v>
      </c>
      <c r="IG25" s="87">
        <f t="shared" si="265"/>
        <v>51653</v>
      </c>
      <c r="IH25" s="87">
        <f t="shared" si="265"/>
        <v>51683</v>
      </c>
      <c r="II25" s="87">
        <f t="shared" si="265"/>
        <v>51714</v>
      </c>
      <c r="IJ25" s="87">
        <f t="shared" si="265"/>
        <v>51745</v>
      </c>
      <c r="IK25" s="87">
        <f t="shared" si="265"/>
        <v>51775</v>
      </c>
      <c r="IL25" s="87">
        <f t="shared" si="265"/>
        <v>51806</v>
      </c>
      <c r="IM25" s="87">
        <f t="shared" si="265"/>
        <v>51836</v>
      </c>
      <c r="IN25" s="87">
        <f t="shared" si="265"/>
        <v>51867</v>
      </c>
      <c r="IO25" s="87">
        <f t="shared" si="265"/>
        <v>51898</v>
      </c>
      <c r="IP25" s="87">
        <f t="shared" si="265"/>
        <v>51926</v>
      </c>
      <c r="IQ25" s="87">
        <f t="shared" si="265"/>
        <v>51957</v>
      </c>
      <c r="IR25" s="87">
        <f t="shared" si="265"/>
        <v>51987</v>
      </c>
      <c r="IS25" s="87">
        <f t="shared" si="265"/>
        <v>52018</v>
      </c>
      <c r="IT25" s="87">
        <f t="shared" si="265"/>
        <v>52048</v>
      </c>
      <c r="IU25" s="87">
        <f t="shared" si="265"/>
        <v>52079</v>
      </c>
      <c r="IV25" s="87">
        <f t="shared" si="265"/>
        <v>52110</v>
      </c>
      <c r="IW25" s="87">
        <f t="shared" si="265"/>
        <v>52140</v>
      </c>
      <c r="IX25" s="87">
        <f t="shared" si="265"/>
        <v>52171</v>
      </c>
      <c r="IY25" s="87">
        <f t="shared" si="265"/>
        <v>52201</v>
      </c>
      <c r="IZ25" s="87">
        <f t="shared" si="265"/>
        <v>52232</v>
      </c>
      <c r="JA25" s="87">
        <f t="shared" si="265"/>
        <v>52263</v>
      </c>
      <c r="JB25" s="87">
        <f t="shared" si="265"/>
        <v>52291</v>
      </c>
      <c r="JC25" s="87">
        <f t="shared" si="265"/>
        <v>52322</v>
      </c>
      <c r="JD25" s="87">
        <f t="shared" si="265"/>
        <v>52352</v>
      </c>
      <c r="JE25" s="87">
        <f t="shared" si="265"/>
        <v>52383</v>
      </c>
      <c r="JF25" s="87">
        <f t="shared" si="265"/>
        <v>52413</v>
      </c>
      <c r="JG25" s="87">
        <f t="shared" si="265"/>
        <v>52444</v>
      </c>
      <c r="JH25" s="87">
        <f t="shared" si="265"/>
        <v>52475</v>
      </c>
      <c r="JI25" s="87">
        <f t="shared" si="265"/>
        <v>52505</v>
      </c>
      <c r="JJ25" s="87">
        <f t="shared" si="265"/>
        <v>52536</v>
      </c>
      <c r="JK25" s="87">
        <f t="shared" si="265"/>
        <v>52566</v>
      </c>
      <c r="JL25" s="87">
        <f t="shared" si="265"/>
        <v>52597</v>
      </c>
      <c r="JM25" s="87">
        <f t="shared" si="265"/>
        <v>52628</v>
      </c>
      <c r="JN25" s="87">
        <f t="shared" si="265"/>
        <v>52657</v>
      </c>
      <c r="JO25" s="87">
        <f t="shared" si="265"/>
        <v>52688</v>
      </c>
      <c r="JP25" s="87">
        <f t="shared" si="265"/>
        <v>52718</v>
      </c>
      <c r="JQ25" s="87">
        <f t="shared" si="265"/>
        <v>52749</v>
      </c>
      <c r="JR25" s="87">
        <f t="shared" si="265"/>
        <v>52779</v>
      </c>
      <c r="JS25" s="87">
        <f t="shared" si="265"/>
        <v>52810</v>
      </c>
      <c r="JT25" s="87">
        <f t="shared" si="265"/>
        <v>52841</v>
      </c>
      <c r="JU25" s="87">
        <f t="shared" si="265"/>
        <v>52871</v>
      </c>
      <c r="JV25" s="87">
        <f t="shared" si="265"/>
        <v>52902</v>
      </c>
      <c r="JW25" s="87">
        <f t="shared" si="265"/>
        <v>52932</v>
      </c>
      <c r="JX25" s="87">
        <f t="shared" si="265"/>
        <v>52963</v>
      </c>
      <c r="JY25" s="87">
        <f t="shared" si="265"/>
        <v>52994</v>
      </c>
      <c r="JZ25" s="87">
        <f t="shared" si="265"/>
        <v>53022</v>
      </c>
      <c r="KA25" s="87">
        <f t="shared" si="265"/>
        <v>53053</v>
      </c>
      <c r="KB25" s="87">
        <f t="shared" si="265"/>
        <v>53083</v>
      </c>
      <c r="KC25" s="87">
        <f t="shared" si="265"/>
        <v>53114</v>
      </c>
      <c r="KD25" s="87">
        <f t="shared" si="265"/>
        <v>53144</v>
      </c>
      <c r="KE25" s="87">
        <f t="shared" si="265"/>
        <v>53175</v>
      </c>
      <c r="KF25" s="87">
        <f t="shared" si="265"/>
        <v>53206</v>
      </c>
      <c r="KG25" s="87">
        <f t="shared" si="265"/>
        <v>53236</v>
      </c>
      <c r="KH25" s="87">
        <f t="shared" si="265"/>
        <v>53267</v>
      </c>
      <c r="KI25" s="87">
        <f t="shared" si="265"/>
        <v>53297</v>
      </c>
      <c r="KJ25" s="87">
        <f t="shared" si="265"/>
        <v>53328</v>
      </c>
      <c r="KK25" s="87">
        <f t="shared" si="265"/>
        <v>53359</v>
      </c>
      <c r="KL25" s="87">
        <f t="shared" si="265"/>
        <v>53387</v>
      </c>
      <c r="KM25" s="87">
        <f t="shared" si="265"/>
        <v>53418</v>
      </c>
      <c r="KN25" s="87">
        <f t="shared" ref="KN25:KR25" si="266">KN$3</f>
        <v>53448</v>
      </c>
      <c r="KO25" s="87">
        <f t="shared" si="266"/>
        <v>53479</v>
      </c>
      <c r="KP25" s="87">
        <f t="shared" si="266"/>
        <v>53509</v>
      </c>
      <c r="KQ25" s="87">
        <f t="shared" si="266"/>
        <v>53540</v>
      </c>
      <c r="KR25" s="87">
        <f t="shared" si="266"/>
        <v>53571</v>
      </c>
      <c r="KS25" s="571">
        <f>YEARFRAC(C25,D25,1)</f>
        <v>0.37808219178082192</v>
      </c>
      <c r="KT25" s="85"/>
    </row>
    <row r="26" spans="1:306" ht="5.0999999999999996" customHeight="1" thickBot="1" x14ac:dyDescent="0.35">
      <c r="A26" s="297"/>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c r="AR26" s="297"/>
      <c r="AS26" s="297"/>
      <c r="AT26" s="297"/>
      <c r="AU26" s="297"/>
      <c r="AV26" s="297"/>
      <c r="AW26" s="297"/>
      <c r="AX26" s="297"/>
      <c r="AY26" s="297"/>
      <c r="AZ26" s="297"/>
      <c r="BA26" s="297"/>
      <c r="BB26" s="297"/>
      <c r="BC26" s="297"/>
      <c r="BD26" s="297"/>
      <c r="BE26" s="297"/>
      <c r="BF26" s="297"/>
      <c r="BG26" s="297"/>
      <c r="BH26" s="297"/>
      <c r="BI26" s="297"/>
      <c r="BJ26" s="297"/>
      <c r="BK26" s="297"/>
      <c r="BL26" s="297"/>
      <c r="BM26" s="297"/>
      <c r="BN26" s="297"/>
      <c r="BO26" s="297"/>
      <c r="BP26" s="297"/>
      <c r="BQ26" s="297"/>
      <c r="BR26" s="297"/>
      <c r="BS26" s="297"/>
      <c r="BT26" s="297"/>
      <c r="BU26" s="297"/>
      <c r="BV26" s="297"/>
      <c r="BW26" s="297"/>
      <c r="BX26" s="297"/>
      <c r="BY26" s="297"/>
      <c r="BZ26" s="297"/>
      <c r="CA26" s="297"/>
      <c r="CB26" s="297"/>
      <c r="CC26" s="297"/>
      <c r="CD26" s="297"/>
      <c r="CE26" s="297"/>
      <c r="CF26" s="297"/>
      <c r="CG26" s="297"/>
      <c r="CH26" s="297"/>
      <c r="CI26" s="297"/>
      <c r="CJ26" s="297"/>
      <c r="CK26" s="297"/>
      <c r="CL26" s="297"/>
      <c r="CM26" s="297"/>
      <c r="CN26" s="297"/>
      <c r="CO26" s="297"/>
      <c r="CP26" s="297"/>
      <c r="CQ26" s="297"/>
      <c r="CR26" s="297"/>
      <c r="CS26" s="297"/>
      <c r="CT26" s="297"/>
      <c r="CU26" s="297"/>
      <c r="CV26" s="297"/>
      <c r="CW26" s="297"/>
      <c r="CX26" s="297"/>
      <c r="CY26" s="297"/>
      <c r="CZ26" s="297"/>
      <c r="DA26" s="297"/>
      <c r="DB26" s="297"/>
      <c r="DC26" s="297"/>
      <c r="DD26" s="297"/>
      <c r="DE26" s="297"/>
      <c r="DF26" s="297"/>
      <c r="DG26" s="297"/>
      <c r="DH26" s="297"/>
      <c r="DI26" s="297"/>
      <c r="DJ26" s="297"/>
      <c r="DK26" s="297"/>
      <c r="DL26" s="297"/>
      <c r="DM26" s="297"/>
      <c r="DN26" s="297"/>
      <c r="DO26" s="297"/>
      <c r="DP26" s="297"/>
      <c r="DQ26" s="297"/>
      <c r="DR26" s="297"/>
      <c r="DS26" s="297"/>
      <c r="DT26" s="297"/>
      <c r="DU26" s="297"/>
      <c r="DV26" s="297"/>
      <c r="DW26" s="297"/>
      <c r="DX26" s="297"/>
      <c r="DY26" s="297"/>
      <c r="DZ26" s="297"/>
      <c r="EA26" s="297"/>
      <c r="EB26" s="297"/>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G26" s="297"/>
      <c r="FH26" s="297"/>
      <c r="FI26" s="297"/>
      <c r="FJ26" s="297"/>
      <c r="FK26" s="297"/>
      <c r="FL26" s="297"/>
      <c r="FM26" s="297"/>
      <c r="FN26" s="297"/>
      <c r="FO26" s="297"/>
      <c r="FP26" s="297"/>
      <c r="FQ26" s="297"/>
      <c r="FR26" s="297"/>
      <c r="FS26" s="297"/>
      <c r="FT26" s="297"/>
      <c r="FU26" s="297"/>
      <c r="FV26" s="297"/>
      <c r="FW26" s="297"/>
      <c r="FX26" s="297"/>
      <c r="FY26" s="297"/>
      <c r="FZ26" s="297"/>
      <c r="GA26" s="297"/>
      <c r="GB26" s="297"/>
      <c r="GC26" s="297"/>
      <c r="GD26" s="297"/>
      <c r="GE26" s="297"/>
      <c r="GF26" s="297"/>
      <c r="GG26" s="297"/>
      <c r="GH26" s="297"/>
      <c r="GI26" s="297"/>
      <c r="GJ26" s="297"/>
      <c r="GK26" s="297"/>
      <c r="GL26" s="297"/>
      <c r="GM26" s="297"/>
      <c r="GN26" s="297"/>
      <c r="GO26" s="297"/>
      <c r="GP26" s="297"/>
      <c r="GQ26" s="297"/>
      <c r="GR26" s="297"/>
      <c r="GS26" s="297"/>
      <c r="GT26" s="297"/>
      <c r="GU26" s="297"/>
      <c r="GV26" s="297"/>
      <c r="GW26" s="297"/>
      <c r="GX26" s="297"/>
      <c r="GY26" s="297"/>
      <c r="GZ26" s="297"/>
      <c r="HA26" s="297"/>
      <c r="HB26" s="297"/>
      <c r="HC26" s="297"/>
      <c r="HD26" s="297"/>
      <c r="HE26" s="297"/>
      <c r="HF26" s="297"/>
      <c r="HG26" s="297"/>
      <c r="HH26" s="297"/>
      <c r="HI26" s="297"/>
      <c r="HJ26" s="297"/>
      <c r="HK26" s="297"/>
      <c r="HL26" s="297"/>
      <c r="HM26" s="297"/>
      <c r="HN26" s="297"/>
      <c r="HO26" s="297"/>
      <c r="HP26" s="297"/>
      <c r="HQ26" s="297"/>
      <c r="HR26" s="297"/>
      <c r="HS26" s="297"/>
      <c r="HT26" s="297"/>
      <c r="HU26" s="297"/>
      <c r="HV26" s="297"/>
      <c r="HW26" s="297"/>
      <c r="HX26" s="297"/>
      <c r="HY26" s="297"/>
      <c r="HZ26" s="297"/>
      <c r="IA26" s="297"/>
      <c r="IB26" s="297"/>
      <c r="IC26" s="297"/>
      <c r="ID26" s="297"/>
      <c r="IE26" s="297"/>
      <c r="IF26" s="297"/>
      <c r="IG26" s="297"/>
      <c r="IH26" s="297"/>
      <c r="II26" s="297"/>
      <c r="IJ26" s="297"/>
      <c r="IK26" s="297"/>
      <c r="IL26" s="297"/>
      <c r="IM26" s="297"/>
      <c r="IN26" s="297"/>
      <c r="IO26" s="297"/>
      <c r="IP26" s="297"/>
      <c r="IQ26" s="297"/>
      <c r="IR26" s="297"/>
      <c r="IS26" s="297"/>
      <c r="IT26" s="297"/>
      <c r="IU26" s="297"/>
      <c r="IV26" s="297"/>
      <c r="IW26" s="297"/>
      <c r="IX26" s="297"/>
      <c r="IY26" s="297"/>
      <c r="IZ26" s="297"/>
      <c r="JA26" s="297"/>
      <c r="JB26" s="297"/>
      <c r="JC26" s="297"/>
      <c r="JD26" s="297"/>
      <c r="JE26" s="297"/>
      <c r="JF26" s="297"/>
      <c r="JG26" s="297"/>
      <c r="JH26" s="297"/>
      <c r="JI26" s="297"/>
      <c r="JJ26" s="297"/>
      <c r="JK26" s="297"/>
      <c r="JL26" s="297"/>
      <c r="JM26" s="297"/>
      <c r="JN26" s="297"/>
      <c r="JO26" s="297"/>
      <c r="JP26" s="297"/>
      <c r="JQ26" s="297"/>
      <c r="JR26" s="297"/>
      <c r="JS26" s="297"/>
      <c r="JT26" s="297"/>
      <c r="JU26" s="297"/>
      <c r="JV26" s="297"/>
      <c r="JW26" s="297"/>
      <c r="JX26" s="297"/>
      <c r="JY26" s="297"/>
      <c r="JZ26" s="297"/>
      <c r="KA26" s="297"/>
      <c r="KB26" s="297"/>
      <c r="KC26" s="297"/>
      <c r="KD26" s="297"/>
      <c r="KE26" s="297"/>
      <c r="KF26" s="297"/>
      <c r="KG26" s="297"/>
      <c r="KH26" s="297"/>
      <c r="KI26" s="297"/>
      <c r="KJ26" s="297"/>
      <c r="KK26" s="297"/>
      <c r="KL26" s="297"/>
      <c r="KM26" s="297"/>
      <c r="KN26" s="297"/>
      <c r="KO26" s="297"/>
      <c r="KP26" s="297"/>
      <c r="KQ26" s="297"/>
      <c r="KR26" s="297"/>
      <c r="KS26" s="572"/>
    </row>
    <row r="27" spans="1:306" s="81" customFormat="1" ht="13.8" x14ac:dyDescent="0.3"/>
    <row r="28" spans="1:306" x14ac:dyDescent="0.3">
      <c r="A28" s="83" t="s">
        <v>1226</v>
      </c>
      <c r="B28" s="83">
        <v>2022</v>
      </c>
    </row>
    <row r="44" spans="1:304" ht="21" x14ac:dyDescent="0.4">
      <c r="A44" s="99" t="s">
        <v>691</v>
      </c>
      <c r="B44" s="99"/>
      <c r="C44" s="99"/>
      <c r="D44" s="99"/>
      <c r="E44" s="99"/>
      <c r="F44" s="99"/>
      <c r="G44" s="99"/>
      <c r="H44" s="99"/>
      <c r="I44" s="99"/>
      <c r="J44" s="99"/>
    </row>
    <row r="46" spans="1:304" hidden="1" outlineLevel="1" x14ac:dyDescent="0.3">
      <c r="B46" s="83"/>
      <c r="D46" s="98" t="s">
        <v>3</v>
      </c>
      <c r="E46" s="87">
        <f t="shared" ref="E46:BP46" si="267">DATE(E47,E48,E49)</f>
        <v>44470</v>
      </c>
      <c r="F46" s="87">
        <f t="shared" si="267"/>
        <v>44501</v>
      </c>
      <c r="G46" s="87">
        <f t="shared" si="267"/>
        <v>44531</v>
      </c>
      <c r="H46" s="87">
        <f t="shared" si="267"/>
        <v>44562</v>
      </c>
      <c r="I46" s="87">
        <f t="shared" si="267"/>
        <v>44593</v>
      </c>
      <c r="J46" s="87">
        <f t="shared" si="267"/>
        <v>44621</v>
      </c>
      <c r="K46" s="87">
        <f t="shared" si="267"/>
        <v>44652</v>
      </c>
      <c r="L46" s="87">
        <f t="shared" si="267"/>
        <v>44682</v>
      </c>
      <c r="M46" s="87">
        <f t="shared" si="267"/>
        <v>44713</v>
      </c>
      <c r="N46" s="87">
        <f t="shared" si="267"/>
        <v>44743</v>
      </c>
      <c r="O46" s="87">
        <f t="shared" si="267"/>
        <v>44774</v>
      </c>
      <c r="P46" s="87">
        <f t="shared" si="267"/>
        <v>44805</v>
      </c>
      <c r="Q46" s="87">
        <f t="shared" si="267"/>
        <v>44835</v>
      </c>
      <c r="R46" s="87">
        <f t="shared" si="267"/>
        <v>44866</v>
      </c>
      <c r="S46" s="87">
        <f t="shared" si="267"/>
        <v>44896</v>
      </c>
      <c r="T46" s="87">
        <f t="shared" si="267"/>
        <v>44927</v>
      </c>
      <c r="U46" s="87">
        <f t="shared" si="267"/>
        <v>44958</v>
      </c>
      <c r="V46" s="87">
        <f t="shared" si="267"/>
        <v>44986</v>
      </c>
      <c r="W46" s="87">
        <f t="shared" si="267"/>
        <v>45017</v>
      </c>
      <c r="X46" s="87">
        <f t="shared" si="267"/>
        <v>45047</v>
      </c>
      <c r="Y46" s="87">
        <f t="shared" si="267"/>
        <v>45078</v>
      </c>
      <c r="Z46" s="87">
        <f t="shared" si="267"/>
        <v>45108</v>
      </c>
      <c r="AA46" s="87">
        <f t="shared" si="267"/>
        <v>45139</v>
      </c>
      <c r="AB46" s="87">
        <f t="shared" si="267"/>
        <v>45170</v>
      </c>
      <c r="AC46" s="87">
        <f t="shared" si="267"/>
        <v>45200</v>
      </c>
      <c r="AD46" s="87">
        <f t="shared" si="267"/>
        <v>45231</v>
      </c>
      <c r="AE46" s="87">
        <f t="shared" si="267"/>
        <v>45261</v>
      </c>
      <c r="AF46" s="87">
        <f t="shared" si="267"/>
        <v>45292</v>
      </c>
      <c r="AG46" s="87">
        <f t="shared" si="267"/>
        <v>45323</v>
      </c>
      <c r="AH46" s="87">
        <f t="shared" si="267"/>
        <v>45352</v>
      </c>
      <c r="AI46" s="87">
        <f t="shared" si="267"/>
        <v>45383</v>
      </c>
      <c r="AJ46" s="87">
        <f t="shared" si="267"/>
        <v>45413</v>
      </c>
      <c r="AK46" s="87">
        <f t="shared" si="267"/>
        <v>45444</v>
      </c>
      <c r="AL46" s="87">
        <f t="shared" si="267"/>
        <v>45474</v>
      </c>
      <c r="AM46" s="87">
        <f t="shared" si="267"/>
        <v>45505</v>
      </c>
      <c r="AN46" s="87">
        <f t="shared" si="267"/>
        <v>45536</v>
      </c>
      <c r="AO46" s="87">
        <f t="shared" si="267"/>
        <v>45566</v>
      </c>
      <c r="AP46" s="87">
        <f t="shared" si="267"/>
        <v>45597</v>
      </c>
      <c r="AQ46" s="87">
        <f t="shared" si="267"/>
        <v>45627</v>
      </c>
      <c r="AR46" s="87">
        <f t="shared" si="267"/>
        <v>45658</v>
      </c>
      <c r="AS46" s="87">
        <f t="shared" si="267"/>
        <v>45689</v>
      </c>
      <c r="AT46" s="87">
        <f t="shared" si="267"/>
        <v>45717</v>
      </c>
      <c r="AU46" s="87">
        <f t="shared" si="267"/>
        <v>45748</v>
      </c>
      <c r="AV46" s="87">
        <f t="shared" si="267"/>
        <v>45778</v>
      </c>
      <c r="AW46" s="87">
        <f t="shared" si="267"/>
        <v>45809</v>
      </c>
      <c r="AX46" s="87">
        <f t="shared" si="267"/>
        <v>45839</v>
      </c>
      <c r="AY46" s="87">
        <f t="shared" si="267"/>
        <v>45870</v>
      </c>
      <c r="AZ46" s="87">
        <f t="shared" si="267"/>
        <v>45901</v>
      </c>
      <c r="BA46" s="87">
        <f t="shared" si="267"/>
        <v>45931</v>
      </c>
      <c r="BB46" s="87">
        <f t="shared" si="267"/>
        <v>45962</v>
      </c>
      <c r="BC46" s="87">
        <f t="shared" si="267"/>
        <v>45992</v>
      </c>
      <c r="BD46" s="87">
        <f t="shared" si="267"/>
        <v>46023</v>
      </c>
      <c r="BE46" s="87">
        <f t="shared" si="267"/>
        <v>46054</v>
      </c>
      <c r="BF46" s="87">
        <f t="shared" si="267"/>
        <v>46082</v>
      </c>
      <c r="BG46" s="87">
        <f t="shared" si="267"/>
        <v>46113</v>
      </c>
      <c r="BH46" s="87">
        <f t="shared" si="267"/>
        <v>46143</v>
      </c>
      <c r="BI46" s="87">
        <f t="shared" si="267"/>
        <v>46174</v>
      </c>
      <c r="BJ46" s="87">
        <f t="shared" si="267"/>
        <v>46204</v>
      </c>
      <c r="BK46" s="87">
        <f t="shared" si="267"/>
        <v>46235</v>
      </c>
      <c r="BL46" s="87">
        <f t="shared" si="267"/>
        <v>46266</v>
      </c>
      <c r="BM46" s="87">
        <f t="shared" si="267"/>
        <v>46296</v>
      </c>
      <c r="BN46" s="87">
        <f t="shared" si="267"/>
        <v>46327</v>
      </c>
      <c r="BO46" s="87">
        <f t="shared" si="267"/>
        <v>46357</v>
      </c>
      <c r="BP46" s="87">
        <f t="shared" si="267"/>
        <v>46388</v>
      </c>
      <c r="BQ46" s="87">
        <f t="shared" ref="BQ46:EB46" si="268">DATE(BQ47,BQ48,BQ49)</f>
        <v>46419</v>
      </c>
      <c r="BR46" s="87">
        <f t="shared" si="268"/>
        <v>46447</v>
      </c>
      <c r="BS46" s="87">
        <f t="shared" si="268"/>
        <v>46478</v>
      </c>
      <c r="BT46" s="87">
        <f t="shared" si="268"/>
        <v>46508</v>
      </c>
      <c r="BU46" s="87">
        <f t="shared" si="268"/>
        <v>46539</v>
      </c>
      <c r="BV46" s="87">
        <f t="shared" si="268"/>
        <v>46569</v>
      </c>
      <c r="BW46" s="87">
        <f t="shared" si="268"/>
        <v>46600</v>
      </c>
      <c r="BX46" s="87">
        <f t="shared" si="268"/>
        <v>46631</v>
      </c>
      <c r="BY46" s="87">
        <f t="shared" si="268"/>
        <v>46661</v>
      </c>
      <c r="BZ46" s="87">
        <f t="shared" si="268"/>
        <v>46692</v>
      </c>
      <c r="CA46" s="87">
        <f t="shared" si="268"/>
        <v>46722</v>
      </c>
      <c r="CB46" s="87">
        <f t="shared" si="268"/>
        <v>46753</v>
      </c>
      <c r="CC46" s="87">
        <f t="shared" si="268"/>
        <v>46784</v>
      </c>
      <c r="CD46" s="87">
        <f t="shared" si="268"/>
        <v>46813</v>
      </c>
      <c r="CE46" s="87">
        <f t="shared" si="268"/>
        <v>46844</v>
      </c>
      <c r="CF46" s="87">
        <f t="shared" si="268"/>
        <v>46874</v>
      </c>
      <c r="CG46" s="87">
        <f t="shared" si="268"/>
        <v>46905</v>
      </c>
      <c r="CH46" s="87">
        <f t="shared" si="268"/>
        <v>46935</v>
      </c>
      <c r="CI46" s="87">
        <f t="shared" si="268"/>
        <v>46966</v>
      </c>
      <c r="CJ46" s="87">
        <f t="shared" si="268"/>
        <v>46997</v>
      </c>
      <c r="CK46" s="87">
        <f t="shared" si="268"/>
        <v>47027</v>
      </c>
      <c r="CL46" s="87">
        <f t="shared" si="268"/>
        <v>47058</v>
      </c>
      <c r="CM46" s="87">
        <f t="shared" si="268"/>
        <v>47088</v>
      </c>
      <c r="CN46" s="87">
        <f t="shared" si="268"/>
        <v>47119</v>
      </c>
      <c r="CO46" s="87">
        <f t="shared" si="268"/>
        <v>47150</v>
      </c>
      <c r="CP46" s="87">
        <f t="shared" si="268"/>
        <v>47178</v>
      </c>
      <c r="CQ46" s="87">
        <f t="shared" si="268"/>
        <v>47209</v>
      </c>
      <c r="CR46" s="87">
        <f t="shared" si="268"/>
        <v>47239</v>
      </c>
      <c r="CS46" s="87">
        <f t="shared" si="268"/>
        <v>47270</v>
      </c>
      <c r="CT46" s="87">
        <f t="shared" si="268"/>
        <v>47300</v>
      </c>
      <c r="CU46" s="87">
        <f t="shared" si="268"/>
        <v>47331</v>
      </c>
      <c r="CV46" s="87">
        <f t="shared" si="268"/>
        <v>47362</v>
      </c>
      <c r="CW46" s="87">
        <f t="shared" si="268"/>
        <v>47392</v>
      </c>
      <c r="CX46" s="87">
        <f t="shared" si="268"/>
        <v>47423</v>
      </c>
      <c r="CY46" s="87">
        <f t="shared" si="268"/>
        <v>47453</v>
      </c>
      <c r="CZ46" s="87">
        <f t="shared" si="268"/>
        <v>47484</v>
      </c>
      <c r="DA46" s="87">
        <f t="shared" si="268"/>
        <v>47515</v>
      </c>
      <c r="DB46" s="87">
        <f t="shared" si="268"/>
        <v>47543</v>
      </c>
      <c r="DC46" s="87">
        <f t="shared" si="268"/>
        <v>47574</v>
      </c>
      <c r="DD46" s="87">
        <f t="shared" si="268"/>
        <v>47604</v>
      </c>
      <c r="DE46" s="87">
        <f t="shared" si="268"/>
        <v>47635</v>
      </c>
      <c r="DF46" s="87">
        <f t="shared" si="268"/>
        <v>47665</v>
      </c>
      <c r="DG46" s="87">
        <f t="shared" si="268"/>
        <v>47696</v>
      </c>
      <c r="DH46" s="87">
        <f t="shared" si="268"/>
        <v>47727</v>
      </c>
      <c r="DI46" s="87">
        <f t="shared" si="268"/>
        <v>47757</v>
      </c>
      <c r="DJ46" s="87">
        <f t="shared" si="268"/>
        <v>47788</v>
      </c>
      <c r="DK46" s="87">
        <f t="shared" si="268"/>
        <v>47818</v>
      </c>
      <c r="DL46" s="87">
        <f t="shared" si="268"/>
        <v>47849</v>
      </c>
      <c r="DM46" s="87">
        <f t="shared" si="268"/>
        <v>47880</v>
      </c>
      <c r="DN46" s="87">
        <f t="shared" si="268"/>
        <v>47908</v>
      </c>
      <c r="DO46" s="87">
        <f t="shared" si="268"/>
        <v>47939</v>
      </c>
      <c r="DP46" s="87">
        <f t="shared" si="268"/>
        <v>47969</v>
      </c>
      <c r="DQ46" s="87">
        <f t="shared" si="268"/>
        <v>48000</v>
      </c>
      <c r="DR46" s="87">
        <f t="shared" si="268"/>
        <v>48030</v>
      </c>
      <c r="DS46" s="87">
        <f t="shared" si="268"/>
        <v>48061</v>
      </c>
      <c r="DT46" s="87">
        <f t="shared" si="268"/>
        <v>48092</v>
      </c>
      <c r="DU46" s="87">
        <f t="shared" si="268"/>
        <v>48122</v>
      </c>
      <c r="DV46" s="87">
        <f t="shared" si="268"/>
        <v>48153</v>
      </c>
      <c r="DW46" s="87">
        <f t="shared" si="268"/>
        <v>48183</v>
      </c>
      <c r="DX46" s="87">
        <f t="shared" si="268"/>
        <v>48214</v>
      </c>
      <c r="DY46" s="87">
        <f t="shared" si="268"/>
        <v>48245</v>
      </c>
      <c r="DZ46" s="87">
        <f t="shared" si="268"/>
        <v>48274</v>
      </c>
      <c r="EA46" s="87">
        <f t="shared" si="268"/>
        <v>48305</v>
      </c>
      <c r="EB46" s="87">
        <f t="shared" si="268"/>
        <v>48335</v>
      </c>
      <c r="EC46" s="87">
        <f t="shared" ref="EC46:GN46" si="269">DATE(EC47,EC48,EC49)</f>
        <v>48366</v>
      </c>
      <c r="ED46" s="87">
        <f t="shared" si="269"/>
        <v>48396</v>
      </c>
      <c r="EE46" s="87">
        <f t="shared" si="269"/>
        <v>48427</v>
      </c>
      <c r="EF46" s="87">
        <f t="shared" si="269"/>
        <v>48458</v>
      </c>
      <c r="EG46" s="87">
        <f t="shared" si="269"/>
        <v>48488</v>
      </c>
      <c r="EH46" s="87">
        <f t="shared" si="269"/>
        <v>48519</v>
      </c>
      <c r="EI46" s="87">
        <f t="shared" si="269"/>
        <v>48549</v>
      </c>
      <c r="EJ46" s="87">
        <f t="shared" si="269"/>
        <v>48580</v>
      </c>
      <c r="EK46" s="87">
        <f t="shared" si="269"/>
        <v>48611</v>
      </c>
      <c r="EL46" s="87">
        <f t="shared" si="269"/>
        <v>48639</v>
      </c>
      <c r="EM46" s="87">
        <f t="shared" si="269"/>
        <v>48670</v>
      </c>
      <c r="EN46" s="87">
        <f t="shared" si="269"/>
        <v>48700</v>
      </c>
      <c r="EO46" s="87">
        <f t="shared" si="269"/>
        <v>48731</v>
      </c>
      <c r="EP46" s="87">
        <f t="shared" si="269"/>
        <v>48761</v>
      </c>
      <c r="EQ46" s="87">
        <f t="shared" si="269"/>
        <v>48792</v>
      </c>
      <c r="ER46" s="87">
        <f t="shared" si="269"/>
        <v>48823</v>
      </c>
      <c r="ES46" s="87">
        <f t="shared" si="269"/>
        <v>48853</v>
      </c>
      <c r="ET46" s="87">
        <f t="shared" si="269"/>
        <v>48884</v>
      </c>
      <c r="EU46" s="87">
        <f t="shared" si="269"/>
        <v>48914</v>
      </c>
      <c r="EV46" s="87">
        <f t="shared" si="269"/>
        <v>48945</v>
      </c>
      <c r="EW46" s="87">
        <f t="shared" si="269"/>
        <v>48976</v>
      </c>
      <c r="EX46" s="87">
        <f t="shared" si="269"/>
        <v>49004</v>
      </c>
      <c r="EY46" s="87">
        <f t="shared" si="269"/>
        <v>49035</v>
      </c>
      <c r="EZ46" s="87">
        <f t="shared" si="269"/>
        <v>49065</v>
      </c>
      <c r="FA46" s="87">
        <f t="shared" si="269"/>
        <v>49096</v>
      </c>
      <c r="FB46" s="87">
        <f t="shared" si="269"/>
        <v>49126</v>
      </c>
      <c r="FC46" s="87">
        <f t="shared" si="269"/>
        <v>49157</v>
      </c>
      <c r="FD46" s="87">
        <f t="shared" si="269"/>
        <v>49188</v>
      </c>
      <c r="FE46" s="87">
        <f t="shared" si="269"/>
        <v>49218</v>
      </c>
      <c r="FF46" s="87">
        <f t="shared" si="269"/>
        <v>49249</v>
      </c>
      <c r="FG46" s="87">
        <f t="shared" si="269"/>
        <v>49279</v>
      </c>
      <c r="FH46" s="87">
        <f t="shared" si="269"/>
        <v>49310</v>
      </c>
      <c r="FI46" s="87">
        <f t="shared" si="269"/>
        <v>49341</v>
      </c>
      <c r="FJ46" s="87">
        <f t="shared" si="269"/>
        <v>49369</v>
      </c>
      <c r="FK46" s="87">
        <f t="shared" si="269"/>
        <v>49400</v>
      </c>
      <c r="FL46" s="87">
        <f t="shared" si="269"/>
        <v>49430</v>
      </c>
      <c r="FM46" s="87">
        <f t="shared" si="269"/>
        <v>49461</v>
      </c>
      <c r="FN46" s="87">
        <f t="shared" si="269"/>
        <v>49491</v>
      </c>
      <c r="FO46" s="87">
        <f t="shared" si="269"/>
        <v>49522</v>
      </c>
      <c r="FP46" s="87">
        <f t="shared" si="269"/>
        <v>49553</v>
      </c>
      <c r="FQ46" s="87">
        <f t="shared" si="269"/>
        <v>49583</v>
      </c>
      <c r="FR46" s="87">
        <f t="shared" si="269"/>
        <v>49614</v>
      </c>
      <c r="FS46" s="87">
        <f t="shared" si="269"/>
        <v>49644</v>
      </c>
      <c r="FT46" s="87">
        <f t="shared" si="269"/>
        <v>49675</v>
      </c>
      <c r="FU46" s="87">
        <f t="shared" si="269"/>
        <v>49706</v>
      </c>
      <c r="FV46" s="87">
        <f t="shared" si="269"/>
        <v>49735</v>
      </c>
      <c r="FW46" s="87">
        <f t="shared" si="269"/>
        <v>49766</v>
      </c>
      <c r="FX46" s="87">
        <f t="shared" si="269"/>
        <v>49796</v>
      </c>
      <c r="FY46" s="87">
        <f t="shared" si="269"/>
        <v>49827</v>
      </c>
      <c r="FZ46" s="87">
        <f t="shared" si="269"/>
        <v>49857</v>
      </c>
      <c r="GA46" s="87">
        <f t="shared" si="269"/>
        <v>49888</v>
      </c>
      <c r="GB46" s="87">
        <f t="shared" si="269"/>
        <v>49919</v>
      </c>
      <c r="GC46" s="87">
        <f t="shared" si="269"/>
        <v>49949</v>
      </c>
      <c r="GD46" s="87">
        <f t="shared" si="269"/>
        <v>49980</v>
      </c>
      <c r="GE46" s="87">
        <f t="shared" si="269"/>
        <v>50010</v>
      </c>
      <c r="GF46" s="87">
        <f t="shared" si="269"/>
        <v>50041</v>
      </c>
      <c r="GG46" s="87">
        <f t="shared" si="269"/>
        <v>50072</v>
      </c>
      <c r="GH46" s="87">
        <f t="shared" si="269"/>
        <v>50100</v>
      </c>
      <c r="GI46" s="87">
        <f t="shared" si="269"/>
        <v>50131</v>
      </c>
      <c r="GJ46" s="87">
        <f t="shared" si="269"/>
        <v>50161</v>
      </c>
      <c r="GK46" s="87">
        <f t="shared" si="269"/>
        <v>50192</v>
      </c>
      <c r="GL46" s="87">
        <f t="shared" si="269"/>
        <v>50222</v>
      </c>
      <c r="GM46" s="87">
        <f t="shared" si="269"/>
        <v>50253</v>
      </c>
      <c r="GN46" s="87">
        <f t="shared" si="269"/>
        <v>50284</v>
      </c>
      <c r="GO46" s="87">
        <f t="shared" ref="GO46:IZ46" si="270">DATE(GO47,GO48,GO49)</f>
        <v>50314</v>
      </c>
      <c r="GP46" s="87">
        <f t="shared" si="270"/>
        <v>50345</v>
      </c>
      <c r="GQ46" s="87">
        <f t="shared" si="270"/>
        <v>50375</v>
      </c>
      <c r="GR46" s="87">
        <f t="shared" si="270"/>
        <v>50406</v>
      </c>
      <c r="GS46" s="87">
        <f t="shared" si="270"/>
        <v>50437</v>
      </c>
      <c r="GT46" s="87">
        <f t="shared" si="270"/>
        <v>50465</v>
      </c>
      <c r="GU46" s="87">
        <f t="shared" si="270"/>
        <v>50496</v>
      </c>
      <c r="GV46" s="87">
        <f t="shared" si="270"/>
        <v>50526</v>
      </c>
      <c r="GW46" s="87">
        <f t="shared" si="270"/>
        <v>50557</v>
      </c>
      <c r="GX46" s="87">
        <f t="shared" si="270"/>
        <v>50587</v>
      </c>
      <c r="GY46" s="87">
        <f t="shared" si="270"/>
        <v>50618</v>
      </c>
      <c r="GZ46" s="87">
        <f t="shared" si="270"/>
        <v>50649</v>
      </c>
      <c r="HA46" s="87">
        <f t="shared" si="270"/>
        <v>50679</v>
      </c>
      <c r="HB46" s="87">
        <f t="shared" si="270"/>
        <v>50710</v>
      </c>
      <c r="HC46" s="87">
        <f t="shared" si="270"/>
        <v>50740</v>
      </c>
      <c r="HD46" s="87">
        <f t="shared" si="270"/>
        <v>50771</v>
      </c>
      <c r="HE46" s="87">
        <f t="shared" si="270"/>
        <v>50802</v>
      </c>
      <c r="HF46" s="87">
        <f t="shared" si="270"/>
        <v>50830</v>
      </c>
      <c r="HG46" s="87">
        <f t="shared" si="270"/>
        <v>50861</v>
      </c>
      <c r="HH46" s="87">
        <f t="shared" si="270"/>
        <v>50891</v>
      </c>
      <c r="HI46" s="87">
        <f t="shared" si="270"/>
        <v>50922</v>
      </c>
      <c r="HJ46" s="87">
        <f t="shared" si="270"/>
        <v>50952</v>
      </c>
      <c r="HK46" s="87">
        <f t="shared" si="270"/>
        <v>50983</v>
      </c>
      <c r="HL46" s="87">
        <f t="shared" si="270"/>
        <v>51014</v>
      </c>
      <c r="HM46" s="87">
        <f t="shared" si="270"/>
        <v>51044</v>
      </c>
      <c r="HN46" s="87">
        <f t="shared" si="270"/>
        <v>51075</v>
      </c>
      <c r="HO46" s="87">
        <f t="shared" si="270"/>
        <v>51105</v>
      </c>
      <c r="HP46" s="87">
        <f t="shared" si="270"/>
        <v>51136</v>
      </c>
      <c r="HQ46" s="87">
        <f t="shared" si="270"/>
        <v>51167</v>
      </c>
      <c r="HR46" s="87">
        <f t="shared" si="270"/>
        <v>51196</v>
      </c>
      <c r="HS46" s="87">
        <f t="shared" si="270"/>
        <v>51227</v>
      </c>
      <c r="HT46" s="87">
        <f t="shared" si="270"/>
        <v>51257</v>
      </c>
      <c r="HU46" s="87">
        <f t="shared" si="270"/>
        <v>51288</v>
      </c>
      <c r="HV46" s="87">
        <f t="shared" si="270"/>
        <v>51318</v>
      </c>
      <c r="HW46" s="87">
        <f t="shared" si="270"/>
        <v>51349</v>
      </c>
      <c r="HX46" s="87">
        <f t="shared" si="270"/>
        <v>51380</v>
      </c>
      <c r="HY46" s="87">
        <f t="shared" si="270"/>
        <v>51410</v>
      </c>
      <c r="HZ46" s="87">
        <f t="shared" si="270"/>
        <v>51441</v>
      </c>
      <c r="IA46" s="87">
        <f t="shared" si="270"/>
        <v>51471</v>
      </c>
      <c r="IB46" s="87">
        <f t="shared" si="270"/>
        <v>51502</v>
      </c>
      <c r="IC46" s="87">
        <f t="shared" si="270"/>
        <v>51533</v>
      </c>
      <c r="ID46" s="87">
        <f t="shared" si="270"/>
        <v>51561</v>
      </c>
      <c r="IE46" s="87">
        <f t="shared" si="270"/>
        <v>51592</v>
      </c>
      <c r="IF46" s="87">
        <f t="shared" si="270"/>
        <v>51622</v>
      </c>
      <c r="IG46" s="87">
        <f t="shared" si="270"/>
        <v>51653</v>
      </c>
      <c r="IH46" s="87">
        <f t="shared" si="270"/>
        <v>51683</v>
      </c>
      <c r="II46" s="87">
        <f t="shared" si="270"/>
        <v>51714</v>
      </c>
      <c r="IJ46" s="87">
        <f t="shared" si="270"/>
        <v>51745</v>
      </c>
      <c r="IK46" s="87">
        <f t="shared" si="270"/>
        <v>51775</v>
      </c>
      <c r="IL46" s="87">
        <f t="shared" si="270"/>
        <v>51806</v>
      </c>
      <c r="IM46" s="87">
        <f t="shared" si="270"/>
        <v>51836</v>
      </c>
      <c r="IN46" s="87">
        <f t="shared" si="270"/>
        <v>51867</v>
      </c>
      <c r="IO46" s="87">
        <f t="shared" si="270"/>
        <v>51898</v>
      </c>
      <c r="IP46" s="87">
        <f t="shared" si="270"/>
        <v>51926</v>
      </c>
      <c r="IQ46" s="87">
        <f t="shared" si="270"/>
        <v>51957</v>
      </c>
      <c r="IR46" s="87">
        <f t="shared" si="270"/>
        <v>51987</v>
      </c>
      <c r="IS46" s="87">
        <f t="shared" si="270"/>
        <v>52018</v>
      </c>
      <c r="IT46" s="87">
        <f t="shared" si="270"/>
        <v>52048</v>
      </c>
      <c r="IU46" s="87">
        <f t="shared" si="270"/>
        <v>52079</v>
      </c>
      <c r="IV46" s="87">
        <f t="shared" si="270"/>
        <v>52110</v>
      </c>
      <c r="IW46" s="87">
        <f t="shared" si="270"/>
        <v>52140</v>
      </c>
      <c r="IX46" s="87">
        <f t="shared" si="270"/>
        <v>52171</v>
      </c>
      <c r="IY46" s="87">
        <f t="shared" si="270"/>
        <v>52201</v>
      </c>
      <c r="IZ46" s="87">
        <f t="shared" si="270"/>
        <v>52232</v>
      </c>
      <c r="JA46" s="87">
        <f t="shared" ref="JA46:KR46" si="271">DATE(JA47,JA48,JA49)</f>
        <v>52263</v>
      </c>
      <c r="JB46" s="87">
        <f t="shared" si="271"/>
        <v>52291</v>
      </c>
      <c r="JC46" s="87">
        <f t="shared" si="271"/>
        <v>52322</v>
      </c>
      <c r="JD46" s="87">
        <f t="shared" si="271"/>
        <v>52352</v>
      </c>
      <c r="JE46" s="87">
        <f t="shared" si="271"/>
        <v>52383</v>
      </c>
      <c r="JF46" s="87">
        <f t="shared" si="271"/>
        <v>52413</v>
      </c>
      <c r="JG46" s="87">
        <f t="shared" si="271"/>
        <v>52444</v>
      </c>
      <c r="JH46" s="87">
        <f t="shared" si="271"/>
        <v>52475</v>
      </c>
      <c r="JI46" s="87">
        <f t="shared" si="271"/>
        <v>52505</v>
      </c>
      <c r="JJ46" s="87">
        <f t="shared" si="271"/>
        <v>52536</v>
      </c>
      <c r="JK46" s="87">
        <f t="shared" si="271"/>
        <v>52566</v>
      </c>
      <c r="JL46" s="87">
        <f t="shared" si="271"/>
        <v>52597</v>
      </c>
      <c r="JM46" s="87">
        <f t="shared" si="271"/>
        <v>52628</v>
      </c>
      <c r="JN46" s="87">
        <f t="shared" si="271"/>
        <v>52657</v>
      </c>
      <c r="JO46" s="87">
        <f t="shared" si="271"/>
        <v>52688</v>
      </c>
      <c r="JP46" s="87">
        <f t="shared" si="271"/>
        <v>52718</v>
      </c>
      <c r="JQ46" s="87">
        <f t="shared" si="271"/>
        <v>52749</v>
      </c>
      <c r="JR46" s="87">
        <f t="shared" si="271"/>
        <v>52779</v>
      </c>
      <c r="JS46" s="87">
        <f t="shared" si="271"/>
        <v>52810</v>
      </c>
      <c r="JT46" s="87">
        <f t="shared" si="271"/>
        <v>52841</v>
      </c>
      <c r="JU46" s="87">
        <f t="shared" si="271"/>
        <v>52871</v>
      </c>
      <c r="JV46" s="87">
        <f t="shared" si="271"/>
        <v>52902</v>
      </c>
      <c r="JW46" s="87">
        <f t="shared" si="271"/>
        <v>52932</v>
      </c>
      <c r="JX46" s="87">
        <f t="shared" si="271"/>
        <v>52963</v>
      </c>
      <c r="JY46" s="87">
        <f t="shared" si="271"/>
        <v>52994</v>
      </c>
      <c r="JZ46" s="87">
        <f t="shared" si="271"/>
        <v>53022</v>
      </c>
      <c r="KA46" s="87">
        <f t="shared" si="271"/>
        <v>53053</v>
      </c>
      <c r="KB46" s="87">
        <f t="shared" si="271"/>
        <v>53083</v>
      </c>
      <c r="KC46" s="87">
        <f t="shared" si="271"/>
        <v>53114</v>
      </c>
      <c r="KD46" s="87">
        <f t="shared" si="271"/>
        <v>53144</v>
      </c>
      <c r="KE46" s="87">
        <f t="shared" si="271"/>
        <v>53175</v>
      </c>
      <c r="KF46" s="87">
        <f t="shared" si="271"/>
        <v>53206</v>
      </c>
      <c r="KG46" s="87">
        <f t="shared" si="271"/>
        <v>53236</v>
      </c>
      <c r="KH46" s="87">
        <f t="shared" si="271"/>
        <v>53267</v>
      </c>
      <c r="KI46" s="87">
        <f t="shared" si="271"/>
        <v>53297</v>
      </c>
      <c r="KJ46" s="87">
        <f t="shared" si="271"/>
        <v>53328</v>
      </c>
      <c r="KK46" s="87">
        <f t="shared" si="271"/>
        <v>53359</v>
      </c>
      <c r="KL46" s="87">
        <f t="shared" si="271"/>
        <v>53387</v>
      </c>
      <c r="KM46" s="87">
        <f t="shared" si="271"/>
        <v>53418</v>
      </c>
      <c r="KN46" s="87">
        <f t="shared" si="271"/>
        <v>53448</v>
      </c>
      <c r="KO46" s="87">
        <f t="shared" si="271"/>
        <v>53479</v>
      </c>
      <c r="KP46" s="87">
        <f t="shared" si="271"/>
        <v>53509</v>
      </c>
      <c r="KQ46" s="87">
        <f t="shared" si="271"/>
        <v>53540</v>
      </c>
      <c r="KR46" s="87">
        <f t="shared" si="271"/>
        <v>53571</v>
      </c>
    </row>
    <row r="47" spans="1:304" hidden="1" outlineLevel="1" x14ac:dyDescent="0.3">
      <c r="B47" s="83"/>
      <c r="D47" s="98" t="s">
        <v>687</v>
      </c>
      <c r="E47" s="98">
        <f>B69-1</f>
        <v>2021</v>
      </c>
      <c r="F47" s="98">
        <f>E47</f>
        <v>2021</v>
      </c>
      <c r="G47" s="98">
        <f>F47</f>
        <v>2021</v>
      </c>
      <c r="H47" s="98">
        <f>G47+1</f>
        <v>2022</v>
      </c>
      <c r="I47" s="98">
        <f t="shared" ref="I47:S47" si="272">H47</f>
        <v>2022</v>
      </c>
      <c r="J47" s="98">
        <f t="shared" si="272"/>
        <v>2022</v>
      </c>
      <c r="K47" s="98">
        <f t="shared" si="272"/>
        <v>2022</v>
      </c>
      <c r="L47" s="98">
        <f t="shared" si="272"/>
        <v>2022</v>
      </c>
      <c r="M47" s="98">
        <f t="shared" si="272"/>
        <v>2022</v>
      </c>
      <c r="N47" s="98">
        <f t="shared" si="272"/>
        <v>2022</v>
      </c>
      <c r="O47" s="98">
        <f t="shared" si="272"/>
        <v>2022</v>
      </c>
      <c r="P47" s="98">
        <f t="shared" si="272"/>
        <v>2022</v>
      </c>
      <c r="Q47" s="8">
        <f t="shared" si="272"/>
        <v>2022</v>
      </c>
      <c r="R47" s="8">
        <f t="shared" si="272"/>
        <v>2022</v>
      </c>
      <c r="S47" s="8">
        <f t="shared" si="272"/>
        <v>2022</v>
      </c>
      <c r="T47" s="8">
        <f>S47+1</f>
        <v>2023</v>
      </c>
      <c r="U47" s="8">
        <f t="shared" ref="U47:AE47" si="273">T47</f>
        <v>2023</v>
      </c>
      <c r="V47" s="8">
        <f t="shared" si="273"/>
        <v>2023</v>
      </c>
      <c r="W47" s="8">
        <f t="shared" si="273"/>
        <v>2023</v>
      </c>
      <c r="X47" s="8">
        <f t="shared" si="273"/>
        <v>2023</v>
      </c>
      <c r="Y47" s="8">
        <f t="shared" si="273"/>
        <v>2023</v>
      </c>
      <c r="Z47" s="8">
        <f t="shared" si="273"/>
        <v>2023</v>
      </c>
      <c r="AA47" s="8">
        <f t="shared" si="273"/>
        <v>2023</v>
      </c>
      <c r="AB47" s="8">
        <f t="shared" si="273"/>
        <v>2023</v>
      </c>
      <c r="AC47" s="8">
        <f t="shared" si="273"/>
        <v>2023</v>
      </c>
      <c r="AD47" s="8">
        <f t="shared" si="273"/>
        <v>2023</v>
      </c>
      <c r="AE47" s="8">
        <f t="shared" si="273"/>
        <v>2023</v>
      </c>
      <c r="AF47" s="8">
        <f>AE47+1</f>
        <v>2024</v>
      </c>
      <c r="AG47" s="8">
        <f t="shared" ref="AG47:AQ47" si="274">AF47</f>
        <v>2024</v>
      </c>
      <c r="AH47" s="8">
        <f t="shared" si="274"/>
        <v>2024</v>
      </c>
      <c r="AI47" s="8">
        <f t="shared" si="274"/>
        <v>2024</v>
      </c>
      <c r="AJ47" s="8">
        <f t="shared" si="274"/>
        <v>2024</v>
      </c>
      <c r="AK47" s="8">
        <f t="shared" si="274"/>
        <v>2024</v>
      </c>
      <c r="AL47" s="8">
        <f t="shared" si="274"/>
        <v>2024</v>
      </c>
      <c r="AM47" s="8">
        <f t="shared" si="274"/>
        <v>2024</v>
      </c>
      <c r="AN47" s="8">
        <f t="shared" si="274"/>
        <v>2024</v>
      </c>
      <c r="AO47" s="8">
        <f t="shared" si="274"/>
        <v>2024</v>
      </c>
      <c r="AP47" s="8">
        <f t="shared" si="274"/>
        <v>2024</v>
      </c>
      <c r="AQ47" s="8">
        <f t="shared" si="274"/>
        <v>2024</v>
      </c>
      <c r="AR47" s="8">
        <f>AQ47+1</f>
        <v>2025</v>
      </c>
      <c r="AS47" s="8">
        <f t="shared" ref="AS47:BC47" si="275">AR47</f>
        <v>2025</v>
      </c>
      <c r="AT47" s="8">
        <f t="shared" si="275"/>
        <v>2025</v>
      </c>
      <c r="AU47" s="8">
        <f t="shared" si="275"/>
        <v>2025</v>
      </c>
      <c r="AV47" s="8">
        <f t="shared" si="275"/>
        <v>2025</v>
      </c>
      <c r="AW47" s="8">
        <f t="shared" si="275"/>
        <v>2025</v>
      </c>
      <c r="AX47" s="8">
        <f t="shared" si="275"/>
        <v>2025</v>
      </c>
      <c r="AY47" s="8">
        <f t="shared" si="275"/>
        <v>2025</v>
      </c>
      <c r="AZ47" s="8">
        <f t="shared" si="275"/>
        <v>2025</v>
      </c>
      <c r="BA47" s="8">
        <f t="shared" si="275"/>
        <v>2025</v>
      </c>
      <c r="BB47" s="8">
        <f t="shared" si="275"/>
        <v>2025</v>
      </c>
      <c r="BC47" s="8">
        <f t="shared" si="275"/>
        <v>2025</v>
      </c>
      <c r="BD47" s="8">
        <f>BC47+1</f>
        <v>2026</v>
      </c>
      <c r="BE47" s="8">
        <f t="shared" ref="BE47:BO47" si="276">BD47</f>
        <v>2026</v>
      </c>
      <c r="BF47" s="8">
        <f t="shared" si="276"/>
        <v>2026</v>
      </c>
      <c r="BG47" s="8">
        <f t="shared" si="276"/>
        <v>2026</v>
      </c>
      <c r="BH47" s="8">
        <f t="shared" si="276"/>
        <v>2026</v>
      </c>
      <c r="BI47" s="8">
        <f t="shared" si="276"/>
        <v>2026</v>
      </c>
      <c r="BJ47" s="8">
        <f t="shared" si="276"/>
        <v>2026</v>
      </c>
      <c r="BK47" s="8">
        <f t="shared" si="276"/>
        <v>2026</v>
      </c>
      <c r="BL47" s="8">
        <f t="shared" si="276"/>
        <v>2026</v>
      </c>
      <c r="BM47" s="8">
        <f t="shared" si="276"/>
        <v>2026</v>
      </c>
      <c r="BN47" s="8">
        <f t="shared" si="276"/>
        <v>2026</v>
      </c>
      <c r="BO47" s="8">
        <f t="shared" si="276"/>
        <v>2026</v>
      </c>
      <c r="BP47" s="8">
        <f>BO47+1</f>
        <v>2027</v>
      </c>
      <c r="BQ47" s="8">
        <f t="shared" ref="BQ47:CA47" si="277">BP47</f>
        <v>2027</v>
      </c>
      <c r="BR47" s="8">
        <f t="shared" si="277"/>
        <v>2027</v>
      </c>
      <c r="BS47" s="8">
        <f t="shared" si="277"/>
        <v>2027</v>
      </c>
      <c r="BT47" s="8">
        <f t="shared" si="277"/>
        <v>2027</v>
      </c>
      <c r="BU47" s="8">
        <f t="shared" si="277"/>
        <v>2027</v>
      </c>
      <c r="BV47" s="8">
        <f t="shared" si="277"/>
        <v>2027</v>
      </c>
      <c r="BW47" s="8">
        <f t="shared" si="277"/>
        <v>2027</v>
      </c>
      <c r="BX47" s="8">
        <f t="shared" si="277"/>
        <v>2027</v>
      </c>
      <c r="BY47" s="8">
        <f t="shared" si="277"/>
        <v>2027</v>
      </c>
      <c r="BZ47" s="8">
        <f t="shared" si="277"/>
        <v>2027</v>
      </c>
      <c r="CA47" s="8">
        <f t="shared" si="277"/>
        <v>2027</v>
      </c>
      <c r="CB47" s="8">
        <f>CA47+1</f>
        <v>2028</v>
      </c>
      <c r="CC47" s="8">
        <f t="shared" ref="CC47:CM47" si="278">CB47</f>
        <v>2028</v>
      </c>
      <c r="CD47" s="8">
        <f t="shared" si="278"/>
        <v>2028</v>
      </c>
      <c r="CE47" s="8">
        <f t="shared" si="278"/>
        <v>2028</v>
      </c>
      <c r="CF47" s="8">
        <f t="shared" si="278"/>
        <v>2028</v>
      </c>
      <c r="CG47" s="8">
        <f t="shared" si="278"/>
        <v>2028</v>
      </c>
      <c r="CH47" s="8">
        <f t="shared" si="278"/>
        <v>2028</v>
      </c>
      <c r="CI47" s="8">
        <f t="shared" si="278"/>
        <v>2028</v>
      </c>
      <c r="CJ47" s="8">
        <f t="shared" si="278"/>
        <v>2028</v>
      </c>
      <c r="CK47" s="8">
        <f t="shared" si="278"/>
        <v>2028</v>
      </c>
      <c r="CL47" s="8">
        <f t="shared" si="278"/>
        <v>2028</v>
      </c>
      <c r="CM47" s="8">
        <f t="shared" si="278"/>
        <v>2028</v>
      </c>
      <c r="CN47" s="8">
        <f>CM47+1</f>
        <v>2029</v>
      </c>
      <c r="CO47" s="8">
        <f t="shared" ref="CO47:CY47" si="279">CN47</f>
        <v>2029</v>
      </c>
      <c r="CP47" s="8">
        <f t="shared" si="279"/>
        <v>2029</v>
      </c>
      <c r="CQ47" s="8">
        <f t="shared" si="279"/>
        <v>2029</v>
      </c>
      <c r="CR47" s="8">
        <f t="shared" si="279"/>
        <v>2029</v>
      </c>
      <c r="CS47" s="8">
        <f t="shared" si="279"/>
        <v>2029</v>
      </c>
      <c r="CT47" s="8">
        <f t="shared" si="279"/>
        <v>2029</v>
      </c>
      <c r="CU47" s="8">
        <f t="shared" si="279"/>
        <v>2029</v>
      </c>
      <c r="CV47" s="8">
        <f t="shared" si="279"/>
        <v>2029</v>
      </c>
      <c r="CW47" s="8">
        <f t="shared" si="279"/>
        <v>2029</v>
      </c>
      <c r="CX47" s="8">
        <f t="shared" si="279"/>
        <v>2029</v>
      </c>
      <c r="CY47" s="8">
        <f t="shared" si="279"/>
        <v>2029</v>
      </c>
      <c r="CZ47" s="8">
        <f>CY47+1</f>
        <v>2030</v>
      </c>
      <c r="DA47" s="8">
        <f t="shared" ref="DA47:DK47" si="280">CZ47</f>
        <v>2030</v>
      </c>
      <c r="DB47" s="8">
        <f t="shared" si="280"/>
        <v>2030</v>
      </c>
      <c r="DC47" s="8">
        <f t="shared" si="280"/>
        <v>2030</v>
      </c>
      <c r="DD47" s="8">
        <f t="shared" si="280"/>
        <v>2030</v>
      </c>
      <c r="DE47" s="8">
        <f t="shared" si="280"/>
        <v>2030</v>
      </c>
      <c r="DF47" s="8">
        <f t="shared" si="280"/>
        <v>2030</v>
      </c>
      <c r="DG47" s="8">
        <f t="shared" si="280"/>
        <v>2030</v>
      </c>
      <c r="DH47" s="8">
        <f t="shared" si="280"/>
        <v>2030</v>
      </c>
      <c r="DI47" s="8">
        <f t="shared" si="280"/>
        <v>2030</v>
      </c>
      <c r="DJ47" s="8">
        <f t="shared" si="280"/>
        <v>2030</v>
      </c>
      <c r="DK47" s="8">
        <f t="shared" si="280"/>
        <v>2030</v>
      </c>
      <c r="DL47" s="8">
        <f>DK47+1</f>
        <v>2031</v>
      </c>
      <c r="DM47" s="8">
        <f t="shared" ref="DM47:DW47" si="281">DL47</f>
        <v>2031</v>
      </c>
      <c r="DN47" s="8">
        <f t="shared" si="281"/>
        <v>2031</v>
      </c>
      <c r="DO47" s="8">
        <f t="shared" si="281"/>
        <v>2031</v>
      </c>
      <c r="DP47" s="8">
        <f t="shared" si="281"/>
        <v>2031</v>
      </c>
      <c r="DQ47" s="8">
        <f t="shared" si="281"/>
        <v>2031</v>
      </c>
      <c r="DR47" s="8">
        <f t="shared" si="281"/>
        <v>2031</v>
      </c>
      <c r="DS47" s="8">
        <f t="shared" si="281"/>
        <v>2031</v>
      </c>
      <c r="DT47" s="8">
        <f t="shared" si="281"/>
        <v>2031</v>
      </c>
      <c r="DU47" s="8">
        <f t="shared" si="281"/>
        <v>2031</v>
      </c>
      <c r="DV47" s="8">
        <f t="shared" si="281"/>
        <v>2031</v>
      </c>
      <c r="DW47" s="8">
        <f t="shared" si="281"/>
        <v>2031</v>
      </c>
      <c r="DX47" s="8">
        <f>DW47+1</f>
        <v>2032</v>
      </c>
      <c r="DY47" s="8">
        <f t="shared" ref="DY47:EI47" si="282">DX47</f>
        <v>2032</v>
      </c>
      <c r="DZ47" s="8">
        <f t="shared" si="282"/>
        <v>2032</v>
      </c>
      <c r="EA47" s="8">
        <f t="shared" si="282"/>
        <v>2032</v>
      </c>
      <c r="EB47" s="8">
        <f t="shared" si="282"/>
        <v>2032</v>
      </c>
      <c r="EC47" s="8">
        <f t="shared" si="282"/>
        <v>2032</v>
      </c>
      <c r="ED47" s="8">
        <f t="shared" si="282"/>
        <v>2032</v>
      </c>
      <c r="EE47" s="8">
        <f t="shared" si="282"/>
        <v>2032</v>
      </c>
      <c r="EF47" s="8">
        <f t="shared" si="282"/>
        <v>2032</v>
      </c>
      <c r="EG47" s="98">
        <f t="shared" si="282"/>
        <v>2032</v>
      </c>
      <c r="EH47" s="98">
        <f t="shared" si="282"/>
        <v>2032</v>
      </c>
      <c r="EI47" s="98">
        <f t="shared" si="282"/>
        <v>2032</v>
      </c>
      <c r="EJ47" s="98">
        <f>EI47+1</f>
        <v>2033</v>
      </c>
      <c r="EK47" s="98">
        <f t="shared" ref="EK47:EU47" si="283">EJ47</f>
        <v>2033</v>
      </c>
      <c r="EL47" s="98">
        <f t="shared" si="283"/>
        <v>2033</v>
      </c>
      <c r="EM47" s="98">
        <f t="shared" si="283"/>
        <v>2033</v>
      </c>
      <c r="EN47" s="98">
        <f t="shared" si="283"/>
        <v>2033</v>
      </c>
      <c r="EO47" s="98">
        <f t="shared" si="283"/>
        <v>2033</v>
      </c>
      <c r="EP47" s="98">
        <f t="shared" si="283"/>
        <v>2033</v>
      </c>
      <c r="EQ47" s="98">
        <f t="shared" si="283"/>
        <v>2033</v>
      </c>
      <c r="ER47" s="98">
        <f t="shared" si="283"/>
        <v>2033</v>
      </c>
      <c r="ES47" s="98">
        <f t="shared" si="283"/>
        <v>2033</v>
      </c>
      <c r="ET47" s="98">
        <f t="shared" si="283"/>
        <v>2033</v>
      </c>
      <c r="EU47" s="98">
        <f t="shared" si="283"/>
        <v>2033</v>
      </c>
      <c r="EV47" s="98">
        <f>EU47+1</f>
        <v>2034</v>
      </c>
      <c r="EW47" s="98">
        <f t="shared" ref="EW47:FG47" si="284">EV47</f>
        <v>2034</v>
      </c>
      <c r="EX47" s="98">
        <f t="shared" si="284"/>
        <v>2034</v>
      </c>
      <c r="EY47" s="98">
        <f t="shared" si="284"/>
        <v>2034</v>
      </c>
      <c r="EZ47" s="98">
        <f t="shared" si="284"/>
        <v>2034</v>
      </c>
      <c r="FA47" s="98">
        <f t="shared" si="284"/>
        <v>2034</v>
      </c>
      <c r="FB47" s="98">
        <f t="shared" si="284"/>
        <v>2034</v>
      </c>
      <c r="FC47" s="98">
        <f t="shared" si="284"/>
        <v>2034</v>
      </c>
      <c r="FD47" s="98">
        <f t="shared" si="284"/>
        <v>2034</v>
      </c>
      <c r="FE47" s="98">
        <f t="shared" si="284"/>
        <v>2034</v>
      </c>
      <c r="FF47" s="98">
        <f t="shared" si="284"/>
        <v>2034</v>
      </c>
      <c r="FG47" s="98">
        <f t="shared" si="284"/>
        <v>2034</v>
      </c>
      <c r="FH47" s="98">
        <f>FG47+1</f>
        <v>2035</v>
      </c>
      <c r="FI47" s="98">
        <f t="shared" ref="FI47:FS47" si="285">FH47</f>
        <v>2035</v>
      </c>
      <c r="FJ47" s="98">
        <f t="shared" si="285"/>
        <v>2035</v>
      </c>
      <c r="FK47" s="98">
        <f t="shared" si="285"/>
        <v>2035</v>
      </c>
      <c r="FL47" s="98">
        <f t="shared" si="285"/>
        <v>2035</v>
      </c>
      <c r="FM47" s="98">
        <f t="shared" si="285"/>
        <v>2035</v>
      </c>
      <c r="FN47" s="98">
        <f t="shared" si="285"/>
        <v>2035</v>
      </c>
      <c r="FO47" s="98">
        <f t="shared" si="285"/>
        <v>2035</v>
      </c>
      <c r="FP47" s="98">
        <f t="shared" si="285"/>
        <v>2035</v>
      </c>
      <c r="FQ47" s="98">
        <f t="shared" si="285"/>
        <v>2035</v>
      </c>
      <c r="FR47" s="98">
        <f t="shared" si="285"/>
        <v>2035</v>
      </c>
      <c r="FS47" s="98">
        <f t="shared" si="285"/>
        <v>2035</v>
      </c>
      <c r="FT47" s="98">
        <f>FS47+1</f>
        <v>2036</v>
      </c>
      <c r="FU47" s="98">
        <f t="shared" ref="FU47:GE47" si="286">FT47</f>
        <v>2036</v>
      </c>
      <c r="FV47" s="98">
        <f t="shared" si="286"/>
        <v>2036</v>
      </c>
      <c r="FW47" s="98">
        <f t="shared" si="286"/>
        <v>2036</v>
      </c>
      <c r="FX47" s="98">
        <f t="shared" si="286"/>
        <v>2036</v>
      </c>
      <c r="FY47" s="98">
        <f t="shared" si="286"/>
        <v>2036</v>
      </c>
      <c r="FZ47" s="98">
        <f t="shared" si="286"/>
        <v>2036</v>
      </c>
      <c r="GA47" s="98">
        <f t="shared" si="286"/>
        <v>2036</v>
      </c>
      <c r="GB47" s="98">
        <f t="shared" si="286"/>
        <v>2036</v>
      </c>
      <c r="GC47" s="98">
        <f t="shared" si="286"/>
        <v>2036</v>
      </c>
      <c r="GD47" s="98">
        <f t="shared" si="286"/>
        <v>2036</v>
      </c>
      <c r="GE47" s="98">
        <f t="shared" si="286"/>
        <v>2036</v>
      </c>
      <c r="GF47" s="98">
        <f>GE47+1</f>
        <v>2037</v>
      </c>
      <c r="GG47" s="98">
        <f t="shared" ref="GG47:GQ47" si="287">GF47</f>
        <v>2037</v>
      </c>
      <c r="GH47" s="98">
        <f t="shared" si="287"/>
        <v>2037</v>
      </c>
      <c r="GI47" s="98">
        <f t="shared" si="287"/>
        <v>2037</v>
      </c>
      <c r="GJ47" s="98">
        <f t="shared" si="287"/>
        <v>2037</v>
      </c>
      <c r="GK47" s="98">
        <f t="shared" si="287"/>
        <v>2037</v>
      </c>
      <c r="GL47" s="98">
        <f t="shared" si="287"/>
        <v>2037</v>
      </c>
      <c r="GM47" s="98">
        <f t="shared" si="287"/>
        <v>2037</v>
      </c>
      <c r="GN47" s="98">
        <f t="shared" si="287"/>
        <v>2037</v>
      </c>
      <c r="GO47" s="98">
        <f t="shared" si="287"/>
        <v>2037</v>
      </c>
      <c r="GP47" s="98">
        <f t="shared" si="287"/>
        <v>2037</v>
      </c>
      <c r="GQ47" s="98">
        <f t="shared" si="287"/>
        <v>2037</v>
      </c>
      <c r="GR47" s="98">
        <f>GQ47+1</f>
        <v>2038</v>
      </c>
      <c r="GS47" s="98">
        <f t="shared" ref="GS47:HC47" si="288">GR47</f>
        <v>2038</v>
      </c>
      <c r="GT47" s="98">
        <f t="shared" si="288"/>
        <v>2038</v>
      </c>
      <c r="GU47" s="98">
        <f t="shared" si="288"/>
        <v>2038</v>
      </c>
      <c r="GV47" s="98">
        <f t="shared" si="288"/>
        <v>2038</v>
      </c>
      <c r="GW47" s="98">
        <f t="shared" si="288"/>
        <v>2038</v>
      </c>
      <c r="GX47" s="98">
        <f t="shared" si="288"/>
        <v>2038</v>
      </c>
      <c r="GY47" s="98">
        <f t="shared" si="288"/>
        <v>2038</v>
      </c>
      <c r="GZ47" s="98">
        <f t="shared" si="288"/>
        <v>2038</v>
      </c>
      <c r="HA47" s="98">
        <f t="shared" si="288"/>
        <v>2038</v>
      </c>
      <c r="HB47" s="98">
        <f t="shared" si="288"/>
        <v>2038</v>
      </c>
      <c r="HC47" s="98">
        <f t="shared" si="288"/>
        <v>2038</v>
      </c>
      <c r="HD47" s="98">
        <f>HC47+1</f>
        <v>2039</v>
      </c>
      <c r="HE47" s="98">
        <f t="shared" ref="HE47:HO47" si="289">HD47</f>
        <v>2039</v>
      </c>
      <c r="HF47" s="98">
        <f t="shared" si="289"/>
        <v>2039</v>
      </c>
      <c r="HG47" s="98">
        <f t="shared" si="289"/>
        <v>2039</v>
      </c>
      <c r="HH47" s="98">
        <f t="shared" si="289"/>
        <v>2039</v>
      </c>
      <c r="HI47" s="98">
        <f t="shared" si="289"/>
        <v>2039</v>
      </c>
      <c r="HJ47" s="98">
        <f t="shared" si="289"/>
        <v>2039</v>
      </c>
      <c r="HK47" s="98">
        <f t="shared" si="289"/>
        <v>2039</v>
      </c>
      <c r="HL47" s="98">
        <f t="shared" si="289"/>
        <v>2039</v>
      </c>
      <c r="HM47" s="98">
        <f t="shared" si="289"/>
        <v>2039</v>
      </c>
      <c r="HN47" s="98">
        <f t="shared" si="289"/>
        <v>2039</v>
      </c>
      <c r="HO47" s="98">
        <f t="shared" si="289"/>
        <v>2039</v>
      </c>
      <c r="HP47" s="98">
        <f>HO47+1</f>
        <v>2040</v>
      </c>
      <c r="HQ47" s="98">
        <f t="shared" ref="HQ47:IA47" si="290">HP47</f>
        <v>2040</v>
      </c>
      <c r="HR47" s="98">
        <f t="shared" si="290"/>
        <v>2040</v>
      </c>
      <c r="HS47" s="98">
        <f t="shared" si="290"/>
        <v>2040</v>
      </c>
      <c r="HT47" s="98">
        <f t="shared" si="290"/>
        <v>2040</v>
      </c>
      <c r="HU47" s="98">
        <f t="shared" si="290"/>
        <v>2040</v>
      </c>
      <c r="HV47" s="98">
        <f t="shared" si="290"/>
        <v>2040</v>
      </c>
      <c r="HW47" s="98">
        <f t="shared" si="290"/>
        <v>2040</v>
      </c>
      <c r="HX47" s="98">
        <f t="shared" si="290"/>
        <v>2040</v>
      </c>
      <c r="HY47" s="98">
        <f t="shared" si="290"/>
        <v>2040</v>
      </c>
      <c r="HZ47" s="98">
        <f t="shared" si="290"/>
        <v>2040</v>
      </c>
      <c r="IA47" s="98">
        <f t="shared" si="290"/>
        <v>2040</v>
      </c>
      <c r="IB47" s="98">
        <f>IA47+1</f>
        <v>2041</v>
      </c>
      <c r="IC47" s="98">
        <f t="shared" ref="IC47:IM47" si="291">IB47</f>
        <v>2041</v>
      </c>
      <c r="ID47" s="98">
        <f t="shared" si="291"/>
        <v>2041</v>
      </c>
      <c r="IE47" s="98">
        <f t="shared" si="291"/>
        <v>2041</v>
      </c>
      <c r="IF47" s="98">
        <f t="shared" si="291"/>
        <v>2041</v>
      </c>
      <c r="IG47" s="98">
        <f t="shared" si="291"/>
        <v>2041</v>
      </c>
      <c r="IH47" s="98">
        <f t="shared" si="291"/>
        <v>2041</v>
      </c>
      <c r="II47" s="98">
        <f t="shared" si="291"/>
        <v>2041</v>
      </c>
      <c r="IJ47" s="98">
        <f t="shared" si="291"/>
        <v>2041</v>
      </c>
      <c r="IK47" s="98">
        <f t="shared" si="291"/>
        <v>2041</v>
      </c>
      <c r="IL47" s="98">
        <f t="shared" si="291"/>
        <v>2041</v>
      </c>
      <c r="IM47" s="98">
        <f t="shared" si="291"/>
        <v>2041</v>
      </c>
      <c r="IN47" s="98">
        <f>IM47+1</f>
        <v>2042</v>
      </c>
      <c r="IO47" s="98">
        <f t="shared" ref="IO47:IY47" si="292">IN47</f>
        <v>2042</v>
      </c>
      <c r="IP47" s="98">
        <f t="shared" si="292"/>
        <v>2042</v>
      </c>
      <c r="IQ47" s="98">
        <f t="shared" si="292"/>
        <v>2042</v>
      </c>
      <c r="IR47" s="98">
        <f t="shared" si="292"/>
        <v>2042</v>
      </c>
      <c r="IS47" s="98">
        <f t="shared" si="292"/>
        <v>2042</v>
      </c>
      <c r="IT47" s="98">
        <f t="shared" si="292"/>
        <v>2042</v>
      </c>
      <c r="IU47" s="98">
        <f t="shared" si="292"/>
        <v>2042</v>
      </c>
      <c r="IV47" s="98">
        <f t="shared" si="292"/>
        <v>2042</v>
      </c>
      <c r="IW47" s="98">
        <f t="shared" si="292"/>
        <v>2042</v>
      </c>
      <c r="IX47" s="98">
        <f t="shared" si="292"/>
        <v>2042</v>
      </c>
      <c r="IY47" s="98">
        <f t="shared" si="292"/>
        <v>2042</v>
      </c>
      <c r="IZ47" s="98">
        <f>IY47+1</f>
        <v>2043</v>
      </c>
      <c r="JA47" s="98">
        <f t="shared" ref="JA47:JK47" si="293">IZ47</f>
        <v>2043</v>
      </c>
      <c r="JB47" s="98">
        <f t="shared" si="293"/>
        <v>2043</v>
      </c>
      <c r="JC47" s="98">
        <f t="shared" si="293"/>
        <v>2043</v>
      </c>
      <c r="JD47" s="98">
        <f t="shared" si="293"/>
        <v>2043</v>
      </c>
      <c r="JE47" s="98">
        <f t="shared" si="293"/>
        <v>2043</v>
      </c>
      <c r="JF47" s="98">
        <f t="shared" si="293"/>
        <v>2043</v>
      </c>
      <c r="JG47" s="98">
        <f t="shared" si="293"/>
        <v>2043</v>
      </c>
      <c r="JH47" s="98">
        <f t="shared" si="293"/>
        <v>2043</v>
      </c>
      <c r="JI47" s="98">
        <f t="shared" si="293"/>
        <v>2043</v>
      </c>
      <c r="JJ47" s="98">
        <f t="shared" si="293"/>
        <v>2043</v>
      </c>
      <c r="JK47" s="98">
        <f t="shared" si="293"/>
        <v>2043</v>
      </c>
      <c r="JL47" s="98">
        <f>JK47+1</f>
        <v>2044</v>
      </c>
      <c r="JM47" s="98">
        <f t="shared" ref="JM47:JW47" si="294">JL47</f>
        <v>2044</v>
      </c>
      <c r="JN47" s="98">
        <f t="shared" si="294"/>
        <v>2044</v>
      </c>
      <c r="JO47" s="98">
        <f t="shared" si="294"/>
        <v>2044</v>
      </c>
      <c r="JP47" s="98">
        <f t="shared" si="294"/>
        <v>2044</v>
      </c>
      <c r="JQ47" s="98">
        <f t="shared" si="294"/>
        <v>2044</v>
      </c>
      <c r="JR47" s="98">
        <f t="shared" si="294"/>
        <v>2044</v>
      </c>
      <c r="JS47" s="98">
        <f t="shared" si="294"/>
        <v>2044</v>
      </c>
      <c r="JT47" s="98">
        <f t="shared" si="294"/>
        <v>2044</v>
      </c>
      <c r="JU47" s="98">
        <f t="shared" si="294"/>
        <v>2044</v>
      </c>
      <c r="JV47" s="98">
        <f t="shared" si="294"/>
        <v>2044</v>
      </c>
      <c r="JW47" s="98">
        <f t="shared" si="294"/>
        <v>2044</v>
      </c>
      <c r="JX47" s="98">
        <f>JW47+1</f>
        <v>2045</v>
      </c>
      <c r="JY47" s="98">
        <f t="shared" ref="JY47:KI47" si="295">JX47</f>
        <v>2045</v>
      </c>
      <c r="JZ47" s="98">
        <f t="shared" si="295"/>
        <v>2045</v>
      </c>
      <c r="KA47" s="98">
        <f t="shared" si="295"/>
        <v>2045</v>
      </c>
      <c r="KB47" s="98">
        <f t="shared" si="295"/>
        <v>2045</v>
      </c>
      <c r="KC47" s="98">
        <f t="shared" si="295"/>
        <v>2045</v>
      </c>
      <c r="KD47" s="98">
        <f t="shared" si="295"/>
        <v>2045</v>
      </c>
      <c r="KE47" s="98">
        <f t="shared" si="295"/>
        <v>2045</v>
      </c>
      <c r="KF47" s="98">
        <f t="shared" si="295"/>
        <v>2045</v>
      </c>
      <c r="KG47" s="98">
        <f t="shared" si="295"/>
        <v>2045</v>
      </c>
      <c r="KH47" s="98">
        <f t="shared" si="295"/>
        <v>2045</v>
      </c>
      <c r="KI47" s="98">
        <f t="shared" si="295"/>
        <v>2045</v>
      </c>
      <c r="KJ47" s="98">
        <f>KI47+1</f>
        <v>2046</v>
      </c>
      <c r="KK47" s="98">
        <f t="shared" ref="KK47:KR47" si="296">KJ47</f>
        <v>2046</v>
      </c>
      <c r="KL47" s="98">
        <f t="shared" si="296"/>
        <v>2046</v>
      </c>
      <c r="KM47" s="98">
        <f t="shared" si="296"/>
        <v>2046</v>
      </c>
      <c r="KN47" s="98">
        <f t="shared" si="296"/>
        <v>2046</v>
      </c>
      <c r="KO47" s="98">
        <f t="shared" si="296"/>
        <v>2046</v>
      </c>
      <c r="KP47" s="98">
        <f t="shared" si="296"/>
        <v>2046</v>
      </c>
      <c r="KQ47" s="98">
        <f t="shared" si="296"/>
        <v>2046</v>
      </c>
      <c r="KR47" s="98">
        <f t="shared" si="296"/>
        <v>2046</v>
      </c>
    </row>
    <row r="48" spans="1:304" hidden="1" outlineLevel="1" x14ac:dyDescent="0.3">
      <c r="D48" s="98" t="s">
        <v>686</v>
      </c>
      <c r="E48" s="98">
        <v>10</v>
      </c>
      <c r="F48" s="98">
        <v>11</v>
      </c>
      <c r="G48" s="98">
        <v>12</v>
      </c>
      <c r="H48" s="98">
        <v>1</v>
      </c>
      <c r="I48" s="98">
        <v>2</v>
      </c>
      <c r="J48" s="98">
        <v>3</v>
      </c>
      <c r="K48" s="98">
        <v>4</v>
      </c>
      <c r="L48" s="98">
        <v>5</v>
      </c>
      <c r="M48" s="98">
        <v>6</v>
      </c>
      <c r="N48" s="98">
        <v>7</v>
      </c>
      <c r="O48" s="98">
        <v>8</v>
      </c>
      <c r="P48" s="98">
        <v>9</v>
      </c>
      <c r="Q48" s="98">
        <v>10</v>
      </c>
      <c r="R48" s="98">
        <v>11</v>
      </c>
      <c r="S48" s="98">
        <v>12</v>
      </c>
      <c r="T48" s="98">
        <v>1</v>
      </c>
      <c r="U48" s="98">
        <v>2</v>
      </c>
      <c r="V48" s="98">
        <v>3</v>
      </c>
      <c r="W48" s="98">
        <v>4</v>
      </c>
      <c r="X48" s="98">
        <v>5</v>
      </c>
      <c r="Y48" s="98">
        <v>6</v>
      </c>
      <c r="Z48" s="98">
        <v>7</v>
      </c>
      <c r="AA48" s="98">
        <v>8</v>
      </c>
      <c r="AB48" s="98">
        <v>9</v>
      </c>
      <c r="AC48" s="98">
        <v>10</v>
      </c>
      <c r="AD48" s="98">
        <v>11</v>
      </c>
      <c r="AE48" s="98">
        <v>12</v>
      </c>
      <c r="AF48" s="98">
        <v>1</v>
      </c>
      <c r="AG48" s="98">
        <v>2</v>
      </c>
      <c r="AH48" s="98">
        <v>3</v>
      </c>
      <c r="AI48" s="98">
        <v>4</v>
      </c>
      <c r="AJ48" s="98">
        <v>5</v>
      </c>
      <c r="AK48" s="98">
        <v>6</v>
      </c>
      <c r="AL48" s="98">
        <v>7</v>
      </c>
      <c r="AM48" s="98">
        <v>8</v>
      </c>
      <c r="AN48" s="98">
        <v>9</v>
      </c>
      <c r="AO48" s="98">
        <v>10</v>
      </c>
      <c r="AP48" s="98">
        <v>11</v>
      </c>
      <c r="AQ48" s="98">
        <v>12</v>
      </c>
      <c r="AR48" s="98">
        <v>1</v>
      </c>
      <c r="AS48" s="98">
        <v>2</v>
      </c>
      <c r="AT48" s="98">
        <v>3</v>
      </c>
      <c r="AU48" s="98">
        <v>4</v>
      </c>
      <c r="AV48" s="98">
        <v>5</v>
      </c>
      <c r="AW48" s="98">
        <v>6</v>
      </c>
      <c r="AX48" s="98">
        <v>7</v>
      </c>
      <c r="AY48" s="98">
        <v>8</v>
      </c>
      <c r="AZ48" s="98">
        <v>9</v>
      </c>
      <c r="BA48" s="98">
        <v>10</v>
      </c>
      <c r="BB48" s="98">
        <v>11</v>
      </c>
      <c r="BC48" s="98">
        <v>12</v>
      </c>
      <c r="BD48" s="98">
        <v>1</v>
      </c>
      <c r="BE48" s="98">
        <v>2</v>
      </c>
      <c r="BF48" s="98">
        <v>3</v>
      </c>
      <c r="BG48" s="98">
        <v>4</v>
      </c>
      <c r="BH48" s="98">
        <v>5</v>
      </c>
      <c r="BI48" s="98">
        <v>6</v>
      </c>
      <c r="BJ48" s="98">
        <v>7</v>
      </c>
      <c r="BK48" s="98">
        <v>8</v>
      </c>
      <c r="BL48" s="98">
        <v>9</v>
      </c>
      <c r="BM48" s="98">
        <v>10</v>
      </c>
      <c r="BN48" s="98">
        <v>11</v>
      </c>
      <c r="BO48" s="98">
        <v>12</v>
      </c>
      <c r="BP48" s="98">
        <v>1</v>
      </c>
      <c r="BQ48" s="98">
        <v>2</v>
      </c>
      <c r="BR48" s="98">
        <v>3</v>
      </c>
      <c r="BS48" s="98">
        <v>4</v>
      </c>
      <c r="BT48" s="98">
        <v>5</v>
      </c>
      <c r="BU48" s="98">
        <v>6</v>
      </c>
      <c r="BV48" s="98">
        <v>7</v>
      </c>
      <c r="BW48" s="98">
        <v>8</v>
      </c>
      <c r="BX48" s="98">
        <v>9</v>
      </c>
      <c r="BY48" s="98">
        <v>10</v>
      </c>
      <c r="BZ48" s="98">
        <v>11</v>
      </c>
      <c r="CA48" s="98">
        <v>12</v>
      </c>
      <c r="CB48" s="98">
        <v>1</v>
      </c>
      <c r="CC48" s="98">
        <v>2</v>
      </c>
      <c r="CD48" s="98">
        <v>3</v>
      </c>
      <c r="CE48" s="98">
        <v>4</v>
      </c>
      <c r="CF48" s="98">
        <v>5</v>
      </c>
      <c r="CG48" s="98">
        <v>6</v>
      </c>
      <c r="CH48" s="98">
        <v>7</v>
      </c>
      <c r="CI48" s="98">
        <v>8</v>
      </c>
      <c r="CJ48" s="98">
        <v>9</v>
      </c>
      <c r="CK48" s="98">
        <v>10</v>
      </c>
      <c r="CL48" s="98">
        <v>11</v>
      </c>
      <c r="CM48" s="98">
        <v>12</v>
      </c>
      <c r="CN48" s="98">
        <v>1</v>
      </c>
      <c r="CO48" s="98">
        <v>2</v>
      </c>
      <c r="CP48" s="98">
        <v>3</v>
      </c>
      <c r="CQ48" s="98">
        <v>4</v>
      </c>
      <c r="CR48" s="98">
        <v>5</v>
      </c>
      <c r="CS48" s="98">
        <v>6</v>
      </c>
      <c r="CT48" s="98">
        <v>7</v>
      </c>
      <c r="CU48" s="98">
        <v>8</v>
      </c>
      <c r="CV48" s="98">
        <v>9</v>
      </c>
      <c r="CW48" s="98">
        <v>10</v>
      </c>
      <c r="CX48" s="98">
        <v>11</v>
      </c>
      <c r="CY48" s="98">
        <v>12</v>
      </c>
      <c r="CZ48" s="98">
        <v>1</v>
      </c>
      <c r="DA48" s="98">
        <v>2</v>
      </c>
      <c r="DB48" s="98">
        <v>3</v>
      </c>
      <c r="DC48" s="98">
        <v>4</v>
      </c>
      <c r="DD48" s="98">
        <v>5</v>
      </c>
      <c r="DE48" s="98">
        <v>6</v>
      </c>
      <c r="DF48" s="98">
        <v>7</v>
      </c>
      <c r="DG48" s="98">
        <v>8</v>
      </c>
      <c r="DH48" s="98">
        <v>9</v>
      </c>
      <c r="DI48" s="98">
        <v>10</v>
      </c>
      <c r="DJ48" s="98">
        <v>11</v>
      </c>
      <c r="DK48" s="98">
        <v>12</v>
      </c>
      <c r="DL48" s="98">
        <v>1</v>
      </c>
      <c r="DM48" s="98">
        <v>2</v>
      </c>
      <c r="DN48" s="98">
        <v>3</v>
      </c>
      <c r="DO48" s="98">
        <v>4</v>
      </c>
      <c r="DP48" s="98">
        <v>5</v>
      </c>
      <c r="DQ48" s="98">
        <v>6</v>
      </c>
      <c r="DR48" s="98">
        <v>7</v>
      </c>
      <c r="DS48" s="98">
        <v>8</v>
      </c>
      <c r="DT48" s="98">
        <v>9</v>
      </c>
      <c r="DU48" s="98">
        <v>10</v>
      </c>
      <c r="DV48" s="98">
        <v>11</v>
      </c>
      <c r="DW48" s="98">
        <v>12</v>
      </c>
      <c r="DX48" s="98">
        <v>1</v>
      </c>
      <c r="DY48" s="98">
        <v>2</v>
      </c>
      <c r="DZ48" s="98">
        <v>3</v>
      </c>
      <c r="EA48" s="98">
        <v>4</v>
      </c>
      <c r="EB48" s="98">
        <v>5</v>
      </c>
      <c r="EC48" s="98">
        <v>6</v>
      </c>
      <c r="ED48" s="98">
        <v>7</v>
      </c>
      <c r="EE48" s="98">
        <v>8</v>
      </c>
      <c r="EF48" s="98">
        <v>9</v>
      </c>
      <c r="EG48" s="98">
        <v>10</v>
      </c>
      <c r="EH48" s="98">
        <v>11</v>
      </c>
      <c r="EI48" s="98">
        <v>12</v>
      </c>
      <c r="EJ48" s="98">
        <v>1</v>
      </c>
      <c r="EK48" s="98">
        <v>2</v>
      </c>
      <c r="EL48" s="98">
        <v>3</v>
      </c>
      <c r="EM48" s="98">
        <v>4</v>
      </c>
      <c r="EN48" s="98">
        <v>5</v>
      </c>
      <c r="EO48" s="98">
        <v>6</v>
      </c>
      <c r="EP48" s="98">
        <v>7</v>
      </c>
      <c r="EQ48" s="98">
        <v>8</v>
      </c>
      <c r="ER48" s="98">
        <v>9</v>
      </c>
      <c r="ES48" s="98">
        <v>10</v>
      </c>
      <c r="ET48" s="98">
        <v>11</v>
      </c>
      <c r="EU48" s="98">
        <v>12</v>
      </c>
      <c r="EV48" s="98">
        <v>1</v>
      </c>
      <c r="EW48" s="98">
        <v>2</v>
      </c>
      <c r="EX48" s="98">
        <v>3</v>
      </c>
      <c r="EY48" s="98">
        <v>4</v>
      </c>
      <c r="EZ48" s="98">
        <v>5</v>
      </c>
      <c r="FA48" s="98">
        <v>6</v>
      </c>
      <c r="FB48" s="98">
        <v>7</v>
      </c>
      <c r="FC48" s="98">
        <v>8</v>
      </c>
      <c r="FD48" s="98">
        <v>9</v>
      </c>
      <c r="FE48" s="98">
        <v>10</v>
      </c>
      <c r="FF48" s="98">
        <v>11</v>
      </c>
      <c r="FG48" s="98">
        <v>12</v>
      </c>
      <c r="FH48" s="98">
        <v>1</v>
      </c>
      <c r="FI48" s="98">
        <v>2</v>
      </c>
      <c r="FJ48" s="98">
        <v>3</v>
      </c>
      <c r="FK48" s="98">
        <v>4</v>
      </c>
      <c r="FL48" s="98">
        <v>5</v>
      </c>
      <c r="FM48" s="98">
        <v>6</v>
      </c>
      <c r="FN48" s="98">
        <v>7</v>
      </c>
      <c r="FO48" s="98">
        <v>8</v>
      </c>
      <c r="FP48" s="98">
        <v>9</v>
      </c>
      <c r="FQ48" s="98">
        <v>10</v>
      </c>
      <c r="FR48" s="98">
        <v>11</v>
      </c>
      <c r="FS48" s="98">
        <v>12</v>
      </c>
      <c r="FT48" s="98">
        <v>1</v>
      </c>
      <c r="FU48" s="98">
        <v>2</v>
      </c>
      <c r="FV48" s="98">
        <v>3</v>
      </c>
      <c r="FW48" s="98">
        <v>4</v>
      </c>
      <c r="FX48" s="98">
        <v>5</v>
      </c>
      <c r="FY48" s="98">
        <v>6</v>
      </c>
      <c r="FZ48" s="98">
        <v>7</v>
      </c>
      <c r="GA48" s="98">
        <v>8</v>
      </c>
      <c r="GB48" s="98">
        <v>9</v>
      </c>
      <c r="GC48" s="98">
        <v>10</v>
      </c>
      <c r="GD48" s="98">
        <v>11</v>
      </c>
      <c r="GE48" s="98">
        <v>12</v>
      </c>
      <c r="GF48" s="98">
        <v>1</v>
      </c>
      <c r="GG48" s="98">
        <v>2</v>
      </c>
      <c r="GH48" s="98">
        <v>3</v>
      </c>
      <c r="GI48" s="98">
        <v>4</v>
      </c>
      <c r="GJ48" s="98">
        <v>5</v>
      </c>
      <c r="GK48" s="98">
        <v>6</v>
      </c>
      <c r="GL48" s="98">
        <v>7</v>
      </c>
      <c r="GM48" s="98">
        <v>8</v>
      </c>
      <c r="GN48" s="98">
        <v>9</v>
      </c>
      <c r="GO48" s="98">
        <v>10</v>
      </c>
      <c r="GP48" s="98">
        <v>11</v>
      </c>
      <c r="GQ48" s="98">
        <v>12</v>
      </c>
      <c r="GR48" s="98">
        <v>1</v>
      </c>
      <c r="GS48" s="98">
        <v>2</v>
      </c>
      <c r="GT48" s="98">
        <v>3</v>
      </c>
      <c r="GU48" s="98">
        <v>4</v>
      </c>
      <c r="GV48" s="98">
        <v>5</v>
      </c>
      <c r="GW48" s="98">
        <v>6</v>
      </c>
      <c r="GX48" s="98">
        <v>7</v>
      </c>
      <c r="GY48" s="98">
        <v>8</v>
      </c>
      <c r="GZ48" s="98">
        <v>9</v>
      </c>
      <c r="HA48" s="98">
        <v>10</v>
      </c>
      <c r="HB48" s="98">
        <v>11</v>
      </c>
      <c r="HC48" s="98">
        <v>12</v>
      </c>
      <c r="HD48" s="98">
        <v>1</v>
      </c>
      <c r="HE48" s="98">
        <v>2</v>
      </c>
      <c r="HF48" s="98">
        <v>3</v>
      </c>
      <c r="HG48" s="98">
        <v>4</v>
      </c>
      <c r="HH48" s="98">
        <v>5</v>
      </c>
      <c r="HI48" s="98">
        <v>6</v>
      </c>
      <c r="HJ48" s="98">
        <v>7</v>
      </c>
      <c r="HK48" s="98">
        <v>8</v>
      </c>
      <c r="HL48" s="98">
        <v>9</v>
      </c>
      <c r="HM48" s="98">
        <v>10</v>
      </c>
      <c r="HN48" s="98">
        <v>11</v>
      </c>
      <c r="HO48" s="98">
        <v>12</v>
      </c>
      <c r="HP48" s="98">
        <v>1</v>
      </c>
      <c r="HQ48" s="98">
        <v>2</v>
      </c>
      <c r="HR48" s="98">
        <v>3</v>
      </c>
      <c r="HS48" s="98">
        <v>4</v>
      </c>
      <c r="HT48" s="98">
        <v>5</v>
      </c>
      <c r="HU48" s="98">
        <v>6</v>
      </c>
      <c r="HV48" s="98">
        <v>7</v>
      </c>
      <c r="HW48" s="98">
        <v>8</v>
      </c>
      <c r="HX48" s="98">
        <v>9</v>
      </c>
      <c r="HY48" s="98">
        <v>10</v>
      </c>
      <c r="HZ48" s="98">
        <v>11</v>
      </c>
      <c r="IA48" s="98">
        <v>12</v>
      </c>
      <c r="IB48" s="98">
        <v>1</v>
      </c>
      <c r="IC48" s="98">
        <v>2</v>
      </c>
      <c r="ID48" s="98">
        <v>3</v>
      </c>
      <c r="IE48" s="98">
        <v>4</v>
      </c>
      <c r="IF48" s="98">
        <v>5</v>
      </c>
      <c r="IG48" s="98">
        <v>6</v>
      </c>
      <c r="IH48" s="98">
        <v>7</v>
      </c>
      <c r="II48" s="98">
        <v>8</v>
      </c>
      <c r="IJ48" s="98">
        <v>9</v>
      </c>
      <c r="IK48" s="98">
        <v>10</v>
      </c>
      <c r="IL48" s="98">
        <v>11</v>
      </c>
      <c r="IM48" s="98">
        <v>12</v>
      </c>
      <c r="IN48" s="98">
        <v>1</v>
      </c>
      <c r="IO48" s="98">
        <v>2</v>
      </c>
      <c r="IP48" s="98">
        <v>3</v>
      </c>
      <c r="IQ48" s="98">
        <v>4</v>
      </c>
      <c r="IR48" s="98">
        <v>5</v>
      </c>
      <c r="IS48" s="98">
        <v>6</v>
      </c>
      <c r="IT48" s="98">
        <v>7</v>
      </c>
      <c r="IU48" s="98">
        <v>8</v>
      </c>
      <c r="IV48" s="98">
        <v>9</v>
      </c>
      <c r="IW48" s="98">
        <v>10</v>
      </c>
      <c r="IX48" s="98">
        <v>11</v>
      </c>
      <c r="IY48" s="98">
        <v>12</v>
      </c>
      <c r="IZ48" s="98">
        <v>1</v>
      </c>
      <c r="JA48" s="98">
        <v>2</v>
      </c>
      <c r="JB48" s="98">
        <v>3</v>
      </c>
      <c r="JC48" s="98">
        <v>4</v>
      </c>
      <c r="JD48" s="98">
        <v>5</v>
      </c>
      <c r="JE48" s="98">
        <v>6</v>
      </c>
      <c r="JF48" s="98">
        <v>7</v>
      </c>
      <c r="JG48" s="98">
        <v>8</v>
      </c>
      <c r="JH48" s="98">
        <v>9</v>
      </c>
      <c r="JI48" s="98">
        <v>10</v>
      </c>
      <c r="JJ48" s="98">
        <v>11</v>
      </c>
      <c r="JK48" s="98">
        <v>12</v>
      </c>
      <c r="JL48" s="98">
        <v>1</v>
      </c>
      <c r="JM48" s="98">
        <v>2</v>
      </c>
      <c r="JN48" s="98">
        <v>3</v>
      </c>
      <c r="JO48" s="98">
        <v>4</v>
      </c>
      <c r="JP48" s="98">
        <v>5</v>
      </c>
      <c r="JQ48" s="98">
        <v>6</v>
      </c>
      <c r="JR48" s="98">
        <v>7</v>
      </c>
      <c r="JS48" s="98">
        <v>8</v>
      </c>
      <c r="JT48" s="98">
        <v>9</v>
      </c>
      <c r="JU48" s="98">
        <v>10</v>
      </c>
      <c r="JV48" s="98">
        <v>11</v>
      </c>
      <c r="JW48" s="98">
        <v>12</v>
      </c>
      <c r="JX48" s="98">
        <v>1</v>
      </c>
      <c r="JY48" s="98">
        <v>2</v>
      </c>
      <c r="JZ48" s="98">
        <v>3</v>
      </c>
      <c r="KA48" s="98">
        <v>4</v>
      </c>
      <c r="KB48" s="98">
        <v>5</v>
      </c>
      <c r="KC48" s="98">
        <v>6</v>
      </c>
      <c r="KD48" s="98">
        <v>7</v>
      </c>
      <c r="KE48" s="98">
        <v>8</v>
      </c>
      <c r="KF48" s="98">
        <v>9</v>
      </c>
      <c r="KG48" s="98">
        <v>10</v>
      </c>
      <c r="KH48" s="98">
        <v>11</v>
      </c>
      <c r="KI48" s="98">
        <v>12</v>
      </c>
      <c r="KJ48" s="98">
        <v>1</v>
      </c>
      <c r="KK48" s="98">
        <v>2</v>
      </c>
      <c r="KL48" s="98">
        <v>3</v>
      </c>
      <c r="KM48" s="98">
        <v>4</v>
      </c>
      <c r="KN48" s="98">
        <v>5</v>
      </c>
      <c r="KO48" s="98">
        <v>6</v>
      </c>
      <c r="KP48" s="98">
        <v>7</v>
      </c>
      <c r="KQ48" s="98">
        <v>8</v>
      </c>
      <c r="KR48" s="98">
        <v>9</v>
      </c>
    </row>
    <row r="49" spans="1:306" hidden="1" outlineLevel="1" x14ac:dyDescent="0.3">
      <c r="D49" s="98" t="s">
        <v>685</v>
      </c>
      <c r="E49" s="98">
        <v>1</v>
      </c>
      <c r="F49" s="98">
        <v>1</v>
      </c>
      <c r="G49" s="98">
        <v>1</v>
      </c>
      <c r="H49" s="98">
        <v>1</v>
      </c>
      <c r="I49" s="98">
        <v>1</v>
      </c>
      <c r="J49" s="98">
        <v>1</v>
      </c>
      <c r="K49" s="98">
        <v>1</v>
      </c>
      <c r="L49" s="98">
        <v>1</v>
      </c>
      <c r="M49" s="98">
        <v>1</v>
      </c>
      <c r="N49" s="98">
        <v>1</v>
      </c>
      <c r="O49" s="98">
        <v>1</v>
      </c>
      <c r="P49" s="98">
        <v>1</v>
      </c>
      <c r="Q49" s="98">
        <v>1</v>
      </c>
      <c r="R49" s="98">
        <v>1</v>
      </c>
      <c r="S49" s="98">
        <v>1</v>
      </c>
      <c r="T49" s="98">
        <v>1</v>
      </c>
      <c r="U49" s="98">
        <v>1</v>
      </c>
      <c r="V49" s="98">
        <v>1</v>
      </c>
      <c r="W49" s="98">
        <v>1</v>
      </c>
      <c r="X49" s="98">
        <v>1</v>
      </c>
      <c r="Y49" s="98">
        <v>1</v>
      </c>
      <c r="Z49" s="98">
        <v>1</v>
      </c>
      <c r="AA49" s="98">
        <v>1</v>
      </c>
      <c r="AB49" s="98">
        <v>1</v>
      </c>
      <c r="AC49" s="98">
        <v>1</v>
      </c>
      <c r="AD49" s="98">
        <v>1</v>
      </c>
      <c r="AE49" s="98">
        <v>1</v>
      </c>
      <c r="AF49" s="98">
        <v>1</v>
      </c>
      <c r="AG49" s="98">
        <v>1</v>
      </c>
      <c r="AH49" s="98">
        <v>1</v>
      </c>
      <c r="AI49" s="98">
        <v>1</v>
      </c>
      <c r="AJ49" s="98">
        <v>1</v>
      </c>
      <c r="AK49" s="98">
        <v>1</v>
      </c>
      <c r="AL49" s="98">
        <v>1</v>
      </c>
      <c r="AM49" s="98">
        <v>1</v>
      </c>
      <c r="AN49" s="98">
        <v>1</v>
      </c>
      <c r="AO49" s="98">
        <v>1</v>
      </c>
      <c r="AP49" s="98">
        <v>1</v>
      </c>
      <c r="AQ49" s="98">
        <v>1</v>
      </c>
      <c r="AR49" s="98">
        <v>1</v>
      </c>
      <c r="AS49" s="98">
        <v>1</v>
      </c>
      <c r="AT49" s="98">
        <v>1</v>
      </c>
      <c r="AU49" s="98">
        <v>1</v>
      </c>
      <c r="AV49" s="98">
        <v>1</v>
      </c>
      <c r="AW49" s="98">
        <v>1</v>
      </c>
      <c r="AX49" s="98">
        <v>1</v>
      </c>
      <c r="AY49" s="98">
        <v>1</v>
      </c>
      <c r="AZ49" s="98">
        <v>1</v>
      </c>
      <c r="BA49" s="98">
        <v>1</v>
      </c>
      <c r="BB49" s="98">
        <v>1</v>
      </c>
      <c r="BC49" s="98">
        <v>1</v>
      </c>
      <c r="BD49" s="98">
        <v>1</v>
      </c>
      <c r="BE49" s="98">
        <v>1</v>
      </c>
      <c r="BF49" s="98">
        <v>1</v>
      </c>
      <c r="BG49" s="98">
        <v>1</v>
      </c>
      <c r="BH49" s="98">
        <v>1</v>
      </c>
      <c r="BI49" s="98">
        <v>1</v>
      </c>
      <c r="BJ49" s="98">
        <v>1</v>
      </c>
      <c r="BK49" s="98">
        <v>1</v>
      </c>
      <c r="BL49" s="98">
        <v>1</v>
      </c>
      <c r="BM49" s="98">
        <v>1</v>
      </c>
      <c r="BN49" s="98">
        <v>1</v>
      </c>
      <c r="BO49" s="98">
        <v>1</v>
      </c>
      <c r="BP49" s="98">
        <v>1</v>
      </c>
      <c r="BQ49" s="98">
        <v>1</v>
      </c>
      <c r="BR49" s="98">
        <v>1</v>
      </c>
      <c r="BS49" s="98">
        <v>1</v>
      </c>
      <c r="BT49" s="98">
        <v>1</v>
      </c>
      <c r="BU49" s="98">
        <v>1</v>
      </c>
      <c r="BV49" s="98">
        <v>1</v>
      </c>
      <c r="BW49" s="98">
        <v>1</v>
      </c>
      <c r="BX49" s="98">
        <v>1</v>
      </c>
      <c r="BY49" s="98">
        <v>1</v>
      </c>
      <c r="BZ49" s="98">
        <v>1</v>
      </c>
      <c r="CA49" s="98">
        <v>1</v>
      </c>
      <c r="CB49" s="98">
        <v>1</v>
      </c>
      <c r="CC49" s="98">
        <v>1</v>
      </c>
      <c r="CD49" s="98">
        <v>1</v>
      </c>
      <c r="CE49" s="98">
        <v>1</v>
      </c>
      <c r="CF49" s="98">
        <v>1</v>
      </c>
      <c r="CG49" s="98">
        <v>1</v>
      </c>
      <c r="CH49" s="98">
        <v>1</v>
      </c>
      <c r="CI49" s="98">
        <v>1</v>
      </c>
      <c r="CJ49" s="98">
        <v>1</v>
      </c>
      <c r="CK49" s="98">
        <v>1</v>
      </c>
      <c r="CL49" s="98">
        <v>1</v>
      </c>
      <c r="CM49" s="98">
        <v>1</v>
      </c>
      <c r="CN49" s="98">
        <v>1</v>
      </c>
      <c r="CO49" s="98">
        <v>1</v>
      </c>
      <c r="CP49" s="98">
        <v>1</v>
      </c>
      <c r="CQ49" s="98">
        <v>1</v>
      </c>
      <c r="CR49" s="98">
        <v>1</v>
      </c>
      <c r="CS49" s="98">
        <v>1</v>
      </c>
      <c r="CT49" s="98">
        <v>1</v>
      </c>
      <c r="CU49" s="98">
        <v>1</v>
      </c>
      <c r="CV49" s="98">
        <v>1</v>
      </c>
      <c r="CW49" s="98">
        <v>1</v>
      </c>
      <c r="CX49" s="98">
        <v>1</v>
      </c>
      <c r="CY49" s="98">
        <v>1</v>
      </c>
      <c r="CZ49" s="98">
        <v>1</v>
      </c>
      <c r="DA49" s="98">
        <v>1</v>
      </c>
      <c r="DB49" s="98">
        <v>1</v>
      </c>
      <c r="DC49" s="98">
        <v>1</v>
      </c>
      <c r="DD49" s="98">
        <v>1</v>
      </c>
      <c r="DE49" s="98">
        <v>1</v>
      </c>
      <c r="DF49" s="98">
        <v>1</v>
      </c>
      <c r="DG49" s="98">
        <v>1</v>
      </c>
      <c r="DH49" s="98">
        <v>1</v>
      </c>
      <c r="DI49" s="98">
        <v>1</v>
      </c>
      <c r="DJ49" s="98">
        <v>1</v>
      </c>
      <c r="DK49" s="98">
        <v>1</v>
      </c>
      <c r="DL49" s="98">
        <v>1</v>
      </c>
      <c r="DM49" s="98">
        <v>1</v>
      </c>
      <c r="DN49" s="98">
        <v>1</v>
      </c>
      <c r="DO49" s="98">
        <v>1</v>
      </c>
      <c r="DP49" s="98">
        <v>1</v>
      </c>
      <c r="DQ49" s="98">
        <v>1</v>
      </c>
      <c r="DR49" s="98">
        <v>1</v>
      </c>
      <c r="DS49" s="98">
        <v>1</v>
      </c>
      <c r="DT49" s="98">
        <v>1</v>
      </c>
      <c r="DU49" s="98">
        <v>1</v>
      </c>
      <c r="DV49" s="98">
        <v>1</v>
      </c>
      <c r="DW49" s="98">
        <v>1</v>
      </c>
      <c r="DX49" s="98">
        <v>1</v>
      </c>
      <c r="DY49" s="98">
        <v>1</v>
      </c>
      <c r="DZ49" s="98">
        <v>1</v>
      </c>
      <c r="EA49" s="98">
        <v>1</v>
      </c>
      <c r="EB49" s="98">
        <v>1</v>
      </c>
      <c r="EC49" s="98">
        <v>1</v>
      </c>
      <c r="ED49" s="98">
        <v>1</v>
      </c>
      <c r="EE49" s="98">
        <v>1</v>
      </c>
      <c r="EF49" s="98">
        <v>1</v>
      </c>
      <c r="EG49" s="98">
        <v>1</v>
      </c>
      <c r="EH49" s="98">
        <v>1</v>
      </c>
      <c r="EI49" s="98">
        <v>1</v>
      </c>
      <c r="EJ49" s="98">
        <v>1</v>
      </c>
      <c r="EK49" s="98">
        <v>1</v>
      </c>
      <c r="EL49" s="98">
        <v>1</v>
      </c>
      <c r="EM49" s="98">
        <v>1</v>
      </c>
      <c r="EN49" s="98">
        <v>1</v>
      </c>
      <c r="EO49" s="98">
        <v>1</v>
      </c>
      <c r="EP49" s="98">
        <v>1</v>
      </c>
      <c r="EQ49" s="98">
        <v>1</v>
      </c>
      <c r="ER49" s="98">
        <v>1</v>
      </c>
      <c r="ES49" s="98">
        <v>1</v>
      </c>
      <c r="ET49" s="98">
        <v>1</v>
      </c>
      <c r="EU49" s="98">
        <v>1</v>
      </c>
      <c r="EV49" s="98">
        <v>1</v>
      </c>
      <c r="EW49" s="98">
        <v>1</v>
      </c>
      <c r="EX49" s="98">
        <v>1</v>
      </c>
      <c r="EY49" s="98">
        <v>1</v>
      </c>
      <c r="EZ49" s="98">
        <v>1</v>
      </c>
      <c r="FA49" s="98">
        <v>1</v>
      </c>
      <c r="FB49" s="98">
        <v>1</v>
      </c>
      <c r="FC49" s="98">
        <v>1</v>
      </c>
      <c r="FD49" s="98">
        <v>1</v>
      </c>
      <c r="FE49" s="98">
        <v>1</v>
      </c>
      <c r="FF49" s="98">
        <v>1</v>
      </c>
      <c r="FG49" s="98">
        <v>1</v>
      </c>
      <c r="FH49" s="98">
        <v>1</v>
      </c>
      <c r="FI49" s="98">
        <v>1</v>
      </c>
      <c r="FJ49" s="98">
        <v>1</v>
      </c>
      <c r="FK49" s="98">
        <v>1</v>
      </c>
      <c r="FL49" s="98">
        <v>1</v>
      </c>
      <c r="FM49" s="98">
        <v>1</v>
      </c>
      <c r="FN49" s="98">
        <v>1</v>
      </c>
      <c r="FO49" s="98">
        <v>1</v>
      </c>
      <c r="FP49" s="98">
        <v>1</v>
      </c>
      <c r="FQ49" s="98">
        <v>1</v>
      </c>
      <c r="FR49" s="98">
        <v>1</v>
      </c>
      <c r="FS49" s="98">
        <v>1</v>
      </c>
      <c r="FT49" s="98">
        <v>1</v>
      </c>
      <c r="FU49" s="98">
        <v>1</v>
      </c>
      <c r="FV49" s="98">
        <v>1</v>
      </c>
      <c r="FW49" s="98">
        <v>1</v>
      </c>
      <c r="FX49" s="98">
        <v>1</v>
      </c>
      <c r="FY49" s="98">
        <v>1</v>
      </c>
      <c r="FZ49" s="98">
        <v>1</v>
      </c>
      <c r="GA49" s="98">
        <v>1</v>
      </c>
      <c r="GB49" s="98">
        <v>1</v>
      </c>
      <c r="GC49" s="98">
        <v>1</v>
      </c>
      <c r="GD49" s="98">
        <v>1</v>
      </c>
      <c r="GE49" s="98">
        <v>1</v>
      </c>
      <c r="GF49" s="98">
        <v>1</v>
      </c>
      <c r="GG49" s="98">
        <v>1</v>
      </c>
      <c r="GH49" s="98">
        <v>1</v>
      </c>
      <c r="GI49" s="98">
        <v>1</v>
      </c>
      <c r="GJ49" s="98">
        <v>1</v>
      </c>
      <c r="GK49" s="98">
        <v>1</v>
      </c>
      <c r="GL49" s="98">
        <v>1</v>
      </c>
      <c r="GM49" s="98">
        <v>1</v>
      </c>
      <c r="GN49" s="98">
        <v>1</v>
      </c>
      <c r="GO49" s="98">
        <v>1</v>
      </c>
      <c r="GP49" s="98">
        <v>1</v>
      </c>
      <c r="GQ49" s="98">
        <v>1</v>
      </c>
      <c r="GR49" s="98">
        <v>1</v>
      </c>
      <c r="GS49" s="98">
        <v>1</v>
      </c>
      <c r="GT49" s="98">
        <v>1</v>
      </c>
      <c r="GU49" s="98">
        <v>1</v>
      </c>
      <c r="GV49" s="98">
        <v>1</v>
      </c>
      <c r="GW49" s="98">
        <v>1</v>
      </c>
      <c r="GX49" s="98">
        <v>1</v>
      </c>
      <c r="GY49" s="98">
        <v>1</v>
      </c>
      <c r="GZ49" s="98">
        <v>1</v>
      </c>
      <c r="HA49" s="98">
        <v>1</v>
      </c>
      <c r="HB49" s="98">
        <v>1</v>
      </c>
      <c r="HC49" s="98">
        <v>1</v>
      </c>
      <c r="HD49" s="98">
        <v>1</v>
      </c>
      <c r="HE49" s="98">
        <v>1</v>
      </c>
      <c r="HF49" s="98">
        <v>1</v>
      </c>
      <c r="HG49" s="98">
        <v>1</v>
      </c>
      <c r="HH49" s="98">
        <v>1</v>
      </c>
      <c r="HI49" s="98">
        <v>1</v>
      </c>
      <c r="HJ49" s="98">
        <v>1</v>
      </c>
      <c r="HK49" s="98">
        <v>1</v>
      </c>
      <c r="HL49" s="98">
        <v>1</v>
      </c>
      <c r="HM49" s="98">
        <v>1</v>
      </c>
      <c r="HN49" s="98">
        <v>1</v>
      </c>
      <c r="HO49" s="98">
        <v>1</v>
      </c>
      <c r="HP49" s="98">
        <v>1</v>
      </c>
      <c r="HQ49" s="98">
        <v>1</v>
      </c>
      <c r="HR49" s="98">
        <v>1</v>
      </c>
      <c r="HS49" s="98">
        <v>1</v>
      </c>
      <c r="HT49" s="98">
        <v>1</v>
      </c>
      <c r="HU49" s="98">
        <v>1</v>
      </c>
      <c r="HV49" s="98">
        <v>1</v>
      </c>
      <c r="HW49" s="98">
        <v>1</v>
      </c>
      <c r="HX49" s="98">
        <v>1</v>
      </c>
      <c r="HY49" s="98">
        <v>1</v>
      </c>
      <c r="HZ49" s="98">
        <v>1</v>
      </c>
      <c r="IA49" s="98">
        <v>1</v>
      </c>
      <c r="IB49" s="98">
        <v>1</v>
      </c>
      <c r="IC49" s="98">
        <v>1</v>
      </c>
      <c r="ID49" s="98">
        <v>1</v>
      </c>
      <c r="IE49" s="98">
        <v>1</v>
      </c>
      <c r="IF49" s="98">
        <v>1</v>
      </c>
      <c r="IG49" s="98">
        <v>1</v>
      </c>
      <c r="IH49" s="98">
        <v>1</v>
      </c>
      <c r="II49" s="98">
        <v>1</v>
      </c>
      <c r="IJ49" s="98">
        <v>1</v>
      </c>
      <c r="IK49" s="98">
        <v>1</v>
      </c>
      <c r="IL49" s="98">
        <v>1</v>
      </c>
      <c r="IM49" s="98">
        <v>1</v>
      </c>
      <c r="IN49" s="98">
        <v>1</v>
      </c>
      <c r="IO49" s="98">
        <v>1</v>
      </c>
      <c r="IP49" s="98">
        <v>1</v>
      </c>
      <c r="IQ49" s="98">
        <v>1</v>
      </c>
      <c r="IR49" s="98">
        <v>1</v>
      </c>
      <c r="IS49" s="98">
        <v>1</v>
      </c>
      <c r="IT49" s="98">
        <v>1</v>
      </c>
      <c r="IU49" s="98">
        <v>1</v>
      </c>
      <c r="IV49" s="98">
        <v>1</v>
      </c>
      <c r="IW49" s="98">
        <v>1</v>
      </c>
      <c r="IX49" s="98">
        <v>1</v>
      </c>
      <c r="IY49" s="98">
        <v>1</v>
      </c>
      <c r="IZ49" s="98">
        <v>1</v>
      </c>
      <c r="JA49" s="98">
        <v>1</v>
      </c>
      <c r="JB49" s="98">
        <v>1</v>
      </c>
      <c r="JC49" s="98">
        <v>1</v>
      </c>
      <c r="JD49" s="98">
        <v>1</v>
      </c>
      <c r="JE49" s="98">
        <v>1</v>
      </c>
      <c r="JF49" s="98">
        <v>1</v>
      </c>
      <c r="JG49" s="98">
        <v>1</v>
      </c>
      <c r="JH49" s="98">
        <v>1</v>
      </c>
      <c r="JI49" s="98">
        <v>1</v>
      </c>
      <c r="JJ49" s="98">
        <v>1</v>
      </c>
      <c r="JK49" s="98">
        <v>1</v>
      </c>
      <c r="JL49" s="98">
        <v>1</v>
      </c>
      <c r="JM49" s="98">
        <v>1</v>
      </c>
      <c r="JN49" s="98">
        <v>1</v>
      </c>
      <c r="JO49" s="98">
        <v>1</v>
      </c>
      <c r="JP49" s="98">
        <v>1</v>
      </c>
      <c r="JQ49" s="98">
        <v>1</v>
      </c>
      <c r="JR49" s="98">
        <v>1</v>
      </c>
      <c r="JS49" s="98">
        <v>1</v>
      </c>
      <c r="JT49" s="98">
        <v>1</v>
      </c>
      <c r="JU49" s="98">
        <v>1</v>
      </c>
      <c r="JV49" s="98">
        <v>1</v>
      </c>
      <c r="JW49" s="98">
        <v>1</v>
      </c>
      <c r="JX49" s="98">
        <v>1</v>
      </c>
      <c r="JY49" s="98">
        <v>1</v>
      </c>
      <c r="JZ49" s="98">
        <v>1</v>
      </c>
      <c r="KA49" s="98">
        <v>1</v>
      </c>
      <c r="KB49" s="98">
        <v>1</v>
      </c>
      <c r="KC49" s="98">
        <v>1</v>
      </c>
      <c r="KD49" s="98">
        <v>1</v>
      </c>
      <c r="KE49" s="98">
        <v>1</v>
      </c>
      <c r="KF49" s="98">
        <v>1</v>
      </c>
      <c r="KG49" s="98">
        <v>1</v>
      </c>
      <c r="KH49" s="98">
        <v>1</v>
      </c>
      <c r="KI49" s="98">
        <v>1</v>
      </c>
      <c r="KJ49" s="98">
        <v>1</v>
      </c>
      <c r="KK49" s="98">
        <v>1</v>
      </c>
      <c r="KL49" s="98">
        <v>1</v>
      </c>
      <c r="KM49" s="98">
        <v>1</v>
      </c>
      <c r="KN49" s="98">
        <v>1</v>
      </c>
      <c r="KO49" s="98">
        <v>1</v>
      </c>
      <c r="KP49" s="98">
        <v>1</v>
      </c>
      <c r="KQ49" s="98">
        <v>1</v>
      </c>
      <c r="KR49" s="98">
        <v>1</v>
      </c>
    </row>
    <row r="50" spans="1:306" hidden="1" outlineLevel="1" x14ac:dyDescent="0.3"/>
    <row r="51" spans="1:306" collapsed="1" x14ac:dyDescent="0.3">
      <c r="A51" s="96" t="s">
        <v>684</v>
      </c>
      <c r="B51" s="97" t="s">
        <v>683</v>
      </c>
      <c r="C51" s="97" t="s">
        <v>682</v>
      </c>
      <c r="D51" s="97" t="s">
        <v>681</v>
      </c>
      <c r="E51" s="1090" t="str">
        <f>"FY"&amp;TEXT(RIGHT(P47,2),0)</f>
        <v>FY22</v>
      </c>
      <c r="F51" s="1091"/>
      <c r="G51" s="1091"/>
      <c r="H51" s="1091"/>
      <c r="I51" s="1091"/>
      <c r="J51" s="1091"/>
      <c r="K51" s="1091"/>
      <c r="L51" s="1091"/>
      <c r="M51" s="1091"/>
      <c r="N51" s="1091"/>
      <c r="O51" s="1091"/>
      <c r="P51" s="1092"/>
      <c r="Q51" s="1090" t="str">
        <f>"FY"&amp;TEXT(RIGHT(AB47,2),0)</f>
        <v>FY23</v>
      </c>
      <c r="R51" s="1091"/>
      <c r="S51" s="1091"/>
      <c r="T51" s="1091"/>
      <c r="U51" s="1091"/>
      <c r="V51" s="1091"/>
      <c r="W51" s="1091"/>
      <c r="X51" s="1091"/>
      <c r="Y51" s="1091"/>
      <c r="Z51" s="1091"/>
      <c r="AA51" s="1091"/>
      <c r="AB51" s="1092"/>
      <c r="AC51" s="1090" t="str">
        <f>"FY"&amp;TEXT(RIGHT(AN47,2),0)</f>
        <v>FY24</v>
      </c>
      <c r="AD51" s="1091"/>
      <c r="AE51" s="1091"/>
      <c r="AF51" s="1091"/>
      <c r="AG51" s="1091"/>
      <c r="AH51" s="1091"/>
      <c r="AI51" s="1091"/>
      <c r="AJ51" s="1091"/>
      <c r="AK51" s="1091"/>
      <c r="AL51" s="1091"/>
      <c r="AM51" s="1091"/>
      <c r="AN51" s="1092"/>
      <c r="AO51" s="1090" t="str">
        <f>"FY"&amp;TEXT(RIGHT(AZ47,2),0)</f>
        <v>FY25</v>
      </c>
      <c r="AP51" s="1091"/>
      <c r="AQ51" s="1091"/>
      <c r="AR51" s="1091"/>
      <c r="AS51" s="1091"/>
      <c r="AT51" s="1091"/>
      <c r="AU51" s="1091"/>
      <c r="AV51" s="1091"/>
      <c r="AW51" s="1091"/>
      <c r="AX51" s="1091"/>
      <c r="AY51" s="1091"/>
      <c r="AZ51" s="1092"/>
      <c r="BA51" s="1090" t="str">
        <f>"FY"&amp;TEXT(RIGHT(BL47,2),0)</f>
        <v>FY26</v>
      </c>
      <c r="BB51" s="1091"/>
      <c r="BC51" s="1091"/>
      <c r="BD51" s="1091"/>
      <c r="BE51" s="1091"/>
      <c r="BF51" s="1091"/>
      <c r="BG51" s="1091"/>
      <c r="BH51" s="1091"/>
      <c r="BI51" s="1091"/>
      <c r="BJ51" s="1091"/>
      <c r="BK51" s="1091"/>
      <c r="BL51" s="1092"/>
      <c r="BM51" s="1090" t="str">
        <f>"FY"&amp;TEXT(RIGHT(BX47,2),0)</f>
        <v>FY27</v>
      </c>
      <c r="BN51" s="1091"/>
      <c r="BO51" s="1091"/>
      <c r="BP51" s="1091"/>
      <c r="BQ51" s="1091"/>
      <c r="BR51" s="1091"/>
      <c r="BS51" s="1091"/>
      <c r="BT51" s="1091"/>
      <c r="BU51" s="1091"/>
      <c r="BV51" s="1091"/>
      <c r="BW51" s="1091"/>
      <c r="BX51" s="1092"/>
      <c r="BY51" s="1090" t="str">
        <f>"FY"&amp;TEXT(RIGHT(CJ47,2),0)</f>
        <v>FY28</v>
      </c>
      <c r="BZ51" s="1091"/>
      <c r="CA51" s="1091"/>
      <c r="CB51" s="1091"/>
      <c r="CC51" s="1091"/>
      <c r="CD51" s="1091"/>
      <c r="CE51" s="1091"/>
      <c r="CF51" s="1091"/>
      <c r="CG51" s="1091"/>
      <c r="CH51" s="1091"/>
      <c r="CI51" s="1091"/>
      <c r="CJ51" s="1092"/>
      <c r="CK51" s="1090" t="str">
        <f>"FY"&amp;TEXT(RIGHT(CV47,2),0)</f>
        <v>FY29</v>
      </c>
      <c r="CL51" s="1091"/>
      <c r="CM51" s="1091"/>
      <c r="CN51" s="1091"/>
      <c r="CO51" s="1091"/>
      <c r="CP51" s="1091"/>
      <c r="CQ51" s="1091"/>
      <c r="CR51" s="1091"/>
      <c r="CS51" s="1091"/>
      <c r="CT51" s="1091"/>
      <c r="CU51" s="1091"/>
      <c r="CV51" s="1092"/>
      <c r="CW51" s="1090" t="str">
        <f>"FY"&amp;TEXT(RIGHT(DH47,2),0)</f>
        <v>FY30</v>
      </c>
      <c r="CX51" s="1091"/>
      <c r="CY51" s="1091"/>
      <c r="CZ51" s="1091"/>
      <c r="DA51" s="1091"/>
      <c r="DB51" s="1091"/>
      <c r="DC51" s="1091"/>
      <c r="DD51" s="1091"/>
      <c r="DE51" s="1091"/>
      <c r="DF51" s="1091"/>
      <c r="DG51" s="1091"/>
      <c r="DH51" s="1092"/>
      <c r="DI51" s="1090" t="str">
        <f>"FY"&amp;TEXT(RIGHT(DT47,2),0)</f>
        <v>FY31</v>
      </c>
      <c r="DJ51" s="1091"/>
      <c r="DK51" s="1091"/>
      <c r="DL51" s="1091"/>
      <c r="DM51" s="1091"/>
      <c r="DN51" s="1091"/>
      <c r="DO51" s="1091"/>
      <c r="DP51" s="1091"/>
      <c r="DQ51" s="1091"/>
      <c r="DR51" s="1091"/>
      <c r="DS51" s="1091"/>
      <c r="DT51" s="1092"/>
      <c r="DU51" s="1090" t="str">
        <f>"FY"&amp;TEXT(RIGHT(EF47,2),0)</f>
        <v>FY32</v>
      </c>
      <c r="DV51" s="1091"/>
      <c r="DW51" s="1091"/>
      <c r="DX51" s="1091"/>
      <c r="DY51" s="1091"/>
      <c r="DZ51" s="1091"/>
      <c r="EA51" s="1091"/>
      <c r="EB51" s="1091"/>
      <c r="EC51" s="1091"/>
      <c r="ED51" s="1091"/>
      <c r="EE51" s="1091"/>
      <c r="EF51" s="1092"/>
      <c r="EG51" s="1090" t="str">
        <f>"FY"&amp;TEXT(RIGHT(ER47,2),0)</f>
        <v>FY33</v>
      </c>
      <c r="EH51" s="1091"/>
      <c r="EI51" s="1091"/>
      <c r="EJ51" s="1091"/>
      <c r="EK51" s="1091"/>
      <c r="EL51" s="1091"/>
      <c r="EM51" s="1091"/>
      <c r="EN51" s="1091"/>
      <c r="EO51" s="1091"/>
      <c r="EP51" s="1091"/>
      <c r="EQ51" s="1091"/>
      <c r="ER51" s="1092"/>
      <c r="ES51" s="1090" t="str">
        <f>"FY"&amp;TEXT(RIGHT(FD47,2),0)</f>
        <v>FY34</v>
      </c>
      <c r="ET51" s="1091"/>
      <c r="EU51" s="1091"/>
      <c r="EV51" s="1091"/>
      <c r="EW51" s="1091"/>
      <c r="EX51" s="1091"/>
      <c r="EY51" s="1091"/>
      <c r="EZ51" s="1091"/>
      <c r="FA51" s="1091"/>
      <c r="FB51" s="1091"/>
      <c r="FC51" s="1091"/>
      <c r="FD51" s="1092"/>
      <c r="FE51" s="1090" t="str">
        <f>"FY"&amp;TEXT(RIGHT(FP47,2),0)</f>
        <v>FY35</v>
      </c>
      <c r="FF51" s="1091"/>
      <c r="FG51" s="1091"/>
      <c r="FH51" s="1091"/>
      <c r="FI51" s="1091"/>
      <c r="FJ51" s="1091"/>
      <c r="FK51" s="1091"/>
      <c r="FL51" s="1091"/>
      <c r="FM51" s="1091"/>
      <c r="FN51" s="1091"/>
      <c r="FO51" s="1091"/>
      <c r="FP51" s="1092"/>
      <c r="FQ51" s="1090" t="str">
        <f>"FY"&amp;TEXT(RIGHT(GB47,2),0)</f>
        <v>FY36</v>
      </c>
      <c r="FR51" s="1091"/>
      <c r="FS51" s="1091"/>
      <c r="FT51" s="1091"/>
      <c r="FU51" s="1091"/>
      <c r="FV51" s="1091"/>
      <c r="FW51" s="1091"/>
      <c r="FX51" s="1091"/>
      <c r="FY51" s="1091"/>
      <c r="FZ51" s="1091"/>
      <c r="GA51" s="1091"/>
      <c r="GB51" s="1092"/>
      <c r="GC51" s="1090" t="str">
        <f>"FY"&amp;TEXT(RIGHT(GN47,2),0)</f>
        <v>FY37</v>
      </c>
      <c r="GD51" s="1091"/>
      <c r="GE51" s="1091"/>
      <c r="GF51" s="1091"/>
      <c r="GG51" s="1091"/>
      <c r="GH51" s="1091"/>
      <c r="GI51" s="1091"/>
      <c r="GJ51" s="1091"/>
      <c r="GK51" s="1091"/>
      <c r="GL51" s="1091"/>
      <c r="GM51" s="1091"/>
      <c r="GN51" s="1092"/>
      <c r="GO51" s="1090" t="str">
        <f>"FY"&amp;TEXT(RIGHT(GZ47,2),0)</f>
        <v>FY38</v>
      </c>
      <c r="GP51" s="1091"/>
      <c r="GQ51" s="1091"/>
      <c r="GR51" s="1091"/>
      <c r="GS51" s="1091"/>
      <c r="GT51" s="1091"/>
      <c r="GU51" s="1091"/>
      <c r="GV51" s="1091"/>
      <c r="GW51" s="1091"/>
      <c r="GX51" s="1091"/>
      <c r="GY51" s="1091"/>
      <c r="GZ51" s="1092"/>
      <c r="HA51" s="1090" t="str">
        <f>"FY"&amp;TEXT(RIGHT(HL47,2),0)</f>
        <v>FY39</v>
      </c>
      <c r="HB51" s="1091"/>
      <c r="HC51" s="1091"/>
      <c r="HD51" s="1091"/>
      <c r="HE51" s="1091"/>
      <c r="HF51" s="1091"/>
      <c r="HG51" s="1091"/>
      <c r="HH51" s="1091"/>
      <c r="HI51" s="1091"/>
      <c r="HJ51" s="1091"/>
      <c r="HK51" s="1091"/>
      <c r="HL51" s="1092"/>
      <c r="HM51" s="1090" t="str">
        <f>"FY"&amp;TEXT(RIGHT(HX47,2),0)</f>
        <v>FY40</v>
      </c>
      <c r="HN51" s="1091"/>
      <c r="HO51" s="1091"/>
      <c r="HP51" s="1091"/>
      <c r="HQ51" s="1091"/>
      <c r="HR51" s="1091"/>
      <c r="HS51" s="1091"/>
      <c r="HT51" s="1091"/>
      <c r="HU51" s="1091"/>
      <c r="HV51" s="1091"/>
      <c r="HW51" s="1091"/>
      <c r="HX51" s="1092"/>
      <c r="HY51" s="1090" t="str">
        <f>"FY"&amp;TEXT(RIGHT(IJ47,2),0)</f>
        <v>FY41</v>
      </c>
      <c r="HZ51" s="1091"/>
      <c r="IA51" s="1091"/>
      <c r="IB51" s="1091"/>
      <c r="IC51" s="1091"/>
      <c r="ID51" s="1091"/>
      <c r="IE51" s="1091"/>
      <c r="IF51" s="1091"/>
      <c r="IG51" s="1091"/>
      <c r="IH51" s="1091"/>
      <c r="II51" s="1091"/>
      <c r="IJ51" s="1092"/>
      <c r="IK51" s="1090" t="str">
        <f>"FY"&amp;TEXT(RIGHT(IV47,2),0)</f>
        <v>FY42</v>
      </c>
      <c r="IL51" s="1091"/>
      <c r="IM51" s="1091"/>
      <c r="IN51" s="1091"/>
      <c r="IO51" s="1091"/>
      <c r="IP51" s="1091"/>
      <c r="IQ51" s="1091"/>
      <c r="IR51" s="1091"/>
      <c r="IS51" s="1091"/>
      <c r="IT51" s="1091"/>
      <c r="IU51" s="1091"/>
      <c r="IV51" s="1092"/>
      <c r="IW51" s="1090" t="str">
        <f>"FY"&amp;TEXT(RIGHT(JH47,2),0)</f>
        <v>FY43</v>
      </c>
      <c r="IX51" s="1091"/>
      <c r="IY51" s="1091"/>
      <c r="IZ51" s="1091"/>
      <c r="JA51" s="1091"/>
      <c r="JB51" s="1091"/>
      <c r="JC51" s="1091"/>
      <c r="JD51" s="1091"/>
      <c r="JE51" s="1091"/>
      <c r="JF51" s="1091"/>
      <c r="JG51" s="1091"/>
      <c r="JH51" s="1092"/>
      <c r="JI51" s="1090" t="str">
        <f>"FY"&amp;TEXT(RIGHT(JT47,2),0)</f>
        <v>FY44</v>
      </c>
      <c r="JJ51" s="1091"/>
      <c r="JK51" s="1091"/>
      <c r="JL51" s="1091"/>
      <c r="JM51" s="1091"/>
      <c r="JN51" s="1091"/>
      <c r="JO51" s="1091"/>
      <c r="JP51" s="1091"/>
      <c r="JQ51" s="1091"/>
      <c r="JR51" s="1091"/>
      <c r="JS51" s="1091"/>
      <c r="JT51" s="1092"/>
      <c r="JU51" s="1090" t="str">
        <f>"FY"&amp;TEXT(RIGHT(KF47,2),0)</f>
        <v>FY45</v>
      </c>
      <c r="JV51" s="1091"/>
      <c r="JW51" s="1091"/>
      <c r="JX51" s="1091"/>
      <c r="JY51" s="1091"/>
      <c r="JZ51" s="1091"/>
      <c r="KA51" s="1091"/>
      <c r="KB51" s="1091"/>
      <c r="KC51" s="1091"/>
      <c r="KD51" s="1091"/>
      <c r="KE51" s="1091"/>
      <c r="KF51" s="1092"/>
      <c r="KG51" s="1090" t="str">
        <f>"FY"&amp;TEXT(RIGHT(KR47,2),0)</f>
        <v>FY46</v>
      </c>
      <c r="KH51" s="1091"/>
      <c r="KI51" s="1091"/>
      <c r="KJ51" s="1091"/>
      <c r="KK51" s="1091"/>
      <c r="KL51" s="1091"/>
      <c r="KM51" s="1091"/>
      <c r="KN51" s="1091"/>
      <c r="KO51" s="1091"/>
      <c r="KP51" s="1091"/>
      <c r="KQ51" s="1091"/>
      <c r="KR51" s="1092"/>
      <c r="KS51" s="96" t="s">
        <v>680</v>
      </c>
    </row>
    <row r="52" spans="1:306" x14ac:dyDescent="0.3">
      <c r="KS52" s="82"/>
    </row>
    <row r="53" spans="1:306" ht="18" thickBot="1" x14ac:dyDescent="0.4">
      <c r="A53" s="95" t="str">
        <f>'E-Cost &amp; Schedule Summary'!C3</f>
        <v>Project Name</v>
      </c>
      <c r="B53" s="94">
        <f>D53-C53+1</f>
        <v>1978</v>
      </c>
      <c r="C53" s="93">
        <f>MIN(C55:C64)</f>
        <v>44470</v>
      </c>
      <c r="D53" s="93">
        <f>MAX(D55:D64)</f>
        <v>46447</v>
      </c>
      <c r="E53" s="92">
        <f t="shared" ref="E53:P53" si="297">E$46</f>
        <v>44470</v>
      </c>
      <c r="F53" s="92">
        <f t="shared" si="297"/>
        <v>44501</v>
      </c>
      <c r="G53" s="92">
        <f t="shared" si="297"/>
        <v>44531</v>
      </c>
      <c r="H53" s="92">
        <f t="shared" si="297"/>
        <v>44562</v>
      </c>
      <c r="I53" s="92">
        <f t="shared" si="297"/>
        <v>44593</v>
      </c>
      <c r="J53" s="92">
        <f t="shared" si="297"/>
        <v>44621</v>
      </c>
      <c r="K53" s="92">
        <f t="shared" si="297"/>
        <v>44652</v>
      </c>
      <c r="L53" s="92">
        <f t="shared" si="297"/>
        <v>44682</v>
      </c>
      <c r="M53" s="92">
        <f t="shared" si="297"/>
        <v>44713</v>
      </c>
      <c r="N53" s="92">
        <f t="shared" si="297"/>
        <v>44743</v>
      </c>
      <c r="O53" s="92">
        <f t="shared" si="297"/>
        <v>44774</v>
      </c>
      <c r="P53" s="92">
        <f t="shared" si="297"/>
        <v>44805</v>
      </c>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c r="EW53" s="92"/>
      <c r="EX53" s="92"/>
      <c r="EY53" s="92"/>
      <c r="EZ53" s="92"/>
      <c r="FA53" s="92"/>
      <c r="FB53" s="92"/>
      <c r="FC53" s="92"/>
      <c r="FD53" s="92"/>
      <c r="FE53" s="92"/>
      <c r="FF53" s="92"/>
      <c r="FG53" s="92"/>
      <c r="FH53" s="92"/>
      <c r="FI53" s="92"/>
      <c r="FJ53" s="92"/>
      <c r="FK53" s="92"/>
      <c r="FL53" s="92"/>
      <c r="FM53" s="92"/>
      <c r="FN53" s="92"/>
      <c r="FO53" s="92"/>
      <c r="FP53" s="92"/>
      <c r="FQ53" s="92"/>
      <c r="FR53" s="92"/>
      <c r="FS53" s="92"/>
      <c r="FT53" s="92"/>
      <c r="FU53" s="92"/>
      <c r="FV53" s="92"/>
      <c r="FW53" s="92"/>
      <c r="FX53" s="92"/>
      <c r="FY53" s="92"/>
      <c r="FZ53" s="92"/>
      <c r="GA53" s="92"/>
      <c r="GB53" s="92"/>
      <c r="GC53" s="92"/>
      <c r="GD53" s="92"/>
      <c r="GE53" s="92"/>
      <c r="GF53" s="92"/>
      <c r="GG53" s="92"/>
      <c r="GH53" s="92"/>
      <c r="GI53" s="92"/>
      <c r="GJ53" s="92"/>
      <c r="GK53" s="92"/>
      <c r="GL53" s="92"/>
      <c r="GM53" s="92"/>
      <c r="GN53" s="92"/>
      <c r="GO53" s="92"/>
      <c r="GP53" s="92"/>
      <c r="GQ53" s="92"/>
      <c r="GR53" s="92"/>
      <c r="GS53" s="92"/>
      <c r="GT53" s="92"/>
      <c r="GU53" s="92"/>
      <c r="GV53" s="92"/>
      <c r="GW53" s="92"/>
      <c r="GX53" s="92"/>
      <c r="GY53" s="92"/>
      <c r="GZ53" s="92"/>
      <c r="HA53" s="92"/>
      <c r="HB53" s="92"/>
      <c r="HC53" s="92"/>
      <c r="HD53" s="92"/>
      <c r="HE53" s="92"/>
      <c r="HF53" s="92"/>
      <c r="HG53" s="92"/>
      <c r="HH53" s="92"/>
      <c r="HI53" s="92"/>
      <c r="HJ53" s="92"/>
      <c r="HK53" s="92"/>
      <c r="HL53" s="92"/>
      <c r="HM53" s="92"/>
      <c r="HN53" s="92"/>
      <c r="HO53" s="92"/>
      <c r="HP53" s="92"/>
      <c r="HQ53" s="92"/>
      <c r="HR53" s="92"/>
      <c r="HS53" s="92"/>
      <c r="HT53" s="92"/>
      <c r="HU53" s="92"/>
      <c r="HV53" s="92"/>
      <c r="HW53" s="92"/>
      <c r="HX53" s="92"/>
      <c r="HY53" s="92"/>
      <c r="HZ53" s="92"/>
      <c r="IA53" s="92"/>
      <c r="IB53" s="92"/>
      <c r="IC53" s="92"/>
      <c r="ID53" s="92"/>
      <c r="IE53" s="92"/>
      <c r="IF53" s="92"/>
      <c r="IG53" s="92"/>
      <c r="IH53" s="92"/>
      <c r="II53" s="92"/>
      <c r="IJ53" s="92"/>
      <c r="IK53" s="92"/>
      <c r="IL53" s="92"/>
      <c r="IM53" s="92"/>
      <c r="IN53" s="92"/>
      <c r="IO53" s="92"/>
      <c r="IP53" s="92"/>
      <c r="IQ53" s="92"/>
      <c r="IR53" s="92"/>
      <c r="IS53" s="92"/>
      <c r="IT53" s="92"/>
      <c r="IU53" s="92"/>
      <c r="IV53" s="92"/>
      <c r="IW53" s="92"/>
      <c r="IX53" s="92"/>
      <c r="IY53" s="92"/>
      <c r="IZ53" s="92"/>
      <c r="JA53" s="92"/>
      <c r="JB53" s="92"/>
      <c r="JC53" s="92"/>
      <c r="JD53" s="92"/>
      <c r="JE53" s="92"/>
      <c r="JF53" s="92"/>
      <c r="JG53" s="92"/>
      <c r="JH53" s="92"/>
      <c r="JI53" s="92"/>
      <c r="JJ53" s="92"/>
      <c r="JK53" s="92"/>
      <c r="JL53" s="92"/>
      <c r="JM53" s="92"/>
      <c r="JN53" s="92"/>
      <c r="JO53" s="92"/>
      <c r="JP53" s="92"/>
      <c r="JQ53" s="92"/>
      <c r="JR53" s="92"/>
      <c r="JS53" s="92"/>
      <c r="JT53" s="92"/>
      <c r="JU53" s="92"/>
      <c r="JV53" s="92"/>
      <c r="JW53" s="92"/>
      <c r="JX53" s="92"/>
      <c r="JY53" s="92"/>
      <c r="JZ53" s="92"/>
      <c r="KA53" s="92"/>
      <c r="KB53" s="92"/>
      <c r="KC53" s="92"/>
      <c r="KD53" s="92"/>
      <c r="KE53" s="92"/>
      <c r="KF53" s="92"/>
      <c r="KG53" s="92"/>
      <c r="KH53" s="92"/>
      <c r="KI53" s="92"/>
      <c r="KJ53" s="92"/>
      <c r="KK53" s="92"/>
      <c r="KL53" s="92"/>
      <c r="KM53" s="92"/>
      <c r="KN53" s="92"/>
      <c r="KO53" s="92"/>
      <c r="KP53" s="92"/>
      <c r="KQ53" s="92"/>
      <c r="KR53" s="92"/>
      <c r="KS53" s="91">
        <f>YEARFRAC(C53,D53,1)</f>
        <v>5.414319248826291</v>
      </c>
      <c r="KT53" s="90"/>
    </row>
    <row r="54" spans="1:306" ht="5.0999999999999996" customHeight="1" thickTop="1" x14ac:dyDescent="0.3">
      <c r="A54" s="89"/>
      <c r="B54" s="84"/>
      <c r="C54" s="83"/>
      <c r="D54" s="83"/>
      <c r="KS54" s="82"/>
    </row>
    <row r="55" spans="1:306" x14ac:dyDescent="0.3">
      <c r="A55" s="533" t="s">
        <v>1388</v>
      </c>
      <c r="B55" s="84"/>
      <c r="C55" s="88">
        <f>MIN(C56:C56)</f>
        <v>44470</v>
      </c>
      <c r="D55" s="88">
        <f>MAX(D56:D56)</f>
        <v>44681</v>
      </c>
      <c r="E55" s="87">
        <f t="shared" ref="E55:BP55" si="298">E$46</f>
        <v>44470</v>
      </c>
      <c r="F55" s="87">
        <f t="shared" si="298"/>
        <v>44501</v>
      </c>
      <c r="G55" s="87">
        <f t="shared" si="298"/>
        <v>44531</v>
      </c>
      <c r="H55" s="87">
        <f t="shared" si="298"/>
        <v>44562</v>
      </c>
      <c r="I55" s="87">
        <f t="shared" si="298"/>
        <v>44593</v>
      </c>
      <c r="J55" s="87">
        <f t="shared" si="298"/>
        <v>44621</v>
      </c>
      <c r="K55" s="87">
        <f t="shared" si="298"/>
        <v>44652</v>
      </c>
      <c r="L55" s="87">
        <f t="shared" si="298"/>
        <v>44682</v>
      </c>
      <c r="M55" s="87">
        <f t="shared" si="298"/>
        <v>44713</v>
      </c>
      <c r="N55" s="87">
        <f t="shared" si="298"/>
        <v>44743</v>
      </c>
      <c r="O55" s="87">
        <f t="shared" si="298"/>
        <v>44774</v>
      </c>
      <c r="P55" s="87">
        <f t="shared" si="298"/>
        <v>44805</v>
      </c>
      <c r="Q55" s="87">
        <f t="shared" si="298"/>
        <v>44835</v>
      </c>
      <c r="R55" s="87">
        <f t="shared" si="298"/>
        <v>44866</v>
      </c>
      <c r="S55" s="87">
        <f t="shared" si="298"/>
        <v>44896</v>
      </c>
      <c r="T55" s="87">
        <f t="shared" si="298"/>
        <v>44927</v>
      </c>
      <c r="U55" s="87">
        <f t="shared" si="298"/>
        <v>44958</v>
      </c>
      <c r="V55" s="87">
        <f t="shared" si="298"/>
        <v>44986</v>
      </c>
      <c r="W55" s="87">
        <f t="shared" si="298"/>
        <v>45017</v>
      </c>
      <c r="X55" s="87">
        <f t="shared" si="298"/>
        <v>45047</v>
      </c>
      <c r="Y55" s="87">
        <f t="shared" si="298"/>
        <v>45078</v>
      </c>
      <c r="Z55" s="87">
        <f t="shared" si="298"/>
        <v>45108</v>
      </c>
      <c r="AA55" s="87">
        <f t="shared" si="298"/>
        <v>45139</v>
      </c>
      <c r="AB55" s="87">
        <f t="shared" si="298"/>
        <v>45170</v>
      </c>
      <c r="AC55" s="87">
        <f t="shared" si="298"/>
        <v>45200</v>
      </c>
      <c r="AD55" s="87">
        <f t="shared" si="298"/>
        <v>45231</v>
      </c>
      <c r="AE55" s="87">
        <f t="shared" si="298"/>
        <v>45261</v>
      </c>
      <c r="AF55" s="87">
        <f t="shared" si="298"/>
        <v>45292</v>
      </c>
      <c r="AG55" s="87">
        <f t="shared" si="298"/>
        <v>45323</v>
      </c>
      <c r="AH55" s="87">
        <f t="shared" si="298"/>
        <v>45352</v>
      </c>
      <c r="AI55" s="87">
        <f t="shared" si="298"/>
        <v>45383</v>
      </c>
      <c r="AJ55" s="87">
        <f t="shared" si="298"/>
        <v>45413</v>
      </c>
      <c r="AK55" s="87">
        <f t="shared" si="298"/>
        <v>45444</v>
      </c>
      <c r="AL55" s="87">
        <f t="shared" si="298"/>
        <v>45474</v>
      </c>
      <c r="AM55" s="87">
        <f t="shared" si="298"/>
        <v>45505</v>
      </c>
      <c r="AN55" s="87">
        <f t="shared" si="298"/>
        <v>45536</v>
      </c>
      <c r="AO55" s="87">
        <f t="shared" si="298"/>
        <v>45566</v>
      </c>
      <c r="AP55" s="87">
        <f t="shared" si="298"/>
        <v>45597</v>
      </c>
      <c r="AQ55" s="87">
        <f t="shared" si="298"/>
        <v>45627</v>
      </c>
      <c r="AR55" s="87">
        <f t="shared" si="298"/>
        <v>45658</v>
      </c>
      <c r="AS55" s="87">
        <f t="shared" si="298"/>
        <v>45689</v>
      </c>
      <c r="AT55" s="87">
        <f t="shared" si="298"/>
        <v>45717</v>
      </c>
      <c r="AU55" s="87">
        <f t="shared" si="298"/>
        <v>45748</v>
      </c>
      <c r="AV55" s="87">
        <f t="shared" si="298"/>
        <v>45778</v>
      </c>
      <c r="AW55" s="87">
        <f t="shared" si="298"/>
        <v>45809</v>
      </c>
      <c r="AX55" s="87">
        <f t="shared" si="298"/>
        <v>45839</v>
      </c>
      <c r="AY55" s="87">
        <f t="shared" si="298"/>
        <v>45870</v>
      </c>
      <c r="AZ55" s="87">
        <f t="shared" si="298"/>
        <v>45901</v>
      </c>
      <c r="BA55" s="87">
        <f t="shared" si="298"/>
        <v>45931</v>
      </c>
      <c r="BB55" s="87">
        <f t="shared" si="298"/>
        <v>45962</v>
      </c>
      <c r="BC55" s="87">
        <f t="shared" si="298"/>
        <v>45992</v>
      </c>
      <c r="BD55" s="87">
        <f t="shared" si="298"/>
        <v>46023</v>
      </c>
      <c r="BE55" s="87">
        <f t="shared" si="298"/>
        <v>46054</v>
      </c>
      <c r="BF55" s="87">
        <f t="shared" si="298"/>
        <v>46082</v>
      </c>
      <c r="BG55" s="87">
        <f t="shared" si="298"/>
        <v>46113</v>
      </c>
      <c r="BH55" s="87">
        <f t="shared" si="298"/>
        <v>46143</v>
      </c>
      <c r="BI55" s="87">
        <f t="shared" si="298"/>
        <v>46174</v>
      </c>
      <c r="BJ55" s="87">
        <f t="shared" si="298"/>
        <v>46204</v>
      </c>
      <c r="BK55" s="87">
        <f t="shared" si="298"/>
        <v>46235</v>
      </c>
      <c r="BL55" s="87">
        <f t="shared" si="298"/>
        <v>46266</v>
      </c>
      <c r="BM55" s="87">
        <f t="shared" si="298"/>
        <v>46296</v>
      </c>
      <c r="BN55" s="87">
        <f t="shared" si="298"/>
        <v>46327</v>
      </c>
      <c r="BO55" s="87">
        <f t="shared" si="298"/>
        <v>46357</v>
      </c>
      <c r="BP55" s="87">
        <f t="shared" si="298"/>
        <v>46388</v>
      </c>
      <c r="BQ55" s="87">
        <f t="shared" ref="BQ55:EB55" si="299">BQ$46</f>
        <v>46419</v>
      </c>
      <c r="BR55" s="87">
        <f t="shared" si="299"/>
        <v>46447</v>
      </c>
      <c r="BS55" s="87">
        <f t="shared" si="299"/>
        <v>46478</v>
      </c>
      <c r="BT55" s="87">
        <f t="shared" si="299"/>
        <v>46508</v>
      </c>
      <c r="BU55" s="87">
        <f t="shared" si="299"/>
        <v>46539</v>
      </c>
      <c r="BV55" s="87">
        <f t="shared" si="299"/>
        <v>46569</v>
      </c>
      <c r="BW55" s="87">
        <f t="shared" si="299"/>
        <v>46600</v>
      </c>
      <c r="BX55" s="87">
        <f t="shared" si="299"/>
        <v>46631</v>
      </c>
      <c r="BY55" s="87">
        <f t="shared" si="299"/>
        <v>46661</v>
      </c>
      <c r="BZ55" s="87">
        <f t="shared" si="299"/>
        <v>46692</v>
      </c>
      <c r="CA55" s="87">
        <f t="shared" si="299"/>
        <v>46722</v>
      </c>
      <c r="CB55" s="87">
        <f t="shared" si="299"/>
        <v>46753</v>
      </c>
      <c r="CC55" s="87">
        <f t="shared" si="299"/>
        <v>46784</v>
      </c>
      <c r="CD55" s="87">
        <f t="shared" si="299"/>
        <v>46813</v>
      </c>
      <c r="CE55" s="87">
        <f t="shared" si="299"/>
        <v>46844</v>
      </c>
      <c r="CF55" s="87">
        <f t="shared" si="299"/>
        <v>46874</v>
      </c>
      <c r="CG55" s="87">
        <f t="shared" si="299"/>
        <v>46905</v>
      </c>
      <c r="CH55" s="87">
        <f t="shared" si="299"/>
        <v>46935</v>
      </c>
      <c r="CI55" s="87">
        <f t="shared" si="299"/>
        <v>46966</v>
      </c>
      <c r="CJ55" s="87">
        <f t="shared" si="299"/>
        <v>46997</v>
      </c>
      <c r="CK55" s="87">
        <f t="shared" si="299"/>
        <v>47027</v>
      </c>
      <c r="CL55" s="87">
        <f t="shared" si="299"/>
        <v>47058</v>
      </c>
      <c r="CM55" s="87">
        <f t="shared" si="299"/>
        <v>47088</v>
      </c>
      <c r="CN55" s="87">
        <f t="shared" si="299"/>
        <v>47119</v>
      </c>
      <c r="CO55" s="87">
        <f t="shared" si="299"/>
        <v>47150</v>
      </c>
      <c r="CP55" s="87">
        <f t="shared" si="299"/>
        <v>47178</v>
      </c>
      <c r="CQ55" s="87">
        <f t="shared" si="299"/>
        <v>47209</v>
      </c>
      <c r="CR55" s="87">
        <f t="shared" si="299"/>
        <v>47239</v>
      </c>
      <c r="CS55" s="87">
        <f t="shared" si="299"/>
        <v>47270</v>
      </c>
      <c r="CT55" s="87">
        <f t="shared" si="299"/>
        <v>47300</v>
      </c>
      <c r="CU55" s="87">
        <f t="shared" si="299"/>
        <v>47331</v>
      </c>
      <c r="CV55" s="87">
        <f t="shared" si="299"/>
        <v>47362</v>
      </c>
      <c r="CW55" s="87">
        <f t="shared" si="299"/>
        <v>47392</v>
      </c>
      <c r="CX55" s="87">
        <f t="shared" si="299"/>
        <v>47423</v>
      </c>
      <c r="CY55" s="87">
        <f t="shared" si="299"/>
        <v>47453</v>
      </c>
      <c r="CZ55" s="87">
        <f t="shared" si="299"/>
        <v>47484</v>
      </c>
      <c r="DA55" s="87">
        <f t="shared" si="299"/>
        <v>47515</v>
      </c>
      <c r="DB55" s="87">
        <f t="shared" si="299"/>
        <v>47543</v>
      </c>
      <c r="DC55" s="87">
        <f t="shared" si="299"/>
        <v>47574</v>
      </c>
      <c r="DD55" s="87">
        <f t="shared" si="299"/>
        <v>47604</v>
      </c>
      <c r="DE55" s="87">
        <f t="shared" si="299"/>
        <v>47635</v>
      </c>
      <c r="DF55" s="87">
        <f t="shared" si="299"/>
        <v>47665</v>
      </c>
      <c r="DG55" s="87">
        <f t="shared" si="299"/>
        <v>47696</v>
      </c>
      <c r="DH55" s="87">
        <f t="shared" si="299"/>
        <v>47727</v>
      </c>
      <c r="DI55" s="87">
        <f t="shared" si="299"/>
        <v>47757</v>
      </c>
      <c r="DJ55" s="87">
        <f t="shared" si="299"/>
        <v>47788</v>
      </c>
      <c r="DK55" s="87">
        <f t="shared" si="299"/>
        <v>47818</v>
      </c>
      <c r="DL55" s="87">
        <f t="shared" si="299"/>
        <v>47849</v>
      </c>
      <c r="DM55" s="87">
        <f t="shared" si="299"/>
        <v>47880</v>
      </c>
      <c r="DN55" s="87">
        <f t="shared" si="299"/>
        <v>47908</v>
      </c>
      <c r="DO55" s="87">
        <f t="shared" si="299"/>
        <v>47939</v>
      </c>
      <c r="DP55" s="87">
        <f t="shared" si="299"/>
        <v>47969</v>
      </c>
      <c r="DQ55" s="87">
        <f t="shared" si="299"/>
        <v>48000</v>
      </c>
      <c r="DR55" s="87">
        <f t="shared" si="299"/>
        <v>48030</v>
      </c>
      <c r="DS55" s="87">
        <f t="shared" si="299"/>
        <v>48061</v>
      </c>
      <c r="DT55" s="87">
        <f t="shared" si="299"/>
        <v>48092</v>
      </c>
      <c r="DU55" s="87">
        <f t="shared" si="299"/>
        <v>48122</v>
      </c>
      <c r="DV55" s="87">
        <f t="shared" si="299"/>
        <v>48153</v>
      </c>
      <c r="DW55" s="87">
        <f t="shared" si="299"/>
        <v>48183</v>
      </c>
      <c r="DX55" s="87">
        <f t="shared" si="299"/>
        <v>48214</v>
      </c>
      <c r="DY55" s="87">
        <f t="shared" si="299"/>
        <v>48245</v>
      </c>
      <c r="DZ55" s="87">
        <f t="shared" si="299"/>
        <v>48274</v>
      </c>
      <c r="EA55" s="87">
        <f t="shared" si="299"/>
        <v>48305</v>
      </c>
      <c r="EB55" s="87">
        <f t="shared" si="299"/>
        <v>48335</v>
      </c>
      <c r="EC55" s="87">
        <f t="shared" ref="EC55:GN55" si="300">EC$46</f>
        <v>48366</v>
      </c>
      <c r="ED55" s="87">
        <f t="shared" si="300"/>
        <v>48396</v>
      </c>
      <c r="EE55" s="87">
        <f t="shared" si="300"/>
        <v>48427</v>
      </c>
      <c r="EF55" s="87">
        <f t="shared" si="300"/>
        <v>48458</v>
      </c>
      <c r="EG55" s="87">
        <f t="shared" si="300"/>
        <v>48488</v>
      </c>
      <c r="EH55" s="87">
        <f t="shared" si="300"/>
        <v>48519</v>
      </c>
      <c r="EI55" s="87">
        <f t="shared" si="300"/>
        <v>48549</v>
      </c>
      <c r="EJ55" s="87">
        <f t="shared" si="300"/>
        <v>48580</v>
      </c>
      <c r="EK55" s="87">
        <f t="shared" si="300"/>
        <v>48611</v>
      </c>
      <c r="EL55" s="87">
        <f t="shared" si="300"/>
        <v>48639</v>
      </c>
      <c r="EM55" s="87">
        <f t="shared" si="300"/>
        <v>48670</v>
      </c>
      <c r="EN55" s="87">
        <f t="shared" si="300"/>
        <v>48700</v>
      </c>
      <c r="EO55" s="87">
        <f t="shared" si="300"/>
        <v>48731</v>
      </c>
      <c r="EP55" s="87">
        <f t="shared" si="300"/>
        <v>48761</v>
      </c>
      <c r="EQ55" s="87">
        <f t="shared" si="300"/>
        <v>48792</v>
      </c>
      <c r="ER55" s="87">
        <f t="shared" si="300"/>
        <v>48823</v>
      </c>
      <c r="ES55" s="87">
        <f t="shared" si="300"/>
        <v>48853</v>
      </c>
      <c r="ET55" s="87">
        <f t="shared" si="300"/>
        <v>48884</v>
      </c>
      <c r="EU55" s="87">
        <f t="shared" si="300"/>
        <v>48914</v>
      </c>
      <c r="EV55" s="87">
        <f t="shared" si="300"/>
        <v>48945</v>
      </c>
      <c r="EW55" s="87">
        <f t="shared" si="300"/>
        <v>48976</v>
      </c>
      <c r="EX55" s="87">
        <f t="shared" si="300"/>
        <v>49004</v>
      </c>
      <c r="EY55" s="87">
        <f t="shared" si="300"/>
        <v>49035</v>
      </c>
      <c r="EZ55" s="87">
        <f t="shared" si="300"/>
        <v>49065</v>
      </c>
      <c r="FA55" s="87">
        <f t="shared" si="300"/>
        <v>49096</v>
      </c>
      <c r="FB55" s="87">
        <f t="shared" si="300"/>
        <v>49126</v>
      </c>
      <c r="FC55" s="87">
        <f t="shared" si="300"/>
        <v>49157</v>
      </c>
      <c r="FD55" s="87">
        <f t="shared" si="300"/>
        <v>49188</v>
      </c>
      <c r="FE55" s="87">
        <f t="shared" si="300"/>
        <v>49218</v>
      </c>
      <c r="FF55" s="87">
        <f t="shared" si="300"/>
        <v>49249</v>
      </c>
      <c r="FG55" s="87">
        <f t="shared" si="300"/>
        <v>49279</v>
      </c>
      <c r="FH55" s="87">
        <f t="shared" si="300"/>
        <v>49310</v>
      </c>
      <c r="FI55" s="87">
        <f t="shared" si="300"/>
        <v>49341</v>
      </c>
      <c r="FJ55" s="87">
        <f t="shared" si="300"/>
        <v>49369</v>
      </c>
      <c r="FK55" s="87">
        <f t="shared" si="300"/>
        <v>49400</v>
      </c>
      <c r="FL55" s="87">
        <f t="shared" si="300"/>
        <v>49430</v>
      </c>
      <c r="FM55" s="87">
        <f t="shared" si="300"/>
        <v>49461</v>
      </c>
      <c r="FN55" s="87">
        <f t="shared" si="300"/>
        <v>49491</v>
      </c>
      <c r="FO55" s="87">
        <f t="shared" si="300"/>
        <v>49522</v>
      </c>
      <c r="FP55" s="87">
        <f t="shared" si="300"/>
        <v>49553</v>
      </c>
      <c r="FQ55" s="87">
        <f t="shared" si="300"/>
        <v>49583</v>
      </c>
      <c r="FR55" s="87">
        <f t="shared" si="300"/>
        <v>49614</v>
      </c>
      <c r="FS55" s="87">
        <f t="shared" si="300"/>
        <v>49644</v>
      </c>
      <c r="FT55" s="87">
        <f t="shared" si="300"/>
        <v>49675</v>
      </c>
      <c r="FU55" s="87">
        <f t="shared" si="300"/>
        <v>49706</v>
      </c>
      <c r="FV55" s="87">
        <f t="shared" si="300"/>
        <v>49735</v>
      </c>
      <c r="FW55" s="87">
        <f t="shared" si="300"/>
        <v>49766</v>
      </c>
      <c r="FX55" s="87">
        <f t="shared" si="300"/>
        <v>49796</v>
      </c>
      <c r="FY55" s="87">
        <f t="shared" si="300"/>
        <v>49827</v>
      </c>
      <c r="FZ55" s="87">
        <f t="shared" si="300"/>
        <v>49857</v>
      </c>
      <c r="GA55" s="87">
        <f t="shared" si="300"/>
        <v>49888</v>
      </c>
      <c r="GB55" s="87">
        <f t="shared" si="300"/>
        <v>49919</v>
      </c>
      <c r="GC55" s="87">
        <f t="shared" si="300"/>
        <v>49949</v>
      </c>
      <c r="GD55" s="87">
        <f t="shared" si="300"/>
        <v>49980</v>
      </c>
      <c r="GE55" s="87">
        <f t="shared" si="300"/>
        <v>50010</v>
      </c>
      <c r="GF55" s="87">
        <f t="shared" si="300"/>
        <v>50041</v>
      </c>
      <c r="GG55" s="87">
        <f t="shared" si="300"/>
        <v>50072</v>
      </c>
      <c r="GH55" s="87">
        <f t="shared" si="300"/>
        <v>50100</v>
      </c>
      <c r="GI55" s="87">
        <f t="shared" si="300"/>
        <v>50131</v>
      </c>
      <c r="GJ55" s="87">
        <f t="shared" si="300"/>
        <v>50161</v>
      </c>
      <c r="GK55" s="87">
        <f t="shared" si="300"/>
        <v>50192</v>
      </c>
      <c r="GL55" s="87">
        <f t="shared" si="300"/>
        <v>50222</v>
      </c>
      <c r="GM55" s="87">
        <f t="shared" si="300"/>
        <v>50253</v>
      </c>
      <c r="GN55" s="87">
        <f t="shared" si="300"/>
        <v>50284</v>
      </c>
      <c r="GO55" s="87">
        <f t="shared" ref="GO55:IZ55" si="301">GO$46</f>
        <v>50314</v>
      </c>
      <c r="GP55" s="87">
        <f t="shared" si="301"/>
        <v>50345</v>
      </c>
      <c r="GQ55" s="87">
        <f t="shared" si="301"/>
        <v>50375</v>
      </c>
      <c r="GR55" s="87">
        <f t="shared" si="301"/>
        <v>50406</v>
      </c>
      <c r="GS55" s="87">
        <f t="shared" si="301"/>
        <v>50437</v>
      </c>
      <c r="GT55" s="87">
        <f t="shared" si="301"/>
        <v>50465</v>
      </c>
      <c r="GU55" s="87">
        <f t="shared" si="301"/>
        <v>50496</v>
      </c>
      <c r="GV55" s="87">
        <f t="shared" si="301"/>
        <v>50526</v>
      </c>
      <c r="GW55" s="87">
        <f t="shared" si="301"/>
        <v>50557</v>
      </c>
      <c r="GX55" s="87">
        <f t="shared" si="301"/>
        <v>50587</v>
      </c>
      <c r="GY55" s="87">
        <f t="shared" si="301"/>
        <v>50618</v>
      </c>
      <c r="GZ55" s="87">
        <f t="shared" si="301"/>
        <v>50649</v>
      </c>
      <c r="HA55" s="87">
        <f t="shared" si="301"/>
        <v>50679</v>
      </c>
      <c r="HB55" s="87">
        <f t="shared" si="301"/>
        <v>50710</v>
      </c>
      <c r="HC55" s="87">
        <f t="shared" si="301"/>
        <v>50740</v>
      </c>
      <c r="HD55" s="87">
        <f t="shared" si="301"/>
        <v>50771</v>
      </c>
      <c r="HE55" s="87">
        <f t="shared" si="301"/>
        <v>50802</v>
      </c>
      <c r="HF55" s="87">
        <f t="shared" si="301"/>
        <v>50830</v>
      </c>
      <c r="HG55" s="87">
        <f t="shared" si="301"/>
        <v>50861</v>
      </c>
      <c r="HH55" s="87">
        <f t="shared" si="301"/>
        <v>50891</v>
      </c>
      <c r="HI55" s="87">
        <f t="shared" si="301"/>
        <v>50922</v>
      </c>
      <c r="HJ55" s="87">
        <f t="shared" si="301"/>
        <v>50952</v>
      </c>
      <c r="HK55" s="87">
        <f t="shared" si="301"/>
        <v>50983</v>
      </c>
      <c r="HL55" s="87">
        <f t="shared" si="301"/>
        <v>51014</v>
      </c>
      <c r="HM55" s="87">
        <f t="shared" si="301"/>
        <v>51044</v>
      </c>
      <c r="HN55" s="87">
        <f t="shared" si="301"/>
        <v>51075</v>
      </c>
      <c r="HO55" s="87">
        <f t="shared" si="301"/>
        <v>51105</v>
      </c>
      <c r="HP55" s="87">
        <f t="shared" si="301"/>
        <v>51136</v>
      </c>
      <c r="HQ55" s="87">
        <f t="shared" si="301"/>
        <v>51167</v>
      </c>
      <c r="HR55" s="87">
        <f t="shared" si="301"/>
        <v>51196</v>
      </c>
      <c r="HS55" s="87">
        <f t="shared" si="301"/>
        <v>51227</v>
      </c>
      <c r="HT55" s="87">
        <f t="shared" si="301"/>
        <v>51257</v>
      </c>
      <c r="HU55" s="87">
        <f t="shared" si="301"/>
        <v>51288</v>
      </c>
      <c r="HV55" s="87">
        <f t="shared" si="301"/>
        <v>51318</v>
      </c>
      <c r="HW55" s="87">
        <f t="shared" si="301"/>
        <v>51349</v>
      </c>
      <c r="HX55" s="87">
        <f t="shared" si="301"/>
        <v>51380</v>
      </c>
      <c r="HY55" s="87">
        <f t="shared" si="301"/>
        <v>51410</v>
      </c>
      <c r="HZ55" s="87">
        <f t="shared" si="301"/>
        <v>51441</v>
      </c>
      <c r="IA55" s="87">
        <f t="shared" si="301"/>
        <v>51471</v>
      </c>
      <c r="IB55" s="87">
        <f t="shared" si="301"/>
        <v>51502</v>
      </c>
      <c r="IC55" s="87">
        <f t="shared" si="301"/>
        <v>51533</v>
      </c>
      <c r="ID55" s="87">
        <f t="shared" si="301"/>
        <v>51561</v>
      </c>
      <c r="IE55" s="87">
        <f t="shared" si="301"/>
        <v>51592</v>
      </c>
      <c r="IF55" s="87">
        <f t="shared" si="301"/>
        <v>51622</v>
      </c>
      <c r="IG55" s="87">
        <f t="shared" si="301"/>
        <v>51653</v>
      </c>
      <c r="IH55" s="87">
        <f t="shared" si="301"/>
        <v>51683</v>
      </c>
      <c r="II55" s="87">
        <f t="shared" si="301"/>
        <v>51714</v>
      </c>
      <c r="IJ55" s="87">
        <f t="shared" si="301"/>
        <v>51745</v>
      </c>
      <c r="IK55" s="87">
        <f t="shared" si="301"/>
        <v>51775</v>
      </c>
      <c r="IL55" s="87">
        <f t="shared" si="301"/>
        <v>51806</v>
      </c>
      <c r="IM55" s="87">
        <f t="shared" si="301"/>
        <v>51836</v>
      </c>
      <c r="IN55" s="87">
        <f t="shared" si="301"/>
        <v>51867</v>
      </c>
      <c r="IO55" s="87">
        <f t="shared" si="301"/>
        <v>51898</v>
      </c>
      <c r="IP55" s="87">
        <f t="shared" si="301"/>
        <v>51926</v>
      </c>
      <c r="IQ55" s="87">
        <f t="shared" si="301"/>
        <v>51957</v>
      </c>
      <c r="IR55" s="87">
        <f t="shared" si="301"/>
        <v>51987</v>
      </c>
      <c r="IS55" s="87">
        <f t="shared" si="301"/>
        <v>52018</v>
      </c>
      <c r="IT55" s="87">
        <f t="shared" si="301"/>
        <v>52048</v>
      </c>
      <c r="IU55" s="87">
        <f t="shared" si="301"/>
        <v>52079</v>
      </c>
      <c r="IV55" s="87">
        <f t="shared" si="301"/>
        <v>52110</v>
      </c>
      <c r="IW55" s="87">
        <f t="shared" si="301"/>
        <v>52140</v>
      </c>
      <c r="IX55" s="87">
        <f t="shared" si="301"/>
        <v>52171</v>
      </c>
      <c r="IY55" s="87">
        <f t="shared" si="301"/>
        <v>52201</v>
      </c>
      <c r="IZ55" s="87">
        <f t="shared" si="301"/>
        <v>52232</v>
      </c>
      <c r="JA55" s="87">
        <f t="shared" ref="JA55:KR55" si="302">JA$46</f>
        <v>52263</v>
      </c>
      <c r="JB55" s="87">
        <f t="shared" si="302"/>
        <v>52291</v>
      </c>
      <c r="JC55" s="87">
        <f t="shared" si="302"/>
        <v>52322</v>
      </c>
      <c r="JD55" s="87">
        <f t="shared" si="302"/>
        <v>52352</v>
      </c>
      <c r="JE55" s="87">
        <f t="shared" si="302"/>
        <v>52383</v>
      </c>
      <c r="JF55" s="87">
        <f t="shared" si="302"/>
        <v>52413</v>
      </c>
      <c r="JG55" s="87">
        <f t="shared" si="302"/>
        <v>52444</v>
      </c>
      <c r="JH55" s="87">
        <f t="shared" si="302"/>
        <v>52475</v>
      </c>
      <c r="JI55" s="87">
        <f t="shared" si="302"/>
        <v>52505</v>
      </c>
      <c r="JJ55" s="87">
        <f t="shared" si="302"/>
        <v>52536</v>
      </c>
      <c r="JK55" s="87">
        <f t="shared" si="302"/>
        <v>52566</v>
      </c>
      <c r="JL55" s="87">
        <f t="shared" si="302"/>
        <v>52597</v>
      </c>
      <c r="JM55" s="87">
        <f t="shared" si="302"/>
        <v>52628</v>
      </c>
      <c r="JN55" s="87">
        <f t="shared" si="302"/>
        <v>52657</v>
      </c>
      <c r="JO55" s="87">
        <f t="shared" si="302"/>
        <v>52688</v>
      </c>
      <c r="JP55" s="87">
        <f t="shared" si="302"/>
        <v>52718</v>
      </c>
      <c r="JQ55" s="87">
        <f t="shared" si="302"/>
        <v>52749</v>
      </c>
      <c r="JR55" s="87">
        <f t="shared" si="302"/>
        <v>52779</v>
      </c>
      <c r="JS55" s="87">
        <f t="shared" si="302"/>
        <v>52810</v>
      </c>
      <c r="JT55" s="87">
        <f t="shared" si="302"/>
        <v>52841</v>
      </c>
      <c r="JU55" s="87">
        <f t="shared" si="302"/>
        <v>52871</v>
      </c>
      <c r="JV55" s="87">
        <f t="shared" si="302"/>
        <v>52902</v>
      </c>
      <c r="JW55" s="87">
        <f t="shared" si="302"/>
        <v>52932</v>
      </c>
      <c r="JX55" s="87">
        <f t="shared" si="302"/>
        <v>52963</v>
      </c>
      <c r="JY55" s="87">
        <f t="shared" si="302"/>
        <v>52994</v>
      </c>
      <c r="JZ55" s="87">
        <f t="shared" si="302"/>
        <v>53022</v>
      </c>
      <c r="KA55" s="87">
        <f t="shared" si="302"/>
        <v>53053</v>
      </c>
      <c r="KB55" s="87">
        <f t="shared" si="302"/>
        <v>53083</v>
      </c>
      <c r="KC55" s="87">
        <f t="shared" si="302"/>
        <v>53114</v>
      </c>
      <c r="KD55" s="87">
        <f t="shared" si="302"/>
        <v>53144</v>
      </c>
      <c r="KE55" s="87">
        <f t="shared" si="302"/>
        <v>53175</v>
      </c>
      <c r="KF55" s="87">
        <f t="shared" si="302"/>
        <v>53206</v>
      </c>
      <c r="KG55" s="87">
        <f t="shared" si="302"/>
        <v>53236</v>
      </c>
      <c r="KH55" s="87">
        <f t="shared" si="302"/>
        <v>53267</v>
      </c>
      <c r="KI55" s="87">
        <f t="shared" si="302"/>
        <v>53297</v>
      </c>
      <c r="KJ55" s="87">
        <f t="shared" si="302"/>
        <v>53328</v>
      </c>
      <c r="KK55" s="87">
        <f t="shared" si="302"/>
        <v>53359</v>
      </c>
      <c r="KL55" s="87">
        <f t="shared" si="302"/>
        <v>53387</v>
      </c>
      <c r="KM55" s="87">
        <f t="shared" si="302"/>
        <v>53418</v>
      </c>
      <c r="KN55" s="87">
        <f t="shared" si="302"/>
        <v>53448</v>
      </c>
      <c r="KO55" s="87">
        <f t="shared" si="302"/>
        <v>53479</v>
      </c>
      <c r="KP55" s="87">
        <f t="shared" si="302"/>
        <v>53509</v>
      </c>
      <c r="KQ55" s="87">
        <f t="shared" si="302"/>
        <v>53540</v>
      </c>
      <c r="KR55" s="87">
        <f t="shared" si="302"/>
        <v>53571</v>
      </c>
      <c r="KS55" s="86">
        <f t="shared" ref="KS55:KS63" si="303">YEARFRAC(C55,D55,1)</f>
        <v>0.57808219178082187</v>
      </c>
    </row>
    <row r="56" spans="1:306" ht="15.6" x14ac:dyDescent="0.3">
      <c r="A56" s="532" t="s">
        <v>1224</v>
      </c>
      <c r="B56" s="84">
        <f>D56-C56+1</f>
        <v>212</v>
      </c>
      <c r="C56" s="88">
        <v>44470</v>
      </c>
      <c r="D56" s="88">
        <v>44681</v>
      </c>
      <c r="E56" s="87">
        <f t="shared" ref="E56:BP56" si="304">E$46</f>
        <v>44470</v>
      </c>
      <c r="F56" s="87">
        <f t="shared" si="304"/>
        <v>44501</v>
      </c>
      <c r="G56" s="87">
        <f t="shared" si="304"/>
        <v>44531</v>
      </c>
      <c r="H56" s="87">
        <f t="shared" si="304"/>
        <v>44562</v>
      </c>
      <c r="I56" s="87">
        <f t="shared" si="304"/>
        <v>44593</v>
      </c>
      <c r="J56" s="87">
        <f t="shared" si="304"/>
        <v>44621</v>
      </c>
      <c r="K56" s="87">
        <f t="shared" si="304"/>
        <v>44652</v>
      </c>
      <c r="L56" s="87">
        <f t="shared" si="304"/>
        <v>44682</v>
      </c>
      <c r="M56" s="87">
        <f t="shared" si="304"/>
        <v>44713</v>
      </c>
      <c r="N56" s="87">
        <f t="shared" si="304"/>
        <v>44743</v>
      </c>
      <c r="O56" s="87">
        <f t="shared" si="304"/>
        <v>44774</v>
      </c>
      <c r="P56" s="87">
        <f t="shared" si="304"/>
        <v>44805</v>
      </c>
      <c r="Q56" s="87">
        <f t="shared" si="304"/>
        <v>44835</v>
      </c>
      <c r="R56" s="87">
        <f t="shared" si="304"/>
        <v>44866</v>
      </c>
      <c r="S56" s="87">
        <f t="shared" si="304"/>
        <v>44896</v>
      </c>
      <c r="T56" s="87">
        <f t="shared" si="304"/>
        <v>44927</v>
      </c>
      <c r="U56" s="87">
        <f t="shared" si="304"/>
        <v>44958</v>
      </c>
      <c r="V56" s="87">
        <f t="shared" si="304"/>
        <v>44986</v>
      </c>
      <c r="W56" s="87">
        <f t="shared" si="304"/>
        <v>45017</v>
      </c>
      <c r="X56" s="87">
        <f t="shared" si="304"/>
        <v>45047</v>
      </c>
      <c r="Y56" s="87">
        <f t="shared" si="304"/>
        <v>45078</v>
      </c>
      <c r="Z56" s="87">
        <f t="shared" si="304"/>
        <v>45108</v>
      </c>
      <c r="AA56" s="87">
        <f t="shared" si="304"/>
        <v>45139</v>
      </c>
      <c r="AB56" s="87">
        <f t="shared" si="304"/>
        <v>45170</v>
      </c>
      <c r="AC56" s="87">
        <f t="shared" si="304"/>
        <v>45200</v>
      </c>
      <c r="AD56" s="87">
        <f t="shared" si="304"/>
        <v>45231</v>
      </c>
      <c r="AE56" s="87">
        <f t="shared" si="304"/>
        <v>45261</v>
      </c>
      <c r="AF56" s="87">
        <f t="shared" si="304"/>
        <v>45292</v>
      </c>
      <c r="AG56" s="87">
        <f t="shared" si="304"/>
        <v>45323</v>
      </c>
      <c r="AH56" s="87">
        <f t="shared" si="304"/>
        <v>45352</v>
      </c>
      <c r="AI56" s="87">
        <f t="shared" si="304"/>
        <v>45383</v>
      </c>
      <c r="AJ56" s="87">
        <f t="shared" si="304"/>
        <v>45413</v>
      </c>
      <c r="AK56" s="87">
        <f t="shared" si="304"/>
        <v>45444</v>
      </c>
      <c r="AL56" s="87">
        <f t="shared" si="304"/>
        <v>45474</v>
      </c>
      <c r="AM56" s="87">
        <f t="shared" si="304"/>
        <v>45505</v>
      </c>
      <c r="AN56" s="87">
        <f t="shared" si="304"/>
        <v>45536</v>
      </c>
      <c r="AO56" s="87">
        <f t="shared" si="304"/>
        <v>45566</v>
      </c>
      <c r="AP56" s="87">
        <f t="shared" si="304"/>
        <v>45597</v>
      </c>
      <c r="AQ56" s="87">
        <f t="shared" si="304"/>
        <v>45627</v>
      </c>
      <c r="AR56" s="87">
        <f t="shared" si="304"/>
        <v>45658</v>
      </c>
      <c r="AS56" s="87">
        <f t="shared" si="304"/>
        <v>45689</v>
      </c>
      <c r="AT56" s="87">
        <f t="shared" si="304"/>
        <v>45717</v>
      </c>
      <c r="AU56" s="87">
        <f t="shared" si="304"/>
        <v>45748</v>
      </c>
      <c r="AV56" s="87">
        <f t="shared" si="304"/>
        <v>45778</v>
      </c>
      <c r="AW56" s="87">
        <f t="shared" si="304"/>
        <v>45809</v>
      </c>
      <c r="AX56" s="87">
        <f t="shared" si="304"/>
        <v>45839</v>
      </c>
      <c r="AY56" s="87">
        <f t="shared" si="304"/>
        <v>45870</v>
      </c>
      <c r="AZ56" s="87">
        <f t="shared" si="304"/>
        <v>45901</v>
      </c>
      <c r="BA56" s="87">
        <f t="shared" si="304"/>
        <v>45931</v>
      </c>
      <c r="BB56" s="87">
        <f t="shared" si="304"/>
        <v>45962</v>
      </c>
      <c r="BC56" s="87">
        <f t="shared" si="304"/>
        <v>45992</v>
      </c>
      <c r="BD56" s="87">
        <f t="shared" si="304"/>
        <v>46023</v>
      </c>
      <c r="BE56" s="87">
        <f t="shared" si="304"/>
        <v>46054</v>
      </c>
      <c r="BF56" s="87">
        <f t="shared" si="304"/>
        <v>46082</v>
      </c>
      <c r="BG56" s="87">
        <f t="shared" si="304"/>
        <v>46113</v>
      </c>
      <c r="BH56" s="87">
        <f t="shared" si="304"/>
        <v>46143</v>
      </c>
      <c r="BI56" s="87">
        <f t="shared" si="304"/>
        <v>46174</v>
      </c>
      <c r="BJ56" s="87">
        <f t="shared" si="304"/>
        <v>46204</v>
      </c>
      <c r="BK56" s="87">
        <f t="shared" si="304"/>
        <v>46235</v>
      </c>
      <c r="BL56" s="87">
        <f t="shared" si="304"/>
        <v>46266</v>
      </c>
      <c r="BM56" s="87">
        <f t="shared" si="304"/>
        <v>46296</v>
      </c>
      <c r="BN56" s="87">
        <f t="shared" si="304"/>
        <v>46327</v>
      </c>
      <c r="BO56" s="87">
        <f t="shared" si="304"/>
        <v>46357</v>
      </c>
      <c r="BP56" s="87">
        <f t="shared" si="304"/>
        <v>46388</v>
      </c>
      <c r="BQ56" s="87">
        <f t="shared" ref="BQ56:EB56" si="305">BQ$46</f>
        <v>46419</v>
      </c>
      <c r="BR56" s="87">
        <f t="shared" si="305"/>
        <v>46447</v>
      </c>
      <c r="BS56" s="87">
        <f t="shared" si="305"/>
        <v>46478</v>
      </c>
      <c r="BT56" s="87">
        <f t="shared" si="305"/>
        <v>46508</v>
      </c>
      <c r="BU56" s="87">
        <f t="shared" si="305"/>
        <v>46539</v>
      </c>
      <c r="BV56" s="87">
        <f t="shared" si="305"/>
        <v>46569</v>
      </c>
      <c r="BW56" s="87">
        <f t="shared" si="305"/>
        <v>46600</v>
      </c>
      <c r="BX56" s="87">
        <f t="shared" si="305"/>
        <v>46631</v>
      </c>
      <c r="BY56" s="87">
        <f t="shared" si="305"/>
        <v>46661</v>
      </c>
      <c r="BZ56" s="87">
        <f t="shared" si="305"/>
        <v>46692</v>
      </c>
      <c r="CA56" s="87">
        <f t="shared" si="305"/>
        <v>46722</v>
      </c>
      <c r="CB56" s="87">
        <f t="shared" si="305"/>
        <v>46753</v>
      </c>
      <c r="CC56" s="87">
        <f t="shared" si="305"/>
        <v>46784</v>
      </c>
      <c r="CD56" s="87">
        <f t="shared" si="305"/>
        <v>46813</v>
      </c>
      <c r="CE56" s="87">
        <f t="shared" si="305"/>
        <v>46844</v>
      </c>
      <c r="CF56" s="87">
        <f t="shared" si="305"/>
        <v>46874</v>
      </c>
      <c r="CG56" s="87">
        <f t="shared" si="305"/>
        <v>46905</v>
      </c>
      <c r="CH56" s="87">
        <f t="shared" si="305"/>
        <v>46935</v>
      </c>
      <c r="CI56" s="87">
        <f t="shared" si="305"/>
        <v>46966</v>
      </c>
      <c r="CJ56" s="87">
        <f t="shared" si="305"/>
        <v>46997</v>
      </c>
      <c r="CK56" s="87">
        <f t="shared" si="305"/>
        <v>47027</v>
      </c>
      <c r="CL56" s="87">
        <f t="shared" si="305"/>
        <v>47058</v>
      </c>
      <c r="CM56" s="87">
        <f t="shared" si="305"/>
        <v>47088</v>
      </c>
      <c r="CN56" s="87">
        <f t="shared" si="305"/>
        <v>47119</v>
      </c>
      <c r="CO56" s="87">
        <f t="shared" si="305"/>
        <v>47150</v>
      </c>
      <c r="CP56" s="87">
        <f t="shared" si="305"/>
        <v>47178</v>
      </c>
      <c r="CQ56" s="87">
        <f t="shared" si="305"/>
        <v>47209</v>
      </c>
      <c r="CR56" s="87">
        <f t="shared" si="305"/>
        <v>47239</v>
      </c>
      <c r="CS56" s="87">
        <f t="shared" si="305"/>
        <v>47270</v>
      </c>
      <c r="CT56" s="87">
        <f t="shared" si="305"/>
        <v>47300</v>
      </c>
      <c r="CU56" s="87">
        <f t="shared" si="305"/>
        <v>47331</v>
      </c>
      <c r="CV56" s="87">
        <f t="shared" si="305"/>
        <v>47362</v>
      </c>
      <c r="CW56" s="87">
        <f t="shared" si="305"/>
        <v>47392</v>
      </c>
      <c r="CX56" s="87">
        <f t="shared" si="305"/>
        <v>47423</v>
      </c>
      <c r="CY56" s="87">
        <f t="shared" si="305"/>
        <v>47453</v>
      </c>
      <c r="CZ56" s="87">
        <f t="shared" si="305"/>
        <v>47484</v>
      </c>
      <c r="DA56" s="87">
        <f t="shared" si="305"/>
        <v>47515</v>
      </c>
      <c r="DB56" s="87">
        <f t="shared" si="305"/>
        <v>47543</v>
      </c>
      <c r="DC56" s="87">
        <f t="shared" si="305"/>
        <v>47574</v>
      </c>
      <c r="DD56" s="87">
        <f t="shared" si="305"/>
        <v>47604</v>
      </c>
      <c r="DE56" s="87">
        <f t="shared" si="305"/>
        <v>47635</v>
      </c>
      <c r="DF56" s="87">
        <f t="shared" si="305"/>
        <v>47665</v>
      </c>
      <c r="DG56" s="87">
        <f t="shared" si="305"/>
        <v>47696</v>
      </c>
      <c r="DH56" s="87">
        <f t="shared" si="305"/>
        <v>47727</v>
      </c>
      <c r="DI56" s="87">
        <f t="shared" si="305"/>
        <v>47757</v>
      </c>
      <c r="DJ56" s="87">
        <f t="shared" si="305"/>
        <v>47788</v>
      </c>
      <c r="DK56" s="87">
        <f t="shared" si="305"/>
        <v>47818</v>
      </c>
      <c r="DL56" s="87">
        <f t="shared" si="305"/>
        <v>47849</v>
      </c>
      <c r="DM56" s="87">
        <f t="shared" si="305"/>
        <v>47880</v>
      </c>
      <c r="DN56" s="87">
        <f t="shared" si="305"/>
        <v>47908</v>
      </c>
      <c r="DO56" s="87">
        <f t="shared" si="305"/>
        <v>47939</v>
      </c>
      <c r="DP56" s="87">
        <f t="shared" si="305"/>
        <v>47969</v>
      </c>
      <c r="DQ56" s="87">
        <f t="shared" si="305"/>
        <v>48000</v>
      </c>
      <c r="DR56" s="87">
        <f t="shared" si="305"/>
        <v>48030</v>
      </c>
      <c r="DS56" s="87">
        <f t="shared" si="305"/>
        <v>48061</v>
      </c>
      <c r="DT56" s="87">
        <f t="shared" si="305"/>
        <v>48092</v>
      </c>
      <c r="DU56" s="87">
        <f t="shared" si="305"/>
        <v>48122</v>
      </c>
      <c r="DV56" s="87">
        <f t="shared" si="305"/>
        <v>48153</v>
      </c>
      <c r="DW56" s="87">
        <f t="shared" si="305"/>
        <v>48183</v>
      </c>
      <c r="DX56" s="87">
        <f t="shared" si="305"/>
        <v>48214</v>
      </c>
      <c r="DY56" s="87">
        <f t="shared" si="305"/>
        <v>48245</v>
      </c>
      <c r="DZ56" s="87">
        <f t="shared" si="305"/>
        <v>48274</v>
      </c>
      <c r="EA56" s="87">
        <f t="shared" si="305"/>
        <v>48305</v>
      </c>
      <c r="EB56" s="87">
        <f t="shared" si="305"/>
        <v>48335</v>
      </c>
      <c r="EC56" s="87">
        <f t="shared" ref="EC56:GN56" si="306">EC$46</f>
        <v>48366</v>
      </c>
      <c r="ED56" s="87">
        <f t="shared" si="306"/>
        <v>48396</v>
      </c>
      <c r="EE56" s="87">
        <f t="shared" si="306"/>
        <v>48427</v>
      </c>
      <c r="EF56" s="87">
        <f t="shared" si="306"/>
        <v>48458</v>
      </c>
      <c r="EG56" s="87">
        <f t="shared" si="306"/>
        <v>48488</v>
      </c>
      <c r="EH56" s="87">
        <f t="shared" si="306"/>
        <v>48519</v>
      </c>
      <c r="EI56" s="87">
        <f t="shared" si="306"/>
        <v>48549</v>
      </c>
      <c r="EJ56" s="87">
        <f t="shared" si="306"/>
        <v>48580</v>
      </c>
      <c r="EK56" s="87">
        <f t="shared" si="306"/>
        <v>48611</v>
      </c>
      <c r="EL56" s="87">
        <f t="shared" si="306"/>
        <v>48639</v>
      </c>
      <c r="EM56" s="87">
        <f t="shared" si="306"/>
        <v>48670</v>
      </c>
      <c r="EN56" s="87">
        <f t="shared" si="306"/>
        <v>48700</v>
      </c>
      <c r="EO56" s="87">
        <f t="shared" si="306"/>
        <v>48731</v>
      </c>
      <c r="EP56" s="87">
        <f t="shared" si="306"/>
        <v>48761</v>
      </c>
      <c r="EQ56" s="87">
        <f t="shared" si="306"/>
        <v>48792</v>
      </c>
      <c r="ER56" s="87">
        <f t="shared" si="306"/>
        <v>48823</v>
      </c>
      <c r="ES56" s="87">
        <f t="shared" si="306"/>
        <v>48853</v>
      </c>
      <c r="ET56" s="87">
        <f t="shared" si="306"/>
        <v>48884</v>
      </c>
      <c r="EU56" s="87">
        <f t="shared" si="306"/>
        <v>48914</v>
      </c>
      <c r="EV56" s="87">
        <f t="shared" si="306"/>
        <v>48945</v>
      </c>
      <c r="EW56" s="87">
        <f t="shared" si="306"/>
        <v>48976</v>
      </c>
      <c r="EX56" s="87">
        <f t="shared" si="306"/>
        <v>49004</v>
      </c>
      <c r="EY56" s="87">
        <f t="shared" si="306"/>
        <v>49035</v>
      </c>
      <c r="EZ56" s="87">
        <f t="shared" si="306"/>
        <v>49065</v>
      </c>
      <c r="FA56" s="87">
        <f t="shared" si="306"/>
        <v>49096</v>
      </c>
      <c r="FB56" s="87">
        <f t="shared" si="306"/>
        <v>49126</v>
      </c>
      <c r="FC56" s="87">
        <f t="shared" si="306"/>
        <v>49157</v>
      </c>
      <c r="FD56" s="87">
        <f t="shared" si="306"/>
        <v>49188</v>
      </c>
      <c r="FE56" s="87">
        <f t="shared" si="306"/>
        <v>49218</v>
      </c>
      <c r="FF56" s="87">
        <f t="shared" si="306"/>
        <v>49249</v>
      </c>
      <c r="FG56" s="87">
        <f t="shared" si="306"/>
        <v>49279</v>
      </c>
      <c r="FH56" s="87">
        <f t="shared" si="306"/>
        <v>49310</v>
      </c>
      <c r="FI56" s="87">
        <f t="shared" si="306"/>
        <v>49341</v>
      </c>
      <c r="FJ56" s="87">
        <f t="shared" si="306"/>
        <v>49369</v>
      </c>
      <c r="FK56" s="87">
        <f t="shared" si="306"/>
        <v>49400</v>
      </c>
      <c r="FL56" s="87">
        <f t="shared" si="306"/>
        <v>49430</v>
      </c>
      <c r="FM56" s="87">
        <f t="shared" si="306"/>
        <v>49461</v>
      </c>
      <c r="FN56" s="87">
        <f t="shared" si="306"/>
        <v>49491</v>
      </c>
      <c r="FO56" s="87">
        <f t="shared" si="306"/>
        <v>49522</v>
      </c>
      <c r="FP56" s="87">
        <f t="shared" si="306"/>
        <v>49553</v>
      </c>
      <c r="FQ56" s="87">
        <f t="shared" si="306"/>
        <v>49583</v>
      </c>
      <c r="FR56" s="87">
        <f t="shared" si="306"/>
        <v>49614</v>
      </c>
      <c r="FS56" s="87">
        <f t="shared" si="306"/>
        <v>49644</v>
      </c>
      <c r="FT56" s="87">
        <f t="shared" si="306"/>
        <v>49675</v>
      </c>
      <c r="FU56" s="87">
        <f t="shared" si="306"/>
        <v>49706</v>
      </c>
      <c r="FV56" s="87">
        <f t="shared" si="306"/>
        <v>49735</v>
      </c>
      <c r="FW56" s="87">
        <f t="shared" si="306"/>
        <v>49766</v>
      </c>
      <c r="FX56" s="87">
        <f t="shared" si="306"/>
        <v>49796</v>
      </c>
      <c r="FY56" s="87">
        <f t="shared" si="306"/>
        <v>49827</v>
      </c>
      <c r="FZ56" s="87">
        <f t="shared" si="306"/>
        <v>49857</v>
      </c>
      <c r="GA56" s="87">
        <f t="shared" si="306"/>
        <v>49888</v>
      </c>
      <c r="GB56" s="87">
        <f t="shared" si="306"/>
        <v>49919</v>
      </c>
      <c r="GC56" s="87">
        <f t="shared" si="306"/>
        <v>49949</v>
      </c>
      <c r="GD56" s="87">
        <f t="shared" si="306"/>
        <v>49980</v>
      </c>
      <c r="GE56" s="87">
        <f t="shared" si="306"/>
        <v>50010</v>
      </c>
      <c r="GF56" s="87">
        <f t="shared" si="306"/>
        <v>50041</v>
      </c>
      <c r="GG56" s="87">
        <f t="shared" si="306"/>
        <v>50072</v>
      </c>
      <c r="GH56" s="87">
        <f t="shared" si="306"/>
        <v>50100</v>
      </c>
      <c r="GI56" s="87">
        <f t="shared" si="306"/>
        <v>50131</v>
      </c>
      <c r="GJ56" s="87">
        <f t="shared" si="306"/>
        <v>50161</v>
      </c>
      <c r="GK56" s="87">
        <f t="shared" si="306"/>
        <v>50192</v>
      </c>
      <c r="GL56" s="87">
        <f t="shared" si="306"/>
        <v>50222</v>
      </c>
      <c r="GM56" s="87">
        <f t="shared" si="306"/>
        <v>50253</v>
      </c>
      <c r="GN56" s="87">
        <f t="shared" si="306"/>
        <v>50284</v>
      </c>
      <c r="GO56" s="87">
        <f t="shared" ref="GO56:IZ56" si="307">GO$46</f>
        <v>50314</v>
      </c>
      <c r="GP56" s="87">
        <f t="shared" si="307"/>
        <v>50345</v>
      </c>
      <c r="GQ56" s="87">
        <f t="shared" si="307"/>
        <v>50375</v>
      </c>
      <c r="GR56" s="87">
        <f t="shared" si="307"/>
        <v>50406</v>
      </c>
      <c r="GS56" s="87">
        <f t="shared" si="307"/>
        <v>50437</v>
      </c>
      <c r="GT56" s="87">
        <f t="shared" si="307"/>
        <v>50465</v>
      </c>
      <c r="GU56" s="87">
        <f t="shared" si="307"/>
        <v>50496</v>
      </c>
      <c r="GV56" s="87">
        <f t="shared" si="307"/>
        <v>50526</v>
      </c>
      <c r="GW56" s="87">
        <f t="shared" si="307"/>
        <v>50557</v>
      </c>
      <c r="GX56" s="87">
        <f t="shared" si="307"/>
        <v>50587</v>
      </c>
      <c r="GY56" s="87">
        <f t="shared" si="307"/>
        <v>50618</v>
      </c>
      <c r="GZ56" s="87">
        <f t="shared" si="307"/>
        <v>50649</v>
      </c>
      <c r="HA56" s="87">
        <f t="shared" si="307"/>
        <v>50679</v>
      </c>
      <c r="HB56" s="87">
        <f t="shared" si="307"/>
        <v>50710</v>
      </c>
      <c r="HC56" s="87">
        <f t="shared" si="307"/>
        <v>50740</v>
      </c>
      <c r="HD56" s="87">
        <f t="shared" si="307"/>
        <v>50771</v>
      </c>
      <c r="HE56" s="87">
        <f t="shared" si="307"/>
        <v>50802</v>
      </c>
      <c r="HF56" s="87">
        <f t="shared" si="307"/>
        <v>50830</v>
      </c>
      <c r="HG56" s="87">
        <f t="shared" si="307"/>
        <v>50861</v>
      </c>
      <c r="HH56" s="87">
        <f t="shared" si="307"/>
        <v>50891</v>
      </c>
      <c r="HI56" s="87">
        <f t="shared" si="307"/>
        <v>50922</v>
      </c>
      <c r="HJ56" s="87">
        <f t="shared" si="307"/>
        <v>50952</v>
      </c>
      <c r="HK56" s="87">
        <f t="shared" si="307"/>
        <v>50983</v>
      </c>
      <c r="HL56" s="87">
        <f t="shared" si="307"/>
        <v>51014</v>
      </c>
      <c r="HM56" s="87">
        <f t="shared" si="307"/>
        <v>51044</v>
      </c>
      <c r="HN56" s="87">
        <f t="shared" si="307"/>
        <v>51075</v>
      </c>
      <c r="HO56" s="87">
        <f t="shared" si="307"/>
        <v>51105</v>
      </c>
      <c r="HP56" s="87">
        <f t="shared" si="307"/>
        <v>51136</v>
      </c>
      <c r="HQ56" s="87">
        <f t="shared" si="307"/>
        <v>51167</v>
      </c>
      <c r="HR56" s="87">
        <f t="shared" si="307"/>
        <v>51196</v>
      </c>
      <c r="HS56" s="87">
        <f t="shared" si="307"/>
        <v>51227</v>
      </c>
      <c r="HT56" s="87">
        <f t="shared" si="307"/>
        <v>51257</v>
      </c>
      <c r="HU56" s="87">
        <f t="shared" si="307"/>
        <v>51288</v>
      </c>
      <c r="HV56" s="87">
        <f t="shared" si="307"/>
        <v>51318</v>
      </c>
      <c r="HW56" s="87">
        <f t="shared" si="307"/>
        <v>51349</v>
      </c>
      <c r="HX56" s="87">
        <f t="shared" si="307"/>
        <v>51380</v>
      </c>
      <c r="HY56" s="87">
        <f t="shared" si="307"/>
        <v>51410</v>
      </c>
      <c r="HZ56" s="87">
        <f t="shared" si="307"/>
        <v>51441</v>
      </c>
      <c r="IA56" s="87">
        <f t="shared" si="307"/>
        <v>51471</v>
      </c>
      <c r="IB56" s="87">
        <f t="shared" si="307"/>
        <v>51502</v>
      </c>
      <c r="IC56" s="87">
        <f t="shared" si="307"/>
        <v>51533</v>
      </c>
      <c r="ID56" s="87">
        <f t="shared" si="307"/>
        <v>51561</v>
      </c>
      <c r="IE56" s="87">
        <f t="shared" si="307"/>
        <v>51592</v>
      </c>
      <c r="IF56" s="87">
        <f t="shared" si="307"/>
        <v>51622</v>
      </c>
      <c r="IG56" s="87">
        <f t="shared" si="307"/>
        <v>51653</v>
      </c>
      <c r="IH56" s="87">
        <f t="shared" si="307"/>
        <v>51683</v>
      </c>
      <c r="II56" s="87">
        <f t="shared" si="307"/>
        <v>51714</v>
      </c>
      <c r="IJ56" s="87">
        <f t="shared" si="307"/>
        <v>51745</v>
      </c>
      <c r="IK56" s="87">
        <f t="shared" si="307"/>
        <v>51775</v>
      </c>
      <c r="IL56" s="87">
        <f t="shared" si="307"/>
        <v>51806</v>
      </c>
      <c r="IM56" s="87">
        <f t="shared" si="307"/>
        <v>51836</v>
      </c>
      <c r="IN56" s="87">
        <f t="shared" si="307"/>
        <v>51867</v>
      </c>
      <c r="IO56" s="87">
        <f t="shared" si="307"/>
        <v>51898</v>
      </c>
      <c r="IP56" s="87">
        <f t="shared" si="307"/>
        <v>51926</v>
      </c>
      <c r="IQ56" s="87">
        <f t="shared" si="307"/>
        <v>51957</v>
      </c>
      <c r="IR56" s="87">
        <f t="shared" si="307"/>
        <v>51987</v>
      </c>
      <c r="IS56" s="87">
        <f t="shared" si="307"/>
        <v>52018</v>
      </c>
      <c r="IT56" s="87">
        <f t="shared" si="307"/>
        <v>52048</v>
      </c>
      <c r="IU56" s="87">
        <f t="shared" si="307"/>
        <v>52079</v>
      </c>
      <c r="IV56" s="87">
        <f t="shared" si="307"/>
        <v>52110</v>
      </c>
      <c r="IW56" s="87">
        <f t="shared" si="307"/>
        <v>52140</v>
      </c>
      <c r="IX56" s="87">
        <f t="shared" si="307"/>
        <v>52171</v>
      </c>
      <c r="IY56" s="87">
        <f t="shared" si="307"/>
        <v>52201</v>
      </c>
      <c r="IZ56" s="87">
        <f t="shared" si="307"/>
        <v>52232</v>
      </c>
      <c r="JA56" s="87">
        <f t="shared" ref="JA56:KR56" si="308">JA$46</f>
        <v>52263</v>
      </c>
      <c r="JB56" s="87">
        <f t="shared" si="308"/>
        <v>52291</v>
      </c>
      <c r="JC56" s="87">
        <f t="shared" si="308"/>
        <v>52322</v>
      </c>
      <c r="JD56" s="87">
        <f t="shared" si="308"/>
        <v>52352</v>
      </c>
      <c r="JE56" s="87">
        <f t="shared" si="308"/>
        <v>52383</v>
      </c>
      <c r="JF56" s="87">
        <f t="shared" si="308"/>
        <v>52413</v>
      </c>
      <c r="JG56" s="87">
        <f t="shared" si="308"/>
        <v>52444</v>
      </c>
      <c r="JH56" s="87">
        <f t="shared" si="308"/>
        <v>52475</v>
      </c>
      <c r="JI56" s="87">
        <f t="shared" si="308"/>
        <v>52505</v>
      </c>
      <c r="JJ56" s="87">
        <f t="shared" si="308"/>
        <v>52536</v>
      </c>
      <c r="JK56" s="87">
        <f t="shared" si="308"/>
        <v>52566</v>
      </c>
      <c r="JL56" s="87">
        <f t="shared" si="308"/>
        <v>52597</v>
      </c>
      <c r="JM56" s="87">
        <f t="shared" si="308"/>
        <v>52628</v>
      </c>
      <c r="JN56" s="87">
        <f t="shared" si="308"/>
        <v>52657</v>
      </c>
      <c r="JO56" s="87">
        <f t="shared" si="308"/>
        <v>52688</v>
      </c>
      <c r="JP56" s="87">
        <f t="shared" si="308"/>
        <v>52718</v>
      </c>
      <c r="JQ56" s="87">
        <f t="shared" si="308"/>
        <v>52749</v>
      </c>
      <c r="JR56" s="87">
        <f t="shared" si="308"/>
        <v>52779</v>
      </c>
      <c r="JS56" s="87">
        <f t="shared" si="308"/>
        <v>52810</v>
      </c>
      <c r="JT56" s="87">
        <f t="shared" si="308"/>
        <v>52841</v>
      </c>
      <c r="JU56" s="87">
        <f t="shared" si="308"/>
        <v>52871</v>
      </c>
      <c r="JV56" s="87">
        <f t="shared" si="308"/>
        <v>52902</v>
      </c>
      <c r="JW56" s="87">
        <f t="shared" si="308"/>
        <v>52932</v>
      </c>
      <c r="JX56" s="87">
        <f t="shared" si="308"/>
        <v>52963</v>
      </c>
      <c r="JY56" s="87">
        <f t="shared" si="308"/>
        <v>52994</v>
      </c>
      <c r="JZ56" s="87">
        <f t="shared" si="308"/>
        <v>53022</v>
      </c>
      <c r="KA56" s="87">
        <f t="shared" si="308"/>
        <v>53053</v>
      </c>
      <c r="KB56" s="87">
        <f t="shared" si="308"/>
        <v>53083</v>
      </c>
      <c r="KC56" s="87">
        <f t="shared" si="308"/>
        <v>53114</v>
      </c>
      <c r="KD56" s="87">
        <f t="shared" si="308"/>
        <v>53144</v>
      </c>
      <c r="KE56" s="87">
        <f t="shared" si="308"/>
        <v>53175</v>
      </c>
      <c r="KF56" s="87">
        <f t="shared" si="308"/>
        <v>53206</v>
      </c>
      <c r="KG56" s="87">
        <f t="shared" si="308"/>
        <v>53236</v>
      </c>
      <c r="KH56" s="87">
        <f t="shared" si="308"/>
        <v>53267</v>
      </c>
      <c r="KI56" s="87">
        <f t="shared" si="308"/>
        <v>53297</v>
      </c>
      <c r="KJ56" s="87">
        <f t="shared" si="308"/>
        <v>53328</v>
      </c>
      <c r="KK56" s="87">
        <f t="shared" si="308"/>
        <v>53359</v>
      </c>
      <c r="KL56" s="87">
        <f t="shared" si="308"/>
        <v>53387</v>
      </c>
      <c r="KM56" s="87">
        <f t="shared" si="308"/>
        <v>53418</v>
      </c>
      <c r="KN56" s="87">
        <f t="shared" si="308"/>
        <v>53448</v>
      </c>
      <c r="KO56" s="87">
        <f t="shared" si="308"/>
        <v>53479</v>
      </c>
      <c r="KP56" s="87">
        <f t="shared" si="308"/>
        <v>53509</v>
      </c>
      <c r="KQ56" s="87">
        <f t="shared" si="308"/>
        <v>53540</v>
      </c>
      <c r="KR56" s="87">
        <f t="shared" si="308"/>
        <v>53571</v>
      </c>
      <c r="KS56" s="86">
        <f t="shared" si="303"/>
        <v>0.57808219178082187</v>
      </c>
      <c r="KT56" s="85"/>
    </row>
    <row r="57" spans="1:306" x14ac:dyDescent="0.3">
      <c r="A57" s="533" t="s">
        <v>1387</v>
      </c>
      <c r="B57" s="84"/>
      <c r="C57" s="88">
        <f>MIN(C58:C59)</f>
        <v>44470</v>
      </c>
      <c r="D57" s="88">
        <f>MAX(D58:D59)</f>
        <v>44937</v>
      </c>
      <c r="E57" s="87">
        <f t="shared" ref="E57:BP57" si="309">E$46</f>
        <v>44470</v>
      </c>
      <c r="F57" s="87">
        <f t="shared" si="309"/>
        <v>44501</v>
      </c>
      <c r="G57" s="87">
        <f t="shared" si="309"/>
        <v>44531</v>
      </c>
      <c r="H57" s="87">
        <f t="shared" si="309"/>
        <v>44562</v>
      </c>
      <c r="I57" s="87">
        <f t="shared" si="309"/>
        <v>44593</v>
      </c>
      <c r="J57" s="87">
        <f t="shared" si="309"/>
        <v>44621</v>
      </c>
      <c r="K57" s="87">
        <f t="shared" si="309"/>
        <v>44652</v>
      </c>
      <c r="L57" s="87">
        <f t="shared" si="309"/>
        <v>44682</v>
      </c>
      <c r="M57" s="87">
        <f t="shared" si="309"/>
        <v>44713</v>
      </c>
      <c r="N57" s="87">
        <f t="shared" si="309"/>
        <v>44743</v>
      </c>
      <c r="O57" s="87">
        <f t="shared" si="309"/>
        <v>44774</v>
      </c>
      <c r="P57" s="87">
        <f t="shared" si="309"/>
        <v>44805</v>
      </c>
      <c r="Q57" s="87">
        <f t="shared" si="309"/>
        <v>44835</v>
      </c>
      <c r="R57" s="87">
        <f t="shared" si="309"/>
        <v>44866</v>
      </c>
      <c r="S57" s="87">
        <f t="shared" si="309"/>
        <v>44896</v>
      </c>
      <c r="T57" s="87">
        <f t="shared" si="309"/>
        <v>44927</v>
      </c>
      <c r="U57" s="87">
        <f t="shared" si="309"/>
        <v>44958</v>
      </c>
      <c r="V57" s="87">
        <f t="shared" si="309"/>
        <v>44986</v>
      </c>
      <c r="W57" s="87">
        <f t="shared" si="309"/>
        <v>45017</v>
      </c>
      <c r="X57" s="87">
        <f t="shared" si="309"/>
        <v>45047</v>
      </c>
      <c r="Y57" s="87">
        <f t="shared" si="309"/>
        <v>45078</v>
      </c>
      <c r="Z57" s="87">
        <f t="shared" si="309"/>
        <v>45108</v>
      </c>
      <c r="AA57" s="87">
        <f t="shared" si="309"/>
        <v>45139</v>
      </c>
      <c r="AB57" s="87">
        <f t="shared" si="309"/>
        <v>45170</v>
      </c>
      <c r="AC57" s="87">
        <f t="shared" si="309"/>
        <v>45200</v>
      </c>
      <c r="AD57" s="87">
        <f t="shared" si="309"/>
        <v>45231</v>
      </c>
      <c r="AE57" s="87">
        <f t="shared" si="309"/>
        <v>45261</v>
      </c>
      <c r="AF57" s="87">
        <f t="shared" si="309"/>
        <v>45292</v>
      </c>
      <c r="AG57" s="87">
        <f t="shared" si="309"/>
        <v>45323</v>
      </c>
      <c r="AH57" s="87">
        <f t="shared" si="309"/>
        <v>45352</v>
      </c>
      <c r="AI57" s="87">
        <f t="shared" si="309"/>
        <v>45383</v>
      </c>
      <c r="AJ57" s="87">
        <f t="shared" si="309"/>
        <v>45413</v>
      </c>
      <c r="AK57" s="87">
        <f t="shared" si="309"/>
        <v>45444</v>
      </c>
      <c r="AL57" s="87">
        <f t="shared" si="309"/>
        <v>45474</v>
      </c>
      <c r="AM57" s="87">
        <f t="shared" si="309"/>
        <v>45505</v>
      </c>
      <c r="AN57" s="87">
        <f t="shared" si="309"/>
        <v>45536</v>
      </c>
      <c r="AO57" s="87">
        <f t="shared" si="309"/>
        <v>45566</v>
      </c>
      <c r="AP57" s="87">
        <f t="shared" si="309"/>
        <v>45597</v>
      </c>
      <c r="AQ57" s="87">
        <f t="shared" si="309"/>
        <v>45627</v>
      </c>
      <c r="AR57" s="87">
        <f t="shared" si="309"/>
        <v>45658</v>
      </c>
      <c r="AS57" s="87">
        <f t="shared" si="309"/>
        <v>45689</v>
      </c>
      <c r="AT57" s="87">
        <f t="shared" si="309"/>
        <v>45717</v>
      </c>
      <c r="AU57" s="87">
        <f t="shared" si="309"/>
        <v>45748</v>
      </c>
      <c r="AV57" s="87">
        <f t="shared" si="309"/>
        <v>45778</v>
      </c>
      <c r="AW57" s="87">
        <f t="shared" si="309"/>
        <v>45809</v>
      </c>
      <c r="AX57" s="87">
        <f t="shared" si="309"/>
        <v>45839</v>
      </c>
      <c r="AY57" s="87">
        <f t="shared" si="309"/>
        <v>45870</v>
      </c>
      <c r="AZ57" s="87">
        <f t="shared" si="309"/>
        <v>45901</v>
      </c>
      <c r="BA57" s="87">
        <f t="shared" si="309"/>
        <v>45931</v>
      </c>
      <c r="BB57" s="87">
        <f t="shared" si="309"/>
        <v>45962</v>
      </c>
      <c r="BC57" s="87">
        <f t="shared" si="309"/>
        <v>45992</v>
      </c>
      <c r="BD57" s="87">
        <f t="shared" si="309"/>
        <v>46023</v>
      </c>
      <c r="BE57" s="87">
        <f t="shared" si="309"/>
        <v>46054</v>
      </c>
      <c r="BF57" s="87">
        <f t="shared" si="309"/>
        <v>46082</v>
      </c>
      <c r="BG57" s="87">
        <f t="shared" si="309"/>
        <v>46113</v>
      </c>
      <c r="BH57" s="87">
        <f t="shared" si="309"/>
        <v>46143</v>
      </c>
      <c r="BI57" s="87">
        <f t="shared" si="309"/>
        <v>46174</v>
      </c>
      <c r="BJ57" s="87">
        <f t="shared" si="309"/>
        <v>46204</v>
      </c>
      <c r="BK57" s="87">
        <f t="shared" si="309"/>
        <v>46235</v>
      </c>
      <c r="BL57" s="87">
        <f t="shared" si="309"/>
        <v>46266</v>
      </c>
      <c r="BM57" s="87">
        <f t="shared" si="309"/>
        <v>46296</v>
      </c>
      <c r="BN57" s="87">
        <f t="shared" si="309"/>
        <v>46327</v>
      </c>
      <c r="BO57" s="87">
        <f t="shared" si="309"/>
        <v>46357</v>
      </c>
      <c r="BP57" s="87">
        <f t="shared" si="309"/>
        <v>46388</v>
      </c>
      <c r="BQ57" s="87">
        <f t="shared" ref="BQ57:EB57" si="310">BQ$46</f>
        <v>46419</v>
      </c>
      <c r="BR57" s="87">
        <f t="shared" si="310"/>
        <v>46447</v>
      </c>
      <c r="BS57" s="87">
        <f t="shared" si="310"/>
        <v>46478</v>
      </c>
      <c r="BT57" s="87">
        <f t="shared" si="310"/>
        <v>46508</v>
      </c>
      <c r="BU57" s="87">
        <f t="shared" si="310"/>
        <v>46539</v>
      </c>
      <c r="BV57" s="87">
        <f t="shared" si="310"/>
        <v>46569</v>
      </c>
      <c r="BW57" s="87">
        <f t="shared" si="310"/>
        <v>46600</v>
      </c>
      <c r="BX57" s="87">
        <f t="shared" si="310"/>
        <v>46631</v>
      </c>
      <c r="BY57" s="87">
        <f t="shared" si="310"/>
        <v>46661</v>
      </c>
      <c r="BZ57" s="87">
        <f t="shared" si="310"/>
        <v>46692</v>
      </c>
      <c r="CA57" s="87">
        <f t="shared" si="310"/>
        <v>46722</v>
      </c>
      <c r="CB57" s="87">
        <f t="shared" si="310"/>
        <v>46753</v>
      </c>
      <c r="CC57" s="87">
        <f t="shared" si="310"/>
        <v>46784</v>
      </c>
      <c r="CD57" s="87">
        <f t="shared" si="310"/>
        <v>46813</v>
      </c>
      <c r="CE57" s="87">
        <f t="shared" si="310"/>
        <v>46844</v>
      </c>
      <c r="CF57" s="87">
        <f t="shared" si="310"/>
        <v>46874</v>
      </c>
      <c r="CG57" s="87">
        <f t="shared" si="310"/>
        <v>46905</v>
      </c>
      <c r="CH57" s="87">
        <f t="shared" si="310"/>
        <v>46935</v>
      </c>
      <c r="CI57" s="87">
        <f t="shared" si="310"/>
        <v>46966</v>
      </c>
      <c r="CJ57" s="87">
        <f t="shared" si="310"/>
        <v>46997</v>
      </c>
      <c r="CK57" s="87">
        <f t="shared" si="310"/>
        <v>47027</v>
      </c>
      <c r="CL57" s="87">
        <f t="shared" si="310"/>
        <v>47058</v>
      </c>
      <c r="CM57" s="87">
        <f t="shared" si="310"/>
        <v>47088</v>
      </c>
      <c r="CN57" s="87">
        <f t="shared" si="310"/>
        <v>47119</v>
      </c>
      <c r="CO57" s="87">
        <f t="shared" si="310"/>
        <v>47150</v>
      </c>
      <c r="CP57" s="87">
        <f t="shared" si="310"/>
        <v>47178</v>
      </c>
      <c r="CQ57" s="87">
        <f t="shared" si="310"/>
        <v>47209</v>
      </c>
      <c r="CR57" s="87">
        <f t="shared" si="310"/>
        <v>47239</v>
      </c>
      <c r="CS57" s="87">
        <f t="shared" si="310"/>
        <v>47270</v>
      </c>
      <c r="CT57" s="87">
        <f t="shared" si="310"/>
        <v>47300</v>
      </c>
      <c r="CU57" s="87">
        <f t="shared" si="310"/>
        <v>47331</v>
      </c>
      <c r="CV57" s="87">
        <f t="shared" si="310"/>
        <v>47362</v>
      </c>
      <c r="CW57" s="87">
        <f t="shared" si="310"/>
        <v>47392</v>
      </c>
      <c r="CX57" s="87">
        <f t="shared" si="310"/>
        <v>47423</v>
      </c>
      <c r="CY57" s="87">
        <f t="shared" si="310"/>
        <v>47453</v>
      </c>
      <c r="CZ57" s="87">
        <f t="shared" si="310"/>
        <v>47484</v>
      </c>
      <c r="DA57" s="87">
        <f t="shared" si="310"/>
        <v>47515</v>
      </c>
      <c r="DB57" s="87">
        <f t="shared" si="310"/>
        <v>47543</v>
      </c>
      <c r="DC57" s="87">
        <f t="shared" si="310"/>
        <v>47574</v>
      </c>
      <c r="DD57" s="87">
        <f t="shared" si="310"/>
        <v>47604</v>
      </c>
      <c r="DE57" s="87">
        <f t="shared" si="310"/>
        <v>47635</v>
      </c>
      <c r="DF57" s="87">
        <f t="shared" si="310"/>
        <v>47665</v>
      </c>
      <c r="DG57" s="87">
        <f t="shared" si="310"/>
        <v>47696</v>
      </c>
      <c r="DH57" s="87">
        <f t="shared" si="310"/>
        <v>47727</v>
      </c>
      <c r="DI57" s="87">
        <f t="shared" si="310"/>
        <v>47757</v>
      </c>
      <c r="DJ57" s="87">
        <f t="shared" si="310"/>
        <v>47788</v>
      </c>
      <c r="DK57" s="87">
        <f t="shared" si="310"/>
        <v>47818</v>
      </c>
      <c r="DL57" s="87">
        <f t="shared" si="310"/>
        <v>47849</v>
      </c>
      <c r="DM57" s="87">
        <f t="shared" si="310"/>
        <v>47880</v>
      </c>
      <c r="DN57" s="87">
        <f t="shared" si="310"/>
        <v>47908</v>
      </c>
      <c r="DO57" s="87">
        <f t="shared" si="310"/>
        <v>47939</v>
      </c>
      <c r="DP57" s="87">
        <f t="shared" si="310"/>
        <v>47969</v>
      </c>
      <c r="DQ57" s="87">
        <f t="shared" si="310"/>
        <v>48000</v>
      </c>
      <c r="DR57" s="87">
        <f t="shared" si="310"/>
        <v>48030</v>
      </c>
      <c r="DS57" s="87">
        <f t="shared" si="310"/>
        <v>48061</v>
      </c>
      <c r="DT57" s="87">
        <f t="shared" si="310"/>
        <v>48092</v>
      </c>
      <c r="DU57" s="87">
        <f t="shared" si="310"/>
        <v>48122</v>
      </c>
      <c r="DV57" s="87">
        <f t="shared" si="310"/>
        <v>48153</v>
      </c>
      <c r="DW57" s="87">
        <f t="shared" si="310"/>
        <v>48183</v>
      </c>
      <c r="DX57" s="87">
        <f t="shared" si="310"/>
        <v>48214</v>
      </c>
      <c r="DY57" s="87">
        <f t="shared" si="310"/>
        <v>48245</v>
      </c>
      <c r="DZ57" s="87">
        <f t="shared" si="310"/>
        <v>48274</v>
      </c>
      <c r="EA57" s="87">
        <f t="shared" si="310"/>
        <v>48305</v>
      </c>
      <c r="EB57" s="87">
        <f t="shared" si="310"/>
        <v>48335</v>
      </c>
      <c r="EC57" s="87">
        <f t="shared" ref="EC57:GN57" si="311">EC$46</f>
        <v>48366</v>
      </c>
      <c r="ED57" s="87">
        <f t="shared" si="311"/>
        <v>48396</v>
      </c>
      <c r="EE57" s="87">
        <f t="shared" si="311"/>
        <v>48427</v>
      </c>
      <c r="EF57" s="87">
        <f t="shared" si="311"/>
        <v>48458</v>
      </c>
      <c r="EG57" s="87">
        <f t="shared" si="311"/>
        <v>48488</v>
      </c>
      <c r="EH57" s="87">
        <f t="shared" si="311"/>
        <v>48519</v>
      </c>
      <c r="EI57" s="87">
        <f t="shared" si="311"/>
        <v>48549</v>
      </c>
      <c r="EJ57" s="87">
        <f t="shared" si="311"/>
        <v>48580</v>
      </c>
      <c r="EK57" s="87">
        <f t="shared" si="311"/>
        <v>48611</v>
      </c>
      <c r="EL57" s="87">
        <f t="shared" si="311"/>
        <v>48639</v>
      </c>
      <c r="EM57" s="87">
        <f t="shared" si="311"/>
        <v>48670</v>
      </c>
      <c r="EN57" s="87">
        <f t="shared" si="311"/>
        <v>48700</v>
      </c>
      <c r="EO57" s="87">
        <f t="shared" si="311"/>
        <v>48731</v>
      </c>
      <c r="EP57" s="87">
        <f t="shared" si="311"/>
        <v>48761</v>
      </c>
      <c r="EQ57" s="87">
        <f t="shared" si="311"/>
        <v>48792</v>
      </c>
      <c r="ER57" s="87">
        <f t="shared" si="311"/>
        <v>48823</v>
      </c>
      <c r="ES57" s="87">
        <f t="shared" si="311"/>
        <v>48853</v>
      </c>
      <c r="ET57" s="87">
        <f t="shared" si="311"/>
        <v>48884</v>
      </c>
      <c r="EU57" s="87">
        <f t="shared" si="311"/>
        <v>48914</v>
      </c>
      <c r="EV57" s="87">
        <f t="shared" si="311"/>
        <v>48945</v>
      </c>
      <c r="EW57" s="87">
        <f t="shared" si="311"/>
        <v>48976</v>
      </c>
      <c r="EX57" s="87">
        <f t="shared" si="311"/>
        <v>49004</v>
      </c>
      <c r="EY57" s="87">
        <f t="shared" si="311"/>
        <v>49035</v>
      </c>
      <c r="EZ57" s="87">
        <f t="shared" si="311"/>
        <v>49065</v>
      </c>
      <c r="FA57" s="87">
        <f t="shared" si="311"/>
        <v>49096</v>
      </c>
      <c r="FB57" s="87">
        <f t="shared" si="311"/>
        <v>49126</v>
      </c>
      <c r="FC57" s="87">
        <f t="shared" si="311"/>
        <v>49157</v>
      </c>
      <c r="FD57" s="87">
        <f t="shared" si="311"/>
        <v>49188</v>
      </c>
      <c r="FE57" s="87">
        <f t="shared" si="311"/>
        <v>49218</v>
      </c>
      <c r="FF57" s="87">
        <f t="shared" si="311"/>
        <v>49249</v>
      </c>
      <c r="FG57" s="87">
        <f t="shared" si="311"/>
        <v>49279</v>
      </c>
      <c r="FH57" s="87">
        <f t="shared" si="311"/>
        <v>49310</v>
      </c>
      <c r="FI57" s="87">
        <f t="shared" si="311"/>
        <v>49341</v>
      </c>
      <c r="FJ57" s="87">
        <f t="shared" si="311"/>
        <v>49369</v>
      </c>
      <c r="FK57" s="87">
        <f t="shared" si="311"/>
        <v>49400</v>
      </c>
      <c r="FL57" s="87">
        <f t="shared" si="311"/>
        <v>49430</v>
      </c>
      <c r="FM57" s="87">
        <f t="shared" si="311"/>
        <v>49461</v>
      </c>
      <c r="FN57" s="87">
        <f t="shared" si="311"/>
        <v>49491</v>
      </c>
      <c r="FO57" s="87">
        <f t="shared" si="311"/>
        <v>49522</v>
      </c>
      <c r="FP57" s="87">
        <f t="shared" si="311"/>
        <v>49553</v>
      </c>
      <c r="FQ57" s="87">
        <f t="shared" si="311"/>
        <v>49583</v>
      </c>
      <c r="FR57" s="87">
        <f t="shared" si="311"/>
        <v>49614</v>
      </c>
      <c r="FS57" s="87">
        <f t="shared" si="311"/>
        <v>49644</v>
      </c>
      <c r="FT57" s="87">
        <f t="shared" si="311"/>
        <v>49675</v>
      </c>
      <c r="FU57" s="87">
        <f t="shared" si="311"/>
        <v>49706</v>
      </c>
      <c r="FV57" s="87">
        <f t="shared" si="311"/>
        <v>49735</v>
      </c>
      <c r="FW57" s="87">
        <f t="shared" si="311"/>
        <v>49766</v>
      </c>
      <c r="FX57" s="87">
        <f t="shared" si="311"/>
        <v>49796</v>
      </c>
      <c r="FY57" s="87">
        <f t="shared" si="311"/>
        <v>49827</v>
      </c>
      <c r="FZ57" s="87">
        <f t="shared" si="311"/>
        <v>49857</v>
      </c>
      <c r="GA57" s="87">
        <f t="shared" si="311"/>
        <v>49888</v>
      </c>
      <c r="GB57" s="87">
        <f t="shared" si="311"/>
        <v>49919</v>
      </c>
      <c r="GC57" s="87">
        <f t="shared" si="311"/>
        <v>49949</v>
      </c>
      <c r="GD57" s="87">
        <f t="shared" si="311"/>
        <v>49980</v>
      </c>
      <c r="GE57" s="87">
        <f t="shared" si="311"/>
        <v>50010</v>
      </c>
      <c r="GF57" s="87">
        <f t="shared" si="311"/>
        <v>50041</v>
      </c>
      <c r="GG57" s="87">
        <f t="shared" si="311"/>
        <v>50072</v>
      </c>
      <c r="GH57" s="87">
        <f t="shared" si="311"/>
        <v>50100</v>
      </c>
      <c r="GI57" s="87">
        <f t="shared" si="311"/>
        <v>50131</v>
      </c>
      <c r="GJ57" s="87">
        <f t="shared" si="311"/>
        <v>50161</v>
      </c>
      <c r="GK57" s="87">
        <f t="shared" si="311"/>
        <v>50192</v>
      </c>
      <c r="GL57" s="87">
        <f t="shared" si="311"/>
        <v>50222</v>
      </c>
      <c r="GM57" s="87">
        <f t="shared" si="311"/>
        <v>50253</v>
      </c>
      <c r="GN57" s="87">
        <f t="shared" si="311"/>
        <v>50284</v>
      </c>
      <c r="GO57" s="87">
        <f t="shared" ref="GO57:IZ57" si="312">GO$46</f>
        <v>50314</v>
      </c>
      <c r="GP57" s="87">
        <f t="shared" si="312"/>
        <v>50345</v>
      </c>
      <c r="GQ57" s="87">
        <f t="shared" si="312"/>
        <v>50375</v>
      </c>
      <c r="GR57" s="87">
        <f t="shared" si="312"/>
        <v>50406</v>
      </c>
      <c r="GS57" s="87">
        <f t="shared" si="312"/>
        <v>50437</v>
      </c>
      <c r="GT57" s="87">
        <f t="shared" si="312"/>
        <v>50465</v>
      </c>
      <c r="GU57" s="87">
        <f t="shared" si="312"/>
        <v>50496</v>
      </c>
      <c r="GV57" s="87">
        <f t="shared" si="312"/>
        <v>50526</v>
      </c>
      <c r="GW57" s="87">
        <f t="shared" si="312"/>
        <v>50557</v>
      </c>
      <c r="GX57" s="87">
        <f t="shared" si="312"/>
        <v>50587</v>
      </c>
      <c r="GY57" s="87">
        <f t="shared" si="312"/>
        <v>50618</v>
      </c>
      <c r="GZ57" s="87">
        <f t="shared" si="312"/>
        <v>50649</v>
      </c>
      <c r="HA57" s="87">
        <f t="shared" si="312"/>
        <v>50679</v>
      </c>
      <c r="HB57" s="87">
        <f t="shared" si="312"/>
        <v>50710</v>
      </c>
      <c r="HC57" s="87">
        <f t="shared" si="312"/>
        <v>50740</v>
      </c>
      <c r="HD57" s="87">
        <f t="shared" si="312"/>
        <v>50771</v>
      </c>
      <c r="HE57" s="87">
        <f t="shared" si="312"/>
        <v>50802</v>
      </c>
      <c r="HF57" s="87">
        <f t="shared" si="312"/>
        <v>50830</v>
      </c>
      <c r="HG57" s="87">
        <f t="shared" si="312"/>
        <v>50861</v>
      </c>
      <c r="HH57" s="87">
        <f t="shared" si="312"/>
        <v>50891</v>
      </c>
      <c r="HI57" s="87">
        <f t="shared" si="312"/>
        <v>50922</v>
      </c>
      <c r="HJ57" s="87">
        <f t="shared" si="312"/>
        <v>50952</v>
      </c>
      <c r="HK57" s="87">
        <f t="shared" si="312"/>
        <v>50983</v>
      </c>
      <c r="HL57" s="87">
        <f t="shared" si="312"/>
        <v>51014</v>
      </c>
      <c r="HM57" s="87">
        <f t="shared" si="312"/>
        <v>51044</v>
      </c>
      <c r="HN57" s="87">
        <f t="shared" si="312"/>
        <v>51075</v>
      </c>
      <c r="HO57" s="87">
        <f t="shared" si="312"/>
        <v>51105</v>
      </c>
      <c r="HP57" s="87">
        <f t="shared" si="312"/>
        <v>51136</v>
      </c>
      <c r="HQ57" s="87">
        <f t="shared" si="312"/>
        <v>51167</v>
      </c>
      <c r="HR57" s="87">
        <f t="shared" si="312"/>
        <v>51196</v>
      </c>
      <c r="HS57" s="87">
        <f t="shared" si="312"/>
        <v>51227</v>
      </c>
      <c r="HT57" s="87">
        <f t="shared" si="312"/>
        <v>51257</v>
      </c>
      <c r="HU57" s="87">
        <f t="shared" si="312"/>
        <v>51288</v>
      </c>
      <c r="HV57" s="87">
        <f t="shared" si="312"/>
        <v>51318</v>
      </c>
      <c r="HW57" s="87">
        <f t="shared" si="312"/>
        <v>51349</v>
      </c>
      <c r="HX57" s="87">
        <f t="shared" si="312"/>
        <v>51380</v>
      </c>
      <c r="HY57" s="87">
        <f t="shared" si="312"/>
        <v>51410</v>
      </c>
      <c r="HZ57" s="87">
        <f t="shared" si="312"/>
        <v>51441</v>
      </c>
      <c r="IA57" s="87">
        <f t="shared" si="312"/>
        <v>51471</v>
      </c>
      <c r="IB57" s="87">
        <f t="shared" si="312"/>
        <v>51502</v>
      </c>
      <c r="IC57" s="87">
        <f t="shared" si="312"/>
        <v>51533</v>
      </c>
      <c r="ID57" s="87">
        <f t="shared" si="312"/>
        <v>51561</v>
      </c>
      <c r="IE57" s="87">
        <f t="shared" si="312"/>
        <v>51592</v>
      </c>
      <c r="IF57" s="87">
        <f t="shared" si="312"/>
        <v>51622</v>
      </c>
      <c r="IG57" s="87">
        <f t="shared" si="312"/>
        <v>51653</v>
      </c>
      <c r="IH57" s="87">
        <f t="shared" si="312"/>
        <v>51683</v>
      </c>
      <c r="II57" s="87">
        <f t="shared" si="312"/>
        <v>51714</v>
      </c>
      <c r="IJ57" s="87">
        <f t="shared" si="312"/>
        <v>51745</v>
      </c>
      <c r="IK57" s="87">
        <f t="shared" si="312"/>
        <v>51775</v>
      </c>
      <c r="IL57" s="87">
        <f t="shared" si="312"/>
        <v>51806</v>
      </c>
      <c r="IM57" s="87">
        <f t="shared" si="312"/>
        <v>51836</v>
      </c>
      <c r="IN57" s="87">
        <f t="shared" si="312"/>
        <v>51867</v>
      </c>
      <c r="IO57" s="87">
        <f t="shared" si="312"/>
        <v>51898</v>
      </c>
      <c r="IP57" s="87">
        <f t="shared" si="312"/>
        <v>51926</v>
      </c>
      <c r="IQ57" s="87">
        <f t="shared" si="312"/>
        <v>51957</v>
      </c>
      <c r="IR57" s="87">
        <f t="shared" si="312"/>
        <v>51987</v>
      </c>
      <c r="IS57" s="87">
        <f t="shared" si="312"/>
        <v>52018</v>
      </c>
      <c r="IT57" s="87">
        <f t="shared" si="312"/>
        <v>52048</v>
      </c>
      <c r="IU57" s="87">
        <f t="shared" si="312"/>
        <v>52079</v>
      </c>
      <c r="IV57" s="87">
        <f t="shared" si="312"/>
        <v>52110</v>
      </c>
      <c r="IW57" s="87">
        <f t="shared" si="312"/>
        <v>52140</v>
      </c>
      <c r="IX57" s="87">
        <f t="shared" si="312"/>
        <v>52171</v>
      </c>
      <c r="IY57" s="87">
        <f t="shared" si="312"/>
        <v>52201</v>
      </c>
      <c r="IZ57" s="87">
        <f t="shared" si="312"/>
        <v>52232</v>
      </c>
      <c r="JA57" s="87">
        <f t="shared" ref="JA57:KR57" si="313">JA$46</f>
        <v>52263</v>
      </c>
      <c r="JB57" s="87">
        <f t="shared" si="313"/>
        <v>52291</v>
      </c>
      <c r="JC57" s="87">
        <f t="shared" si="313"/>
        <v>52322</v>
      </c>
      <c r="JD57" s="87">
        <f t="shared" si="313"/>
        <v>52352</v>
      </c>
      <c r="JE57" s="87">
        <f t="shared" si="313"/>
        <v>52383</v>
      </c>
      <c r="JF57" s="87">
        <f t="shared" si="313"/>
        <v>52413</v>
      </c>
      <c r="JG57" s="87">
        <f t="shared" si="313"/>
        <v>52444</v>
      </c>
      <c r="JH57" s="87">
        <f t="shared" si="313"/>
        <v>52475</v>
      </c>
      <c r="JI57" s="87">
        <f t="shared" si="313"/>
        <v>52505</v>
      </c>
      <c r="JJ57" s="87">
        <f t="shared" si="313"/>
        <v>52536</v>
      </c>
      <c r="JK57" s="87">
        <f t="shared" si="313"/>
        <v>52566</v>
      </c>
      <c r="JL57" s="87">
        <f t="shared" si="313"/>
        <v>52597</v>
      </c>
      <c r="JM57" s="87">
        <f t="shared" si="313"/>
        <v>52628</v>
      </c>
      <c r="JN57" s="87">
        <f t="shared" si="313"/>
        <v>52657</v>
      </c>
      <c r="JO57" s="87">
        <f t="shared" si="313"/>
        <v>52688</v>
      </c>
      <c r="JP57" s="87">
        <f t="shared" si="313"/>
        <v>52718</v>
      </c>
      <c r="JQ57" s="87">
        <f t="shared" si="313"/>
        <v>52749</v>
      </c>
      <c r="JR57" s="87">
        <f t="shared" si="313"/>
        <v>52779</v>
      </c>
      <c r="JS57" s="87">
        <f t="shared" si="313"/>
        <v>52810</v>
      </c>
      <c r="JT57" s="87">
        <f t="shared" si="313"/>
        <v>52841</v>
      </c>
      <c r="JU57" s="87">
        <f t="shared" si="313"/>
        <v>52871</v>
      </c>
      <c r="JV57" s="87">
        <f t="shared" si="313"/>
        <v>52902</v>
      </c>
      <c r="JW57" s="87">
        <f t="shared" si="313"/>
        <v>52932</v>
      </c>
      <c r="JX57" s="87">
        <f t="shared" si="313"/>
        <v>52963</v>
      </c>
      <c r="JY57" s="87">
        <f t="shared" si="313"/>
        <v>52994</v>
      </c>
      <c r="JZ57" s="87">
        <f t="shared" si="313"/>
        <v>53022</v>
      </c>
      <c r="KA57" s="87">
        <f t="shared" si="313"/>
        <v>53053</v>
      </c>
      <c r="KB57" s="87">
        <f t="shared" si="313"/>
        <v>53083</v>
      </c>
      <c r="KC57" s="87">
        <f t="shared" si="313"/>
        <v>53114</v>
      </c>
      <c r="KD57" s="87">
        <f t="shared" si="313"/>
        <v>53144</v>
      </c>
      <c r="KE57" s="87">
        <f t="shared" si="313"/>
        <v>53175</v>
      </c>
      <c r="KF57" s="87">
        <f t="shared" si="313"/>
        <v>53206</v>
      </c>
      <c r="KG57" s="87">
        <f t="shared" si="313"/>
        <v>53236</v>
      </c>
      <c r="KH57" s="87">
        <f t="shared" si="313"/>
        <v>53267</v>
      </c>
      <c r="KI57" s="87">
        <f t="shared" si="313"/>
        <v>53297</v>
      </c>
      <c r="KJ57" s="87">
        <f t="shared" si="313"/>
        <v>53328</v>
      </c>
      <c r="KK57" s="87">
        <f t="shared" si="313"/>
        <v>53359</v>
      </c>
      <c r="KL57" s="87">
        <f t="shared" si="313"/>
        <v>53387</v>
      </c>
      <c r="KM57" s="87">
        <f t="shared" si="313"/>
        <v>53418</v>
      </c>
      <c r="KN57" s="87">
        <f t="shared" si="313"/>
        <v>53448</v>
      </c>
      <c r="KO57" s="87">
        <f t="shared" si="313"/>
        <v>53479</v>
      </c>
      <c r="KP57" s="87">
        <f t="shared" si="313"/>
        <v>53509</v>
      </c>
      <c r="KQ57" s="87">
        <f t="shared" si="313"/>
        <v>53540</v>
      </c>
      <c r="KR57" s="87">
        <f t="shared" si="313"/>
        <v>53571</v>
      </c>
      <c r="KS57" s="86">
        <f t="shared" si="303"/>
        <v>1.2794520547945205</v>
      </c>
    </row>
    <row r="58" spans="1:306" x14ac:dyDescent="0.3">
      <c r="A58" s="532" t="s">
        <v>1188</v>
      </c>
      <c r="B58" s="84">
        <f>D58-C58+1</f>
        <v>243</v>
      </c>
      <c r="C58" s="88">
        <v>44470</v>
      </c>
      <c r="D58" s="88">
        <f>C59-1</f>
        <v>44712</v>
      </c>
      <c r="E58" s="87">
        <f t="shared" ref="E58:BP58" si="314">E$46</f>
        <v>44470</v>
      </c>
      <c r="F58" s="87">
        <f t="shared" si="314"/>
        <v>44501</v>
      </c>
      <c r="G58" s="87">
        <f t="shared" si="314"/>
        <v>44531</v>
      </c>
      <c r="H58" s="87">
        <f t="shared" si="314"/>
        <v>44562</v>
      </c>
      <c r="I58" s="87">
        <f t="shared" si="314"/>
        <v>44593</v>
      </c>
      <c r="J58" s="87">
        <f t="shared" si="314"/>
        <v>44621</v>
      </c>
      <c r="K58" s="87">
        <f t="shared" si="314"/>
        <v>44652</v>
      </c>
      <c r="L58" s="87">
        <f t="shared" si="314"/>
        <v>44682</v>
      </c>
      <c r="M58" s="87">
        <f t="shared" si="314"/>
        <v>44713</v>
      </c>
      <c r="N58" s="87">
        <f t="shared" si="314"/>
        <v>44743</v>
      </c>
      <c r="O58" s="87">
        <f t="shared" si="314"/>
        <v>44774</v>
      </c>
      <c r="P58" s="87">
        <f t="shared" si="314"/>
        <v>44805</v>
      </c>
      <c r="Q58" s="87">
        <f t="shared" si="314"/>
        <v>44835</v>
      </c>
      <c r="R58" s="87">
        <f t="shared" si="314"/>
        <v>44866</v>
      </c>
      <c r="S58" s="87">
        <f t="shared" si="314"/>
        <v>44896</v>
      </c>
      <c r="T58" s="87">
        <f t="shared" si="314"/>
        <v>44927</v>
      </c>
      <c r="U58" s="87">
        <f t="shared" si="314"/>
        <v>44958</v>
      </c>
      <c r="V58" s="87">
        <f t="shared" si="314"/>
        <v>44986</v>
      </c>
      <c r="W58" s="87">
        <f t="shared" si="314"/>
        <v>45017</v>
      </c>
      <c r="X58" s="87">
        <f t="shared" si="314"/>
        <v>45047</v>
      </c>
      <c r="Y58" s="87">
        <f t="shared" si="314"/>
        <v>45078</v>
      </c>
      <c r="Z58" s="87">
        <f t="shared" si="314"/>
        <v>45108</v>
      </c>
      <c r="AA58" s="87">
        <f t="shared" si="314"/>
        <v>45139</v>
      </c>
      <c r="AB58" s="87">
        <f t="shared" si="314"/>
        <v>45170</v>
      </c>
      <c r="AC58" s="87">
        <f t="shared" si="314"/>
        <v>45200</v>
      </c>
      <c r="AD58" s="87">
        <f t="shared" si="314"/>
        <v>45231</v>
      </c>
      <c r="AE58" s="87">
        <f t="shared" si="314"/>
        <v>45261</v>
      </c>
      <c r="AF58" s="87">
        <f t="shared" si="314"/>
        <v>45292</v>
      </c>
      <c r="AG58" s="87">
        <f t="shared" si="314"/>
        <v>45323</v>
      </c>
      <c r="AH58" s="87">
        <f t="shared" si="314"/>
        <v>45352</v>
      </c>
      <c r="AI58" s="87">
        <f t="shared" si="314"/>
        <v>45383</v>
      </c>
      <c r="AJ58" s="87">
        <f t="shared" si="314"/>
        <v>45413</v>
      </c>
      <c r="AK58" s="87">
        <f t="shared" si="314"/>
        <v>45444</v>
      </c>
      <c r="AL58" s="87">
        <f t="shared" si="314"/>
        <v>45474</v>
      </c>
      <c r="AM58" s="87">
        <f t="shared" si="314"/>
        <v>45505</v>
      </c>
      <c r="AN58" s="87">
        <f t="shared" si="314"/>
        <v>45536</v>
      </c>
      <c r="AO58" s="87">
        <f t="shared" si="314"/>
        <v>45566</v>
      </c>
      <c r="AP58" s="87">
        <f t="shared" si="314"/>
        <v>45597</v>
      </c>
      <c r="AQ58" s="87">
        <f t="shared" si="314"/>
        <v>45627</v>
      </c>
      <c r="AR58" s="87">
        <f t="shared" si="314"/>
        <v>45658</v>
      </c>
      <c r="AS58" s="87">
        <f t="shared" si="314"/>
        <v>45689</v>
      </c>
      <c r="AT58" s="87">
        <f t="shared" si="314"/>
        <v>45717</v>
      </c>
      <c r="AU58" s="87">
        <f t="shared" si="314"/>
        <v>45748</v>
      </c>
      <c r="AV58" s="87">
        <f t="shared" si="314"/>
        <v>45778</v>
      </c>
      <c r="AW58" s="87">
        <f t="shared" si="314"/>
        <v>45809</v>
      </c>
      <c r="AX58" s="87">
        <f t="shared" si="314"/>
        <v>45839</v>
      </c>
      <c r="AY58" s="87">
        <f t="shared" si="314"/>
        <v>45870</v>
      </c>
      <c r="AZ58" s="87">
        <f t="shared" si="314"/>
        <v>45901</v>
      </c>
      <c r="BA58" s="87">
        <f t="shared" si="314"/>
        <v>45931</v>
      </c>
      <c r="BB58" s="87">
        <f t="shared" si="314"/>
        <v>45962</v>
      </c>
      <c r="BC58" s="87">
        <f t="shared" si="314"/>
        <v>45992</v>
      </c>
      <c r="BD58" s="87">
        <f t="shared" si="314"/>
        <v>46023</v>
      </c>
      <c r="BE58" s="87">
        <f t="shared" si="314"/>
        <v>46054</v>
      </c>
      <c r="BF58" s="87">
        <f t="shared" si="314"/>
        <v>46082</v>
      </c>
      <c r="BG58" s="87">
        <f t="shared" si="314"/>
        <v>46113</v>
      </c>
      <c r="BH58" s="87">
        <f t="shared" si="314"/>
        <v>46143</v>
      </c>
      <c r="BI58" s="87">
        <f t="shared" si="314"/>
        <v>46174</v>
      </c>
      <c r="BJ58" s="87">
        <f t="shared" si="314"/>
        <v>46204</v>
      </c>
      <c r="BK58" s="87">
        <f t="shared" si="314"/>
        <v>46235</v>
      </c>
      <c r="BL58" s="87">
        <f t="shared" si="314"/>
        <v>46266</v>
      </c>
      <c r="BM58" s="87">
        <f t="shared" si="314"/>
        <v>46296</v>
      </c>
      <c r="BN58" s="87">
        <f t="shared" si="314"/>
        <v>46327</v>
      </c>
      <c r="BO58" s="87">
        <f t="shared" si="314"/>
        <v>46357</v>
      </c>
      <c r="BP58" s="87">
        <f t="shared" si="314"/>
        <v>46388</v>
      </c>
      <c r="BQ58" s="87">
        <f t="shared" ref="BQ58:EB58" si="315">BQ$46</f>
        <v>46419</v>
      </c>
      <c r="BR58" s="87">
        <f t="shared" si="315"/>
        <v>46447</v>
      </c>
      <c r="BS58" s="87">
        <f t="shared" si="315"/>
        <v>46478</v>
      </c>
      <c r="BT58" s="87">
        <f t="shared" si="315"/>
        <v>46508</v>
      </c>
      <c r="BU58" s="87">
        <f t="shared" si="315"/>
        <v>46539</v>
      </c>
      <c r="BV58" s="87">
        <f t="shared" si="315"/>
        <v>46569</v>
      </c>
      <c r="BW58" s="87">
        <f t="shared" si="315"/>
        <v>46600</v>
      </c>
      <c r="BX58" s="87">
        <f t="shared" si="315"/>
        <v>46631</v>
      </c>
      <c r="BY58" s="87">
        <f t="shared" si="315"/>
        <v>46661</v>
      </c>
      <c r="BZ58" s="87">
        <f t="shared" si="315"/>
        <v>46692</v>
      </c>
      <c r="CA58" s="87">
        <f t="shared" si="315"/>
        <v>46722</v>
      </c>
      <c r="CB58" s="87">
        <f t="shared" si="315"/>
        <v>46753</v>
      </c>
      <c r="CC58" s="87">
        <f t="shared" si="315"/>
        <v>46784</v>
      </c>
      <c r="CD58" s="87">
        <f t="shared" si="315"/>
        <v>46813</v>
      </c>
      <c r="CE58" s="87">
        <f t="shared" si="315"/>
        <v>46844</v>
      </c>
      <c r="CF58" s="87">
        <f t="shared" si="315"/>
        <v>46874</v>
      </c>
      <c r="CG58" s="87">
        <f t="shared" si="315"/>
        <v>46905</v>
      </c>
      <c r="CH58" s="87">
        <f t="shared" si="315"/>
        <v>46935</v>
      </c>
      <c r="CI58" s="87">
        <f t="shared" si="315"/>
        <v>46966</v>
      </c>
      <c r="CJ58" s="87">
        <f t="shared" si="315"/>
        <v>46997</v>
      </c>
      <c r="CK58" s="87">
        <f t="shared" si="315"/>
        <v>47027</v>
      </c>
      <c r="CL58" s="87">
        <f t="shared" si="315"/>
        <v>47058</v>
      </c>
      <c r="CM58" s="87">
        <f t="shared" si="315"/>
        <v>47088</v>
      </c>
      <c r="CN58" s="87">
        <f t="shared" si="315"/>
        <v>47119</v>
      </c>
      <c r="CO58" s="87">
        <f t="shared" si="315"/>
        <v>47150</v>
      </c>
      <c r="CP58" s="87">
        <f t="shared" si="315"/>
        <v>47178</v>
      </c>
      <c r="CQ58" s="87">
        <f t="shared" si="315"/>
        <v>47209</v>
      </c>
      <c r="CR58" s="87">
        <f t="shared" si="315"/>
        <v>47239</v>
      </c>
      <c r="CS58" s="87">
        <f t="shared" si="315"/>
        <v>47270</v>
      </c>
      <c r="CT58" s="87">
        <f t="shared" si="315"/>
        <v>47300</v>
      </c>
      <c r="CU58" s="87">
        <f t="shared" si="315"/>
        <v>47331</v>
      </c>
      <c r="CV58" s="87">
        <f t="shared" si="315"/>
        <v>47362</v>
      </c>
      <c r="CW58" s="87">
        <f t="shared" si="315"/>
        <v>47392</v>
      </c>
      <c r="CX58" s="87">
        <f t="shared" si="315"/>
        <v>47423</v>
      </c>
      <c r="CY58" s="87">
        <f t="shared" si="315"/>
        <v>47453</v>
      </c>
      <c r="CZ58" s="87">
        <f t="shared" si="315"/>
        <v>47484</v>
      </c>
      <c r="DA58" s="87">
        <f t="shared" si="315"/>
        <v>47515</v>
      </c>
      <c r="DB58" s="87">
        <f t="shared" si="315"/>
        <v>47543</v>
      </c>
      <c r="DC58" s="87">
        <f t="shared" si="315"/>
        <v>47574</v>
      </c>
      <c r="DD58" s="87">
        <f t="shared" si="315"/>
        <v>47604</v>
      </c>
      <c r="DE58" s="87">
        <f t="shared" si="315"/>
        <v>47635</v>
      </c>
      <c r="DF58" s="87">
        <f t="shared" si="315"/>
        <v>47665</v>
      </c>
      <c r="DG58" s="87">
        <f t="shared" si="315"/>
        <v>47696</v>
      </c>
      <c r="DH58" s="87">
        <f t="shared" si="315"/>
        <v>47727</v>
      </c>
      <c r="DI58" s="87">
        <f t="shared" si="315"/>
        <v>47757</v>
      </c>
      <c r="DJ58" s="87">
        <f t="shared" si="315"/>
        <v>47788</v>
      </c>
      <c r="DK58" s="87">
        <f t="shared" si="315"/>
        <v>47818</v>
      </c>
      <c r="DL58" s="87">
        <f t="shared" si="315"/>
        <v>47849</v>
      </c>
      <c r="DM58" s="87">
        <f t="shared" si="315"/>
        <v>47880</v>
      </c>
      <c r="DN58" s="87">
        <f t="shared" si="315"/>
        <v>47908</v>
      </c>
      <c r="DO58" s="87">
        <f t="shared" si="315"/>
        <v>47939</v>
      </c>
      <c r="DP58" s="87">
        <f t="shared" si="315"/>
        <v>47969</v>
      </c>
      <c r="DQ58" s="87">
        <f t="shared" si="315"/>
        <v>48000</v>
      </c>
      <c r="DR58" s="87">
        <f t="shared" si="315"/>
        <v>48030</v>
      </c>
      <c r="DS58" s="87">
        <f t="shared" si="315"/>
        <v>48061</v>
      </c>
      <c r="DT58" s="87">
        <f t="shared" si="315"/>
        <v>48092</v>
      </c>
      <c r="DU58" s="87">
        <f t="shared" si="315"/>
        <v>48122</v>
      </c>
      <c r="DV58" s="87">
        <f t="shared" si="315"/>
        <v>48153</v>
      </c>
      <c r="DW58" s="87">
        <f t="shared" si="315"/>
        <v>48183</v>
      </c>
      <c r="DX58" s="87">
        <f t="shared" si="315"/>
        <v>48214</v>
      </c>
      <c r="DY58" s="87">
        <f t="shared" si="315"/>
        <v>48245</v>
      </c>
      <c r="DZ58" s="87">
        <f t="shared" si="315"/>
        <v>48274</v>
      </c>
      <c r="EA58" s="87">
        <f t="shared" si="315"/>
        <v>48305</v>
      </c>
      <c r="EB58" s="87">
        <f t="shared" si="315"/>
        <v>48335</v>
      </c>
      <c r="EC58" s="87">
        <f t="shared" ref="EC58:GN58" si="316">EC$46</f>
        <v>48366</v>
      </c>
      <c r="ED58" s="87">
        <f t="shared" si="316"/>
        <v>48396</v>
      </c>
      <c r="EE58" s="87">
        <f t="shared" si="316"/>
        <v>48427</v>
      </c>
      <c r="EF58" s="87">
        <f t="shared" si="316"/>
        <v>48458</v>
      </c>
      <c r="EG58" s="87">
        <f t="shared" si="316"/>
        <v>48488</v>
      </c>
      <c r="EH58" s="87">
        <f t="shared" si="316"/>
        <v>48519</v>
      </c>
      <c r="EI58" s="87">
        <f t="shared" si="316"/>
        <v>48549</v>
      </c>
      <c r="EJ58" s="87">
        <f t="shared" si="316"/>
        <v>48580</v>
      </c>
      <c r="EK58" s="87">
        <f t="shared" si="316"/>
        <v>48611</v>
      </c>
      <c r="EL58" s="87">
        <f t="shared" si="316"/>
        <v>48639</v>
      </c>
      <c r="EM58" s="87">
        <f t="shared" si="316"/>
        <v>48670</v>
      </c>
      <c r="EN58" s="87">
        <f t="shared" si="316"/>
        <v>48700</v>
      </c>
      <c r="EO58" s="87">
        <f t="shared" si="316"/>
        <v>48731</v>
      </c>
      <c r="EP58" s="87">
        <f t="shared" si="316"/>
        <v>48761</v>
      </c>
      <c r="EQ58" s="87">
        <f t="shared" si="316"/>
        <v>48792</v>
      </c>
      <c r="ER58" s="87">
        <f t="shared" si="316"/>
        <v>48823</v>
      </c>
      <c r="ES58" s="87">
        <f t="shared" si="316"/>
        <v>48853</v>
      </c>
      <c r="ET58" s="87">
        <f t="shared" si="316"/>
        <v>48884</v>
      </c>
      <c r="EU58" s="87">
        <f t="shared" si="316"/>
        <v>48914</v>
      </c>
      <c r="EV58" s="87">
        <f t="shared" si="316"/>
        <v>48945</v>
      </c>
      <c r="EW58" s="87">
        <f t="shared" si="316"/>
        <v>48976</v>
      </c>
      <c r="EX58" s="87">
        <f t="shared" si="316"/>
        <v>49004</v>
      </c>
      <c r="EY58" s="87">
        <f t="shared" si="316"/>
        <v>49035</v>
      </c>
      <c r="EZ58" s="87">
        <f t="shared" si="316"/>
        <v>49065</v>
      </c>
      <c r="FA58" s="87">
        <f t="shared" si="316"/>
        <v>49096</v>
      </c>
      <c r="FB58" s="87">
        <f t="shared" si="316"/>
        <v>49126</v>
      </c>
      <c r="FC58" s="87">
        <f t="shared" si="316"/>
        <v>49157</v>
      </c>
      <c r="FD58" s="87">
        <f t="shared" si="316"/>
        <v>49188</v>
      </c>
      <c r="FE58" s="87">
        <f t="shared" si="316"/>
        <v>49218</v>
      </c>
      <c r="FF58" s="87">
        <f t="shared" si="316"/>
        <v>49249</v>
      </c>
      <c r="FG58" s="87">
        <f t="shared" si="316"/>
        <v>49279</v>
      </c>
      <c r="FH58" s="87">
        <f t="shared" si="316"/>
        <v>49310</v>
      </c>
      <c r="FI58" s="87">
        <f t="shared" si="316"/>
        <v>49341</v>
      </c>
      <c r="FJ58" s="87">
        <f t="shared" si="316"/>
        <v>49369</v>
      </c>
      <c r="FK58" s="87">
        <f t="shared" si="316"/>
        <v>49400</v>
      </c>
      <c r="FL58" s="87">
        <f t="shared" si="316"/>
        <v>49430</v>
      </c>
      <c r="FM58" s="87">
        <f t="shared" si="316"/>
        <v>49461</v>
      </c>
      <c r="FN58" s="87">
        <f t="shared" si="316"/>
        <v>49491</v>
      </c>
      <c r="FO58" s="87">
        <f t="shared" si="316"/>
        <v>49522</v>
      </c>
      <c r="FP58" s="87">
        <f t="shared" si="316"/>
        <v>49553</v>
      </c>
      <c r="FQ58" s="87">
        <f t="shared" si="316"/>
        <v>49583</v>
      </c>
      <c r="FR58" s="87">
        <f t="shared" si="316"/>
        <v>49614</v>
      </c>
      <c r="FS58" s="87">
        <f t="shared" si="316"/>
        <v>49644</v>
      </c>
      <c r="FT58" s="87">
        <f t="shared" si="316"/>
        <v>49675</v>
      </c>
      <c r="FU58" s="87">
        <f t="shared" si="316"/>
        <v>49706</v>
      </c>
      <c r="FV58" s="87">
        <f t="shared" si="316"/>
        <v>49735</v>
      </c>
      <c r="FW58" s="87">
        <f t="shared" si="316"/>
        <v>49766</v>
      </c>
      <c r="FX58" s="87">
        <f t="shared" si="316"/>
        <v>49796</v>
      </c>
      <c r="FY58" s="87">
        <f t="shared" si="316"/>
        <v>49827</v>
      </c>
      <c r="FZ58" s="87">
        <f t="shared" si="316"/>
        <v>49857</v>
      </c>
      <c r="GA58" s="87">
        <f t="shared" si="316"/>
        <v>49888</v>
      </c>
      <c r="GB58" s="87">
        <f t="shared" si="316"/>
        <v>49919</v>
      </c>
      <c r="GC58" s="87">
        <f t="shared" si="316"/>
        <v>49949</v>
      </c>
      <c r="GD58" s="87">
        <f t="shared" si="316"/>
        <v>49980</v>
      </c>
      <c r="GE58" s="87">
        <f t="shared" si="316"/>
        <v>50010</v>
      </c>
      <c r="GF58" s="87">
        <f t="shared" si="316"/>
        <v>50041</v>
      </c>
      <c r="GG58" s="87">
        <f t="shared" si="316"/>
        <v>50072</v>
      </c>
      <c r="GH58" s="87">
        <f t="shared" si="316"/>
        <v>50100</v>
      </c>
      <c r="GI58" s="87">
        <f t="shared" si="316"/>
        <v>50131</v>
      </c>
      <c r="GJ58" s="87">
        <f t="shared" si="316"/>
        <v>50161</v>
      </c>
      <c r="GK58" s="87">
        <f t="shared" si="316"/>
        <v>50192</v>
      </c>
      <c r="GL58" s="87">
        <f t="shared" si="316"/>
        <v>50222</v>
      </c>
      <c r="GM58" s="87">
        <f t="shared" si="316"/>
        <v>50253</v>
      </c>
      <c r="GN58" s="87">
        <f t="shared" si="316"/>
        <v>50284</v>
      </c>
      <c r="GO58" s="87">
        <f t="shared" ref="GO58:IZ58" si="317">GO$46</f>
        <v>50314</v>
      </c>
      <c r="GP58" s="87">
        <f t="shared" si="317"/>
        <v>50345</v>
      </c>
      <c r="GQ58" s="87">
        <f t="shared" si="317"/>
        <v>50375</v>
      </c>
      <c r="GR58" s="87">
        <f t="shared" si="317"/>
        <v>50406</v>
      </c>
      <c r="GS58" s="87">
        <f t="shared" si="317"/>
        <v>50437</v>
      </c>
      <c r="GT58" s="87">
        <f t="shared" si="317"/>
        <v>50465</v>
      </c>
      <c r="GU58" s="87">
        <f t="shared" si="317"/>
        <v>50496</v>
      </c>
      <c r="GV58" s="87">
        <f t="shared" si="317"/>
        <v>50526</v>
      </c>
      <c r="GW58" s="87">
        <f t="shared" si="317"/>
        <v>50557</v>
      </c>
      <c r="GX58" s="87">
        <f t="shared" si="317"/>
        <v>50587</v>
      </c>
      <c r="GY58" s="87">
        <f t="shared" si="317"/>
        <v>50618</v>
      </c>
      <c r="GZ58" s="87">
        <f t="shared" si="317"/>
        <v>50649</v>
      </c>
      <c r="HA58" s="87">
        <f t="shared" si="317"/>
        <v>50679</v>
      </c>
      <c r="HB58" s="87">
        <f t="shared" si="317"/>
        <v>50710</v>
      </c>
      <c r="HC58" s="87">
        <f t="shared" si="317"/>
        <v>50740</v>
      </c>
      <c r="HD58" s="87">
        <f t="shared" si="317"/>
        <v>50771</v>
      </c>
      <c r="HE58" s="87">
        <f t="shared" si="317"/>
        <v>50802</v>
      </c>
      <c r="HF58" s="87">
        <f t="shared" si="317"/>
        <v>50830</v>
      </c>
      <c r="HG58" s="87">
        <f t="shared" si="317"/>
        <v>50861</v>
      </c>
      <c r="HH58" s="87">
        <f t="shared" si="317"/>
        <v>50891</v>
      </c>
      <c r="HI58" s="87">
        <f t="shared" si="317"/>
        <v>50922</v>
      </c>
      <c r="HJ58" s="87">
        <f t="shared" si="317"/>
        <v>50952</v>
      </c>
      <c r="HK58" s="87">
        <f t="shared" si="317"/>
        <v>50983</v>
      </c>
      <c r="HL58" s="87">
        <f t="shared" si="317"/>
        <v>51014</v>
      </c>
      <c r="HM58" s="87">
        <f t="shared" si="317"/>
        <v>51044</v>
      </c>
      <c r="HN58" s="87">
        <f t="shared" si="317"/>
        <v>51075</v>
      </c>
      <c r="HO58" s="87">
        <f t="shared" si="317"/>
        <v>51105</v>
      </c>
      <c r="HP58" s="87">
        <f t="shared" si="317"/>
        <v>51136</v>
      </c>
      <c r="HQ58" s="87">
        <f t="shared" si="317"/>
        <v>51167</v>
      </c>
      <c r="HR58" s="87">
        <f t="shared" si="317"/>
        <v>51196</v>
      </c>
      <c r="HS58" s="87">
        <f t="shared" si="317"/>
        <v>51227</v>
      </c>
      <c r="HT58" s="87">
        <f t="shared" si="317"/>
        <v>51257</v>
      </c>
      <c r="HU58" s="87">
        <f t="shared" si="317"/>
        <v>51288</v>
      </c>
      <c r="HV58" s="87">
        <f t="shared" si="317"/>
        <v>51318</v>
      </c>
      <c r="HW58" s="87">
        <f t="shared" si="317"/>
        <v>51349</v>
      </c>
      <c r="HX58" s="87">
        <f t="shared" si="317"/>
        <v>51380</v>
      </c>
      <c r="HY58" s="87">
        <f t="shared" si="317"/>
        <v>51410</v>
      </c>
      <c r="HZ58" s="87">
        <f t="shared" si="317"/>
        <v>51441</v>
      </c>
      <c r="IA58" s="87">
        <f t="shared" si="317"/>
        <v>51471</v>
      </c>
      <c r="IB58" s="87">
        <f t="shared" si="317"/>
        <v>51502</v>
      </c>
      <c r="IC58" s="87">
        <f t="shared" si="317"/>
        <v>51533</v>
      </c>
      <c r="ID58" s="87">
        <f t="shared" si="317"/>
        <v>51561</v>
      </c>
      <c r="IE58" s="87">
        <f t="shared" si="317"/>
        <v>51592</v>
      </c>
      <c r="IF58" s="87">
        <f t="shared" si="317"/>
        <v>51622</v>
      </c>
      <c r="IG58" s="87">
        <f t="shared" si="317"/>
        <v>51653</v>
      </c>
      <c r="IH58" s="87">
        <f t="shared" si="317"/>
        <v>51683</v>
      </c>
      <c r="II58" s="87">
        <f t="shared" si="317"/>
        <v>51714</v>
      </c>
      <c r="IJ58" s="87">
        <f t="shared" si="317"/>
        <v>51745</v>
      </c>
      <c r="IK58" s="87">
        <f t="shared" si="317"/>
        <v>51775</v>
      </c>
      <c r="IL58" s="87">
        <f t="shared" si="317"/>
        <v>51806</v>
      </c>
      <c r="IM58" s="87">
        <f t="shared" si="317"/>
        <v>51836</v>
      </c>
      <c r="IN58" s="87">
        <f t="shared" si="317"/>
        <v>51867</v>
      </c>
      <c r="IO58" s="87">
        <f t="shared" si="317"/>
        <v>51898</v>
      </c>
      <c r="IP58" s="87">
        <f t="shared" si="317"/>
        <v>51926</v>
      </c>
      <c r="IQ58" s="87">
        <f t="shared" si="317"/>
        <v>51957</v>
      </c>
      <c r="IR58" s="87">
        <f t="shared" si="317"/>
        <v>51987</v>
      </c>
      <c r="IS58" s="87">
        <f t="shared" si="317"/>
        <v>52018</v>
      </c>
      <c r="IT58" s="87">
        <f t="shared" si="317"/>
        <v>52048</v>
      </c>
      <c r="IU58" s="87">
        <f t="shared" si="317"/>
        <v>52079</v>
      </c>
      <c r="IV58" s="87">
        <f t="shared" si="317"/>
        <v>52110</v>
      </c>
      <c r="IW58" s="87">
        <f t="shared" si="317"/>
        <v>52140</v>
      </c>
      <c r="IX58" s="87">
        <f t="shared" si="317"/>
        <v>52171</v>
      </c>
      <c r="IY58" s="87">
        <f t="shared" si="317"/>
        <v>52201</v>
      </c>
      <c r="IZ58" s="87">
        <f t="shared" si="317"/>
        <v>52232</v>
      </c>
      <c r="JA58" s="87">
        <f t="shared" ref="JA58:KR58" si="318">JA$46</f>
        <v>52263</v>
      </c>
      <c r="JB58" s="87">
        <f t="shared" si="318"/>
        <v>52291</v>
      </c>
      <c r="JC58" s="87">
        <f t="shared" si="318"/>
        <v>52322</v>
      </c>
      <c r="JD58" s="87">
        <f t="shared" si="318"/>
        <v>52352</v>
      </c>
      <c r="JE58" s="87">
        <f t="shared" si="318"/>
        <v>52383</v>
      </c>
      <c r="JF58" s="87">
        <f t="shared" si="318"/>
        <v>52413</v>
      </c>
      <c r="JG58" s="87">
        <f t="shared" si="318"/>
        <v>52444</v>
      </c>
      <c r="JH58" s="87">
        <f t="shared" si="318"/>
        <v>52475</v>
      </c>
      <c r="JI58" s="87">
        <f t="shared" si="318"/>
        <v>52505</v>
      </c>
      <c r="JJ58" s="87">
        <f t="shared" si="318"/>
        <v>52536</v>
      </c>
      <c r="JK58" s="87">
        <f t="shared" si="318"/>
        <v>52566</v>
      </c>
      <c r="JL58" s="87">
        <f t="shared" si="318"/>
        <v>52597</v>
      </c>
      <c r="JM58" s="87">
        <f t="shared" si="318"/>
        <v>52628</v>
      </c>
      <c r="JN58" s="87">
        <f t="shared" si="318"/>
        <v>52657</v>
      </c>
      <c r="JO58" s="87">
        <f t="shared" si="318"/>
        <v>52688</v>
      </c>
      <c r="JP58" s="87">
        <f t="shared" si="318"/>
        <v>52718</v>
      </c>
      <c r="JQ58" s="87">
        <f t="shared" si="318"/>
        <v>52749</v>
      </c>
      <c r="JR58" s="87">
        <f t="shared" si="318"/>
        <v>52779</v>
      </c>
      <c r="JS58" s="87">
        <f t="shared" si="318"/>
        <v>52810</v>
      </c>
      <c r="JT58" s="87">
        <f t="shared" si="318"/>
        <v>52841</v>
      </c>
      <c r="JU58" s="87">
        <f t="shared" si="318"/>
        <v>52871</v>
      </c>
      <c r="JV58" s="87">
        <f t="shared" si="318"/>
        <v>52902</v>
      </c>
      <c r="JW58" s="87">
        <f t="shared" si="318"/>
        <v>52932</v>
      </c>
      <c r="JX58" s="87">
        <f t="shared" si="318"/>
        <v>52963</v>
      </c>
      <c r="JY58" s="87">
        <f t="shared" si="318"/>
        <v>52994</v>
      </c>
      <c r="JZ58" s="87">
        <f t="shared" si="318"/>
        <v>53022</v>
      </c>
      <c r="KA58" s="87">
        <f t="shared" si="318"/>
        <v>53053</v>
      </c>
      <c r="KB58" s="87">
        <f t="shared" si="318"/>
        <v>53083</v>
      </c>
      <c r="KC58" s="87">
        <f t="shared" si="318"/>
        <v>53114</v>
      </c>
      <c r="KD58" s="87">
        <f t="shared" si="318"/>
        <v>53144</v>
      </c>
      <c r="KE58" s="87">
        <f t="shared" si="318"/>
        <v>53175</v>
      </c>
      <c r="KF58" s="87">
        <f t="shared" si="318"/>
        <v>53206</v>
      </c>
      <c r="KG58" s="87">
        <f t="shared" si="318"/>
        <v>53236</v>
      </c>
      <c r="KH58" s="87">
        <f t="shared" si="318"/>
        <v>53267</v>
      </c>
      <c r="KI58" s="87">
        <f t="shared" si="318"/>
        <v>53297</v>
      </c>
      <c r="KJ58" s="87">
        <f t="shared" si="318"/>
        <v>53328</v>
      </c>
      <c r="KK58" s="87">
        <f t="shared" si="318"/>
        <v>53359</v>
      </c>
      <c r="KL58" s="87">
        <f t="shared" si="318"/>
        <v>53387</v>
      </c>
      <c r="KM58" s="87">
        <f t="shared" si="318"/>
        <v>53418</v>
      </c>
      <c r="KN58" s="87">
        <f t="shared" si="318"/>
        <v>53448</v>
      </c>
      <c r="KO58" s="87">
        <f t="shared" si="318"/>
        <v>53479</v>
      </c>
      <c r="KP58" s="87">
        <f t="shared" si="318"/>
        <v>53509</v>
      </c>
      <c r="KQ58" s="87">
        <f t="shared" si="318"/>
        <v>53540</v>
      </c>
      <c r="KR58" s="87">
        <f t="shared" si="318"/>
        <v>53571</v>
      </c>
      <c r="KS58" s="86">
        <f t="shared" si="303"/>
        <v>0.66301369863013704</v>
      </c>
    </row>
    <row r="59" spans="1:306" ht="15.6" x14ac:dyDescent="0.3">
      <c r="A59" s="532" t="s">
        <v>1223</v>
      </c>
      <c r="B59" s="84">
        <f>D59-C59+1</f>
        <v>225</v>
      </c>
      <c r="C59" s="88">
        <v>44713</v>
      </c>
      <c r="D59" s="88">
        <v>44937</v>
      </c>
      <c r="E59" s="87">
        <f t="shared" ref="E59:BP59" si="319">E$46</f>
        <v>44470</v>
      </c>
      <c r="F59" s="87">
        <f t="shared" si="319"/>
        <v>44501</v>
      </c>
      <c r="G59" s="87">
        <f t="shared" si="319"/>
        <v>44531</v>
      </c>
      <c r="H59" s="87">
        <f t="shared" si="319"/>
        <v>44562</v>
      </c>
      <c r="I59" s="87">
        <f t="shared" si="319"/>
        <v>44593</v>
      </c>
      <c r="J59" s="87">
        <f t="shared" si="319"/>
        <v>44621</v>
      </c>
      <c r="K59" s="87">
        <f t="shared" si="319"/>
        <v>44652</v>
      </c>
      <c r="L59" s="87">
        <f t="shared" si="319"/>
        <v>44682</v>
      </c>
      <c r="M59" s="87">
        <f t="shared" si="319"/>
        <v>44713</v>
      </c>
      <c r="N59" s="87">
        <f t="shared" si="319"/>
        <v>44743</v>
      </c>
      <c r="O59" s="87">
        <f t="shared" si="319"/>
        <v>44774</v>
      </c>
      <c r="P59" s="87">
        <f t="shared" si="319"/>
        <v>44805</v>
      </c>
      <c r="Q59" s="87">
        <f t="shared" si="319"/>
        <v>44835</v>
      </c>
      <c r="R59" s="87">
        <f t="shared" si="319"/>
        <v>44866</v>
      </c>
      <c r="S59" s="87">
        <f t="shared" si="319"/>
        <v>44896</v>
      </c>
      <c r="T59" s="87">
        <f t="shared" si="319"/>
        <v>44927</v>
      </c>
      <c r="U59" s="87">
        <f t="shared" si="319"/>
        <v>44958</v>
      </c>
      <c r="V59" s="87">
        <f t="shared" si="319"/>
        <v>44986</v>
      </c>
      <c r="W59" s="87">
        <f t="shared" si="319"/>
        <v>45017</v>
      </c>
      <c r="X59" s="87">
        <f t="shared" si="319"/>
        <v>45047</v>
      </c>
      <c r="Y59" s="87">
        <f t="shared" si="319"/>
        <v>45078</v>
      </c>
      <c r="Z59" s="87">
        <f t="shared" si="319"/>
        <v>45108</v>
      </c>
      <c r="AA59" s="87">
        <f t="shared" si="319"/>
        <v>45139</v>
      </c>
      <c r="AB59" s="87">
        <f t="shared" si="319"/>
        <v>45170</v>
      </c>
      <c r="AC59" s="87">
        <f t="shared" si="319"/>
        <v>45200</v>
      </c>
      <c r="AD59" s="87">
        <f t="shared" si="319"/>
        <v>45231</v>
      </c>
      <c r="AE59" s="87">
        <f t="shared" si="319"/>
        <v>45261</v>
      </c>
      <c r="AF59" s="87">
        <f t="shared" si="319"/>
        <v>45292</v>
      </c>
      <c r="AG59" s="87">
        <f t="shared" si="319"/>
        <v>45323</v>
      </c>
      <c r="AH59" s="87">
        <f t="shared" si="319"/>
        <v>45352</v>
      </c>
      <c r="AI59" s="87">
        <f t="shared" si="319"/>
        <v>45383</v>
      </c>
      <c r="AJ59" s="87">
        <f t="shared" si="319"/>
        <v>45413</v>
      </c>
      <c r="AK59" s="87">
        <f t="shared" si="319"/>
        <v>45444</v>
      </c>
      <c r="AL59" s="87">
        <f t="shared" si="319"/>
        <v>45474</v>
      </c>
      <c r="AM59" s="87">
        <f t="shared" si="319"/>
        <v>45505</v>
      </c>
      <c r="AN59" s="87">
        <f t="shared" si="319"/>
        <v>45536</v>
      </c>
      <c r="AO59" s="87">
        <f t="shared" si="319"/>
        <v>45566</v>
      </c>
      <c r="AP59" s="87">
        <f t="shared" si="319"/>
        <v>45597</v>
      </c>
      <c r="AQ59" s="87">
        <f t="shared" si="319"/>
        <v>45627</v>
      </c>
      <c r="AR59" s="87">
        <f t="shared" si="319"/>
        <v>45658</v>
      </c>
      <c r="AS59" s="87">
        <f t="shared" si="319"/>
        <v>45689</v>
      </c>
      <c r="AT59" s="87">
        <f t="shared" si="319"/>
        <v>45717</v>
      </c>
      <c r="AU59" s="87">
        <f t="shared" si="319"/>
        <v>45748</v>
      </c>
      <c r="AV59" s="87">
        <f t="shared" si="319"/>
        <v>45778</v>
      </c>
      <c r="AW59" s="87">
        <f t="shared" si="319"/>
        <v>45809</v>
      </c>
      <c r="AX59" s="87">
        <f t="shared" si="319"/>
        <v>45839</v>
      </c>
      <c r="AY59" s="87">
        <f t="shared" si="319"/>
        <v>45870</v>
      </c>
      <c r="AZ59" s="87">
        <f t="shared" si="319"/>
        <v>45901</v>
      </c>
      <c r="BA59" s="87">
        <f t="shared" si="319"/>
        <v>45931</v>
      </c>
      <c r="BB59" s="87">
        <f t="shared" si="319"/>
        <v>45962</v>
      </c>
      <c r="BC59" s="87">
        <f t="shared" si="319"/>
        <v>45992</v>
      </c>
      <c r="BD59" s="87">
        <f t="shared" si="319"/>
        <v>46023</v>
      </c>
      <c r="BE59" s="87">
        <f t="shared" si="319"/>
        <v>46054</v>
      </c>
      <c r="BF59" s="87">
        <f t="shared" si="319"/>
        <v>46082</v>
      </c>
      <c r="BG59" s="87">
        <f t="shared" si="319"/>
        <v>46113</v>
      </c>
      <c r="BH59" s="87">
        <f t="shared" si="319"/>
        <v>46143</v>
      </c>
      <c r="BI59" s="87">
        <f t="shared" si="319"/>
        <v>46174</v>
      </c>
      <c r="BJ59" s="87">
        <f t="shared" si="319"/>
        <v>46204</v>
      </c>
      <c r="BK59" s="87">
        <f t="shared" si="319"/>
        <v>46235</v>
      </c>
      <c r="BL59" s="87">
        <f t="shared" si="319"/>
        <v>46266</v>
      </c>
      <c r="BM59" s="87">
        <f t="shared" si="319"/>
        <v>46296</v>
      </c>
      <c r="BN59" s="87">
        <f t="shared" si="319"/>
        <v>46327</v>
      </c>
      <c r="BO59" s="87">
        <f t="shared" si="319"/>
        <v>46357</v>
      </c>
      <c r="BP59" s="87">
        <f t="shared" si="319"/>
        <v>46388</v>
      </c>
      <c r="BQ59" s="87">
        <f t="shared" ref="BQ59:EB59" si="320">BQ$46</f>
        <v>46419</v>
      </c>
      <c r="BR59" s="87">
        <f t="shared" si="320"/>
        <v>46447</v>
      </c>
      <c r="BS59" s="87">
        <f t="shared" si="320"/>
        <v>46478</v>
      </c>
      <c r="BT59" s="87">
        <f t="shared" si="320"/>
        <v>46508</v>
      </c>
      <c r="BU59" s="87">
        <f t="shared" si="320"/>
        <v>46539</v>
      </c>
      <c r="BV59" s="87">
        <f t="shared" si="320"/>
        <v>46569</v>
      </c>
      <c r="BW59" s="87">
        <f t="shared" si="320"/>
        <v>46600</v>
      </c>
      <c r="BX59" s="87">
        <f t="shared" si="320"/>
        <v>46631</v>
      </c>
      <c r="BY59" s="87">
        <f t="shared" si="320"/>
        <v>46661</v>
      </c>
      <c r="BZ59" s="87">
        <f t="shared" si="320"/>
        <v>46692</v>
      </c>
      <c r="CA59" s="87">
        <f t="shared" si="320"/>
        <v>46722</v>
      </c>
      <c r="CB59" s="87">
        <f t="shared" si="320"/>
        <v>46753</v>
      </c>
      <c r="CC59" s="87">
        <f t="shared" si="320"/>
        <v>46784</v>
      </c>
      <c r="CD59" s="87">
        <f t="shared" si="320"/>
        <v>46813</v>
      </c>
      <c r="CE59" s="87">
        <f t="shared" si="320"/>
        <v>46844</v>
      </c>
      <c r="CF59" s="87">
        <f t="shared" si="320"/>
        <v>46874</v>
      </c>
      <c r="CG59" s="87">
        <f t="shared" si="320"/>
        <v>46905</v>
      </c>
      <c r="CH59" s="87">
        <f t="shared" si="320"/>
        <v>46935</v>
      </c>
      <c r="CI59" s="87">
        <f t="shared" si="320"/>
        <v>46966</v>
      </c>
      <c r="CJ59" s="87">
        <f t="shared" si="320"/>
        <v>46997</v>
      </c>
      <c r="CK59" s="87">
        <f t="shared" si="320"/>
        <v>47027</v>
      </c>
      <c r="CL59" s="87">
        <f t="shared" si="320"/>
        <v>47058</v>
      </c>
      <c r="CM59" s="87">
        <f t="shared" si="320"/>
        <v>47088</v>
      </c>
      <c r="CN59" s="87">
        <f t="shared" si="320"/>
        <v>47119</v>
      </c>
      <c r="CO59" s="87">
        <f t="shared" si="320"/>
        <v>47150</v>
      </c>
      <c r="CP59" s="87">
        <f t="shared" si="320"/>
        <v>47178</v>
      </c>
      <c r="CQ59" s="87">
        <f t="shared" si="320"/>
        <v>47209</v>
      </c>
      <c r="CR59" s="87">
        <f t="shared" si="320"/>
        <v>47239</v>
      </c>
      <c r="CS59" s="87">
        <f t="shared" si="320"/>
        <v>47270</v>
      </c>
      <c r="CT59" s="87">
        <f t="shared" si="320"/>
        <v>47300</v>
      </c>
      <c r="CU59" s="87">
        <f t="shared" si="320"/>
        <v>47331</v>
      </c>
      <c r="CV59" s="87">
        <f t="shared" si="320"/>
        <v>47362</v>
      </c>
      <c r="CW59" s="87">
        <f t="shared" si="320"/>
        <v>47392</v>
      </c>
      <c r="CX59" s="87">
        <f t="shared" si="320"/>
        <v>47423</v>
      </c>
      <c r="CY59" s="87">
        <f t="shared" si="320"/>
        <v>47453</v>
      </c>
      <c r="CZ59" s="87">
        <f t="shared" si="320"/>
        <v>47484</v>
      </c>
      <c r="DA59" s="87">
        <f t="shared" si="320"/>
        <v>47515</v>
      </c>
      <c r="DB59" s="87">
        <f t="shared" si="320"/>
        <v>47543</v>
      </c>
      <c r="DC59" s="87">
        <f t="shared" si="320"/>
        <v>47574</v>
      </c>
      <c r="DD59" s="87">
        <f t="shared" si="320"/>
        <v>47604</v>
      </c>
      <c r="DE59" s="87">
        <f t="shared" si="320"/>
        <v>47635</v>
      </c>
      <c r="DF59" s="87">
        <f t="shared" si="320"/>
        <v>47665</v>
      </c>
      <c r="DG59" s="87">
        <f t="shared" si="320"/>
        <v>47696</v>
      </c>
      <c r="DH59" s="87">
        <f t="shared" si="320"/>
        <v>47727</v>
      </c>
      <c r="DI59" s="87">
        <f t="shared" si="320"/>
        <v>47757</v>
      </c>
      <c r="DJ59" s="87">
        <f t="shared" si="320"/>
        <v>47788</v>
      </c>
      <c r="DK59" s="87">
        <f t="shared" si="320"/>
        <v>47818</v>
      </c>
      <c r="DL59" s="87">
        <f t="shared" si="320"/>
        <v>47849</v>
      </c>
      <c r="DM59" s="87">
        <f t="shared" si="320"/>
        <v>47880</v>
      </c>
      <c r="DN59" s="87">
        <f t="shared" si="320"/>
        <v>47908</v>
      </c>
      <c r="DO59" s="87">
        <f t="shared" si="320"/>
        <v>47939</v>
      </c>
      <c r="DP59" s="87">
        <f t="shared" si="320"/>
        <v>47969</v>
      </c>
      <c r="DQ59" s="87">
        <f t="shared" si="320"/>
        <v>48000</v>
      </c>
      <c r="DR59" s="87">
        <f t="shared" si="320"/>
        <v>48030</v>
      </c>
      <c r="DS59" s="87">
        <f t="shared" si="320"/>
        <v>48061</v>
      </c>
      <c r="DT59" s="87">
        <f t="shared" si="320"/>
        <v>48092</v>
      </c>
      <c r="DU59" s="87">
        <f t="shared" si="320"/>
        <v>48122</v>
      </c>
      <c r="DV59" s="87">
        <f t="shared" si="320"/>
        <v>48153</v>
      </c>
      <c r="DW59" s="87">
        <f t="shared" si="320"/>
        <v>48183</v>
      </c>
      <c r="DX59" s="87">
        <f t="shared" si="320"/>
        <v>48214</v>
      </c>
      <c r="DY59" s="87">
        <f t="shared" si="320"/>
        <v>48245</v>
      </c>
      <c r="DZ59" s="87">
        <f t="shared" si="320"/>
        <v>48274</v>
      </c>
      <c r="EA59" s="87">
        <f t="shared" si="320"/>
        <v>48305</v>
      </c>
      <c r="EB59" s="87">
        <f t="shared" si="320"/>
        <v>48335</v>
      </c>
      <c r="EC59" s="87">
        <f t="shared" ref="EC59:GN59" si="321">EC$46</f>
        <v>48366</v>
      </c>
      <c r="ED59" s="87">
        <f t="shared" si="321"/>
        <v>48396</v>
      </c>
      <c r="EE59" s="87">
        <f t="shared" si="321"/>
        <v>48427</v>
      </c>
      <c r="EF59" s="87">
        <f t="shared" si="321"/>
        <v>48458</v>
      </c>
      <c r="EG59" s="87">
        <f t="shared" si="321"/>
        <v>48488</v>
      </c>
      <c r="EH59" s="87">
        <f t="shared" si="321"/>
        <v>48519</v>
      </c>
      <c r="EI59" s="87">
        <f t="shared" si="321"/>
        <v>48549</v>
      </c>
      <c r="EJ59" s="87">
        <f t="shared" si="321"/>
        <v>48580</v>
      </c>
      <c r="EK59" s="87">
        <f t="shared" si="321"/>
        <v>48611</v>
      </c>
      <c r="EL59" s="87">
        <f t="shared" si="321"/>
        <v>48639</v>
      </c>
      <c r="EM59" s="87">
        <f t="shared" si="321"/>
        <v>48670</v>
      </c>
      <c r="EN59" s="87">
        <f t="shared" si="321"/>
        <v>48700</v>
      </c>
      <c r="EO59" s="87">
        <f t="shared" si="321"/>
        <v>48731</v>
      </c>
      <c r="EP59" s="87">
        <f t="shared" si="321"/>
        <v>48761</v>
      </c>
      <c r="EQ59" s="87">
        <f t="shared" si="321"/>
        <v>48792</v>
      </c>
      <c r="ER59" s="87">
        <f t="shared" si="321"/>
        <v>48823</v>
      </c>
      <c r="ES59" s="87">
        <f t="shared" si="321"/>
        <v>48853</v>
      </c>
      <c r="ET59" s="87">
        <f t="shared" si="321"/>
        <v>48884</v>
      </c>
      <c r="EU59" s="87">
        <f t="shared" si="321"/>
        <v>48914</v>
      </c>
      <c r="EV59" s="87">
        <f t="shared" si="321"/>
        <v>48945</v>
      </c>
      <c r="EW59" s="87">
        <f t="shared" si="321"/>
        <v>48976</v>
      </c>
      <c r="EX59" s="87">
        <f t="shared" si="321"/>
        <v>49004</v>
      </c>
      <c r="EY59" s="87">
        <f t="shared" si="321"/>
        <v>49035</v>
      </c>
      <c r="EZ59" s="87">
        <f t="shared" si="321"/>
        <v>49065</v>
      </c>
      <c r="FA59" s="87">
        <f t="shared" si="321"/>
        <v>49096</v>
      </c>
      <c r="FB59" s="87">
        <f t="shared" si="321"/>
        <v>49126</v>
      </c>
      <c r="FC59" s="87">
        <f t="shared" si="321"/>
        <v>49157</v>
      </c>
      <c r="FD59" s="87">
        <f t="shared" si="321"/>
        <v>49188</v>
      </c>
      <c r="FE59" s="87">
        <f t="shared" si="321"/>
        <v>49218</v>
      </c>
      <c r="FF59" s="87">
        <f t="shared" si="321"/>
        <v>49249</v>
      </c>
      <c r="FG59" s="87">
        <f t="shared" si="321"/>
        <v>49279</v>
      </c>
      <c r="FH59" s="87">
        <f t="shared" si="321"/>
        <v>49310</v>
      </c>
      <c r="FI59" s="87">
        <f t="shared" si="321"/>
        <v>49341</v>
      </c>
      <c r="FJ59" s="87">
        <f t="shared" si="321"/>
        <v>49369</v>
      </c>
      <c r="FK59" s="87">
        <f t="shared" si="321"/>
        <v>49400</v>
      </c>
      <c r="FL59" s="87">
        <f t="shared" si="321"/>
        <v>49430</v>
      </c>
      <c r="FM59" s="87">
        <f t="shared" si="321"/>
        <v>49461</v>
      </c>
      <c r="FN59" s="87">
        <f t="shared" si="321"/>
        <v>49491</v>
      </c>
      <c r="FO59" s="87">
        <f t="shared" si="321"/>
        <v>49522</v>
      </c>
      <c r="FP59" s="87">
        <f t="shared" si="321"/>
        <v>49553</v>
      </c>
      <c r="FQ59" s="87">
        <f t="shared" si="321"/>
        <v>49583</v>
      </c>
      <c r="FR59" s="87">
        <f t="shared" si="321"/>
        <v>49614</v>
      </c>
      <c r="FS59" s="87">
        <f t="shared" si="321"/>
        <v>49644</v>
      </c>
      <c r="FT59" s="87">
        <f t="shared" si="321"/>
        <v>49675</v>
      </c>
      <c r="FU59" s="87">
        <f t="shared" si="321"/>
        <v>49706</v>
      </c>
      <c r="FV59" s="87">
        <f t="shared" si="321"/>
        <v>49735</v>
      </c>
      <c r="FW59" s="87">
        <f t="shared" si="321"/>
        <v>49766</v>
      </c>
      <c r="FX59" s="87">
        <f t="shared" si="321"/>
        <v>49796</v>
      </c>
      <c r="FY59" s="87">
        <f t="shared" si="321"/>
        <v>49827</v>
      </c>
      <c r="FZ59" s="87">
        <f t="shared" si="321"/>
        <v>49857</v>
      </c>
      <c r="GA59" s="87">
        <f t="shared" si="321"/>
        <v>49888</v>
      </c>
      <c r="GB59" s="87">
        <f t="shared" si="321"/>
        <v>49919</v>
      </c>
      <c r="GC59" s="87">
        <f t="shared" si="321"/>
        <v>49949</v>
      </c>
      <c r="GD59" s="87">
        <f t="shared" si="321"/>
        <v>49980</v>
      </c>
      <c r="GE59" s="87">
        <f t="shared" si="321"/>
        <v>50010</v>
      </c>
      <c r="GF59" s="87">
        <f t="shared" si="321"/>
        <v>50041</v>
      </c>
      <c r="GG59" s="87">
        <f t="shared" si="321"/>
        <v>50072</v>
      </c>
      <c r="GH59" s="87">
        <f t="shared" si="321"/>
        <v>50100</v>
      </c>
      <c r="GI59" s="87">
        <f t="shared" si="321"/>
        <v>50131</v>
      </c>
      <c r="GJ59" s="87">
        <f t="shared" si="321"/>
        <v>50161</v>
      </c>
      <c r="GK59" s="87">
        <f t="shared" si="321"/>
        <v>50192</v>
      </c>
      <c r="GL59" s="87">
        <f t="shared" si="321"/>
        <v>50222</v>
      </c>
      <c r="GM59" s="87">
        <f t="shared" si="321"/>
        <v>50253</v>
      </c>
      <c r="GN59" s="87">
        <f t="shared" si="321"/>
        <v>50284</v>
      </c>
      <c r="GO59" s="87">
        <f t="shared" ref="GO59:IZ59" si="322">GO$46</f>
        <v>50314</v>
      </c>
      <c r="GP59" s="87">
        <f t="shared" si="322"/>
        <v>50345</v>
      </c>
      <c r="GQ59" s="87">
        <f t="shared" si="322"/>
        <v>50375</v>
      </c>
      <c r="GR59" s="87">
        <f t="shared" si="322"/>
        <v>50406</v>
      </c>
      <c r="GS59" s="87">
        <f t="shared" si="322"/>
        <v>50437</v>
      </c>
      <c r="GT59" s="87">
        <f t="shared" si="322"/>
        <v>50465</v>
      </c>
      <c r="GU59" s="87">
        <f t="shared" si="322"/>
        <v>50496</v>
      </c>
      <c r="GV59" s="87">
        <f t="shared" si="322"/>
        <v>50526</v>
      </c>
      <c r="GW59" s="87">
        <f t="shared" si="322"/>
        <v>50557</v>
      </c>
      <c r="GX59" s="87">
        <f t="shared" si="322"/>
        <v>50587</v>
      </c>
      <c r="GY59" s="87">
        <f t="shared" si="322"/>
        <v>50618</v>
      </c>
      <c r="GZ59" s="87">
        <f t="shared" si="322"/>
        <v>50649</v>
      </c>
      <c r="HA59" s="87">
        <f t="shared" si="322"/>
        <v>50679</v>
      </c>
      <c r="HB59" s="87">
        <f t="shared" si="322"/>
        <v>50710</v>
      </c>
      <c r="HC59" s="87">
        <f t="shared" si="322"/>
        <v>50740</v>
      </c>
      <c r="HD59" s="87">
        <f t="shared" si="322"/>
        <v>50771</v>
      </c>
      <c r="HE59" s="87">
        <f t="shared" si="322"/>
        <v>50802</v>
      </c>
      <c r="HF59" s="87">
        <f t="shared" si="322"/>
        <v>50830</v>
      </c>
      <c r="HG59" s="87">
        <f t="shared" si="322"/>
        <v>50861</v>
      </c>
      <c r="HH59" s="87">
        <f t="shared" si="322"/>
        <v>50891</v>
      </c>
      <c r="HI59" s="87">
        <f t="shared" si="322"/>
        <v>50922</v>
      </c>
      <c r="HJ59" s="87">
        <f t="shared" si="322"/>
        <v>50952</v>
      </c>
      <c r="HK59" s="87">
        <f t="shared" si="322"/>
        <v>50983</v>
      </c>
      <c r="HL59" s="87">
        <f t="shared" si="322"/>
        <v>51014</v>
      </c>
      <c r="HM59" s="87">
        <f t="shared" si="322"/>
        <v>51044</v>
      </c>
      <c r="HN59" s="87">
        <f t="shared" si="322"/>
        <v>51075</v>
      </c>
      <c r="HO59" s="87">
        <f t="shared" si="322"/>
        <v>51105</v>
      </c>
      <c r="HP59" s="87">
        <f t="shared" si="322"/>
        <v>51136</v>
      </c>
      <c r="HQ59" s="87">
        <f t="shared" si="322"/>
        <v>51167</v>
      </c>
      <c r="HR59" s="87">
        <f t="shared" si="322"/>
        <v>51196</v>
      </c>
      <c r="HS59" s="87">
        <f t="shared" si="322"/>
        <v>51227</v>
      </c>
      <c r="HT59" s="87">
        <f t="shared" si="322"/>
        <v>51257</v>
      </c>
      <c r="HU59" s="87">
        <f t="shared" si="322"/>
        <v>51288</v>
      </c>
      <c r="HV59" s="87">
        <f t="shared" si="322"/>
        <v>51318</v>
      </c>
      <c r="HW59" s="87">
        <f t="shared" si="322"/>
        <v>51349</v>
      </c>
      <c r="HX59" s="87">
        <f t="shared" si="322"/>
        <v>51380</v>
      </c>
      <c r="HY59" s="87">
        <f t="shared" si="322"/>
        <v>51410</v>
      </c>
      <c r="HZ59" s="87">
        <f t="shared" si="322"/>
        <v>51441</v>
      </c>
      <c r="IA59" s="87">
        <f t="shared" si="322"/>
        <v>51471</v>
      </c>
      <c r="IB59" s="87">
        <f t="shared" si="322"/>
        <v>51502</v>
      </c>
      <c r="IC59" s="87">
        <f t="shared" si="322"/>
        <v>51533</v>
      </c>
      <c r="ID59" s="87">
        <f t="shared" si="322"/>
        <v>51561</v>
      </c>
      <c r="IE59" s="87">
        <f t="shared" si="322"/>
        <v>51592</v>
      </c>
      <c r="IF59" s="87">
        <f t="shared" si="322"/>
        <v>51622</v>
      </c>
      <c r="IG59" s="87">
        <f t="shared" si="322"/>
        <v>51653</v>
      </c>
      <c r="IH59" s="87">
        <f t="shared" si="322"/>
        <v>51683</v>
      </c>
      <c r="II59" s="87">
        <f t="shared" si="322"/>
        <v>51714</v>
      </c>
      <c r="IJ59" s="87">
        <f t="shared" si="322"/>
        <v>51745</v>
      </c>
      <c r="IK59" s="87">
        <f t="shared" si="322"/>
        <v>51775</v>
      </c>
      <c r="IL59" s="87">
        <f t="shared" si="322"/>
        <v>51806</v>
      </c>
      <c r="IM59" s="87">
        <f t="shared" si="322"/>
        <v>51836</v>
      </c>
      <c r="IN59" s="87">
        <f t="shared" si="322"/>
        <v>51867</v>
      </c>
      <c r="IO59" s="87">
        <f t="shared" si="322"/>
        <v>51898</v>
      </c>
      <c r="IP59" s="87">
        <f t="shared" si="322"/>
        <v>51926</v>
      </c>
      <c r="IQ59" s="87">
        <f t="shared" si="322"/>
        <v>51957</v>
      </c>
      <c r="IR59" s="87">
        <f t="shared" si="322"/>
        <v>51987</v>
      </c>
      <c r="IS59" s="87">
        <f t="shared" si="322"/>
        <v>52018</v>
      </c>
      <c r="IT59" s="87">
        <f t="shared" si="322"/>
        <v>52048</v>
      </c>
      <c r="IU59" s="87">
        <f t="shared" si="322"/>
        <v>52079</v>
      </c>
      <c r="IV59" s="87">
        <f t="shared" si="322"/>
        <v>52110</v>
      </c>
      <c r="IW59" s="87">
        <f t="shared" si="322"/>
        <v>52140</v>
      </c>
      <c r="IX59" s="87">
        <f t="shared" si="322"/>
        <v>52171</v>
      </c>
      <c r="IY59" s="87">
        <f t="shared" si="322"/>
        <v>52201</v>
      </c>
      <c r="IZ59" s="87">
        <f t="shared" si="322"/>
        <v>52232</v>
      </c>
      <c r="JA59" s="87">
        <f t="shared" ref="JA59:KR59" si="323">JA$46</f>
        <v>52263</v>
      </c>
      <c r="JB59" s="87">
        <f t="shared" si="323"/>
        <v>52291</v>
      </c>
      <c r="JC59" s="87">
        <f t="shared" si="323"/>
        <v>52322</v>
      </c>
      <c r="JD59" s="87">
        <f t="shared" si="323"/>
        <v>52352</v>
      </c>
      <c r="JE59" s="87">
        <f t="shared" si="323"/>
        <v>52383</v>
      </c>
      <c r="JF59" s="87">
        <f t="shared" si="323"/>
        <v>52413</v>
      </c>
      <c r="JG59" s="87">
        <f t="shared" si="323"/>
        <v>52444</v>
      </c>
      <c r="JH59" s="87">
        <f t="shared" si="323"/>
        <v>52475</v>
      </c>
      <c r="JI59" s="87">
        <f t="shared" si="323"/>
        <v>52505</v>
      </c>
      <c r="JJ59" s="87">
        <f t="shared" si="323"/>
        <v>52536</v>
      </c>
      <c r="JK59" s="87">
        <f t="shared" si="323"/>
        <v>52566</v>
      </c>
      <c r="JL59" s="87">
        <f t="shared" si="323"/>
        <v>52597</v>
      </c>
      <c r="JM59" s="87">
        <f t="shared" si="323"/>
        <v>52628</v>
      </c>
      <c r="JN59" s="87">
        <f t="shared" si="323"/>
        <v>52657</v>
      </c>
      <c r="JO59" s="87">
        <f t="shared" si="323"/>
        <v>52688</v>
      </c>
      <c r="JP59" s="87">
        <f t="shared" si="323"/>
        <v>52718</v>
      </c>
      <c r="JQ59" s="87">
        <f t="shared" si="323"/>
        <v>52749</v>
      </c>
      <c r="JR59" s="87">
        <f t="shared" si="323"/>
        <v>52779</v>
      </c>
      <c r="JS59" s="87">
        <f t="shared" si="323"/>
        <v>52810</v>
      </c>
      <c r="JT59" s="87">
        <f t="shared" si="323"/>
        <v>52841</v>
      </c>
      <c r="JU59" s="87">
        <f t="shared" si="323"/>
        <v>52871</v>
      </c>
      <c r="JV59" s="87">
        <f t="shared" si="323"/>
        <v>52902</v>
      </c>
      <c r="JW59" s="87">
        <f t="shared" si="323"/>
        <v>52932</v>
      </c>
      <c r="JX59" s="87">
        <f t="shared" si="323"/>
        <v>52963</v>
      </c>
      <c r="JY59" s="87">
        <f t="shared" si="323"/>
        <v>52994</v>
      </c>
      <c r="JZ59" s="87">
        <f t="shared" si="323"/>
        <v>53022</v>
      </c>
      <c r="KA59" s="87">
        <f t="shared" si="323"/>
        <v>53053</v>
      </c>
      <c r="KB59" s="87">
        <f t="shared" si="323"/>
        <v>53083</v>
      </c>
      <c r="KC59" s="87">
        <f t="shared" si="323"/>
        <v>53114</v>
      </c>
      <c r="KD59" s="87">
        <f t="shared" si="323"/>
        <v>53144</v>
      </c>
      <c r="KE59" s="87">
        <f t="shared" si="323"/>
        <v>53175</v>
      </c>
      <c r="KF59" s="87">
        <f t="shared" si="323"/>
        <v>53206</v>
      </c>
      <c r="KG59" s="87">
        <f t="shared" si="323"/>
        <v>53236</v>
      </c>
      <c r="KH59" s="87">
        <f t="shared" si="323"/>
        <v>53267</v>
      </c>
      <c r="KI59" s="87">
        <f t="shared" si="323"/>
        <v>53297</v>
      </c>
      <c r="KJ59" s="87">
        <f t="shared" si="323"/>
        <v>53328</v>
      </c>
      <c r="KK59" s="87">
        <f t="shared" si="323"/>
        <v>53359</v>
      </c>
      <c r="KL59" s="87">
        <f t="shared" si="323"/>
        <v>53387</v>
      </c>
      <c r="KM59" s="87">
        <f t="shared" si="323"/>
        <v>53418</v>
      </c>
      <c r="KN59" s="87">
        <f t="shared" si="323"/>
        <v>53448</v>
      </c>
      <c r="KO59" s="87">
        <f t="shared" si="323"/>
        <v>53479</v>
      </c>
      <c r="KP59" s="87">
        <f t="shared" si="323"/>
        <v>53509</v>
      </c>
      <c r="KQ59" s="87">
        <f t="shared" si="323"/>
        <v>53540</v>
      </c>
      <c r="KR59" s="87">
        <f t="shared" si="323"/>
        <v>53571</v>
      </c>
      <c r="KS59" s="86">
        <f t="shared" si="303"/>
        <v>0.61369863013698633</v>
      </c>
      <c r="KT59" s="85"/>
    </row>
    <row r="60" spans="1:306" x14ac:dyDescent="0.3">
      <c r="A60" s="533" t="s">
        <v>1386</v>
      </c>
      <c r="B60" s="84"/>
      <c r="C60" s="88">
        <f>MIN(C61:C63)</f>
        <v>44470</v>
      </c>
      <c r="D60" s="88">
        <f>MAX(D61:D63)</f>
        <v>46447</v>
      </c>
      <c r="E60" s="87">
        <f t="shared" ref="E60:BP60" si="324">E$46</f>
        <v>44470</v>
      </c>
      <c r="F60" s="87">
        <f t="shared" si="324"/>
        <v>44501</v>
      </c>
      <c r="G60" s="87">
        <f t="shared" si="324"/>
        <v>44531</v>
      </c>
      <c r="H60" s="87">
        <f t="shared" si="324"/>
        <v>44562</v>
      </c>
      <c r="I60" s="87">
        <f t="shared" si="324"/>
        <v>44593</v>
      </c>
      <c r="J60" s="87">
        <f t="shared" si="324"/>
        <v>44621</v>
      </c>
      <c r="K60" s="87">
        <f t="shared" si="324"/>
        <v>44652</v>
      </c>
      <c r="L60" s="87">
        <f t="shared" si="324"/>
        <v>44682</v>
      </c>
      <c r="M60" s="87">
        <f t="shared" si="324"/>
        <v>44713</v>
      </c>
      <c r="N60" s="87">
        <f t="shared" si="324"/>
        <v>44743</v>
      </c>
      <c r="O60" s="87">
        <f t="shared" si="324"/>
        <v>44774</v>
      </c>
      <c r="P60" s="87">
        <f t="shared" si="324"/>
        <v>44805</v>
      </c>
      <c r="Q60" s="87">
        <f t="shared" si="324"/>
        <v>44835</v>
      </c>
      <c r="R60" s="87">
        <f t="shared" si="324"/>
        <v>44866</v>
      </c>
      <c r="S60" s="87">
        <f t="shared" si="324"/>
        <v>44896</v>
      </c>
      <c r="T60" s="87">
        <f t="shared" si="324"/>
        <v>44927</v>
      </c>
      <c r="U60" s="87">
        <f t="shared" si="324"/>
        <v>44958</v>
      </c>
      <c r="V60" s="87">
        <f t="shared" si="324"/>
        <v>44986</v>
      </c>
      <c r="W60" s="87">
        <f t="shared" si="324"/>
        <v>45017</v>
      </c>
      <c r="X60" s="87">
        <f t="shared" si="324"/>
        <v>45047</v>
      </c>
      <c r="Y60" s="87">
        <f t="shared" si="324"/>
        <v>45078</v>
      </c>
      <c r="Z60" s="87">
        <f t="shared" si="324"/>
        <v>45108</v>
      </c>
      <c r="AA60" s="87">
        <f t="shared" si="324"/>
        <v>45139</v>
      </c>
      <c r="AB60" s="87">
        <f t="shared" si="324"/>
        <v>45170</v>
      </c>
      <c r="AC60" s="87">
        <f t="shared" si="324"/>
        <v>45200</v>
      </c>
      <c r="AD60" s="87">
        <f t="shared" si="324"/>
        <v>45231</v>
      </c>
      <c r="AE60" s="87">
        <f t="shared" si="324"/>
        <v>45261</v>
      </c>
      <c r="AF60" s="87">
        <f t="shared" si="324"/>
        <v>45292</v>
      </c>
      <c r="AG60" s="87">
        <f t="shared" si="324"/>
        <v>45323</v>
      </c>
      <c r="AH60" s="87">
        <f t="shared" si="324"/>
        <v>45352</v>
      </c>
      <c r="AI60" s="87">
        <f t="shared" si="324"/>
        <v>45383</v>
      </c>
      <c r="AJ60" s="87">
        <f t="shared" si="324"/>
        <v>45413</v>
      </c>
      <c r="AK60" s="87">
        <f t="shared" si="324"/>
        <v>45444</v>
      </c>
      <c r="AL60" s="87">
        <f t="shared" si="324"/>
        <v>45474</v>
      </c>
      <c r="AM60" s="87">
        <f t="shared" si="324"/>
        <v>45505</v>
      </c>
      <c r="AN60" s="87">
        <f t="shared" si="324"/>
        <v>45536</v>
      </c>
      <c r="AO60" s="87">
        <f t="shared" si="324"/>
        <v>45566</v>
      </c>
      <c r="AP60" s="87">
        <f t="shared" si="324"/>
        <v>45597</v>
      </c>
      <c r="AQ60" s="87">
        <f t="shared" si="324"/>
        <v>45627</v>
      </c>
      <c r="AR60" s="87">
        <f t="shared" si="324"/>
        <v>45658</v>
      </c>
      <c r="AS60" s="87">
        <f t="shared" si="324"/>
        <v>45689</v>
      </c>
      <c r="AT60" s="87">
        <f t="shared" si="324"/>
        <v>45717</v>
      </c>
      <c r="AU60" s="87">
        <f t="shared" si="324"/>
        <v>45748</v>
      </c>
      <c r="AV60" s="87">
        <f t="shared" si="324"/>
        <v>45778</v>
      </c>
      <c r="AW60" s="87">
        <f t="shared" si="324"/>
        <v>45809</v>
      </c>
      <c r="AX60" s="87">
        <f t="shared" si="324"/>
        <v>45839</v>
      </c>
      <c r="AY60" s="87">
        <f t="shared" si="324"/>
        <v>45870</v>
      </c>
      <c r="AZ60" s="87">
        <f t="shared" si="324"/>
        <v>45901</v>
      </c>
      <c r="BA60" s="87">
        <f t="shared" si="324"/>
        <v>45931</v>
      </c>
      <c r="BB60" s="87">
        <f t="shared" si="324"/>
        <v>45962</v>
      </c>
      <c r="BC60" s="87">
        <f t="shared" si="324"/>
        <v>45992</v>
      </c>
      <c r="BD60" s="87">
        <f t="shared" si="324"/>
        <v>46023</v>
      </c>
      <c r="BE60" s="87">
        <f t="shared" si="324"/>
        <v>46054</v>
      </c>
      <c r="BF60" s="87">
        <f t="shared" si="324"/>
        <v>46082</v>
      </c>
      <c r="BG60" s="87">
        <f t="shared" si="324"/>
        <v>46113</v>
      </c>
      <c r="BH60" s="87">
        <f t="shared" si="324"/>
        <v>46143</v>
      </c>
      <c r="BI60" s="87">
        <f t="shared" si="324"/>
        <v>46174</v>
      </c>
      <c r="BJ60" s="87">
        <f t="shared" si="324"/>
        <v>46204</v>
      </c>
      <c r="BK60" s="87">
        <f t="shared" si="324"/>
        <v>46235</v>
      </c>
      <c r="BL60" s="87">
        <f t="shared" si="324"/>
        <v>46266</v>
      </c>
      <c r="BM60" s="87">
        <f t="shared" si="324"/>
        <v>46296</v>
      </c>
      <c r="BN60" s="87">
        <f t="shared" si="324"/>
        <v>46327</v>
      </c>
      <c r="BO60" s="87">
        <f t="shared" si="324"/>
        <v>46357</v>
      </c>
      <c r="BP60" s="87">
        <f t="shared" si="324"/>
        <v>46388</v>
      </c>
      <c r="BQ60" s="87">
        <f t="shared" ref="BQ60:EB60" si="325">BQ$46</f>
        <v>46419</v>
      </c>
      <c r="BR60" s="87">
        <f t="shared" si="325"/>
        <v>46447</v>
      </c>
      <c r="BS60" s="87">
        <f t="shared" si="325"/>
        <v>46478</v>
      </c>
      <c r="BT60" s="87">
        <f t="shared" si="325"/>
        <v>46508</v>
      </c>
      <c r="BU60" s="87">
        <f t="shared" si="325"/>
        <v>46539</v>
      </c>
      <c r="BV60" s="87">
        <f t="shared" si="325"/>
        <v>46569</v>
      </c>
      <c r="BW60" s="87">
        <f t="shared" si="325"/>
        <v>46600</v>
      </c>
      <c r="BX60" s="87">
        <f t="shared" si="325"/>
        <v>46631</v>
      </c>
      <c r="BY60" s="87">
        <f t="shared" si="325"/>
        <v>46661</v>
      </c>
      <c r="BZ60" s="87">
        <f t="shared" si="325"/>
        <v>46692</v>
      </c>
      <c r="CA60" s="87">
        <f t="shared" si="325"/>
        <v>46722</v>
      </c>
      <c r="CB60" s="87">
        <f t="shared" si="325"/>
        <v>46753</v>
      </c>
      <c r="CC60" s="87">
        <f t="shared" si="325"/>
        <v>46784</v>
      </c>
      <c r="CD60" s="87">
        <f t="shared" si="325"/>
        <v>46813</v>
      </c>
      <c r="CE60" s="87">
        <f t="shared" si="325"/>
        <v>46844</v>
      </c>
      <c r="CF60" s="87">
        <f t="shared" si="325"/>
        <v>46874</v>
      </c>
      <c r="CG60" s="87">
        <f t="shared" si="325"/>
        <v>46905</v>
      </c>
      <c r="CH60" s="87">
        <f t="shared" si="325"/>
        <v>46935</v>
      </c>
      <c r="CI60" s="87">
        <f t="shared" si="325"/>
        <v>46966</v>
      </c>
      <c r="CJ60" s="87">
        <f t="shared" si="325"/>
        <v>46997</v>
      </c>
      <c r="CK60" s="87">
        <f t="shared" si="325"/>
        <v>47027</v>
      </c>
      <c r="CL60" s="87">
        <f t="shared" si="325"/>
        <v>47058</v>
      </c>
      <c r="CM60" s="87">
        <f t="shared" si="325"/>
        <v>47088</v>
      </c>
      <c r="CN60" s="87">
        <f t="shared" si="325"/>
        <v>47119</v>
      </c>
      <c r="CO60" s="87">
        <f t="shared" si="325"/>
        <v>47150</v>
      </c>
      <c r="CP60" s="87">
        <f t="shared" si="325"/>
        <v>47178</v>
      </c>
      <c r="CQ60" s="87">
        <f t="shared" si="325"/>
        <v>47209</v>
      </c>
      <c r="CR60" s="87">
        <f t="shared" si="325"/>
        <v>47239</v>
      </c>
      <c r="CS60" s="87">
        <f t="shared" si="325"/>
        <v>47270</v>
      </c>
      <c r="CT60" s="87">
        <f t="shared" si="325"/>
        <v>47300</v>
      </c>
      <c r="CU60" s="87">
        <f t="shared" si="325"/>
        <v>47331</v>
      </c>
      <c r="CV60" s="87">
        <f t="shared" si="325"/>
        <v>47362</v>
      </c>
      <c r="CW60" s="87">
        <f t="shared" si="325"/>
        <v>47392</v>
      </c>
      <c r="CX60" s="87">
        <f t="shared" si="325"/>
        <v>47423</v>
      </c>
      <c r="CY60" s="87">
        <f t="shared" si="325"/>
        <v>47453</v>
      </c>
      <c r="CZ60" s="87">
        <f t="shared" si="325"/>
        <v>47484</v>
      </c>
      <c r="DA60" s="87">
        <f t="shared" si="325"/>
        <v>47515</v>
      </c>
      <c r="DB60" s="87">
        <f t="shared" si="325"/>
        <v>47543</v>
      </c>
      <c r="DC60" s="87">
        <f t="shared" si="325"/>
        <v>47574</v>
      </c>
      <c r="DD60" s="87">
        <f t="shared" si="325"/>
        <v>47604</v>
      </c>
      <c r="DE60" s="87">
        <f t="shared" si="325"/>
        <v>47635</v>
      </c>
      <c r="DF60" s="87">
        <f t="shared" si="325"/>
        <v>47665</v>
      </c>
      <c r="DG60" s="87">
        <f t="shared" si="325"/>
        <v>47696</v>
      </c>
      <c r="DH60" s="87">
        <f t="shared" si="325"/>
        <v>47727</v>
      </c>
      <c r="DI60" s="87">
        <f t="shared" si="325"/>
        <v>47757</v>
      </c>
      <c r="DJ60" s="87">
        <f t="shared" si="325"/>
        <v>47788</v>
      </c>
      <c r="DK60" s="87">
        <f t="shared" si="325"/>
        <v>47818</v>
      </c>
      <c r="DL60" s="87">
        <f t="shared" si="325"/>
        <v>47849</v>
      </c>
      <c r="DM60" s="87">
        <f t="shared" si="325"/>
        <v>47880</v>
      </c>
      <c r="DN60" s="87">
        <f t="shared" si="325"/>
        <v>47908</v>
      </c>
      <c r="DO60" s="87">
        <f t="shared" si="325"/>
        <v>47939</v>
      </c>
      <c r="DP60" s="87">
        <f t="shared" si="325"/>
        <v>47969</v>
      </c>
      <c r="DQ60" s="87">
        <f t="shared" si="325"/>
        <v>48000</v>
      </c>
      <c r="DR60" s="87">
        <f t="shared" si="325"/>
        <v>48030</v>
      </c>
      <c r="DS60" s="87">
        <f t="shared" si="325"/>
        <v>48061</v>
      </c>
      <c r="DT60" s="87">
        <f t="shared" si="325"/>
        <v>48092</v>
      </c>
      <c r="DU60" s="87">
        <f t="shared" si="325"/>
        <v>48122</v>
      </c>
      <c r="DV60" s="87">
        <f t="shared" si="325"/>
        <v>48153</v>
      </c>
      <c r="DW60" s="87">
        <f t="shared" si="325"/>
        <v>48183</v>
      </c>
      <c r="DX60" s="87">
        <f t="shared" si="325"/>
        <v>48214</v>
      </c>
      <c r="DY60" s="87">
        <f t="shared" si="325"/>
        <v>48245</v>
      </c>
      <c r="DZ60" s="87">
        <f t="shared" si="325"/>
        <v>48274</v>
      </c>
      <c r="EA60" s="87">
        <f t="shared" si="325"/>
        <v>48305</v>
      </c>
      <c r="EB60" s="87">
        <f t="shared" si="325"/>
        <v>48335</v>
      </c>
      <c r="EC60" s="87">
        <f t="shared" ref="EC60:GN60" si="326">EC$46</f>
        <v>48366</v>
      </c>
      <c r="ED60" s="87">
        <f t="shared" si="326"/>
        <v>48396</v>
      </c>
      <c r="EE60" s="87">
        <f t="shared" si="326"/>
        <v>48427</v>
      </c>
      <c r="EF60" s="87">
        <f t="shared" si="326"/>
        <v>48458</v>
      </c>
      <c r="EG60" s="87">
        <f t="shared" si="326"/>
        <v>48488</v>
      </c>
      <c r="EH60" s="87">
        <f t="shared" si="326"/>
        <v>48519</v>
      </c>
      <c r="EI60" s="87">
        <f t="shared" si="326"/>
        <v>48549</v>
      </c>
      <c r="EJ60" s="87">
        <f t="shared" si="326"/>
        <v>48580</v>
      </c>
      <c r="EK60" s="87">
        <f t="shared" si="326"/>
        <v>48611</v>
      </c>
      <c r="EL60" s="87">
        <f t="shared" si="326"/>
        <v>48639</v>
      </c>
      <c r="EM60" s="87">
        <f t="shared" si="326"/>
        <v>48670</v>
      </c>
      <c r="EN60" s="87">
        <f t="shared" si="326"/>
        <v>48700</v>
      </c>
      <c r="EO60" s="87">
        <f t="shared" si="326"/>
        <v>48731</v>
      </c>
      <c r="EP60" s="87">
        <f t="shared" si="326"/>
        <v>48761</v>
      </c>
      <c r="EQ60" s="87">
        <f t="shared" si="326"/>
        <v>48792</v>
      </c>
      <c r="ER60" s="87">
        <f t="shared" si="326"/>
        <v>48823</v>
      </c>
      <c r="ES60" s="87">
        <f t="shared" si="326"/>
        <v>48853</v>
      </c>
      <c r="ET60" s="87">
        <f t="shared" si="326"/>
        <v>48884</v>
      </c>
      <c r="EU60" s="87">
        <f t="shared" si="326"/>
        <v>48914</v>
      </c>
      <c r="EV60" s="87">
        <f t="shared" si="326"/>
        <v>48945</v>
      </c>
      <c r="EW60" s="87">
        <f t="shared" si="326"/>
        <v>48976</v>
      </c>
      <c r="EX60" s="87">
        <f t="shared" si="326"/>
        <v>49004</v>
      </c>
      <c r="EY60" s="87">
        <f t="shared" si="326"/>
        <v>49035</v>
      </c>
      <c r="EZ60" s="87">
        <f t="shared" si="326"/>
        <v>49065</v>
      </c>
      <c r="FA60" s="87">
        <f t="shared" si="326"/>
        <v>49096</v>
      </c>
      <c r="FB60" s="87">
        <f t="shared" si="326"/>
        <v>49126</v>
      </c>
      <c r="FC60" s="87">
        <f t="shared" si="326"/>
        <v>49157</v>
      </c>
      <c r="FD60" s="87">
        <f t="shared" si="326"/>
        <v>49188</v>
      </c>
      <c r="FE60" s="87">
        <f t="shared" si="326"/>
        <v>49218</v>
      </c>
      <c r="FF60" s="87">
        <f t="shared" si="326"/>
        <v>49249</v>
      </c>
      <c r="FG60" s="87">
        <f t="shared" si="326"/>
        <v>49279</v>
      </c>
      <c r="FH60" s="87">
        <f t="shared" si="326"/>
        <v>49310</v>
      </c>
      <c r="FI60" s="87">
        <f t="shared" si="326"/>
        <v>49341</v>
      </c>
      <c r="FJ60" s="87">
        <f t="shared" si="326"/>
        <v>49369</v>
      </c>
      <c r="FK60" s="87">
        <f t="shared" si="326"/>
        <v>49400</v>
      </c>
      <c r="FL60" s="87">
        <f t="shared" si="326"/>
        <v>49430</v>
      </c>
      <c r="FM60" s="87">
        <f t="shared" si="326"/>
        <v>49461</v>
      </c>
      <c r="FN60" s="87">
        <f t="shared" si="326"/>
        <v>49491</v>
      </c>
      <c r="FO60" s="87">
        <f t="shared" si="326"/>
        <v>49522</v>
      </c>
      <c r="FP60" s="87">
        <f t="shared" si="326"/>
        <v>49553</v>
      </c>
      <c r="FQ60" s="87">
        <f t="shared" si="326"/>
        <v>49583</v>
      </c>
      <c r="FR60" s="87">
        <f t="shared" si="326"/>
        <v>49614</v>
      </c>
      <c r="FS60" s="87">
        <f t="shared" si="326"/>
        <v>49644</v>
      </c>
      <c r="FT60" s="87">
        <f t="shared" si="326"/>
        <v>49675</v>
      </c>
      <c r="FU60" s="87">
        <f t="shared" si="326"/>
        <v>49706</v>
      </c>
      <c r="FV60" s="87">
        <f t="shared" si="326"/>
        <v>49735</v>
      </c>
      <c r="FW60" s="87">
        <f t="shared" si="326"/>
        <v>49766</v>
      </c>
      <c r="FX60" s="87">
        <f t="shared" si="326"/>
        <v>49796</v>
      </c>
      <c r="FY60" s="87">
        <f t="shared" si="326"/>
        <v>49827</v>
      </c>
      <c r="FZ60" s="87">
        <f t="shared" si="326"/>
        <v>49857</v>
      </c>
      <c r="GA60" s="87">
        <f t="shared" si="326"/>
        <v>49888</v>
      </c>
      <c r="GB60" s="87">
        <f t="shared" si="326"/>
        <v>49919</v>
      </c>
      <c r="GC60" s="87">
        <f t="shared" si="326"/>
        <v>49949</v>
      </c>
      <c r="GD60" s="87">
        <f t="shared" si="326"/>
        <v>49980</v>
      </c>
      <c r="GE60" s="87">
        <f t="shared" si="326"/>
        <v>50010</v>
      </c>
      <c r="GF60" s="87">
        <f t="shared" si="326"/>
        <v>50041</v>
      </c>
      <c r="GG60" s="87">
        <f t="shared" si="326"/>
        <v>50072</v>
      </c>
      <c r="GH60" s="87">
        <f t="shared" si="326"/>
        <v>50100</v>
      </c>
      <c r="GI60" s="87">
        <f t="shared" si="326"/>
        <v>50131</v>
      </c>
      <c r="GJ60" s="87">
        <f t="shared" si="326"/>
        <v>50161</v>
      </c>
      <c r="GK60" s="87">
        <f t="shared" si="326"/>
        <v>50192</v>
      </c>
      <c r="GL60" s="87">
        <f t="shared" si="326"/>
        <v>50222</v>
      </c>
      <c r="GM60" s="87">
        <f t="shared" si="326"/>
        <v>50253</v>
      </c>
      <c r="GN60" s="87">
        <f t="shared" si="326"/>
        <v>50284</v>
      </c>
      <c r="GO60" s="87">
        <f t="shared" ref="GO60:IZ60" si="327">GO$46</f>
        <v>50314</v>
      </c>
      <c r="GP60" s="87">
        <f t="shared" si="327"/>
        <v>50345</v>
      </c>
      <c r="GQ60" s="87">
        <f t="shared" si="327"/>
        <v>50375</v>
      </c>
      <c r="GR60" s="87">
        <f t="shared" si="327"/>
        <v>50406</v>
      </c>
      <c r="GS60" s="87">
        <f t="shared" si="327"/>
        <v>50437</v>
      </c>
      <c r="GT60" s="87">
        <f t="shared" si="327"/>
        <v>50465</v>
      </c>
      <c r="GU60" s="87">
        <f t="shared" si="327"/>
        <v>50496</v>
      </c>
      <c r="GV60" s="87">
        <f t="shared" si="327"/>
        <v>50526</v>
      </c>
      <c r="GW60" s="87">
        <f t="shared" si="327"/>
        <v>50557</v>
      </c>
      <c r="GX60" s="87">
        <f t="shared" si="327"/>
        <v>50587</v>
      </c>
      <c r="GY60" s="87">
        <f t="shared" si="327"/>
        <v>50618</v>
      </c>
      <c r="GZ60" s="87">
        <f t="shared" si="327"/>
        <v>50649</v>
      </c>
      <c r="HA60" s="87">
        <f t="shared" si="327"/>
        <v>50679</v>
      </c>
      <c r="HB60" s="87">
        <f t="shared" si="327"/>
        <v>50710</v>
      </c>
      <c r="HC60" s="87">
        <f t="shared" si="327"/>
        <v>50740</v>
      </c>
      <c r="HD60" s="87">
        <f t="shared" si="327"/>
        <v>50771</v>
      </c>
      <c r="HE60" s="87">
        <f t="shared" si="327"/>
        <v>50802</v>
      </c>
      <c r="HF60" s="87">
        <f t="shared" si="327"/>
        <v>50830</v>
      </c>
      <c r="HG60" s="87">
        <f t="shared" si="327"/>
        <v>50861</v>
      </c>
      <c r="HH60" s="87">
        <f t="shared" si="327"/>
        <v>50891</v>
      </c>
      <c r="HI60" s="87">
        <f t="shared" si="327"/>
        <v>50922</v>
      </c>
      <c r="HJ60" s="87">
        <f t="shared" si="327"/>
        <v>50952</v>
      </c>
      <c r="HK60" s="87">
        <f t="shared" si="327"/>
        <v>50983</v>
      </c>
      <c r="HL60" s="87">
        <f t="shared" si="327"/>
        <v>51014</v>
      </c>
      <c r="HM60" s="87">
        <f t="shared" si="327"/>
        <v>51044</v>
      </c>
      <c r="HN60" s="87">
        <f t="shared" si="327"/>
        <v>51075</v>
      </c>
      <c r="HO60" s="87">
        <f t="shared" si="327"/>
        <v>51105</v>
      </c>
      <c r="HP60" s="87">
        <f t="shared" si="327"/>
        <v>51136</v>
      </c>
      <c r="HQ60" s="87">
        <f t="shared" si="327"/>
        <v>51167</v>
      </c>
      <c r="HR60" s="87">
        <f t="shared" si="327"/>
        <v>51196</v>
      </c>
      <c r="HS60" s="87">
        <f t="shared" si="327"/>
        <v>51227</v>
      </c>
      <c r="HT60" s="87">
        <f t="shared" si="327"/>
        <v>51257</v>
      </c>
      <c r="HU60" s="87">
        <f t="shared" si="327"/>
        <v>51288</v>
      </c>
      <c r="HV60" s="87">
        <f t="shared" si="327"/>
        <v>51318</v>
      </c>
      <c r="HW60" s="87">
        <f t="shared" si="327"/>
        <v>51349</v>
      </c>
      <c r="HX60" s="87">
        <f t="shared" si="327"/>
        <v>51380</v>
      </c>
      <c r="HY60" s="87">
        <f t="shared" si="327"/>
        <v>51410</v>
      </c>
      <c r="HZ60" s="87">
        <f t="shared" si="327"/>
        <v>51441</v>
      </c>
      <c r="IA60" s="87">
        <f t="shared" si="327"/>
        <v>51471</v>
      </c>
      <c r="IB60" s="87">
        <f t="shared" si="327"/>
        <v>51502</v>
      </c>
      <c r="IC60" s="87">
        <f t="shared" si="327"/>
        <v>51533</v>
      </c>
      <c r="ID60" s="87">
        <f t="shared" si="327"/>
        <v>51561</v>
      </c>
      <c r="IE60" s="87">
        <f t="shared" si="327"/>
        <v>51592</v>
      </c>
      <c r="IF60" s="87">
        <f t="shared" si="327"/>
        <v>51622</v>
      </c>
      <c r="IG60" s="87">
        <f t="shared" si="327"/>
        <v>51653</v>
      </c>
      <c r="IH60" s="87">
        <f t="shared" si="327"/>
        <v>51683</v>
      </c>
      <c r="II60" s="87">
        <f t="shared" si="327"/>
        <v>51714</v>
      </c>
      <c r="IJ60" s="87">
        <f t="shared" si="327"/>
        <v>51745</v>
      </c>
      <c r="IK60" s="87">
        <f t="shared" si="327"/>
        <v>51775</v>
      </c>
      <c r="IL60" s="87">
        <f t="shared" si="327"/>
        <v>51806</v>
      </c>
      <c r="IM60" s="87">
        <f t="shared" si="327"/>
        <v>51836</v>
      </c>
      <c r="IN60" s="87">
        <f t="shared" si="327"/>
        <v>51867</v>
      </c>
      <c r="IO60" s="87">
        <f t="shared" si="327"/>
        <v>51898</v>
      </c>
      <c r="IP60" s="87">
        <f t="shared" si="327"/>
        <v>51926</v>
      </c>
      <c r="IQ60" s="87">
        <f t="shared" si="327"/>
        <v>51957</v>
      </c>
      <c r="IR60" s="87">
        <f t="shared" si="327"/>
        <v>51987</v>
      </c>
      <c r="IS60" s="87">
        <f t="shared" si="327"/>
        <v>52018</v>
      </c>
      <c r="IT60" s="87">
        <f t="shared" si="327"/>
        <v>52048</v>
      </c>
      <c r="IU60" s="87">
        <f t="shared" si="327"/>
        <v>52079</v>
      </c>
      <c r="IV60" s="87">
        <f t="shared" si="327"/>
        <v>52110</v>
      </c>
      <c r="IW60" s="87">
        <f t="shared" si="327"/>
        <v>52140</v>
      </c>
      <c r="IX60" s="87">
        <f t="shared" si="327"/>
        <v>52171</v>
      </c>
      <c r="IY60" s="87">
        <f t="shared" si="327"/>
        <v>52201</v>
      </c>
      <c r="IZ60" s="87">
        <f t="shared" si="327"/>
        <v>52232</v>
      </c>
      <c r="JA60" s="87">
        <f t="shared" ref="JA60:KR60" si="328">JA$46</f>
        <v>52263</v>
      </c>
      <c r="JB60" s="87">
        <f t="shared" si="328"/>
        <v>52291</v>
      </c>
      <c r="JC60" s="87">
        <f t="shared" si="328"/>
        <v>52322</v>
      </c>
      <c r="JD60" s="87">
        <f t="shared" si="328"/>
        <v>52352</v>
      </c>
      <c r="JE60" s="87">
        <f t="shared" si="328"/>
        <v>52383</v>
      </c>
      <c r="JF60" s="87">
        <f t="shared" si="328"/>
        <v>52413</v>
      </c>
      <c r="JG60" s="87">
        <f t="shared" si="328"/>
        <v>52444</v>
      </c>
      <c r="JH60" s="87">
        <f t="shared" si="328"/>
        <v>52475</v>
      </c>
      <c r="JI60" s="87">
        <f t="shared" si="328"/>
        <v>52505</v>
      </c>
      <c r="JJ60" s="87">
        <f t="shared" si="328"/>
        <v>52536</v>
      </c>
      <c r="JK60" s="87">
        <f t="shared" si="328"/>
        <v>52566</v>
      </c>
      <c r="JL60" s="87">
        <f t="shared" si="328"/>
        <v>52597</v>
      </c>
      <c r="JM60" s="87">
        <f t="shared" si="328"/>
        <v>52628</v>
      </c>
      <c r="JN60" s="87">
        <f t="shared" si="328"/>
        <v>52657</v>
      </c>
      <c r="JO60" s="87">
        <f t="shared" si="328"/>
        <v>52688</v>
      </c>
      <c r="JP60" s="87">
        <f t="shared" si="328"/>
        <v>52718</v>
      </c>
      <c r="JQ60" s="87">
        <f t="shared" si="328"/>
        <v>52749</v>
      </c>
      <c r="JR60" s="87">
        <f t="shared" si="328"/>
        <v>52779</v>
      </c>
      <c r="JS60" s="87">
        <f t="shared" si="328"/>
        <v>52810</v>
      </c>
      <c r="JT60" s="87">
        <f t="shared" si="328"/>
        <v>52841</v>
      </c>
      <c r="JU60" s="87">
        <f t="shared" si="328"/>
        <v>52871</v>
      </c>
      <c r="JV60" s="87">
        <f t="shared" si="328"/>
        <v>52902</v>
      </c>
      <c r="JW60" s="87">
        <f t="shared" si="328"/>
        <v>52932</v>
      </c>
      <c r="JX60" s="87">
        <f t="shared" si="328"/>
        <v>52963</v>
      </c>
      <c r="JY60" s="87">
        <f t="shared" si="328"/>
        <v>52994</v>
      </c>
      <c r="JZ60" s="87">
        <f t="shared" si="328"/>
        <v>53022</v>
      </c>
      <c r="KA60" s="87">
        <f t="shared" si="328"/>
        <v>53053</v>
      </c>
      <c r="KB60" s="87">
        <f t="shared" si="328"/>
        <v>53083</v>
      </c>
      <c r="KC60" s="87">
        <f t="shared" si="328"/>
        <v>53114</v>
      </c>
      <c r="KD60" s="87">
        <f t="shared" si="328"/>
        <v>53144</v>
      </c>
      <c r="KE60" s="87">
        <f t="shared" si="328"/>
        <v>53175</v>
      </c>
      <c r="KF60" s="87">
        <f t="shared" si="328"/>
        <v>53206</v>
      </c>
      <c r="KG60" s="87">
        <f t="shared" si="328"/>
        <v>53236</v>
      </c>
      <c r="KH60" s="87">
        <f t="shared" si="328"/>
        <v>53267</v>
      </c>
      <c r="KI60" s="87">
        <f t="shared" si="328"/>
        <v>53297</v>
      </c>
      <c r="KJ60" s="87">
        <f t="shared" si="328"/>
        <v>53328</v>
      </c>
      <c r="KK60" s="87">
        <f t="shared" si="328"/>
        <v>53359</v>
      </c>
      <c r="KL60" s="87">
        <f t="shared" si="328"/>
        <v>53387</v>
      </c>
      <c r="KM60" s="87">
        <f t="shared" si="328"/>
        <v>53418</v>
      </c>
      <c r="KN60" s="87">
        <f t="shared" si="328"/>
        <v>53448</v>
      </c>
      <c r="KO60" s="87">
        <f t="shared" si="328"/>
        <v>53479</v>
      </c>
      <c r="KP60" s="87">
        <f t="shared" si="328"/>
        <v>53509</v>
      </c>
      <c r="KQ60" s="87">
        <f t="shared" si="328"/>
        <v>53540</v>
      </c>
      <c r="KR60" s="87">
        <f t="shared" si="328"/>
        <v>53571</v>
      </c>
      <c r="KS60" s="86">
        <f t="shared" si="303"/>
        <v>5.414319248826291</v>
      </c>
    </row>
    <row r="61" spans="1:306" x14ac:dyDescent="0.3">
      <c r="A61" s="532" t="s">
        <v>679</v>
      </c>
      <c r="B61" s="84">
        <f>D61-C61+1</f>
        <v>396</v>
      </c>
      <c r="C61" s="88">
        <v>44470</v>
      </c>
      <c r="D61" s="88">
        <f>C62-1</f>
        <v>44865</v>
      </c>
      <c r="E61" s="87">
        <f t="shared" ref="E61:BP61" si="329">E$46</f>
        <v>44470</v>
      </c>
      <c r="F61" s="87">
        <f t="shared" si="329"/>
        <v>44501</v>
      </c>
      <c r="G61" s="87">
        <f t="shared" si="329"/>
        <v>44531</v>
      </c>
      <c r="H61" s="87">
        <f t="shared" si="329"/>
        <v>44562</v>
      </c>
      <c r="I61" s="87">
        <f t="shared" si="329"/>
        <v>44593</v>
      </c>
      <c r="J61" s="87">
        <f t="shared" si="329"/>
        <v>44621</v>
      </c>
      <c r="K61" s="87">
        <f t="shared" si="329"/>
        <v>44652</v>
      </c>
      <c r="L61" s="87">
        <f t="shared" si="329"/>
        <v>44682</v>
      </c>
      <c r="M61" s="87">
        <f t="shared" si="329"/>
        <v>44713</v>
      </c>
      <c r="N61" s="87">
        <f t="shared" si="329"/>
        <v>44743</v>
      </c>
      <c r="O61" s="87">
        <f t="shared" si="329"/>
        <v>44774</v>
      </c>
      <c r="P61" s="87">
        <f t="shared" si="329"/>
        <v>44805</v>
      </c>
      <c r="Q61" s="87">
        <f t="shared" si="329"/>
        <v>44835</v>
      </c>
      <c r="R61" s="87">
        <f t="shared" si="329"/>
        <v>44866</v>
      </c>
      <c r="S61" s="87">
        <f t="shared" si="329"/>
        <v>44896</v>
      </c>
      <c r="T61" s="87">
        <f t="shared" si="329"/>
        <v>44927</v>
      </c>
      <c r="U61" s="87">
        <f t="shared" si="329"/>
        <v>44958</v>
      </c>
      <c r="V61" s="87">
        <f t="shared" si="329"/>
        <v>44986</v>
      </c>
      <c r="W61" s="87">
        <f t="shared" si="329"/>
        <v>45017</v>
      </c>
      <c r="X61" s="87">
        <f t="shared" si="329"/>
        <v>45047</v>
      </c>
      <c r="Y61" s="87">
        <f t="shared" si="329"/>
        <v>45078</v>
      </c>
      <c r="Z61" s="87">
        <f t="shared" si="329"/>
        <v>45108</v>
      </c>
      <c r="AA61" s="87">
        <f t="shared" si="329"/>
        <v>45139</v>
      </c>
      <c r="AB61" s="87">
        <f t="shared" si="329"/>
        <v>45170</v>
      </c>
      <c r="AC61" s="87">
        <f t="shared" si="329"/>
        <v>45200</v>
      </c>
      <c r="AD61" s="87">
        <f t="shared" si="329"/>
        <v>45231</v>
      </c>
      <c r="AE61" s="87">
        <f t="shared" si="329"/>
        <v>45261</v>
      </c>
      <c r="AF61" s="87">
        <f t="shared" si="329"/>
        <v>45292</v>
      </c>
      <c r="AG61" s="87">
        <f t="shared" si="329"/>
        <v>45323</v>
      </c>
      <c r="AH61" s="87">
        <f t="shared" si="329"/>
        <v>45352</v>
      </c>
      <c r="AI61" s="87">
        <f t="shared" si="329"/>
        <v>45383</v>
      </c>
      <c r="AJ61" s="87">
        <f t="shared" si="329"/>
        <v>45413</v>
      </c>
      <c r="AK61" s="87">
        <f t="shared" si="329"/>
        <v>45444</v>
      </c>
      <c r="AL61" s="87">
        <f t="shared" si="329"/>
        <v>45474</v>
      </c>
      <c r="AM61" s="87">
        <f t="shared" si="329"/>
        <v>45505</v>
      </c>
      <c r="AN61" s="87">
        <f t="shared" si="329"/>
        <v>45536</v>
      </c>
      <c r="AO61" s="87">
        <f t="shared" si="329"/>
        <v>45566</v>
      </c>
      <c r="AP61" s="87">
        <f t="shared" si="329"/>
        <v>45597</v>
      </c>
      <c r="AQ61" s="87">
        <f t="shared" si="329"/>
        <v>45627</v>
      </c>
      <c r="AR61" s="87">
        <f t="shared" si="329"/>
        <v>45658</v>
      </c>
      <c r="AS61" s="87">
        <f t="shared" si="329"/>
        <v>45689</v>
      </c>
      <c r="AT61" s="87">
        <f t="shared" si="329"/>
        <v>45717</v>
      </c>
      <c r="AU61" s="87">
        <f t="shared" si="329"/>
        <v>45748</v>
      </c>
      <c r="AV61" s="87">
        <f t="shared" si="329"/>
        <v>45778</v>
      </c>
      <c r="AW61" s="87">
        <f t="shared" si="329"/>
        <v>45809</v>
      </c>
      <c r="AX61" s="87">
        <f t="shared" si="329"/>
        <v>45839</v>
      </c>
      <c r="AY61" s="87">
        <f t="shared" si="329"/>
        <v>45870</v>
      </c>
      <c r="AZ61" s="87">
        <f t="shared" si="329"/>
        <v>45901</v>
      </c>
      <c r="BA61" s="87">
        <f t="shared" si="329"/>
        <v>45931</v>
      </c>
      <c r="BB61" s="87">
        <f t="shared" si="329"/>
        <v>45962</v>
      </c>
      <c r="BC61" s="87">
        <f t="shared" si="329"/>
        <v>45992</v>
      </c>
      <c r="BD61" s="87">
        <f t="shared" si="329"/>
        <v>46023</v>
      </c>
      <c r="BE61" s="87">
        <f t="shared" si="329"/>
        <v>46054</v>
      </c>
      <c r="BF61" s="87">
        <f t="shared" si="329"/>
        <v>46082</v>
      </c>
      <c r="BG61" s="87">
        <f t="shared" si="329"/>
        <v>46113</v>
      </c>
      <c r="BH61" s="87">
        <f t="shared" si="329"/>
        <v>46143</v>
      </c>
      <c r="BI61" s="87">
        <f t="shared" si="329"/>
        <v>46174</v>
      </c>
      <c r="BJ61" s="87">
        <f t="shared" si="329"/>
        <v>46204</v>
      </c>
      <c r="BK61" s="87">
        <f t="shared" si="329"/>
        <v>46235</v>
      </c>
      <c r="BL61" s="87">
        <f t="shared" si="329"/>
        <v>46266</v>
      </c>
      <c r="BM61" s="87">
        <f t="shared" si="329"/>
        <v>46296</v>
      </c>
      <c r="BN61" s="87">
        <f t="shared" si="329"/>
        <v>46327</v>
      </c>
      <c r="BO61" s="87">
        <f t="shared" si="329"/>
        <v>46357</v>
      </c>
      <c r="BP61" s="87">
        <f t="shared" si="329"/>
        <v>46388</v>
      </c>
      <c r="BQ61" s="87">
        <f t="shared" ref="BQ61:EB61" si="330">BQ$46</f>
        <v>46419</v>
      </c>
      <c r="BR61" s="87">
        <f t="shared" si="330"/>
        <v>46447</v>
      </c>
      <c r="BS61" s="87">
        <f t="shared" si="330"/>
        <v>46478</v>
      </c>
      <c r="BT61" s="87">
        <f t="shared" si="330"/>
        <v>46508</v>
      </c>
      <c r="BU61" s="87">
        <f t="shared" si="330"/>
        <v>46539</v>
      </c>
      <c r="BV61" s="87">
        <f t="shared" si="330"/>
        <v>46569</v>
      </c>
      <c r="BW61" s="87">
        <f t="shared" si="330"/>
        <v>46600</v>
      </c>
      <c r="BX61" s="87">
        <f t="shared" si="330"/>
        <v>46631</v>
      </c>
      <c r="BY61" s="87">
        <f t="shared" si="330"/>
        <v>46661</v>
      </c>
      <c r="BZ61" s="87">
        <f t="shared" si="330"/>
        <v>46692</v>
      </c>
      <c r="CA61" s="87">
        <f t="shared" si="330"/>
        <v>46722</v>
      </c>
      <c r="CB61" s="87">
        <f t="shared" si="330"/>
        <v>46753</v>
      </c>
      <c r="CC61" s="87">
        <f t="shared" si="330"/>
        <v>46784</v>
      </c>
      <c r="CD61" s="87">
        <f t="shared" si="330"/>
        <v>46813</v>
      </c>
      <c r="CE61" s="87">
        <f t="shared" si="330"/>
        <v>46844</v>
      </c>
      <c r="CF61" s="87">
        <f t="shared" si="330"/>
        <v>46874</v>
      </c>
      <c r="CG61" s="87">
        <f t="shared" si="330"/>
        <v>46905</v>
      </c>
      <c r="CH61" s="87">
        <f t="shared" si="330"/>
        <v>46935</v>
      </c>
      <c r="CI61" s="87">
        <f t="shared" si="330"/>
        <v>46966</v>
      </c>
      <c r="CJ61" s="87">
        <f t="shared" si="330"/>
        <v>46997</v>
      </c>
      <c r="CK61" s="87">
        <f t="shared" si="330"/>
        <v>47027</v>
      </c>
      <c r="CL61" s="87">
        <f t="shared" si="330"/>
        <v>47058</v>
      </c>
      <c r="CM61" s="87">
        <f t="shared" si="330"/>
        <v>47088</v>
      </c>
      <c r="CN61" s="87">
        <f t="shared" si="330"/>
        <v>47119</v>
      </c>
      <c r="CO61" s="87">
        <f t="shared" si="330"/>
        <v>47150</v>
      </c>
      <c r="CP61" s="87">
        <f t="shared" si="330"/>
        <v>47178</v>
      </c>
      <c r="CQ61" s="87">
        <f t="shared" si="330"/>
        <v>47209</v>
      </c>
      <c r="CR61" s="87">
        <f t="shared" si="330"/>
        <v>47239</v>
      </c>
      <c r="CS61" s="87">
        <f t="shared" si="330"/>
        <v>47270</v>
      </c>
      <c r="CT61" s="87">
        <f t="shared" si="330"/>
        <v>47300</v>
      </c>
      <c r="CU61" s="87">
        <f t="shared" si="330"/>
        <v>47331</v>
      </c>
      <c r="CV61" s="87">
        <f t="shared" si="330"/>
        <v>47362</v>
      </c>
      <c r="CW61" s="87">
        <f t="shared" si="330"/>
        <v>47392</v>
      </c>
      <c r="CX61" s="87">
        <f t="shared" si="330"/>
        <v>47423</v>
      </c>
      <c r="CY61" s="87">
        <f t="shared" si="330"/>
        <v>47453</v>
      </c>
      <c r="CZ61" s="87">
        <f t="shared" si="330"/>
        <v>47484</v>
      </c>
      <c r="DA61" s="87">
        <f t="shared" si="330"/>
        <v>47515</v>
      </c>
      <c r="DB61" s="87">
        <f t="shared" si="330"/>
        <v>47543</v>
      </c>
      <c r="DC61" s="87">
        <f t="shared" si="330"/>
        <v>47574</v>
      </c>
      <c r="DD61" s="87">
        <f t="shared" si="330"/>
        <v>47604</v>
      </c>
      <c r="DE61" s="87">
        <f t="shared" si="330"/>
        <v>47635</v>
      </c>
      <c r="DF61" s="87">
        <f t="shared" si="330"/>
        <v>47665</v>
      </c>
      <c r="DG61" s="87">
        <f t="shared" si="330"/>
        <v>47696</v>
      </c>
      <c r="DH61" s="87">
        <f t="shared" si="330"/>
        <v>47727</v>
      </c>
      <c r="DI61" s="87">
        <f t="shared" si="330"/>
        <v>47757</v>
      </c>
      <c r="DJ61" s="87">
        <f t="shared" si="330"/>
        <v>47788</v>
      </c>
      <c r="DK61" s="87">
        <f t="shared" si="330"/>
        <v>47818</v>
      </c>
      <c r="DL61" s="87">
        <f t="shared" si="330"/>
        <v>47849</v>
      </c>
      <c r="DM61" s="87">
        <f t="shared" si="330"/>
        <v>47880</v>
      </c>
      <c r="DN61" s="87">
        <f t="shared" si="330"/>
        <v>47908</v>
      </c>
      <c r="DO61" s="87">
        <f t="shared" si="330"/>
        <v>47939</v>
      </c>
      <c r="DP61" s="87">
        <f t="shared" si="330"/>
        <v>47969</v>
      </c>
      <c r="DQ61" s="87">
        <f t="shared" si="330"/>
        <v>48000</v>
      </c>
      <c r="DR61" s="87">
        <f t="shared" si="330"/>
        <v>48030</v>
      </c>
      <c r="DS61" s="87">
        <f t="shared" si="330"/>
        <v>48061</v>
      </c>
      <c r="DT61" s="87">
        <f t="shared" si="330"/>
        <v>48092</v>
      </c>
      <c r="DU61" s="87">
        <f t="shared" si="330"/>
        <v>48122</v>
      </c>
      <c r="DV61" s="87">
        <f t="shared" si="330"/>
        <v>48153</v>
      </c>
      <c r="DW61" s="87">
        <f t="shared" si="330"/>
        <v>48183</v>
      </c>
      <c r="DX61" s="87">
        <f t="shared" si="330"/>
        <v>48214</v>
      </c>
      <c r="DY61" s="87">
        <f t="shared" si="330"/>
        <v>48245</v>
      </c>
      <c r="DZ61" s="87">
        <f t="shared" si="330"/>
        <v>48274</v>
      </c>
      <c r="EA61" s="87">
        <f t="shared" si="330"/>
        <v>48305</v>
      </c>
      <c r="EB61" s="87">
        <f t="shared" si="330"/>
        <v>48335</v>
      </c>
      <c r="EC61" s="87">
        <f t="shared" ref="EC61:GN61" si="331">EC$46</f>
        <v>48366</v>
      </c>
      <c r="ED61" s="87">
        <f t="shared" si="331"/>
        <v>48396</v>
      </c>
      <c r="EE61" s="87">
        <f t="shared" si="331"/>
        <v>48427</v>
      </c>
      <c r="EF61" s="87">
        <f t="shared" si="331"/>
        <v>48458</v>
      </c>
      <c r="EG61" s="87">
        <f t="shared" si="331"/>
        <v>48488</v>
      </c>
      <c r="EH61" s="87">
        <f t="shared" si="331"/>
        <v>48519</v>
      </c>
      <c r="EI61" s="87">
        <f t="shared" si="331"/>
        <v>48549</v>
      </c>
      <c r="EJ61" s="87">
        <f t="shared" si="331"/>
        <v>48580</v>
      </c>
      <c r="EK61" s="87">
        <f t="shared" si="331"/>
        <v>48611</v>
      </c>
      <c r="EL61" s="87">
        <f t="shared" si="331"/>
        <v>48639</v>
      </c>
      <c r="EM61" s="87">
        <f t="shared" si="331"/>
        <v>48670</v>
      </c>
      <c r="EN61" s="87">
        <f t="shared" si="331"/>
        <v>48700</v>
      </c>
      <c r="EO61" s="87">
        <f t="shared" si="331"/>
        <v>48731</v>
      </c>
      <c r="EP61" s="87">
        <f t="shared" si="331"/>
        <v>48761</v>
      </c>
      <c r="EQ61" s="87">
        <f t="shared" si="331"/>
        <v>48792</v>
      </c>
      <c r="ER61" s="87">
        <f t="shared" si="331"/>
        <v>48823</v>
      </c>
      <c r="ES61" s="87">
        <f t="shared" si="331"/>
        <v>48853</v>
      </c>
      <c r="ET61" s="87">
        <f t="shared" si="331"/>
        <v>48884</v>
      </c>
      <c r="EU61" s="87">
        <f t="shared" si="331"/>
        <v>48914</v>
      </c>
      <c r="EV61" s="87">
        <f t="shared" si="331"/>
        <v>48945</v>
      </c>
      <c r="EW61" s="87">
        <f t="shared" si="331"/>
        <v>48976</v>
      </c>
      <c r="EX61" s="87">
        <f t="shared" si="331"/>
        <v>49004</v>
      </c>
      <c r="EY61" s="87">
        <f t="shared" si="331"/>
        <v>49035</v>
      </c>
      <c r="EZ61" s="87">
        <f t="shared" si="331"/>
        <v>49065</v>
      </c>
      <c r="FA61" s="87">
        <f t="shared" si="331"/>
        <v>49096</v>
      </c>
      <c r="FB61" s="87">
        <f t="shared" si="331"/>
        <v>49126</v>
      </c>
      <c r="FC61" s="87">
        <f t="shared" si="331"/>
        <v>49157</v>
      </c>
      <c r="FD61" s="87">
        <f t="shared" si="331"/>
        <v>49188</v>
      </c>
      <c r="FE61" s="87">
        <f t="shared" si="331"/>
        <v>49218</v>
      </c>
      <c r="FF61" s="87">
        <f t="shared" si="331"/>
        <v>49249</v>
      </c>
      <c r="FG61" s="87">
        <f t="shared" si="331"/>
        <v>49279</v>
      </c>
      <c r="FH61" s="87">
        <f t="shared" si="331"/>
        <v>49310</v>
      </c>
      <c r="FI61" s="87">
        <f t="shared" si="331"/>
        <v>49341</v>
      </c>
      <c r="FJ61" s="87">
        <f t="shared" si="331"/>
        <v>49369</v>
      </c>
      <c r="FK61" s="87">
        <f t="shared" si="331"/>
        <v>49400</v>
      </c>
      <c r="FL61" s="87">
        <f t="shared" si="331"/>
        <v>49430</v>
      </c>
      <c r="FM61" s="87">
        <f t="shared" si="331"/>
        <v>49461</v>
      </c>
      <c r="FN61" s="87">
        <f t="shared" si="331"/>
        <v>49491</v>
      </c>
      <c r="FO61" s="87">
        <f t="shared" si="331"/>
        <v>49522</v>
      </c>
      <c r="FP61" s="87">
        <f t="shared" si="331"/>
        <v>49553</v>
      </c>
      <c r="FQ61" s="87">
        <f t="shared" si="331"/>
        <v>49583</v>
      </c>
      <c r="FR61" s="87">
        <f t="shared" si="331"/>
        <v>49614</v>
      </c>
      <c r="FS61" s="87">
        <f t="shared" si="331"/>
        <v>49644</v>
      </c>
      <c r="FT61" s="87">
        <f t="shared" si="331"/>
        <v>49675</v>
      </c>
      <c r="FU61" s="87">
        <f t="shared" si="331"/>
        <v>49706</v>
      </c>
      <c r="FV61" s="87">
        <f t="shared" si="331"/>
        <v>49735</v>
      </c>
      <c r="FW61" s="87">
        <f t="shared" si="331"/>
        <v>49766</v>
      </c>
      <c r="FX61" s="87">
        <f t="shared" si="331"/>
        <v>49796</v>
      </c>
      <c r="FY61" s="87">
        <f t="shared" si="331"/>
        <v>49827</v>
      </c>
      <c r="FZ61" s="87">
        <f t="shared" si="331"/>
        <v>49857</v>
      </c>
      <c r="GA61" s="87">
        <f t="shared" si="331"/>
        <v>49888</v>
      </c>
      <c r="GB61" s="87">
        <f t="shared" si="331"/>
        <v>49919</v>
      </c>
      <c r="GC61" s="87">
        <f t="shared" si="331"/>
        <v>49949</v>
      </c>
      <c r="GD61" s="87">
        <f t="shared" si="331"/>
        <v>49980</v>
      </c>
      <c r="GE61" s="87">
        <f t="shared" si="331"/>
        <v>50010</v>
      </c>
      <c r="GF61" s="87">
        <f t="shared" si="331"/>
        <v>50041</v>
      </c>
      <c r="GG61" s="87">
        <f t="shared" si="331"/>
        <v>50072</v>
      </c>
      <c r="GH61" s="87">
        <f t="shared" si="331"/>
        <v>50100</v>
      </c>
      <c r="GI61" s="87">
        <f t="shared" si="331"/>
        <v>50131</v>
      </c>
      <c r="GJ61" s="87">
        <f t="shared" si="331"/>
        <v>50161</v>
      </c>
      <c r="GK61" s="87">
        <f t="shared" si="331"/>
        <v>50192</v>
      </c>
      <c r="GL61" s="87">
        <f t="shared" si="331"/>
        <v>50222</v>
      </c>
      <c r="GM61" s="87">
        <f t="shared" si="331"/>
        <v>50253</v>
      </c>
      <c r="GN61" s="87">
        <f t="shared" si="331"/>
        <v>50284</v>
      </c>
      <c r="GO61" s="87">
        <f t="shared" ref="GO61:IZ61" si="332">GO$46</f>
        <v>50314</v>
      </c>
      <c r="GP61" s="87">
        <f t="shared" si="332"/>
        <v>50345</v>
      </c>
      <c r="GQ61" s="87">
        <f t="shared" si="332"/>
        <v>50375</v>
      </c>
      <c r="GR61" s="87">
        <f t="shared" si="332"/>
        <v>50406</v>
      </c>
      <c r="GS61" s="87">
        <f t="shared" si="332"/>
        <v>50437</v>
      </c>
      <c r="GT61" s="87">
        <f t="shared" si="332"/>
        <v>50465</v>
      </c>
      <c r="GU61" s="87">
        <f t="shared" si="332"/>
        <v>50496</v>
      </c>
      <c r="GV61" s="87">
        <f t="shared" si="332"/>
        <v>50526</v>
      </c>
      <c r="GW61" s="87">
        <f t="shared" si="332"/>
        <v>50557</v>
      </c>
      <c r="GX61" s="87">
        <f t="shared" si="332"/>
        <v>50587</v>
      </c>
      <c r="GY61" s="87">
        <f t="shared" si="332"/>
        <v>50618</v>
      </c>
      <c r="GZ61" s="87">
        <f t="shared" si="332"/>
        <v>50649</v>
      </c>
      <c r="HA61" s="87">
        <f t="shared" si="332"/>
        <v>50679</v>
      </c>
      <c r="HB61" s="87">
        <f t="shared" si="332"/>
        <v>50710</v>
      </c>
      <c r="HC61" s="87">
        <f t="shared" si="332"/>
        <v>50740</v>
      </c>
      <c r="HD61" s="87">
        <f t="shared" si="332"/>
        <v>50771</v>
      </c>
      <c r="HE61" s="87">
        <f t="shared" si="332"/>
        <v>50802</v>
      </c>
      <c r="HF61" s="87">
        <f t="shared" si="332"/>
        <v>50830</v>
      </c>
      <c r="HG61" s="87">
        <f t="shared" si="332"/>
        <v>50861</v>
      </c>
      <c r="HH61" s="87">
        <f t="shared" si="332"/>
        <v>50891</v>
      </c>
      <c r="HI61" s="87">
        <f t="shared" si="332"/>
        <v>50922</v>
      </c>
      <c r="HJ61" s="87">
        <f t="shared" si="332"/>
        <v>50952</v>
      </c>
      <c r="HK61" s="87">
        <f t="shared" si="332"/>
        <v>50983</v>
      </c>
      <c r="HL61" s="87">
        <f t="shared" si="332"/>
        <v>51014</v>
      </c>
      <c r="HM61" s="87">
        <f t="shared" si="332"/>
        <v>51044</v>
      </c>
      <c r="HN61" s="87">
        <f t="shared" si="332"/>
        <v>51075</v>
      </c>
      <c r="HO61" s="87">
        <f t="shared" si="332"/>
        <v>51105</v>
      </c>
      <c r="HP61" s="87">
        <f t="shared" si="332"/>
        <v>51136</v>
      </c>
      <c r="HQ61" s="87">
        <f t="shared" si="332"/>
        <v>51167</v>
      </c>
      <c r="HR61" s="87">
        <f t="shared" si="332"/>
        <v>51196</v>
      </c>
      <c r="HS61" s="87">
        <f t="shared" si="332"/>
        <v>51227</v>
      </c>
      <c r="HT61" s="87">
        <f t="shared" si="332"/>
        <v>51257</v>
      </c>
      <c r="HU61" s="87">
        <f t="shared" si="332"/>
        <v>51288</v>
      </c>
      <c r="HV61" s="87">
        <f t="shared" si="332"/>
        <v>51318</v>
      </c>
      <c r="HW61" s="87">
        <f t="shared" si="332"/>
        <v>51349</v>
      </c>
      <c r="HX61" s="87">
        <f t="shared" si="332"/>
        <v>51380</v>
      </c>
      <c r="HY61" s="87">
        <f t="shared" si="332"/>
        <v>51410</v>
      </c>
      <c r="HZ61" s="87">
        <f t="shared" si="332"/>
        <v>51441</v>
      </c>
      <c r="IA61" s="87">
        <f t="shared" si="332"/>
        <v>51471</v>
      </c>
      <c r="IB61" s="87">
        <f t="shared" si="332"/>
        <v>51502</v>
      </c>
      <c r="IC61" s="87">
        <f t="shared" si="332"/>
        <v>51533</v>
      </c>
      <c r="ID61" s="87">
        <f t="shared" si="332"/>
        <v>51561</v>
      </c>
      <c r="IE61" s="87">
        <f t="shared" si="332"/>
        <v>51592</v>
      </c>
      <c r="IF61" s="87">
        <f t="shared" si="332"/>
        <v>51622</v>
      </c>
      <c r="IG61" s="87">
        <f t="shared" si="332"/>
        <v>51653</v>
      </c>
      <c r="IH61" s="87">
        <f t="shared" si="332"/>
        <v>51683</v>
      </c>
      <c r="II61" s="87">
        <f t="shared" si="332"/>
        <v>51714</v>
      </c>
      <c r="IJ61" s="87">
        <f t="shared" si="332"/>
        <v>51745</v>
      </c>
      <c r="IK61" s="87">
        <f t="shared" si="332"/>
        <v>51775</v>
      </c>
      <c r="IL61" s="87">
        <f t="shared" si="332"/>
        <v>51806</v>
      </c>
      <c r="IM61" s="87">
        <f t="shared" si="332"/>
        <v>51836</v>
      </c>
      <c r="IN61" s="87">
        <f t="shared" si="332"/>
        <v>51867</v>
      </c>
      <c r="IO61" s="87">
        <f t="shared" si="332"/>
        <v>51898</v>
      </c>
      <c r="IP61" s="87">
        <f t="shared" si="332"/>
        <v>51926</v>
      </c>
      <c r="IQ61" s="87">
        <f t="shared" si="332"/>
        <v>51957</v>
      </c>
      <c r="IR61" s="87">
        <f t="shared" si="332"/>
        <v>51987</v>
      </c>
      <c r="IS61" s="87">
        <f t="shared" si="332"/>
        <v>52018</v>
      </c>
      <c r="IT61" s="87">
        <f t="shared" si="332"/>
        <v>52048</v>
      </c>
      <c r="IU61" s="87">
        <f t="shared" si="332"/>
        <v>52079</v>
      </c>
      <c r="IV61" s="87">
        <f t="shared" si="332"/>
        <v>52110</v>
      </c>
      <c r="IW61" s="87">
        <f t="shared" si="332"/>
        <v>52140</v>
      </c>
      <c r="IX61" s="87">
        <f t="shared" si="332"/>
        <v>52171</v>
      </c>
      <c r="IY61" s="87">
        <f t="shared" si="332"/>
        <v>52201</v>
      </c>
      <c r="IZ61" s="87">
        <f t="shared" si="332"/>
        <v>52232</v>
      </c>
      <c r="JA61" s="87">
        <f t="shared" ref="JA61:KR61" si="333">JA$46</f>
        <v>52263</v>
      </c>
      <c r="JB61" s="87">
        <f t="shared" si="333"/>
        <v>52291</v>
      </c>
      <c r="JC61" s="87">
        <f t="shared" si="333"/>
        <v>52322</v>
      </c>
      <c r="JD61" s="87">
        <f t="shared" si="333"/>
        <v>52352</v>
      </c>
      <c r="JE61" s="87">
        <f t="shared" si="333"/>
        <v>52383</v>
      </c>
      <c r="JF61" s="87">
        <f t="shared" si="333"/>
        <v>52413</v>
      </c>
      <c r="JG61" s="87">
        <f t="shared" si="333"/>
        <v>52444</v>
      </c>
      <c r="JH61" s="87">
        <f t="shared" si="333"/>
        <v>52475</v>
      </c>
      <c r="JI61" s="87">
        <f t="shared" si="333"/>
        <v>52505</v>
      </c>
      <c r="JJ61" s="87">
        <f t="shared" si="333"/>
        <v>52536</v>
      </c>
      <c r="JK61" s="87">
        <f t="shared" si="333"/>
        <v>52566</v>
      </c>
      <c r="JL61" s="87">
        <f t="shared" si="333"/>
        <v>52597</v>
      </c>
      <c r="JM61" s="87">
        <f t="shared" si="333"/>
        <v>52628</v>
      </c>
      <c r="JN61" s="87">
        <f t="shared" si="333"/>
        <v>52657</v>
      </c>
      <c r="JO61" s="87">
        <f t="shared" si="333"/>
        <v>52688</v>
      </c>
      <c r="JP61" s="87">
        <f t="shared" si="333"/>
        <v>52718</v>
      </c>
      <c r="JQ61" s="87">
        <f t="shared" si="333"/>
        <v>52749</v>
      </c>
      <c r="JR61" s="87">
        <f t="shared" si="333"/>
        <v>52779</v>
      </c>
      <c r="JS61" s="87">
        <f t="shared" si="333"/>
        <v>52810</v>
      </c>
      <c r="JT61" s="87">
        <f t="shared" si="333"/>
        <v>52841</v>
      </c>
      <c r="JU61" s="87">
        <f t="shared" si="333"/>
        <v>52871</v>
      </c>
      <c r="JV61" s="87">
        <f t="shared" si="333"/>
        <v>52902</v>
      </c>
      <c r="JW61" s="87">
        <f t="shared" si="333"/>
        <v>52932</v>
      </c>
      <c r="JX61" s="87">
        <f t="shared" si="333"/>
        <v>52963</v>
      </c>
      <c r="JY61" s="87">
        <f t="shared" si="333"/>
        <v>52994</v>
      </c>
      <c r="JZ61" s="87">
        <f t="shared" si="333"/>
        <v>53022</v>
      </c>
      <c r="KA61" s="87">
        <f t="shared" si="333"/>
        <v>53053</v>
      </c>
      <c r="KB61" s="87">
        <f t="shared" si="333"/>
        <v>53083</v>
      </c>
      <c r="KC61" s="87">
        <f t="shared" si="333"/>
        <v>53114</v>
      </c>
      <c r="KD61" s="87">
        <f t="shared" si="333"/>
        <v>53144</v>
      </c>
      <c r="KE61" s="87">
        <f t="shared" si="333"/>
        <v>53175</v>
      </c>
      <c r="KF61" s="87">
        <f t="shared" si="333"/>
        <v>53206</v>
      </c>
      <c r="KG61" s="87">
        <f t="shared" si="333"/>
        <v>53236</v>
      </c>
      <c r="KH61" s="87">
        <f t="shared" si="333"/>
        <v>53267</v>
      </c>
      <c r="KI61" s="87">
        <f t="shared" si="333"/>
        <v>53297</v>
      </c>
      <c r="KJ61" s="87">
        <f t="shared" si="333"/>
        <v>53328</v>
      </c>
      <c r="KK61" s="87">
        <f t="shared" si="333"/>
        <v>53359</v>
      </c>
      <c r="KL61" s="87">
        <f t="shared" si="333"/>
        <v>53387</v>
      </c>
      <c r="KM61" s="87">
        <f t="shared" si="333"/>
        <v>53418</v>
      </c>
      <c r="KN61" s="87">
        <f t="shared" si="333"/>
        <v>53448</v>
      </c>
      <c r="KO61" s="87">
        <f t="shared" si="333"/>
        <v>53479</v>
      </c>
      <c r="KP61" s="87">
        <f t="shared" si="333"/>
        <v>53509</v>
      </c>
      <c r="KQ61" s="87">
        <f t="shared" si="333"/>
        <v>53540</v>
      </c>
      <c r="KR61" s="87">
        <f t="shared" si="333"/>
        <v>53571</v>
      </c>
      <c r="KS61" s="86">
        <f t="shared" si="303"/>
        <v>1.0821917808219179</v>
      </c>
    </row>
    <row r="62" spans="1:306" x14ac:dyDescent="0.3">
      <c r="A62" s="532" t="s">
        <v>1166</v>
      </c>
      <c r="B62" s="84">
        <f>D62-C62+1</f>
        <v>120</v>
      </c>
      <c r="C62" s="88">
        <v>44866</v>
      </c>
      <c r="D62" s="88">
        <f>C63-1</f>
        <v>44985</v>
      </c>
      <c r="E62" s="87">
        <f t="shared" ref="E62:BP62" si="334">E$46</f>
        <v>44470</v>
      </c>
      <c r="F62" s="87">
        <f t="shared" si="334"/>
        <v>44501</v>
      </c>
      <c r="G62" s="87">
        <f t="shared" si="334"/>
        <v>44531</v>
      </c>
      <c r="H62" s="87">
        <f t="shared" si="334"/>
        <v>44562</v>
      </c>
      <c r="I62" s="87">
        <f t="shared" si="334"/>
        <v>44593</v>
      </c>
      <c r="J62" s="87">
        <f t="shared" si="334"/>
        <v>44621</v>
      </c>
      <c r="K62" s="87">
        <f t="shared" si="334"/>
        <v>44652</v>
      </c>
      <c r="L62" s="87">
        <f t="shared" si="334"/>
        <v>44682</v>
      </c>
      <c r="M62" s="87">
        <f t="shared" si="334"/>
        <v>44713</v>
      </c>
      <c r="N62" s="87">
        <f t="shared" si="334"/>
        <v>44743</v>
      </c>
      <c r="O62" s="87">
        <f t="shared" si="334"/>
        <v>44774</v>
      </c>
      <c r="P62" s="87">
        <f t="shared" si="334"/>
        <v>44805</v>
      </c>
      <c r="Q62" s="87">
        <f t="shared" si="334"/>
        <v>44835</v>
      </c>
      <c r="R62" s="87">
        <f t="shared" si="334"/>
        <v>44866</v>
      </c>
      <c r="S62" s="87">
        <f t="shared" si="334"/>
        <v>44896</v>
      </c>
      <c r="T62" s="87">
        <f t="shared" si="334"/>
        <v>44927</v>
      </c>
      <c r="U62" s="87">
        <f t="shared" si="334"/>
        <v>44958</v>
      </c>
      <c r="V62" s="87">
        <f t="shared" si="334"/>
        <v>44986</v>
      </c>
      <c r="W62" s="87">
        <f t="shared" si="334"/>
        <v>45017</v>
      </c>
      <c r="X62" s="87">
        <f t="shared" si="334"/>
        <v>45047</v>
      </c>
      <c r="Y62" s="87">
        <f t="shared" si="334"/>
        <v>45078</v>
      </c>
      <c r="Z62" s="87">
        <f t="shared" si="334"/>
        <v>45108</v>
      </c>
      <c r="AA62" s="87">
        <f t="shared" si="334"/>
        <v>45139</v>
      </c>
      <c r="AB62" s="87">
        <f t="shared" si="334"/>
        <v>45170</v>
      </c>
      <c r="AC62" s="87">
        <f t="shared" si="334"/>
        <v>45200</v>
      </c>
      <c r="AD62" s="87">
        <f t="shared" si="334"/>
        <v>45231</v>
      </c>
      <c r="AE62" s="87">
        <f t="shared" si="334"/>
        <v>45261</v>
      </c>
      <c r="AF62" s="87">
        <f t="shared" si="334"/>
        <v>45292</v>
      </c>
      <c r="AG62" s="87">
        <f t="shared" si="334"/>
        <v>45323</v>
      </c>
      <c r="AH62" s="87">
        <f t="shared" si="334"/>
        <v>45352</v>
      </c>
      <c r="AI62" s="87">
        <f t="shared" si="334"/>
        <v>45383</v>
      </c>
      <c r="AJ62" s="87">
        <f t="shared" si="334"/>
        <v>45413</v>
      </c>
      <c r="AK62" s="87">
        <f t="shared" si="334"/>
        <v>45444</v>
      </c>
      <c r="AL62" s="87">
        <f t="shared" si="334"/>
        <v>45474</v>
      </c>
      <c r="AM62" s="87">
        <f t="shared" si="334"/>
        <v>45505</v>
      </c>
      <c r="AN62" s="87">
        <f t="shared" si="334"/>
        <v>45536</v>
      </c>
      <c r="AO62" s="87">
        <f t="shared" si="334"/>
        <v>45566</v>
      </c>
      <c r="AP62" s="87">
        <f t="shared" si="334"/>
        <v>45597</v>
      </c>
      <c r="AQ62" s="87">
        <f t="shared" si="334"/>
        <v>45627</v>
      </c>
      <c r="AR62" s="87">
        <f t="shared" si="334"/>
        <v>45658</v>
      </c>
      <c r="AS62" s="87">
        <f t="shared" si="334"/>
        <v>45689</v>
      </c>
      <c r="AT62" s="87">
        <f t="shared" si="334"/>
        <v>45717</v>
      </c>
      <c r="AU62" s="87">
        <f t="shared" si="334"/>
        <v>45748</v>
      </c>
      <c r="AV62" s="87">
        <f t="shared" si="334"/>
        <v>45778</v>
      </c>
      <c r="AW62" s="87">
        <f t="shared" si="334"/>
        <v>45809</v>
      </c>
      <c r="AX62" s="87">
        <f t="shared" si="334"/>
        <v>45839</v>
      </c>
      <c r="AY62" s="87">
        <f t="shared" si="334"/>
        <v>45870</v>
      </c>
      <c r="AZ62" s="87">
        <f t="shared" si="334"/>
        <v>45901</v>
      </c>
      <c r="BA62" s="87">
        <f t="shared" si="334"/>
        <v>45931</v>
      </c>
      <c r="BB62" s="87">
        <f t="shared" si="334"/>
        <v>45962</v>
      </c>
      <c r="BC62" s="87">
        <f t="shared" si="334"/>
        <v>45992</v>
      </c>
      <c r="BD62" s="87">
        <f t="shared" si="334"/>
        <v>46023</v>
      </c>
      <c r="BE62" s="87">
        <f t="shared" si="334"/>
        <v>46054</v>
      </c>
      <c r="BF62" s="87">
        <f t="shared" si="334"/>
        <v>46082</v>
      </c>
      <c r="BG62" s="87">
        <f t="shared" si="334"/>
        <v>46113</v>
      </c>
      <c r="BH62" s="87">
        <f t="shared" si="334"/>
        <v>46143</v>
      </c>
      <c r="BI62" s="87">
        <f t="shared" si="334"/>
        <v>46174</v>
      </c>
      <c r="BJ62" s="87">
        <f t="shared" si="334"/>
        <v>46204</v>
      </c>
      <c r="BK62" s="87">
        <f t="shared" si="334"/>
        <v>46235</v>
      </c>
      <c r="BL62" s="87">
        <f t="shared" si="334"/>
        <v>46266</v>
      </c>
      <c r="BM62" s="87">
        <f t="shared" si="334"/>
        <v>46296</v>
      </c>
      <c r="BN62" s="87">
        <f t="shared" si="334"/>
        <v>46327</v>
      </c>
      <c r="BO62" s="87">
        <f t="shared" si="334"/>
        <v>46357</v>
      </c>
      <c r="BP62" s="87">
        <f t="shared" si="334"/>
        <v>46388</v>
      </c>
      <c r="BQ62" s="87">
        <f t="shared" ref="BQ62:EB62" si="335">BQ$46</f>
        <v>46419</v>
      </c>
      <c r="BR62" s="87">
        <f t="shared" si="335"/>
        <v>46447</v>
      </c>
      <c r="BS62" s="87">
        <f t="shared" si="335"/>
        <v>46478</v>
      </c>
      <c r="BT62" s="87">
        <f t="shared" si="335"/>
        <v>46508</v>
      </c>
      <c r="BU62" s="87">
        <f t="shared" si="335"/>
        <v>46539</v>
      </c>
      <c r="BV62" s="87">
        <f t="shared" si="335"/>
        <v>46569</v>
      </c>
      <c r="BW62" s="87">
        <f t="shared" si="335"/>
        <v>46600</v>
      </c>
      <c r="BX62" s="87">
        <f t="shared" si="335"/>
        <v>46631</v>
      </c>
      <c r="BY62" s="87">
        <f t="shared" si="335"/>
        <v>46661</v>
      </c>
      <c r="BZ62" s="87">
        <f t="shared" si="335"/>
        <v>46692</v>
      </c>
      <c r="CA62" s="87">
        <f t="shared" si="335"/>
        <v>46722</v>
      </c>
      <c r="CB62" s="87">
        <f t="shared" si="335"/>
        <v>46753</v>
      </c>
      <c r="CC62" s="87">
        <f t="shared" si="335"/>
        <v>46784</v>
      </c>
      <c r="CD62" s="87">
        <f t="shared" si="335"/>
        <v>46813</v>
      </c>
      <c r="CE62" s="87">
        <f t="shared" si="335"/>
        <v>46844</v>
      </c>
      <c r="CF62" s="87">
        <f t="shared" si="335"/>
        <v>46874</v>
      </c>
      <c r="CG62" s="87">
        <f t="shared" si="335"/>
        <v>46905</v>
      </c>
      <c r="CH62" s="87">
        <f t="shared" si="335"/>
        <v>46935</v>
      </c>
      <c r="CI62" s="87">
        <f t="shared" si="335"/>
        <v>46966</v>
      </c>
      <c r="CJ62" s="87">
        <f t="shared" si="335"/>
        <v>46997</v>
      </c>
      <c r="CK62" s="87">
        <f t="shared" si="335"/>
        <v>47027</v>
      </c>
      <c r="CL62" s="87">
        <f t="shared" si="335"/>
        <v>47058</v>
      </c>
      <c r="CM62" s="87">
        <f t="shared" si="335"/>
        <v>47088</v>
      </c>
      <c r="CN62" s="87">
        <f t="shared" si="335"/>
        <v>47119</v>
      </c>
      <c r="CO62" s="87">
        <f t="shared" si="335"/>
        <v>47150</v>
      </c>
      <c r="CP62" s="87">
        <f t="shared" si="335"/>
        <v>47178</v>
      </c>
      <c r="CQ62" s="87">
        <f t="shared" si="335"/>
        <v>47209</v>
      </c>
      <c r="CR62" s="87">
        <f t="shared" si="335"/>
        <v>47239</v>
      </c>
      <c r="CS62" s="87">
        <f t="shared" si="335"/>
        <v>47270</v>
      </c>
      <c r="CT62" s="87">
        <f t="shared" si="335"/>
        <v>47300</v>
      </c>
      <c r="CU62" s="87">
        <f t="shared" si="335"/>
        <v>47331</v>
      </c>
      <c r="CV62" s="87">
        <f t="shared" si="335"/>
        <v>47362</v>
      </c>
      <c r="CW62" s="87">
        <f t="shared" si="335"/>
        <v>47392</v>
      </c>
      <c r="CX62" s="87">
        <f t="shared" si="335"/>
        <v>47423</v>
      </c>
      <c r="CY62" s="87">
        <f t="shared" si="335"/>
        <v>47453</v>
      </c>
      <c r="CZ62" s="87">
        <f t="shared" si="335"/>
        <v>47484</v>
      </c>
      <c r="DA62" s="87">
        <f t="shared" si="335"/>
        <v>47515</v>
      </c>
      <c r="DB62" s="87">
        <f t="shared" si="335"/>
        <v>47543</v>
      </c>
      <c r="DC62" s="87">
        <f t="shared" si="335"/>
        <v>47574</v>
      </c>
      <c r="DD62" s="87">
        <f t="shared" si="335"/>
        <v>47604</v>
      </c>
      <c r="DE62" s="87">
        <f t="shared" si="335"/>
        <v>47635</v>
      </c>
      <c r="DF62" s="87">
        <f t="shared" si="335"/>
        <v>47665</v>
      </c>
      <c r="DG62" s="87">
        <f t="shared" si="335"/>
        <v>47696</v>
      </c>
      <c r="DH62" s="87">
        <f t="shared" si="335"/>
        <v>47727</v>
      </c>
      <c r="DI62" s="87">
        <f t="shared" si="335"/>
        <v>47757</v>
      </c>
      <c r="DJ62" s="87">
        <f t="shared" si="335"/>
        <v>47788</v>
      </c>
      <c r="DK62" s="87">
        <f t="shared" si="335"/>
        <v>47818</v>
      </c>
      <c r="DL62" s="87">
        <f t="shared" si="335"/>
        <v>47849</v>
      </c>
      <c r="DM62" s="87">
        <f t="shared" si="335"/>
        <v>47880</v>
      </c>
      <c r="DN62" s="87">
        <f t="shared" si="335"/>
        <v>47908</v>
      </c>
      <c r="DO62" s="87">
        <f t="shared" si="335"/>
        <v>47939</v>
      </c>
      <c r="DP62" s="87">
        <f t="shared" si="335"/>
        <v>47969</v>
      </c>
      <c r="DQ62" s="87">
        <f t="shared" si="335"/>
        <v>48000</v>
      </c>
      <c r="DR62" s="87">
        <f t="shared" si="335"/>
        <v>48030</v>
      </c>
      <c r="DS62" s="87">
        <f t="shared" si="335"/>
        <v>48061</v>
      </c>
      <c r="DT62" s="87">
        <f t="shared" si="335"/>
        <v>48092</v>
      </c>
      <c r="DU62" s="87">
        <f t="shared" si="335"/>
        <v>48122</v>
      </c>
      <c r="DV62" s="87">
        <f t="shared" si="335"/>
        <v>48153</v>
      </c>
      <c r="DW62" s="87">
        <f t="shared" si="335"/>
        <v>48183</v>
      </c>
      <c r="DX62" s="87">
        <f t="shared" si="335"/>
        <v>48214</v>
      </c>
      <c r="DY62" s="87">
        <f t="shared" si="335"/>
        <v>48245</v>
      </c>
      <c r="DZ62" s="87">
        <f t="shared" si="335"/>
        <v>48274</v>
      </c>
      <c r="EA62" s="87">
        <f t="shared" si="335"/>
        <v>48305</v>
      </c>
      <c r="EB62" s="87">
        <f t="shared" si="335"/>
        <v>48335</v>
      </c>
      <c r="EC62" s="87">
        <f t="shared" ref="EC62:GN62" si="336">EC$46</f>
        <v>48366</v>
      </c>
      <c r="ED62" s="87">
        <f t="shared" si="336"/>
        <v>48396</v>
      </c>
      <c r="EE62" s="87">
        <f t="shared" si="336"/>
        <v>48427</v>
      </c>
      <c r="EF62" s="87">
        <f t="shared" si="336"/>
        <v>48458</v>
      </c>
      <c r="EG62" s="87">
        <f t="shared" si="336"/>
        <v>48488</v>
      </c>
      <c r="EH62" s="87">
        <f t="shared" si="336"/>
        <v>48519</v>
      </c>
      <c r="EI62" s="87">
        <f t="shared" si="336"/>
        <v>48549</v>
      </c>
      <c r="EJ62" s="87">
        <f t="shared" si="336"/>
        <v>48580</v>
      </c>
      <c r="EK62" s="87">
        <f t="shared" si="336"/>
        <v>48611</v>
      </c>
      <c r="EL62" s="87">
        <f t="shared" si="336"/>
        <v>48639</v>
      </c>
      <c r="EM62" s="87">
        <f t="shared" si="336"/>
        <v>48670</v>
      </c>
      <c r="EN62" s="87">
        <f t="shared" si="336"/>
        <v>48700</v>
      </c>
      <c r="EO62" s="87">
        <f t="shared" si="336"/>
        <v>48731</v>
      </c>
      <c r="EP62" s="87">
        <f t="shared" si="336"/>
        <v>48761</v>
      </c>
      <c r="EQ62" s="87">
        <f t="shared" si="336"/>
        <v>48792</v>
      </c>
      <c r="ER62" s="87">
        <f t="shared" si="336"/>
        <v>48823</v>
      </c>
      <c r="ES62" s="87">
        <f t="shared" si="336"/>
        <v>48853</v>
      </c>
      <c r="ET62" s="87">
        <f t="shared" si="336"/>
        <v>48884</v>
      </c>
      <c r="EU62" s="87">
        <f t="shared" si="336"/>
        <v>48914</v>
      </c>
      <c r="EV62" s="87">
        <f t="shared" si="336"/>
        <v>48945</v>
      </c>
      <c r="EW62" s="87">
        <f t="shared" si="336"/>
        <v>48976</v>
      </c>
      <c r="EX62" s="87">
        <f t="shared" si="336"/>
        <v>49004</v>
      </c>
      <c r="EY62" s="87">
        <f t="shared" si="336"/>
        <v>49035</v>
      </c>
      <c r="EZ62" s="87">
        <f t="shared" si="336"/>
        <v>49065</v>
      </c>
      <c r="FA62" s="87">
        <f t="shared" si="336"/>
        <v>49096</v>
      </c>
      <c r="FB62" s="87">
        <f t="shared" si="336"/>
        <v>49126</v>
      </c>
      <c r="FC62" s="87">
        <f t="shared" si="336"/>
        <v>49157</v>
      </c>
      <c r="FD62" s="87">
        <f t="shared" si="336"/>
        <v>49188</v>
      </c>
      <c r="FE62" s="87">
        <f t="shared" si="336"/>
        <v>49218</v>
      </c>
      <c r="FF62" s="87">
        <f t="shared" si="336"/>
        <v>49249</v>
      </c>
      <c r="FG62" s="87">
        <f t="shared" si="336"/>
        <v>49279</v>
      </c>
      <c r="FH62" s="87">
        <f t="shared" si="336"/>
        <v>49310</v>
      </c>
      <c r="FI62" s="87">
        <f t="shared" si="336"/>
        <v>49341</v>
      </c>
      <c r="FJ62" s="87">
        <f t="shared" si="336"/>
        <v>49369</v>
      </c>
      <c r="FK62" s="87">
        <f t="shared" si="336"/>
        <v>49400</v>
      </c>
      <c r="FL62" s="87">
        <f t="shared" si="336"/>
        <v>49430</v>
      </c>
      <c r="FM62" s="87">
        <f t="shared" si="336"/>
        <v>49461</v>
      </c>
      <c r="FN62" s="87">
        <f t="shared" si="336"/>
        <v>49491</v>
      </c>
      <c r="FO62" s="87">
        <f t="shared" si="336"/>
        <v>49522</v>
      </c>
      <c r="FP62" s="87">
        <f t="shared" si="336"/>
        <v>49553</v>
      </c>
      <c r="FQ62" s="87">
        <f t="shared" si="336"/>
        <v>49583</v>
      </c>
      <c r="FR62" s="87">
        <f t="shared" si="336"/>
        <v>49614</v>
      </c>
      <c r="FS62" s="87">
        <f t="shared" si="336"/>
        <v>49644</v>
      </c>
      <c r="FT62" s="87">
        <f t="shared" si="336"/>
        <v>49675</v>
      </c>
      <c r="FU62" s="87">
        <f t="shared" si="336"/>
        <v>49706</v>
      </c>
      <c r="FV62" s="87">
        <f t="shared" si="336"/>
        <v>49735</v>
      </c>
      <c r="FW62" s="87">
        <f t="shared" si="336"/>
        <v>49766</v>
      </c>
      <c r="FX62" s="87">
        <f t="shared" si="336"/>
        <v>49796</v>
      </c>
      <c r="FY62" s="87">
        <f t="shared" si="336"/>
        <v>49827</v>
      </c>
      <c r="FZ62" s="87">
        <f t="shared" si="336"/>
        <v>49857</v>
      </c>
      <c r="GA62" s="87">
        <f t="shared" si="336"/>
        <v>49888</v>
      </c>
      <c r="GB62" s="87">
        <f t="shared" si="336"/>
        <v>49919</v>
      </c>
      <c r="GC62" s="87">
        <f t="shared" si="336"/>
        <v>49949</v>
      </c>
      <c r="GD62" s="87">
        <f t="shared" si="336"/>
        <v>49980</v>
      </c>
      <c r="GE62" s="87">
        <f t="shared" si="336"/>
        <v>50010</v>
      </c>
      <c r="GF62" s="87">
        <f t="shared" si="336"/>
        <v>50041</v>
      </c>
      <c r="GG62" s="87">
        <f t="shared" si="336"/>
        <v>50072</v>
      </c>
      <c r="GH62" s="87">
        <f t="shared" si="336"/>
        <v>50100</v>
      </c>
      <c r="GI62" s="87">
        <f t="shared" si="336"/>
        <v>50131</v>
      </c>
      <c r="GJ62" s="87">
        <f t="shared" si="336"/>
        <v>50161</v>
      </c>
      <c r="GK62" s="87">
        <f t="shared" si="336"/>
        <v>50192</v>
      </c>
      <c r="GL62" s="87">
        <f t="shared" si="336"/>
        <v>50222</v>
      </c>
      <c r="GM62" s="87">
        <f t="shared" si="336"/>
        <v>50253</v>
      </c>
      <c r="GN62" s="87">
        <f t="shared" si="336"/>
        <v>50284</v>
      </c>
      <c r="GO62" s="87">
        <f t="shared" ref="GO62:IZ62" si="337">GO$46</f>
        <v>50314</v>
      </c>
      <c r="GP62" s="87">
        <f t="shared" si="337"/>
        <v>50345</v>
      </c>
      <c r="GQ62" s="87">
        <f t="shared" si="337"/>
        <v>50375</v>
      </c>
      <c r="GR62" s="87">
        <f t="shared" si="337"/>
        <v>50406</v>
      </c>
      <c r="GS62" s="87">
        <f t="shared" si="337"/>
        <v>50437</v>
      </c>
      <c r="GT62" s="87">
        <f t="shared" si="337"/>
        <v>50465</v>
      </c>
      <c r="GU62" s="87">
        <f t="shared" si="337"/>
        <v>50496</v>
      </c>
      <c r="GV62" s="87">
        <f t="shared" si="337"/>
        <v>50526</v>
      </c>
      <c r="GW62" s="87">
        <f t="shared" si="337"/>
        <v>50557</v>
      </c>
      <c r="GX62" s="87">
        <f t="shared" si="337"/>
        <v>50587</v>
      </c>
      <c r="GY62" s="87">
        <f t="shared" si="337"/>
        <v>50618</v>
      </c>
      <c r="GZ62" s="87">
        <f t="shared" si="337"/>
        <v>50649</v>
      </c>
      <c r="HA62" s="87">
        <f t="shared" si="337"/>
        <v>50679</v>
      </c>
      <c r="HB62" s="87">
        <f t="shared" si="337"/>
        <v>50710</v>
      </c>
      <c r="HC62" s="87">
        <f t="shared" si="337"/>
        <v>50740</v>
      </c>
      <c r="HD62" s="87">
        <f t="shared" si="337"/>
        <v>50771</v>
      </c>
      <c r="HE62" s="87">
        <f t="shared" si="337"/>
        <v>50802</v>
      </c>
      <c r="HF62" s="87">
        <f t="shared" si="337"/>
        <v>50830</v>
      </c>
      <c r="HG62" s="87">
        <f t="shared" si="337"/>
        <v>50861</v>
      </c>
      <c r="HH62" s="87">
        <f t="shared" si="337"/>
        <v>50891</v>
      </c>
      <c r="HI62" s="87">
        <f t="shared" si="337"/>
        <v>50922</v>
      </c>
      <c r="HJ62" s="87">
        <f t="shared" si="337"/>
        <v>50952</v>
      </c>
      <c r="HK62" s="87">
        <f t="shared" si="337"/>
        <v>50983</v>
      </c>
      <c r="HL62" s="87">
        <f t="shared" si="337"/>
        <v>51014</v>
      </c>
      <c r="HM62" s="87">
        <f t="shared" si="337"/>
        <v>51044</v>
      </c>
      <c r="HN62" s="87">
        <f t="shared" si="337"/>
        <v>51075</v>
      </c>
      <c r="HO62" s="87">
        <f t="shared" si="337"/>
        <v>51105</v>
      </c>
      <c r="HP62" s="87">
        <f t="shared" si="337"/>
        <v>51136</v>
      </c>
      <c r="HQ62" s="87">
        <f t="shared" si="337"/>
        <v>51167</v>
      </c>
      <c r="HR62" s="87">
        <f t="shared" si="337"/>
        <v>51196</v>
      </c>
      <c r="HS62" s="87">
        <f t="shared" si="337"/>
        <v>51227</v>
      </c>
      <c r="HT62" s="87">
        <f t="shared" si="337"/>
        <v>51257</v>
      </c>
      <c r="HU62" s="87">
        <f t="shared" si="337"/>
        <v>51288</v>
      </c>
      <c r="HV62" s="87">
        <f t="shared" si="337"/>
        <v>51318</v>
      </c>
      <c r="HW62" s="87">
        <f t="shared" si="337"/>
        <v>51349</v>
      </c>
      <c r="HX62" s="87">
        <f t="shared" si="337"/>
        <v>51380</v>
      </c>
      <c r="HY62" s="87">
        <f t="shared" si="337"/>
        <v>51410</v>
      </c>
      <c r="HZ62" s="87">
        <f t="shared" si="337"/>
        <v>51441</v>
      </c>
      <c r="IA62" s="87">
        <f t="shared" si="337"/>
        <v>51471</v>
      </c>
      <c r="IB62" s="87">
        <f t="shared" si="337"/>
        <v>51502</v>
      </c>
      <c r="IC62" s="87">
        <f t="shared" si="337"/>
        <v>51533</v>
      </c>
      <c r="ID62" s="87">
        <f t="shared" si="337"/>
        <v>51561</v>
      </c>
      <c r="IE62" s="87">
        <f t="shared" si="337"/>
        <v>51592</v>
      </c>
      <c r="IF62" s="87">
        <f t="shared" si="337"/>
        <v>51622</v>
      </c>
      <c r="IG62" s="87">
        <f t="shared" si="337"/>
        <v>51653</v>
      </c>
      <c r="IH62" s="87">
        <f t="shared" si="337"/>
        <v>51683</v>
      </c>
      <c r="II62" s="87">
        <f t="shared" si="337"/>
        <v>51714</v>
      </c>
      <c r="IJ62" s="87">
        <f t="shared" si="337"/>
        <v>51745</v>
      </c>
      <c r="IK62" s="87">
        <f t="shared" si="337"/>
        <v>51775</v>
      </c>
      <c r="IL62" s="87">
        <f t="shared" si="337"/>
        <v>51806</v>
      </c>
      <c r="IM62" s="87">
        <f t="shared" si="337"/>
        <v>51836</v>
      </c>
      <c r="IN62" s="87">
        <f t="shared" si="337"/>
        <v>51867</v>
      </c>
      <c r="IO62" s="87">
        <f t="shared" si="337"/>
        <v>51898</v>
      </c>
      <c r="IP62" s="87">
        <f t="shared" si="337"/>
        <v>51926</v>
      </c>
      <c r="IQ62" s="87">
        <f t="shared" si="337"/>
        <v>51957</v>
      </c>
      <c r="IR62" s="87">
        <f t="shared" si="337"/>
        <v>51987</v>
      </c>
      <c r="IS62" s="87">
        <f t="shared" si="337"/>
        <v>52018</v>
      </c>
      <c r="IT62" s="87">
        <f t="shared" si="337"/>
        <v>52048</v>
      </c>
      <c r="IU62" s="87">
        <f t="shared" si="337"/>
        <v>52079</v>
      </c>
      <c r="IV62" s="87">
        <f t="shared" si="337"/>
        <v>52110</v>
      </c>
      <c r="IW62" s="87">
        <f t="shared" si="337"/>
        <v>52140</v>
      </c>
      <c r="IX62" s="87">
        <f t="shared" si="337"/>
        <v>52171</v>
      </c>
      <c r="IY62" s="87">
        <f t="shared" si="337"/>
        <v>52201</v>
      </c>
      <c r="IZ62" s="87">
        <f t="shared" si="337"/>
        <v>52232</v>
      </c>
      <c r="JA62" s="87">
        <f t="shared" ref="JA62:KR62" si="338">JA$46</f>
        <v>52263</v>
      </c>
      <c r="JB62" s="87">
        <f t="shared" si="338"/>
        <v>52291</v>
      </c>
      <c r="JC62" s="87">
        <f t="shared" si="338"/>
        <v>52322</v>
      </c>
      <c r="JD62" s="87">
        <f t="shared" si="338"/>
        <v>52352</v>
      </c>
      <c r="JE62" s="87">
        <f t="shared" si="338"/>
        <v>52383</v>
      </c>
      <c r="JF62" s="87">
        <f t="shared" si="338"/>
        <v>52413</v>
      </c>
      <c r="JG62" s="87">
        <f t="shared" si="338"/>
        <v>52444</v>
      </c>
      <c r="JH62" s="87">
        <f t="shared" si="338"/>
        <v>52475</v>
      </c>
      <c r="JI62" s="87">
        <f t="shared" si="338"/>
        <v>52505</v>
      </c>
      <c r="JJ62" s="87">
        <f t="shared" si="338"/>
        <v>52536</v>
      </c>
      <c r="JK62" s="87">
        <f t="shared" si="338"/>
        <v>52566</v>
      </c>
      <c r="JL62" s="87">
        <f t="shared" si="338"/>
        <v>52597</v>
      </c>
      <c r="JM62" s="87">
        <f t="shared" si="338"/>
        <v>52628</v>
      </c>
      <c r="JN62" s="87">
        <f t="shared" si="338"/>
        <v>52657</v>
      </c>
      <c r="JO62" s="87">
        <f t="shared" si="338"/>
        <v>52688</v>
      </c>
      <c r="JP62" s="87">
        <f t="shared" si="338"/>
        <v>52718</v>
      </c>
      <c r="JQ62" s="87">
        <f t="shared" si="338"/>
        <v>52749</v>
      </c>
      <c r="JR62" s="87">
        <f t="shared" si="338"/>
        <v>52779</v>
      </c>
      <c r="JS62" s="87">
        <f t="shared" si="338"/>
        <v>52810</v>
      </c>
      <c r="JT62" s="87">
        <f t="shared" si="338"/>
        <v>52841</v>
      </c>
      <c r="JU62" s="87">
        <f t="shared" si="338"/>
        <v>52871</v>
      </c>
      <c r="JV62" s="87">
        <f t="shared" si="338"/>
        <v>52902</v>
      </c>
      <c r="JW62" s="87">
        <f t="shared" si="338"/>
        <v>52932</v>
      </c>
      <c r="JX62" s="87">
        <f t="shared" si="338"/>
        <v>52963</v>
      </c>
      <c r="JY62" s="87">
        <f t="shared" si="338"/>
        <v>52994</v>
      </c>
      <c r="JZ62" s="87">
        <f t="shared" si="338"/>
        <v>53022</v>
      </c>
      <c r="KA62" s="87">
        <f t="shared" si="338"/>
        <v>53053</v>
      </c>
      <c r="KB62" s="87">
        <f t="shared" si="338"/>
        <v>53083</v>
      </c>
      <c r="KC62" s="87">
        <f t="shared" si="338"/>
        <v>53114</v>
      </c>
      <c r="KD62" s="87">
        <f t="shared" si="338"/>
        <v>53144</v>
      </c>
      <c r="KE62" s="87">
        <f t="shared" si="338"/>
        <v>53175</v>
      </c>
      <c r="KF62" s="87">
        <f t="shared" si="338"/>
        <v>53206</v>
      </c>
      <c r="KG62" s="87">
        <f t="shared" si="338"/>
        <v>53236</v>
      </c>
      <c r="KH62" s="87">
        <f t="shared" si="338"/>
        <v>53267</v>
      </c>
      <c r="KI62" s="87">
        <f t="shared" si="338"/>
        <v>53297</v>
      </c>
      <c r="KJ62" s="87">
        <f t="shared" si="338"/>
        <v>53328</v>
      </c>
      <c r="KK62" s="87">
        <f t="shared" si="338"/>
        <v>53359</v>
      </c>
      <c r="KL62" s="87">
        <f t="shared" si="338"/>
        <v>53387</v>
      </c>
      <c r="KM62" s="87">
        <f t="shared" si="338"/>
        <v>53418</v>
      </c>
      <c r="KN62" s="87">
        <f t="shared" si="338"/>
        <v>53448</v>
      </c>
      <c r="KO62" s="87">
        <f t="shared" si="338"/>
        <v>53479</v>
      </c>
      <c r="KP62" s="87">
        <f t="shared" si="338"/>
        <v>53509</v>
      </c>
      <c r="KQ62" s="87">
        <f t="shared" si="338"/>
        <v>53540</v>
      </c>
      <c r="KR62" s="87">
        <f t="shared" si="338"/>
        <v>53571</v>
      </c>
      <c r="KS62" s="86">
        <f t="shared" si="303"/>
        <v>0.32602739726027397</v>
      </c>
    </row>
    <row r="63" spans="1:306" ht="15.6" x14ac:dyDescent="0.3">
      <c r="A63" s="532" t="s">
        <v>1225</v>
      </c>
      <c r="B63" s="84">
        <f>D63-C63+1</f>
        <v>1462</v>
      </c>
      <c r="C63" s="88">
        <v>44986</v>
      </c>
      <c r="D63" s="88">
        <f>EDATE(C63,48)</f>
        <v>46447</v>
      </c>
      <c r="E63" s="87">
        <f t="shared" ref="E63:BP63" si="339">E$46</f>
        <v>44470</v>
      </c>
      <c r="F63" s="87">
        <f t="shared" si="339"/>
        <v>44501</v>
      </c>
      <c r="G63" s="87">
        <f t="shared" si="339"/>
        <v>44531</v>
      </c>
      <c r="H63" s="87">
        <f t="shared" si="339"/>
        <v>44562</v>
      </c>
      <c r="I63" s="87">
        <f t="shared" si="339"/>
        <v>44593</v>
      </c>
      <c r="J63" s="87">
        <f t="shared" si="339"/>
        <v>44621</v>
      </c>
      <c r="K63" s="87">
        <f t="shared" si="339"/>
        <v>44652</v>
      </c>
      <c r="L63" s="87">
        <f t="shared" si="339"/>
        <v>44682</v>
      </c>
      <c r="M63" s="87">
        <f t="shared" si="339"/>
        <v>44713</v>
      </c>
      <c r="N63" s="87">
        <f t="shared" si="339"/>
        <v>44743</v>
      </c>
      <c r="O63" s="87">
        <f t="shared" si="339"/>
        <v>44774</v>
      </c>
      <c r="P63" s="87">
        <f t="shared" si="339"/>
        <v>44805</v>
      </c>
      <c r="Q63" s="87">
        <f t="shared" si="339"/>
        <v>44835</v>
      </c>
      <c r="R63" s="87">
        <f t="shared" si="339"/>
        <v>44866</v>
      </c>
      <c r="S63" s="87">
        <f t="shared" si="339"/>
        <v>44896</v>
      </c>
      <c r="T63" s="87">
        <f t="shared" si="339"/>
        <v>44927</v>
      </c>
      <c r="U63" s="87">
        <f t="shared" si="339"/>
        <v>44958</v>
      </c>
      <c r="V63" s="87">
        <f t="shared" si="339"/>
        <v>44986</v>
      </c>
      <c r="W63" s="87">
        <f t="shared" si="339"/>
        <v>45017</v>
      </c>
      <c r="X63" s="87">
        <f t="shared" si="339"/>
        <v>45047</v>
      </c>
      <c r="Y63" s="87">
        <f t="shared" si="339"/>
        <v>45078</v>
      </c>
      <c r="Z63" s="87">
        <f t="shared" si="339"/>
        <v>45108</v>
      </c>
      <c r="AA63" s="87">
        <f t="shared" si="339"/>
        <v>45139</v>
      </c>
      <c r="AB63" s="87">
        <f t="shared" si="339"/>
        <v>45170</v>
      </c>
      <c r="AC63" s="87">
        <f t="shared" si="339"/>
        <v>45200</v>
      </c>
      <c r="AD63" s="87">
        <f t="shared" si="339"/>
        <v>45231</v>
      </c>
      <c r="AE63" s="87">
        <f t="shared" si="339"/>
        <v>45261</v>
      </c>
      <c r="AF63" s="87">
        <f t="shared" si="339"/>
        <v>45292</v>
      </c>
      <c r="AG63" s="87">
        <f t="shared" si="339"/>
        <v>45323</v>
      </c>
      <c r="AH63" s="87">
        <f t="shared" si="339"/>
        <v>45352</v>
      </c>
      <c r="AI63" s="87">
        <f t="shared" si="339"/>
        <v>45383</v>
      </c>
      <c r="AJ63" s="87">
        <f t="shared" si="339"/>
        <v>45413</v>
      </c>
      <c r="AK63" s="87">
        <f t="shared" si="339"/>
        <v>45444</v>
      </c>
      <c r="AL63" s="87">
        <f t="shared" si="339"/>
        <v>45474</v>
      </c>
      <c r="AM63" s="87">
        <f t="shared" si="339"/>
        <v>45505</v>
      </c>
      <c r="AN63" s="87">
        <f t="shared" si="339"/>
        <v>45536</v>
      </c>
      <c r="AO63" s="87">
        <f t="shared" si="339"/>
        <v>45566</v>
      </c>
      <c r="AP63" s="87">
        <f t="shared" si="339"/>
        <v>45597</v>
      </c>
      <c r="AQ63" s="87">
        <f t="shared" si="339"/>
        <v>45627</v>
      </c>
      <c r="AR63" s="87">
        <f t="shared" si="339"/>
        <v>45658</v>
      </c>
      <c r="AS63" s="87">
        <f t="shared" si="339"/>
        <v>45689</v>
      </c>
      <c r="AT63" s="87">
        <f t="shared" si="339"/>
        <v>45717</v>
      </c>
      <c r="AU63" s="87">
        <f t="shared" si="339"/>
        <v>45748</v>
      </c>
      <c r="AV63" s="87">
        <f t="shared" si="339"/>
        <v>45778</v>
      </c>
      <c r="AW63" s="87">
        <f t="shared" si="339"/>
        <v>45809</v>
      </c>
      <c r="AX63" s="87">
        <f t="shared" si="339"/>
        <v>45839</v>
      </c>
      <c r="AY63" s="87">
        <f t="shared" si="339"/>
        <v>45870</v>
      </c>
      <c r="AZ63" s="87">
        <f t="shared" si="339"/>
        <v>45901</v>
      </c>
      <c r="BA63" s="87">
        <f t="shared" si="339"/>
        <v>45931</v>
      </c>
      <c r="BB63" s="87">
        <f t="shared" si="339"/>
        <v>45962</v>
      </c>
      <c r="BC63" s="87">
        <f t="shared" si="339"/>
        <v>45992</v>
      </c>
      <c r="BD63" s="87">
        <f t="shared" si="339"/>
        <v>46023</v>
      </c>
      <c r="BE63" s="87">
        <f t="shared" si="339"/>
        <v>46054</v>
      </c>
      <c r="BF63" s="87">
        <f t="shared" si="339"/>
        <v>46082</v>
      </c>
      <c r="BG63" s="87">
        <f t="shared" si="339"/>
        <v>46113</v>
      </c>
      <c r="BH63" s="87">
        <f t="shared" si="339"/>
        <v>46143</v>
      </c>
      <c r="BI63" s="87">
        <f t="shared" si="339"/>
        <v>46174</v>
      </c>
      <c r="BJ63" s="87">
        <f t="shared" si="339"/>
        <v>46204</v>
      </c>
      <c r="BK63" s="87">
        <f t="shared" si="339"/>
        <v>46235</v>
      </c>
      <c r="BL63" s="87">
        <f t="shared" si="339"/>
        <v>46266</v>
      </c>
      <c r="BM63" s="87">
        <f t="shared" si="339"/>
        <v>46296</v>
      </c>
      <c r="BN63" s="87">
        <f t="shared" si="339"/>
        <v>46327</v>
      </c>
      <c r="BO63" s="87">
        <f t="shared" si="339"/>
        <v>46357</v>
      </c>
      <c r="BP63" s="87">
        <f t="shared" si="339"/>
        <v>46388</v>
      </c>
      <c r="BQ63" s="87">
        <f t="shared" ref="BQ63:EB63" si="340">BQ$46</f>
        <v>46419</v>
      </c>
      <c r="BR63" s="87">
        <f t="shared" si="340"/>
        <v>46447</v>
      </c>
      <c r="BS63" s="87">
        <f t="shared" si="340"/>
        <v>46478</v>
      </c>
      <c r="BT63" s="87">
        <f t="shared" si="340"/>
        <v>46508</v>
      </c>
      <c r="BU63" s="87">
        <f t="shared" si="340"/>
        <v>46539</v>
      </c>
      <c r="BV63" s="87">
        <f t="shared" si="340"/>
        <v>46569</v>
      </c>
      <c r="BW63" s="87">
        <f t="shared" si="340"/>
        <v>46600</v>
      </c>
      <c r="BX63" s="87">
        <f t="shared" si="340"/>
        <v>46631</v>
      </c>
      <c r="BY63" s="87">
        <f t="shared" si="340"/>
        <v>46661</v>
      </c>
      <c r="BZ63" s="87">
        <f t="shared" si="340"/>
        <v>46692</v>
      </c>
      <c r="CA63" s="87">
        <f t="shared" si="340"/>
        <v>46722</v>
      </c>
      <c r="CB63" s="87">
        <f t="shared" si="340"/>
        <v>46753</v>
      </c>
      <c r="CC63" s="87">
        <f t="shared" si="340"/>
        <v>46784</v>
      </c>
      <c r="CD63" s="87">
        <f t="shared" si="340"/>
        <v>46813</v>
      </c>
      <c r="CE63" s="87">
        <f t="shared" si="340"/>
        <v>46844</v>
      </c>
      <c r="CF63" s="87">
        <f t="shared" si="340"/>
        <v>46874</v>
      </c>
      <c r="CG63" s="87">
        <f t="shared" si="340"/>
        <v>46905</v>
      </c>
      <c r="CH63" s="87">
        <f t="shared" si="340"/>
        <v>46935</v>
      </c>
      <c r="CI63" s="87">
        <f t="shared" si="340"/>
        <v>46966</v>
      </c>
      <c r="CJ63" s="87">
        <f t="shared" si="340"/>
        <v>46997</v>
      </c>
      <c r="CK63" s="87">
        <f t="shared" si="340"/>
        <v>47027</v>
      </c>
      <c r="CL63" s="87">
        <f t="shared" si="340"/>
        <v>47058</v>
      </c>
      <c r="CM63" s="87">
        <f t="shared" si="340"/>
        <v>47088</v>
      </c>
      <c r="CN63" s="87">
        <f t="shared" si="340"/>
        <v>47119</v>
      </c>
      <c r="CO63" s="87">
        <f t="shared" si="340"/>
        <v>47150</v>
      </c>
      <c r="CP63" s="87">
        <f t="shared" si="340"/>
        <v>47178</v>
      </c>
      <c r="CQ63" s="87">
        <f t="shared" si="340"/>
        <v>47209</v>
      </c>
      <c r="CR63" s="87">
        <f t="shared" si="340"/>
        <v>47239</v>
      </c>
      <c r="CS63" s="87">
        <f t="shared" si="340"/>
        <v>47270</v>
      </c>
      <c r="CT63" s="87">
        <f t="shared" si="340"/>
        <v>47300</v>
      </c>
      <c r="CU63" s="87">
        <f t="shared" si="340"/>
        <v>47331</v>
      </c>
      <c r="CV63" s="87">
        <f t="shared" si="340"/>
        <v>47362</v>
      </c>
      <c r="CW63" s="87">
        <f t="shared" si="340"/>
        <v>47392</v>
      </c>
      <c r="CX63" s="87">
        <f t="shared" si="340"/>
        <v>47423</v>
      </c>
      <c r="CY63" s="87">
        <f t="shared" si="340"/>
        <v>47453</v>
      </c>
      <c r="CZ63" s="87">
        <f t="shared" si="340"/>
        <v>47484</v>
      </c>
      <c r="DA63" s="87">
        <f t="shared" si="340"/>
        <v>47515</v>
      </c>
      <c r="DB63" s="87">
        <f t="shared" si="340"/>
        <v>47543</v>
      </c>
      <c r="DC63" s="87">
        <f t="shared" si="340"/>
        <v>47574</v>
      </c>
      <c r="DD63" s="87">
        <f t="shared" si="340"/>
        <v>47604</v>
      </c>
      <c r="DE63" s="87">
        <f t="shared" si="340"/>
        <v>47635</v>
      </c>
      <c r="DF63" s="87">
        <f t="shared" si="340"/>
        <v>47665</v>
      </c>
      <c r="DG63" s="87">
        <f t="shared" si="340"/>
        <v>47696</v>
      </c>
      <c r="DH63" s="87">
        <f t="shared" si="340"/>
        <v>47727</v>
      </c>
      <c r="DI63" s="87">
        <f t="shared" si="340"/>
        <v>47757</v>
      </c>
      <c r="DJ63" s="87">
        <f t="shared" si="340"/>
        <v>47788</v>
      </c>
      <c r="DK63" s="87">
        <f t="shared" si="340"/>
        <v>47818</v>
      </c>
      <c r="DL63" s="87">
        <f t="shared" si="340"/>
        <v>47849</v>
      </c>
      <c r="DM63" s="87">
        <f t="shared" si="340"/>
        <v>47880</v>
      </c>
      <c r="DN63" s="87">
        <f t="shared" si="340"/>
        <v>47908</v>
      </c>
      <c r="DO63" s="87">
        <f t="shared" si="340"/>
        <v>47939</v>
      </c>
      <c r="DP63" s="87">
        <f t="shared" si="340"/>
        <v>47969</v>
      </c>
      <c r="DQ63" s="87">
        <f t="shared" si="340"/>
        <v>48000</v>
      </c>
      <c r="DR63" s="87">
        <f t="shared" si="340"/>
        <v>48030</v>
      </c>
      <c r="DS63" s="87">
        <f t="shared" si="340"/>
        <v>48061</v>
      </c>
      <c r="DT63" s="87">
        <f t="shared" si="340"/>
        <v>48092</v>
      </c>
      <c r="DU63" s="87">
        <f t="shared" si="340"/>
        <v>48122</v>
      </c>
      <c r="DV63" s="87">
        <f t="shared" si="340"/>
        <v>48153</v>
      </c>
      <c r="DW63" s="87">
        <f t="shared" si="340"/>
        <v>48183</v>
      </c>
      <c r="DX63" s="87">
        <f t="shared" si="340"/>
        <v>48214</v>
      </c>
      <c r="DY63" s="87">
        <f t="shared" si="340"/>
        <v>48245</v>
      </c>
      <c r="DZ63" s="87">
        <f t="shared" si="340"/>
        <v>48274</v>
      </c>
      <c r="EA63" s="87">
        <f t="shared" si="340"/>
        <v>48305</v>
      </c>
      <c r="EB63" s="87">
        <f t="shared" si="340"/>
        <v>48335</v>
      </c>
      <c r="EC63" s="87">
        <f t="shared" ref="EC63:GN63" si="341">EC$46</f>
        <v>48366</v>
      </c>
      <c r="ED63" s="87">
        <f t="shared" si="341"/>
        <v>48396</v>
      </c>
      <c r="EE63" s="87">
        <f t="shared" si="341"/>
        <v>48427</v>
      </c>
      <c r="EF63" s="87">
        <f t="shared" si="341"/>
        <v>48458</v>
      </c>
      <c r="EG63" s="87">
        <f t="shared" si="341"/>
        <v>48488</v>
      </c>
      <c r="EH63" s="87">
        <f t="shared" si="341"/>
        <v>48519</v>
      </c>
      <c r="EI63" s="87">
        <f t="shared" si="341"/>
        <v>48549</v>
      </c>
      <c r="EJ63" s="87">
        <f t="shared" si="341"/>
        <v>48580</v>
      </c>
      <c r="EK63" s="87">
        <f t="shared" si="341"/>
        <v>48611</v>
      </c>
      <c r="EL63" s="87">
        <f t="shared" si="341"/>
        <v>48639</v>
      </c>
      <c r="EM63" s="87">
        <f t="shared" si="341"/>
        <v>48670</v>
      </c>
      <c r="EN63" s="87">
        <f t="shared" si="341"/>
        <v>48700</v>
      </c>
      <c r="EO63" s="87">
        <f t="shared" si="341"/>
        <v>48731</v>
      </c>
      <c r="EP63" s="87">
        <f t="shared" si="341"/>
        <v>48761</v>
      </c>
      <c r="EQ63" s="87">
        <f t="shared" si="341"/>
        <v>48792</v>
      </c>
      <c r="ER63" s="87">
        <f t="shared" si="341"/>
        <v>48823</v>
      </c>
      <c r="ES63" s="87">
        <f t="shared" si="341"/>
        <v>48853</v>
      </c>
      <c r="ET63" s="87">
        <f t="shared" si="341"/>
        <v>48884</v>
      </c>
      <c r="EU63" s="87">
        <f t="shared" si="341"/>
        <v>48914</v>
      </c>
      <c r="EV63" s="87">
        <f t="shared" si="341"/>
        <v>48945</v>
      </c>
      <c r="EW63" s="87">
        <f t="shared" si="341"/>
        <v>48976</v>
      </c>
      <c r="EX63" s="87">
        <f t="shared" si="341"/>
        <v>49004</v>
      </c>
      <c r="EY63" s="87">
        <f t="shared" si="341"/>
        <v>49035</v>
      </c>
      <c r="EZ63" s="87">
        <f t="shared" si="341"/>
        <v>49065</v>
      </c>
      <c r="FA63" s="87">
        <f t="shared" si="341"/>
        <v>49096</v>
      </c>
      <c r="FB63" s="87">
        <f t="shared" si="341"/>
        <v>49126</v>
      </c>
      <c r="FC63" s="87">
        <f t="shared" si="341"/>
        <v>49157</v>
      </c>
      <c r="FD63" s="87">
        <f t="shared" si="341"/>
        <v>49188</v>
      </c>
      <c r="FE63" s="87">
        <f t="shared" si="341"/>
        <v>49218</v>
      </c>
      <c r="FF63" s="87">
        <f t="shared" si="341"/>
        <v>49249</v>
      </c>
      <c r="FG63" s="87">
        <f t="shared" si="341"/>
        <v>49279</v>
      </c>
      <c r="FH63" s="87">
        <f t="shared" si="341"/>
        <v>49310</v>
      </c>
      <c r="FI63" s="87">
        <f t="shared" si="341"/>
        <v>49341</v>
      </c>
      <c r="FJ63" s="87">
        <f t="shared" si="341"/>
        <v>49369</v>
      </c>
      <c r="FK63" s="87">
        <f t="shared" si="341"/>
        <v>49400</v>
      </c>
      <c r="FL63" s="87">
        <f t="shared" si="341"/>
        <v>49430</v>
      </c>
      <c r="FM63" s="87">
        <f t="shared" si="341"/>
        <v>49461</v>
      </c>
      <c r="FN63" s="87">
        <f t="shared" si="341"/>
        <v>49491</v>
      </c>
      <c r="FO63" s="87">
        <f t="shared" si="341"/>
        <v>49522</v>
      </c>
      <c r="FP63" s="87">
        <f t="shared" si="341"/>
        <v>49553</v>
      </c>
      <c r="FQ63" s="87">
        <f t="shared" si="341"/>
        <v>49583</v>
      </c>
      <c r="FR63" s="87">
        <f t="shared" si="341"/>
        <v>49614</v>
      </c>
      <c r="FS63" s="87">
        <f t="shared" si="341"/>
        <v>49644</v>
      </c>
      <c r="FT63" s="87">
        <f t="shared" si="341"/>
        <v>49675</v>
      </c>
      <c r="FU63" s="87">
        <f t="shared" si="341"/>
        <v>49706</v>
      </c>
      <c r="FV63" s="87">
        <f t="shared" si="341"/>
        <v>49735</v>
      </c>
      <c r="FW63" s="87">
        <f t="shared" si="341"/>
        <v>49766</v>
      </c>
      <c r="FX63" s="87">
        <f t="shared" si="341"/>
        <v>49796</v>
      </c>
      <c r="FY63" s="87">
        <f t="shared" si="341"/>
        <v>49827</v>
      </c>
      <c r="FZ63" s="87">
        <f t="shared" si="341"/>
        <v>49857</v>
      </c>
      <c r="GA63" s="87">
        <f t="shared" si="341"/>
        <v>49888</v>
      </c>
      <c r="GB63" s="87">
        <f t="shared" si="341"/>
        <v>49919</v>
      </c>
      <c r="GC63" s="87">
        <f t="shared" si="341"/>
        <v>49949</v>
      </c>
      <c r="GD63" s="87">
        <f t="shared" si="341"/>
        <v>49980</v>
      </c>
      <c r="GE63" s="87">
        <f t="shared" si="341"/>
        <v>50010</v>
      </c>
      <c r="GF63" s="87">
        <f t="shared" si="341"/>
        <v>50041</v>
      </c>
      <c r="GG63" s="87">
        <f t="shared" si="341"/>
        <v>50072</v>
      </c>
      <c r="GH63" s="87">
        <f t="shared" si="341"/>
        <v>50100</v>
      </c>
      <c r="GI63" s="87">
        <f t="shared" si="341"/>
        <v>50131</v>
      </c>
      <c r="GJ63" s="87">
        <f t="shared" si="341"/>
        <v>50161</v>
      </c>
      <c r="GK63" s="87">
        <f t="shared" si="341"/>
        <v>50192</v>
      </c>
      <c r="GL63" s="87">
        <f t="shared" si="341"/>
        <v>50222</v>
      </c>
      <c r="GM63" s="87">
        <f t="shared" si="341"/>
        <v>50253</v>
      </c>
      <c r="GN63" s="87">
        <f t="shared" si="341"/>
        <v>50284</v>
      </c>
      <c r="GO63" s="87">
        <f t="shared" ref="GO63:IZ63" si="342">GO$46</f>
        <v>50314</v>
      </c>
      <c r="GP63" s="87">
        <f t="shared" si="342"/>
        <v>50345</v>
      </c>
      <c r="GQ63" s="87">
        <f t="shared" si="342"/>
        <v>50375</v>
      </c>
      <c r="GR63" s="87">
        <f t="shared" si="342"/>
        <v>50406</v>
      </c>
      <c r="GS63" s="87">
        <f t="shared" si="342"/>
        <v>50437</v>
      </c>
      <c r="GT63" s="87">
        <f t="shared" si="342"/>
        <v>50465</v>
      </c>
      <c r="GU63" s="87">
        <f t="shared" si="342"/>
        <v>50496</v>
      </c>
      <c r="GV63" s="87">
        <f t="shared" si="342"/>
        <v>50526</v>
      </c>
      <c r="GW63" s="87">
        <f t="shared" si="342"/>
        <v>50557</v>
      </c>
      <c r="GX63" s="87">
        <f t="shared" si="342"/>
        <v>50587</v>
      </c>
      <c r="GY63" s="87">
        <f t="shared" si="342"/>
        <v>50618</v>
      </c>
      <c r="GZ63" s="87">
        <f t="shared" si="342"/>
        <v>50649</v>
      </c>
      <c r="HA63" s="87">
        <f t="shared" si="342"/>
        <v>50679</v>
      </c>
      <c r="HB63" s="87">
        <f t="shared" si="342"/>
        <v>50710</v>
      </c>
      <c r="HC63" s="87">
        <f t="shared" si="342"/>
        <v>50740</v>
      </c>
      <c r="HD63" s="87">
        <f t="shared" si="342"/>
        <v>50771</v>
      </c>
      <c r="HE63" s="87">
        <f t="shared" si="342"/>
        <v>50802</v>
      </c>
      <c r="HF63" s="87">
        <f t="shared" si="342"/>
        <v>50830</v>
      </c>
      <c r="HG63" s="87">
        <f t="shared" si="342"/>
        <v>50861</v>
      </c>
      <c r="HH63" s="87">
        <f t="shared" si="342"/>
        <v>50891</v>
      </c>
      <c r="HI63" s="87">
        <f t="shared" si="342"/>
        <v>50922</v>
      </c>
      <c r="HJ63" s="87">
        <f t="shared" si="342"/>
        <v>50952</v>
      </c>
      <c r="HK63" s="87">
        <f t="shared" si="342"/>
        <v>50983</v>
      </c>
      <c r="HL63" s="87">
        <f t="shared" si="342"/>
        <v>51014</v>
      </c>
      <c r="HM63" s="87">
        <f t="shared" si="342"/>
        <v>51044</v>
      </c>
      <c r="HN63" s="87">
        <f t="shared" si="342"/>
        <v>51075</v>
      </c>
      <c r="HO63" s="87">
        <f t="shared" si="342"/>
        <v>51105</v>
      </c>
      <c r="HP63" s="87">
        <f t="shared" si="342"/>
        <v>51136</v>
      </c>
      <c r="HQ63" s="87">
        <f t="shared" si="342"/>
        <v>51167</v>
      </c>
      <c r="HR63" s="87">
        <f t="shared" si="342"/>
        <v>51196</v>
      </c>
      <c r="HS63" s="87">
        <f t="shared" si="342"/>
        <v>51227</v>
      </c>
      <c r="HT63" s="87">
        <f t="shared" si="342"/>
        <v>51257</v>
      </c>
      <c r="HU63" s="87">
        <f t="shared" si="342"/>
        <v>51288</v>
      </c>
      <c r="HV63" s="87">
        <f t="shared" si="342"/>
        <v>51318</v>
      </c>
      <c r="HW63" s="87">
        <f t="shared" si="342"/>
        <v>51349</v>
      </c>
      <c r="HX63" s="87">
        <f t="shared" si="342"/>
        <v>51380</v>
      </c>
      <c r="HY63" s="87">
        <f t="shared" si="342"/>
        <v>51410</v>
      </c>
      <c r="HZ63" s="87">
        <f t="shared" si="342"/>
        <v>51441</v>
      </c>
      <c r="IA63" s="87">
        <f t="shared" si="342"/>
        <v>51471</v>
      </c>
      <c r="IB63" s="87">
        <f t="shared" si="342"/>
        <v>51502</v>
      </c>
      <c r="IC63" s="87">
        <f t="shared" si="342"/>
        <v>51533</v>
      </c>
      <c r="ID63" s="87">
        <f t="shared" si="342"/>
        <v>51561</v>
      </c>
      <c r="IE63" s="87">
        <f t="shared" si="342"/>
        <v>51592</v>
      </c>
      <c r="IF63" s="87">
        <f t="shared" si="342"/>
        <v>51622</v>
      </c>
      <c r="IG63" s="87">
        <f t="shared" si="342"/>
        <v>51653</v>
      </c>
      <c r="IH63" s="87">
        <f t="shared" si="342"/>
        <v>51683</v>
      </c>
      <c r="II63" s="87">
        <f t="shared" si="342"/>
        <v>51714</v>
      </c>
      <c r="IJ63" s="87">
        <f t="shared" si="342"/>
        <v>51745</v>
      </c>
      <c r="IK63" s="87">
        <f t="shared" si="342"/>
        <v>51775</v>
      </c>
      <c r="IL63" s="87">
        <f t="shared" si="342"/>
        <v>51806</v>
      </c>
      <c r="IM63" s="87">
        <f t="shared" si="342"/>
        <v>51836</v>
      </c>
      <c r="IN63" s="87">
        <f t="shared" si="342"/>
        <v>51867</v>
      </c>
      <c r="IO63" s="87">
        <f t="shared" si="342"/>
        <v>51898</v>
      </c>
      <c r="IP63" s="87">
        <f t="shared" si="342"/>
        <v>51926</v>
      </c>
      <c r="IQ63" s="87">
        <f t="shared" si="342"/>
        <v>51957</v>
      </c>
      <c r="IR63" s="87">
        <f t="shared" si="342"/>
        <v>51987</v>
      </c>
      <c r="IS63" s="87">
        <f t="shared" si="342"/>
        <v>52018</v>
      </c>
      <c r="IT63" s="87">
        <f t="shared" si="342"/>
        <v>52048</v>
      </c>
      <c r="IU63" s="87">
        <f t="shared" si="342"/>
        <v>52079</v>
      </c>
      <c r="IV63" s="87">
        <f t="shared" si="342"/>
        <v>52110</v>
      </c>
      <c r="IW63" s="87">
        <f t="shared" si="342"/>
        <v>52140</v>
      </c>
      <c r="IX63" s="87">
        <f t="shared" si="342"/>
        <v>52171</v>
      </c>
      <c r="IY63" s="87">
        <f t="shared" si="342"/>
        <v>52201</v>
      </c>
      <c r="IZ63" s="87">
        <f t="shared" si="342"/>
        <v>52232</v>
      </c>
      <c r="JA63" s="87">
        <f t="shared" ref="JA63:KR63" si="343">JA$46</f>
        <v>52263</v>
      </c>
      <c r="JB63" s="87">
        <f t="shared" si="343"/>
        <v>52291</v>
      </c>
      <c r="JC63" s="87">
        <f t="shared" si="343"/>
        <v>52322</v>
      </c>
      <c r="JD63" s="87">
        <f t="shared" si="343"/>
        <v>52352</v>
      </c>
      <c r="JE63" s="87">
        <f t="shared" si="343"/>
        <v>52383</v>
      </c>
      <c r="JF63" s="87">
        <f t="shared" si="343"/>
        <v>52413</v>
      </c>
      <c r="JG63" s="87">
        <f t="shared" si="343"/>
        <v>52444</v>
      </c>
      <c r="JH63" s="87">
        <f t="shared" si="343"/>
        <v>52475</v>
      </c>
      <c r="JI63" s="87">
        <f t="shared" si="343"/>
        <v>52505</v>
      </c>
      <c r="JJ63" s="87">
        <f t="shared" si="343"/>
        <v>52536</v>
      </c>
      <c r="JK63" s="87">
        <f t="shared" si="343"/>
        <v>52566</v>
      </c>
      <c r="JL63" s="87">
        <f t="shared" si="343"/>
        <v>52597</v>
      </c>
      <c r="JM63" s="87">
        <f t="shared" si="343"/>
        <v>52628</v>
      </c>
      <c r="JN63" s="87">
        <f t="shared" si="343"/>
        <v>52657</v>
      </c>
      <c r="JO63" s="87">
        <f t="shared" si="343"/>
        <v>52688</v>
      </c>
      <c r="JP63" s="87">
        <f t="shared" si="343"/>
        <v>52718</v>
      </c>
      <c r="JQ63" s="87">
        <f t="shared" si="343"/>
        <v>52749</v>
      </c>
      <c r="JR63" s="87">
        <f t="shared" si="343"/>
        <v>52779</v>
      </c>
      <c r="JS63" s="87">
        <f t="shared" si="343"/>
        <v>52810</v>
      </c>
      <c r="JT63" s="87">
        <f t="shared" si="343"/>
        <v>52841</v>
      </c>
      <c r="JU63" s="87">
        <f t="shared" si="343"/>
        <v>52871</v>
      </c>
      <c r="JV63" s="87">
        <f t="shared" si="343"/>
        <v>52902</v>
      </c>
      <c r="JW63" s="87">
        <f t="shared" si="343"/>
        <v>52932</v>
      </c>
      <c r="JX63" s="87">
        <f t="shared" si="343"/>
        <v>52963</v>
      </c>
      <c r="JY63" s="87">
        <f t="shared" si="343"/>
        <v>52994</v>
      </c>
      <c r="JZ63" s="87">
        <f t="shared" si="343"/>
        <v>53022</v>
      </c>
      <c r="KA63" s="87">
        <f t="shared" si="343"/>
        <v>53053</v>
      </c>
      <c r="KB63" s="87">
        <f t="shared" si="343"/>
        <v>53083</v>
      </c>
      <c r="KC63" s="87">
        <f t="shared" si="343"/>
        <v>53114</v>
      </c>
      <c r="KD63" s="87">
        <f t="shared" si="343"/>
        <v>53144</v>
      </c>
      <c r="KE63" s="87">
        <f t="shared" si="343"/>
        <v>53175</v>
      </c>
      <c r="KF63" s="87">
        <f t="shared" si="343"/>
        <v>53206</v>
      </c>
      <c r="KG63" s="87">
        <f t="shared" si="343"/>
        <v>53236</v>
      </c>
      <c r="KH63" s="87">
        <f t="shared" si="343"/>
        <v>53267</v>
      </c>
      <c r="KI63" s="87">
        <f t="shared" si="343"/>
        <v>53297</v>
      </c>
      <c r="KJ63" s="87">
        <f t="shared" si="343"/>
        <v>53328</v>
      </c>
      <c r="KK63" s="87">
        <f t="shared" si="343"/>
        <v>53359</v>
      </c>
      <c r="KL63" s="87">
        <f t="shared" si="343"/>
        <v>53387</v>
      </c>
      <c r="KM63" s="87">
        <f t="shared" si="343"/>
        <v>53418</v>
      </c>
      <c r="KN63" s="87">
        <f t="shared" si="343"/>
        <v>53448</v>
      </c>
      <c r="KO63" s="87">
        <f t="shared" si="343"/>
        <v>53479</v>
      </c>
      <c r="KP63" s="87">
        <f t="shared" si="343"/>
        <v>53509</v>
      </c>
      <c r="KQ63" s="87">
        <f t="shared" si="343"/>
        <v>53540</v>
      </c>
      <c r="KR63" s="87">
        <f t="shared" si="343"/>
        <v>53571</v>
      </c>
      <c r="KS63" s="86">
        <f t="shared" si="303"/>
        <v>4.0005476451259581</v>
      </c>
      <c r="KT63" s="85"/>
    </row>
    <row r="64" spans="1:306" ht="5.0999999999999996" customHeight="1" x14ac:dyDescent="0.3">
      <c r="A64" s="89"/>
      <c r="B64" s="84"/>
      <c r="C64" s="83"/>
      <c r="D64" s="83"/>
      <c r="KS64" s="82"/>
    </row>
    <row r="65" spans="1:306" ht="4.95" customHeight="1" x14ac:dyDescent="0.3">
      <c r="A65" s="786"/>
      <c r="B65" s="786"/>
      <c r="C65" s="787"/>
      <c r="D65" s="787"/>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c r="AE65" s="786"/>
      <c r="AF65" s="786"/>
      <c r="AG65" s="786"/>
      <c r="AH65" s="786"/>
      <c r="AI65" s="786"/>
      <c r="AJ65" s="786"/>
      <c r="AK65" s="786"/>
      <c r="AL65" s="786"/>
      <c r="AM65" s="786"/>
      <c r="AN65" s="786"/>
      <c r="AO65" s="786"/>
      <c r="AP65" s="786"/>
      <c r="AQ65" s="786"/>
      <c r="AR65" s="786"/>
      <c r="AS65" s="786"/>
      <c r="AT65" s="786"/>
      <c r="AU65" s="786"/>
      <c r="AV65" s="786"/>
      <c r="AW65" s="786"/>
      <c r="AX65" s="786"/>
      <c r="AY65" s="786"/>
      <c r="AZ65" s="786"/>
      <c r="BA65" s="786"/>
      <c r="BB65" s="786"/>
      <c r="BC65" s="786"/>
      <c r="BD65" s="786"/>
      <c r="BE65" s="786"/>
      <c r="BF65" s="786"/>
      <c r="BG65" s="786"/>
      <c r="BH65" s="786"/>
      <c r="BI65" s="786"/>
      <c r="BJ65" s="786"/>
      <c r="BK65" s="786"/>
      <c r="BL65" s="786"/>
      <c r="BM65" s="786"/>
      <c r="BN65" s="786"/>
      <c r="BO65" s="786"/>
      <c r="BP65" s="786"/>
      <c r="BQ65" s="786"/>
      <c r="BR65" s="786"/>
      <c r="BS65" s="786"/>
      <c r="BT65" s="786"/>
      <c r="BU65" s="786"/>
      <c r="BV65" s="786"/>
      <c r="BW65" s="786"/>
      <c r="BX65" s="786"/>
      <c r="BY65" s="786"/>
      <c r="BZ65" s="786"/>
      <c r="CA65" s="786"/>
      <c r="CB65" s="786"/>
      <c r="CC65" s="786"/>
      <c r="CD65" s="786"/>
      <c r="CE65" s="786"/>
      <c r="CF65" s="786"/>
      <c r="CG65" s="786"/>
      <c r="CH65" s="786"/>
      <c r="CI65" s="786"/>
      <c r="CJ65" s="786"/>
      <c r="CK65" s="786"/>
      <c r="CL65" s="786"/>
      <c r="CM65" s="786"/>
      <c r="CN65" s="786"/>
      <c r="CO65" s="786"/>
      <c r="CP65" s="786"/>
      <c r="CQ65" s="786"/>
      <c r="CR65" s="786"/>
      <c r="CS65" s="786"/>
      <c r="CT65" s="786"/>
      <c r="CU65" s="786"/>
      <c r="CV65" s="786"/>
      <c r="CW65" s="786"/>
      <c r="CX65" s="786"/>
      <c r="CY65" s="786"/>
      <c r="CZ65" s="786"/>
      <c r="DA65" s="786"/>
      <c r="DB65" s="786"/>
      <c r="DC65" s="786"/>
      <c r="DD65" s="786"/>
      <c r="DE65" s="786"/>
      <c r="DF65" s="786"/>
      <c r="DG65" s="786"/>
      <c r="DH65" s="786"/>
      <c r="DI65" s="786"/>
      <c r="DJ65" s="786"/>
      <c r="DK65" s="786"/>
      <c r="DL65" s="786"/>
      <c r="DM65" s="786"/>
      <c r="DN65" s="786"/>
      <c r="DO65" s="786"/>
      <c r="DP65" s="786"/>
      <c r="DQ65" s="786"/>
      <c r="DR65" s="786"/>
      <c r="DS65" s="786"/>
      <c r="DT65" s="786"/>
      <c r="DU65" s="786"/>
      <c r="DV65" s="786"/>
      <c r="DW65" s="786"/>
      <c r="DX65" s="786"/>
      <c r="DY65" s="786"/>
      <c r="DZ65" s="786"/>
      <c r="EA65" s="786"/>
      <c r="EB65" s="786"/>
      <c r="EC65" s="786"/>
      <c r="ED65" s="786"/>
      <c r="EE65" s="786"/>
      <c r="EF65" s="786"/>
      <c r="EG65" s="786"/>
      <c r="EH65" s="786"/>
      <c r="EI65" s="786"/>
      <c r="EJ65" s="786"/>
      <c r="EK65" s="786"/>
      <c r="EL65" s="786"/>
      <c r="EM65" s="786"/>
      <c r="EN65" s="786"/>
      <c r="EO65" s="786"/>
      <c r="EP65" s="786"/>
      <c r="EQ65" s="786"/>
      <c r="ER65" s="786"/>
      <c r="ES65" s="786"/>
      <c r="ET65" s="786"/>
      <c r="EU65" s="786"/>
      <c r="EV65" s="786"/>
      <c r="EW65" s="786"/>
      <c r="EX65" s="786"/>
      <c r="EY65" s="786"/>
      <c r="EZ65" s="786"/>
      <c r="FA65" s="786"/>
      <c r="FB65" s="786"/>
      <c r="FC65" s="786"/>
      <c r="FD65" s="786"/>
      <c r="FE65" s="786"/>
      <c r="FF65" s="786"/>
      <c r="FG65" s="786"/>
      <c r="FH65" s="786"/>
      <c r="FI65" s="786"/>
      <c r="FJ65" s="786"/>
      <c r="FK65" s="786"/>
      <c r="FL65" s="786"/>
      <c r="FM65" s="786"/>
      <c r="FN65" s="786"/>
      <c r="FO65" s="786"/>
      <c r="FP65" s="786"/>
      <c r="FQ65" s="786"/>
      <c r="FR65" s="786"/>
      <c r="FS65" s="786"/>
      <c r="FT65" s="786"/>
      <c r="FU65" s="786"/>
      <c r="FV65" s="786"/>
      <c r="FW65" s="786"/>
      <c r="FX65" s="786"/>
      <c r="FY65" s="786"/>
      <c r="FZ65" s="786"/>
      <c r="GA65" s="786"/>
      <c r="GB65" s="786"/>
      <c r="GC65" s="786"/>
      <c r="GD65" s="786"/>
      <c r="GE65" s="786"/>
      <c r="GF65" s="786"/>
      <c r="GG65" s="786"/>
      <c r="GH65" s="786"/>
      <c r="GI65" s="786"/>
      <c r="GJ65" s="786"/>
      <c r="GK65" s="786"/>
      <c r="GL65" s="786"/>
      <c r="GM65" s="786"/>
      <c r="GN65" s="786"/>
      <c r="GO65" s="786"/>
      <c r="GP65" s="786"/>
      <c r="GQ65" s="786"/>
      <c r="GR65" s="786"/>
      <c r="GS65" s="786"/>
      <c r="GT65" s="786"/>
      <c r="GU65" s="786"/>
      <c r="GV65" s="786"/>
      <c r="GW65" s="786"/>
      <c r="GX65" s="786"/>
      <c r="GY65" s="786"/>
      <c r="GZ65" s="786"/>
      <c r="HA65" s="786"/>
      <c r="HB65" s="786"/>
      <c r="HC65" s="786"/>
      <c r="HD65" s="786"/>
      <c r="HE65" s="786"/>
      <c r="HF65" s="786"/>
      <c r="HG65" s="786"/>
      <c r="HH65" s="786"/>
      <c r="HI65" s="786"/>
      <c r="HJ65" s="786"/>
      <c r="HK65" s="786"/>
      <c r="HL65" s="786"/>
      <c r="HM65" s="786"/>
      <c r="HN65" s="786"/>
      <c r="HO65" s="786"/>
      <c r="HP65" s="786"/>
      <c r="HQ65" s="786"/>
      <c r="HR65" s="786"/>
      <c r="HS65" s="786"/>
      <c r="HT65" s="786"/>
      <c r="HU65" s="786"/>
      <c r="HV65" s="786"/>
      <c r="HW65" s="786"/>
      <c r="HX65" s="786"/>
      <c r="HY65" s="786"/>
      <c r="HZ65" s="786"/>
      <c r="IA65" s="786"/>
      <c r="IB65" s="786"/>
      <c r="IC65" s="786"/>
      <c r="ID65" s="786"/>
      <c r="IE65" s="786"/>
      <c r="IF65" s="786"/>
      <c r="IG65" s="786"/>
      <c r="IH65" s="786"/>
      <c r="II65" s="786"/>
      <c r="IJ65" s="786"/>
      <c r="IK65" s="786"/>
      <c r="IL65" s="786"/>
      <c r="IM65" s="786"/>
      <c r="IN65" s="786"/>
      <c r="IO65" s="786"/>
      <c r="IP65" s="786"/>
      <c r="IQ65" s="786"/>
      <c r="IR65" s="786"/>
      <c r="IS65" s="786"/>
      <c r="IT65" s="786"/>
      <c r="IU65" s="786"/>
      <c r="IV65" s="786"/>
      <c r="IW65" s="786"/>
      <c r="IX65" s="786"/>
      <c r="IY65" s="786"/>
      <c r="IZ65" s="786"/>
      <c r="JA65" s="786"/>
      <c r="JB65" s="786"/>
      <c r="JC65" s="786"/>
      <c r="JD65" s="786"/>
      <c r="JE65" s="786"/>
      <c r="JF65" s="786"/>
      <c r="JG65" s="786"/>
      <c r="JH65" s="786"/>
      <c r="JI65" s="786"/>
      <c r="JJ65" s="786"/>
      <c r="JK65" s="786"/>
      <c r="JL65" s="786"/>
      <c r="JM65" s="786"/>
      <c r="JN65" s="786"/>
      <c r="JO65" s="786"/>
      <c r="JP65" s="786"/>
      <c r="JQ65" s="786"/>
      <c r="JR65" s="786"/>
      <c r="JS65" s="786"/>
      <c r="JT65" s="786"/>
      <c r="JU65" s="786"/>
      <c r="JV65" s="786"/>
      <c r="JW65" s="786"/>
      <c r="JX65" s="786"/>
      <c r="JY65" s="786"/>
      <c r="JZ65" s="786"/>
      <c r="KA65" s="786"/>
      <c r="KB65" s="786"/>
      <c r="KC65" s="786"/>
      <c r="KD65" s="786"/>
      <c r="KE65" s="786"/>
      <c r="KF65" s="786"/>
      <c r="KG65" s="786"/>
      <c r="KH65" s="786"/>
      <c r="KI65" s="786"/>
      <c r="KJ65" s="786"/>
      <c r="KK65" s="786"/>
      <c r="KL65" s="786"/>
      <c r="KM65" s="786"/>
      <c r="KN65" s="786"/>
      <c r="KO65" s="786"/>
      <c r="KP65" s="786"/>
      <c r="KQ65" s="786"/>
      <c r="KR65" s="786"/>
      <c r="KS65" s="785"/>
    </row>
    <row r="66" spans="1:306" ht="15.6" x14ac:dyDescent="0.3">
      <c r="A66" s="568" t="str">
        <f>"Schedule Contingency @ "&amp;TEXT('I-Project Contingency'!$I$8,"0%")&amp;" Confidence Level"</f>
        <v>Schedule Contingency @ 80% Confidence Level</v>
      </c>
      <c r="B66" s="569">
        <f>D66-C66+1</f>
        <v>139</v>
      </c>
      <c r="C66" s="570">
        <f>'I-Project Contingency'!$I$10+1</f>
        <v>46448</v>
      </c>
      <c r="D66" s="570">
        <f>'I-Project Contingency'!$I$14</f>
        <v>46586</v>
      </c>
      <c r="E66" s="87">
        <f t="shared" ref="E66:BP66" si="344">E$46</f>
        <v>44470</v>
      </c>
      <c r="F66" s="87">
        <f t="shared" si="344"/>
        <v>44501</v>
      </c>
      <c r="G66" s="87">
        <f t="shared" si="344"/>
        <v>44531</v>
      </c>
      <c r="H66" s="87">
        <f t="shared" si="344"/>
        <v>44562</v>
      </c>
      <c r="I66" s="87">
        <f t="shared" si="344"/>
        <v>44593</v>
      </c>
      <c r="J66" s="87">
        <f t="shared" si="344"/>
        <v>44621</v>
      </c>
      <c r="K66" s="87">
        <f t="shared" si="344"/>
        <v>44652</v>
      </c>
      <c r="L66" s="87">
        <f t="shared" si="344"/>
        <v>44682</v>
      </c>
      <c r="M66" s="87">
        <f t="shared" si="344"/>
        <v>44713</v>
      </c>
      <c r="N66" s="87">
        <f t="shared" si="344"/>
        <v>44743</v>
      </c>
      <c r="O66" s="87">
        <f t="shared" si="344"/>
        <v>44774</v>
      </c>
      <c r="P66" s="87">
        <f t="shared" si="344"/>
        <v>44805</v>
      </c>
      <c r="Q66" s="87">
        <f t="shared" si="344"/>
        <v>44835</v>
      </c>
      <c r="R66" s="87">
        <f t="shared" si="344"/>
        <v>44866</v>
      </c>
      <c r="S66" s="87">
        <f t="shared" si="344"/>
        <v>44896</v>
      </c>
      <c r="T66" s="87">
        <f t="shared" si="344"/>
        <v>44927</v>
      </c>
      <c r="U66" s="87">
        <f t="shared" si="344"/>
        <v>44958</v>
      </c>
      <c r="V66" s="87">
        <f t="shared" si="344"/>
        <v>44986</v>
      </c>
      <c r="W66" s="87">
        <f t="shared" si="344"/>
        <v>45017</v>
      </c>
      <c r="X66" s="87">
        <f t="shared" si="344"/>
        <v>45047</v>
      </c>
      <c r="Y66" s="87">
        <f t="shared" si="344"/>
        <v>45078</v>
      </c>
      <c r="Z66" s="87">
        <f t="shared" si="344"/>
        <v>45108</v>
      </c>
      <c r="AA66" s="87">
        <f t="shared" si="344"/>
        <v>45139</v>
      </c>
      <c r="AB66" s="87">
        <f t="shared" si="344"/>
        <v>45170</v>
      </c>
      <c r="AC66" s="87">
        <f t="shared" si="344"/>
        <v>45200</v>
      </c>
      <c r="AD66" s="87">
        <f t="shared" si="344"/>
        <v>45231</v>
      </c>
      <c r="AE66" s="87">
        <f t="shared" si="344"/>
        <v>45261</v>
      </c>
      <c r="AF66" s="87">
        <f t="shared" si="344"/>
        <v>45292</v>
      </c>
      <c r="AG66" s="87">
        <f t="shared" si="344"/>
        <v>45323</v>
      </c>
      <c r="AH66" s="87">
        <f t="shared" si="344"/>
        <v>45352</v>
      </c>
      <c r="AI66" s="87">
        <f t="shared" si="344"/>
        <v>45383</v>
      </c>
      <c r="AJ66" s="87">
        <f t="shared" si="344"/>
        <v>45413</v>
      </c>
      <c r="AK66" s="87">
        <f t="shared" si="344"/>
        <v>45444</v>
      </c>
      <c r="AL66" s="87">
        <f t="shared" si="344"/>
        <v>45474</v>
      </c>
      <c r="AM66" s="87">
        <f t="shared" si="344"/>
        <v>45505</v>
      </c>
      <c r="AN66" s="87">
        <f t="shared" si="344"/>
        <v>45536</v>
      </c>
      <c r="AO66" s="87">
        <f t="shared" si="344"/>
        <v>45566</v>
      </c>
      <c r="AP66" s="87">
        <f t="shared" si="344"/>
        <v>45597</v>
      </c>
      <c r="AQ66" s="87">
        <f t="shared" si="344"/>
        <v>45627</v>
      </c>
      <c r="AR66" s="87">
        <f t="shared" si="344"/>
        <v>45658</v>
      </c>
      <c r="AS66" s="87">
        <f t="shared" si="344"/>
        <v>45689</v>
      </c>
      <c r="AT66" s="87">
        <f t="shared" si="344"/>
        <v>45717</v>
      </c>
      <c r="AU66" s="87">
        <f t="shared" si="344"/>
        <v>45748</v>
      </c>
      <c r="AV66" s="87">
        <f t="shared" si="344"/>
        <v>45778</v>
      </c>
      <c r="AW66" s="87">
        <f t="shared" si="344"/>
        <v>45809</v>
      </c>
      <c r="AX66" s="87">
        <f t="shared" si="344"/>
        <v>45839</v>
      </c>
      <c r="AY66" s="87">
        <f t="shared" si="344"/>
        <v>45870</v>
      </c>
      <c r="AZ66" s="87">
        <f t="shared" si="344"/>
        <v>45901</v>
      </c>
      <c r="BA66" s="87">
        <f t="shared" si="344"/>
        <v>45931</v>
      </c>
      <c r="BB66" s="87">
        <f t="shared" si="344"/>
        <v>45962</v>
      </c>
      <c r="BC66" s="87">
        <f t="shared" si="344"/>
        <v>45992</v>
      </c>
      <c r="BD66" s="87">
        <f t="shared" si="344"/>
        <v>46023</v>
      </c>
      <c r="BE66" s="87">
        <f t="shared" si="344"/>
        <v>46054</v>
      </c>
      <c r="BF66" s="87">
        <f t="shared" si="344"/>
        <v>46082</v>
      </c>
      <c r="BG66" s="87">
        <f t="shared" si="344"/>
        <v>46113</v>
      </c>
      <c r="BH66" s="87">
        <f t="shared" si="344"/>
        <v>46143</v>
      </c>
      <c r="BI66" s="87">
        <f t="shared" si="344"/>
        <v>46174</v>
      </c>
      <c r="BJ66" s="87">
        <f t="shared" si="344"/>
        <v>46204</v>
      </c>
      <c r="BK66" s="87">
        <f t="shared" si="344"/>
        <v>46235</v>
      </c>
      <c r="BL66" s="87">
        <f t="shared" si="344"/>
        <v>46266</v>
      </c>
      <c r="BM66" s="87">
        <f t="shared" si="344"/>
        <v>46296</v>
      </c>
      <c r="BN66" s="87">
        <f t="shared" si="344"/>
        <v>46327</v>
      </c>
      <c r="BO66" s="87">
        <f t="shared" si="344"/>
        <v>46357</v>
      </c>
      <c r="BP66" s="87">
        <f t="shared" si="344"/>
        <v>46388</v>
      </c>
      <c r="BQ66" s="87">
        <f t="shared" ref="BQ66:EB66" si="345">BQ$46</f>
        <v>46419</v>
      </c>
      <c r="BR66" s="87">
        <f t="shared" si="345"/>
        <v>46447</v>
      </c>
      <c r="BS66" s="87">
        <f t="shared" si="345"/>
        <v>46478</v>
      </c>
      <c r="BT66" s="87">
        <f t="shared" si="345"/>
        <v>46508</v>
      </c>
      <c r="BU66" s="87">
        <f t="shared" si="345"/>
        <v>46539</v>
      </c>
      <c r="BV66" s="87">
        <f t="shared" si="345"/>
        <v>46569</v>
      </c>
      <c r="BW66" s="87">
        <f t="shared" si="345"/>
        <v>46600</v>
      </c>
      <c r="BX66" s="87">
        <f t="shared" si="345"/>
        <v>46631</v>
      </c>
      <c r="BY66" s="87">
        <f t="shared" si="345"/>
        <v>46661</v>
      </c>
      <c r="BZ66" s="87">
        <f t="shared" si="345"/>
        <v>46692</v>
      </c>
      <c r="CA66" s="87">
        <f t="shared" si="345"/>
        <v>46722</v>
      </c>
      <c r="CB66" s="87">
        <f t="shared" si="345"/>
        <v>46753</v>
      </c>
      <c r="CC66" s="87">
        <f t="shared" si="345"/>
        <v>46784</v>
      </c>
      <c r="CD66" s="87">
        <f t="shared" si="345"/>
        <v>46813</v>
      </c>
      <c r="CE66" s="87">
        <f t="shared" si="345"/>
        <v>46844</v>
      </c>
      <c r="CF66" s="87">
        <f t="shared" si="345"/>
        <v>46874</v>
      </c>
      <c r="CG66" s="87">
        <f t="shared" si="345"/>
        <v>46905</v>
      </c>
      <c r="CH66" s="87">
        <f t="shared" si="345"/>
        <v>46935</v>
      </c>
      <c r="CI66" s="87">
        <f t="shared" si="345"/>
        <v>46966</v>
      </c>
      <c r="CJ66" s="87">
        <f t="shared" si="345"/>
        <v>46997</v>
      </c>
      <c r="CK66" s="87">
        <f t="shared" si="345"/>
        <v>47027</v>
      </c>
      <c r="CL66" s="87">
        <f t="shared" si="345"/>
        <v>47058</v>
      </c>
      <c r="CM66" s="87">
        <f t="shared" si="345"/>
        <v>47088</v>
      </c>
      <c r="CN66" s="87">
        <f t="shared" si="345"/>
        <v>47119</v>
      </c>
      <c r="CO66" s="87">
        <f t="shared" si="345"/>
        <v>47150</v>
      </c>
      <c r="CP66" s="87">
        <f t="shared" si="345"/>
        <v>47178</v>
      </c>
      <c r="CQ66" s="87">
        <f t="shared" si="345"/>
        <v>47209</v>
      </c>
      <c r="CR66" s="87">
        <f t="shared" si="345"/>
        <v>47239</v>
      </c>
      <c r="CS66" s="87">
        <f t="shared" si="345"/>
        <v>47270</v>
      </c>
      <c r="CT66" s="87">
        <f t="shared" si="345"/>
        <v>47300</v>
      </c>
      <c r="CU66" s="87">
        <f t="shared" si="345"/>
        <v>47331</v>
      </c>
      <c r="CV66" s="87">
        <f t="shared" si="345"/>
        <v>47362</v>
      </c>
      <c r="CW66" s="87">
        <f t="shared" si="345"/>
        <v>47392</v>
      </c>
      <c r="CX66" s="87">
        <f t="shared" si="345"/>
        <v>47423</v>
      </c>
      <c r="CY66" s="87">
        <f t="shared" si="345"/>
        <v>47453</v>
      </c>
      <c r="CZ66" s="87">
        <f t="shared" si="345"/>
        <v>47484</v>
      </c>
      <c r="DA66" s="87">
        <f t="shared" si="345"/>
        <v>47515</v>
      </c>
      <c r="DB66" s="87">
        <f t="shared" si="345"/>
        <v>47543</v>
      </c>
      <c r="DC66" s="87">
        <f t="shared" si="345"/>
        <v>47574</v>
      </c>
      <c r="DD66" s="87">
        <f t="shared" si="345"/>
        <v>47604</v>
      </c>
      <c r="DE66" s="87">
        <f t="shared" si="345"/>
        <v>47635</v>
      </c>
      <c r="DF66" s="87">
        <f t="shared" si="345"/>
        <v>47665</v>
      </c>
      <c r="DG66" s="87">
        <f t="shared" si="345"/>
        <v>47696</v>
      </c>
      <c r="DH66" s="87">
        <f t="shared" si="345"/>
        <v>47727</v>
      </c>
      <c r="DI66" s="87">
        <f t="shared" si="345"/>
        <v>47757</v>
      </c>
      <c r="DJ66" s="87">
        <f t="shared" si="345"/>
        <v>47788</v>
      </c>
      <c r="DK66" s="87">
        <f t="shared" si="345"/>
        <v>47818</v>
      </c>
      <c r="DL66" s="87">
        <f t="shared" si="345"/>
        <v>47849</v>
      </c>
      <c r="DM66" s="87">
        <f t="shared" si="345"/>
        <v>47880</v>
      </c>
      <c r="DN66" s="87">
        <f t="shared" si="345"/>
        <v>47908</v>
      </c>
      <c r="DO66" s="87">
        <f t="shared" si="345"/>
        <v>47939</v>
      </c>
      <c r="DP66" s="87">
        <f t="shared" si="345"/>
        <v>47969</v>
      </c>
      <c r="DQ66" s="87">
        <f t="shared" si="345"/>
        <v>48000</v>
      </c>
      <c r="DR66" s="87">
        <f t="shared" si="345"/>
        <v>48030</v>
      </c>
      <c r="DS66" s="87">
        <f t="shared" si="345"/>
        <v>48061</v>
      </c>
      <c r="DT66" s="87">
        <f t="shared" si="345"/>
        <v>48092</v>
      </c>
      <c r="DU66" s="87">
        <f t="shared" si="345"/>
        <v>48122</v>
      </c>
      <c r="DV66" s="87">
        <f t="shared" si="345"/>
        <v>48153</v>
      </c>
      <c r="DW66" s="87">
        <f t="shared" si="345"/>
        <v>48183</v>
      </c>
      <c r="DX66" s="87">
        <f t="shared" si="345"/>
        <v>48214</v>
      </c>
      <c r="DY66" s="87">
        <f t="shared" si="345"/>
        <v>48245</v>
      </c>
      <c r="DZ66" s="87">
        <f t="shared" si="345"/>
        <v>48274</v>
      </c>
      <c r="EA66" s="87">
        <f t="shared" si="345"/>
        <v>48305</v>
      </c>
      <c r="EB66" s="87">
        <f t="shared" si="345"/>
        <v>48335</v>
      </c>
      <c r="EC66" s="87">
        <f t="shared" ref="EC66:GN66" si="346">EC$46</f>
        <v>48366</v>
      </c>
      <c r="ED66" s="87">
        <f t="shared" si="346"/>
        <v>48396</v>
      </c>
      <c r="EE66" s="87">
        <f t="shared" si="346"/>
        <v>48427</v>
      </c>
      <c r="EF66" s="87">
        <f t="shared" si="346"/>
        <v>48458</v>
      </c>
      <c r="EG66" s="87">
        <f t="shared" si="346"/>
        <v>48488</v>
      </c>
      <c r="EH66" s="87">
        <f t="shared" si="346"/>
        <v>48519</v>
      </c>
      <c r="EI66" s="87">
        <f t="shared" si="346"/>
        <v>48549</v>
      </c>
      <c r="EJ66" s="87">
        <f t="shared" si="346"/>
        <v>48580</v>
      </c>
      <c r="EK66" s="87">
        <f t="shared" si="346"/>
        <v>48611</v>
      </c>
      <c r="EL66" s="87">
        <f t="shared" si="346"/>
        <v>48639</v>
      </c>
      <c r="EM66" s="87">
        <f t="shared" si="346"/>
        <v>48670</v>
      </c>
      <c r="EN66" s="87">
        <f t="shared" si="346"/>
        <v>48700</v>
      </c>
      <c r="EO66" s="87">
        <f t="shared" si="346"/>
        <v>48731</v>
      </c>
      <c r="EP66" s="87">
        <f t="shared" si="346"/>
        <v>48761</v>
      </c>
      <c r="EQ66" s="87">
        <f t="shared" si="346"/>
        <v>48792</v>
      </c>
      <c r="ER66" s="87">
        <f t="shared" si="346"/>
        <v>48823</v>
      </c>
      <c r="ES66" s="87">
        <f t="shared" si="346"/>
        <v>48853</v>
      </c>
      <c r="ET66" s="87">
        <f t="shared" si="346"/>
        <v>48884</v>
      </c>
      <c r="EU66" s="87">
        <f t="shared" si="346"/>
        <v>48914</v>
      </c>
      <c r="EV66" s="87">
        <f t="shared" si="346"/>
        <v>48945</v>
      </c>
      <c r="EW66" s="87">
        <f t="shared" si="346"/>
        <v>48976</v>
      </c>
      <c r="EX66" s="87">
        <f t="shared" si="346"/>
        <v>49004</v>
      </c>
      <c r="EY66" s="87">
        <f t="shared" si="346"/>
        <v>49035</v>
      </c>
      <c r="EZ66" s="87">
        <f t="shared" si="346"/>
        <v>49065</v>
      </c>
      <c r="FA66" s="87">
        <f t="shared" si="346"/>
        <v>49096</v>
      </c>
      <c r="FB66" s="87">
        <f t="shared" si="346"/>
        <v>49126</v>
      </c>
      <c r="FC66" s="87">
        <f t="shared" si="346"/>
        <v>49157</v>
      </c>
      <c r="FD66" s="87">
        <f t="shared" si="346"/>
        <v>49188</v>
      </c>
      <c r="FE66" s="87">
        <f t="shared" si="346"/>
        <v>49218</v>
      </c>
      <c r="FF66" s="87">
        <f t="shared" si="346"/>
        <v>49249</v>
      </c>
      <c r="FG66" s="87">
        <f t="shared" si="346"/>
        <v>49279</v>
      </c>
      <c r="FH66" s="87">
        <f t="shared" si="346"/>
        <v>49310</v>
      </c>
      <c r="FI66" s="87">
        <f t="shared" si="346"/>
        <v>49341</v>
      </c>
      <c r="FJ66" s="87">
        <f t="shared" si="346"/>
        <v>49369</v>
      </c>
      <c r="FK66" s="87">
        <f t="shared" si="346"/>
        <v>49400</v>
      </c>
      <c r="FL66" s="87">
        <f t="shared" si="346"/>
        <v>49430</v>
      </c>
      <c r="FM66" s="87">
        <f t="shared" si="346"/>
        <v>49461</v>
      </c>
      <c r="FN66" s="87">
        <f t="shared" si="346"/>
        <v>49491</v>
      </c>
      <c r="FO66" s="87">
        <f t="shared" si="346"/>
        <v>49522</v>
      </c>
      <c r="FP66" s="87">
        <f t="shared" si="346"/>
        <v>49553</v>
      </c>
      <c r="FQ66" s="87">
        <f t="shared" si="346"/>
        <v>49583</v>
      </c>
      <c r="FR66" s="87">
        <f t="shared" si="346"/>
        <v>49614</v>
      </c>
      <c r="FS66" s="87">
        <f t="shared" si="346"/>
        <v>49644</v>
      </c>
      <c r="FT66" s="87">
        <f t="shared" si="346"/>
        <v>49675</v>
      </c>
      <c r="FU66" s="87">
        <f t="shared" si="346"/>
        <v>49706</v>
      </c>
      <c r="FV66" s="87">
        <f t="shared" si="346"/>
        <v>49735</v>
      </c>
      <c r="FW66" s="87">
        <f t="shared" si="346"/>
        <v>49766</v>
      </c>
      <c r="FX66" s="87">
        <f t="shared" si="346"/>
        <v>49796</v>
      </c>
      <c r="FY66" s="87">
        <f t="shared" si="346"/>
        <v>49827</v>
      </c>
      <c r="FZ66" s="87">
        <f t="shared" si="346"/>
        <v>49857</v>
      </c>
      <c r="GA66" s="87">
        <f t="shared" si="346"/>
        <v>49888</v>
      </c>
      <c r="GB66" s="87">
        <f t="shared" si="346"/>
        <v>49919</v>
      </c>
      <c r="GC66" s="87">
        <f t="shared" si="346"/>
        <v>49949</v>
      </c>
      <c r="GD66" s="87">
        <f t="shared" si="346"/>
        <v>49980</v>
      </c>
      <c r="GE66" s="87">
        <f t="shared" si="346"/>
        <v>50010</v>
      </c>
      <c r="GF66" s="87">
        <f t="shared" si="346"/>
        <v>50041</v>
      </c>
      <c r="GG66" s="87">
        <f t="shared" si="346"/>
        <v>50072</v>
      </c>
      <c r="GH66" s="87">
        <f t="shared" si="346"/>
        <v>50100</v>
      </c>
      <c r="GI66" s="87">
        <f t="shared" si="346"/>
        <v>50131</v>
      </c>
      <c r="GJ66" s="87">
        <f t="shared" si="346"/>
        <v>50161</v>
      </c>
      <c r="GK66" s="87">
        <f t="shared" si="346"/>
        <v>50192</v>
      </c>
      <c r="GL66" s="87">
        <f t="shared" si="346"/>
        <v>50222</v>
      </c>
      <c r="GM66" s="87">
        <f t="shared" si="346"/>
        <v>50253</v>
      </c>
      <c r="GN66" s="87">
        <f t="shared" si="346"/>
        <v>50284</v>
      </c>
      <c r="GO66" s="87">
        <f t="shared" ref="GO66:IZ66" si="347">GO$46</f>
        <v>50314</v>
      </c>
      <c r="GP66" s="87">
        <f t="shared" si="347"/>
        <v>50345</v>
      </c>
      <c r="GQ66" s="87">
        <f t="shared" si="347"/>
        <v>50375</v>
      </c>
      <c r="GR66" s="87">
        <f t="shared" si="347"/>
        <v>50406</v>
      </c>
      <c r="GS66" s="87">
        <f t="shared" si="347"/>
        <v>50437</v>
      </c>
      <c r="GT66" s="87">
        <f t="shared" si="347"/>
        <v>50465</v>
      </c>
      <c r="GU66" s="87">
        <f t="shared" si="347"/>
        <v>50496</v>
      </c>
      <c r="GV66" s="87">
        <f t="shared" si="347"/>
        <v>50526</v>
      </c>
      <c r="GW66" s="87">
        <f t="shared" si="347"/>
        <v>50557</v>
      </c>
      <c r="GX66" s="87">
        <f t="shared" si="347"/>
        <v>50587</v>
      </c>
      <c r="GY66" s="87">
        <f t="shared" si="347"/>
        <v>50618</v>
      </c>
      <c r="GZ66" s="87">
        <f t="shared" si="347"/>
        <v>50649</v>
      </c>
      <c r="HA66" s="87">
        <f t="shared" si="347"/>
        <v>50679</v>
      </c>
      <c r="HB66" s="87">
        <f t="shared" si="347"/>
        <v>50710</v>
      </c>
      <c r="HC66" s="87">
        <f t="shared" si="347"/>
        <v>50740</v>
      </c>
      <c r="HD66" s="87">
        <f t="shared" si="347"/>
        <v>50771</v>
      </c>
      <c r="HE66" s="87">
        <f t="shared" si="347"/>
        <v>50802</v>
      </c>
      <c r="HF66" s="87">
        <f t="shared" si="347"/>
        <v>50830</v>
      </c>
      <c r="HG66" s="87">
        <f t="shared" si="347"/>
        <v>50861</v>
      </c>
      <c r="HH66" s="87">
        <f t="shared" si="347"/>
        <v>50891</v>
      </c>
      <c r="HI66" s="87">
        <f t="shared" si="347"/>
        <v>50922</v>
      </c>
      <c r="HJ66" s="87">
        <f t="shared" si="347"/>
        <v>50952</v>
      </c>
      <c r="HK66" s="87">
        <f t="shared" si="347"/>
        <v>50983</v>
      </c>
      <c r="HL66" s="87">
        <f t="shared" si="347"/>
        <v>51014</v>
      </c>
      <c r="HM66" s="87">
        <f t="shared" si="347"/>
        <v>51044</v>
      </c>
      <c r="HN66" s="87">
        <f t="shared" si="347"/>
        <v>51075</v>
      </c>
      <c r="HO66" s="87">
        <f t="shared" si="347"/>
        <v>51105</v>
      </c>
      <c r="HP66" s="87">
        <f t="shared" si="347"/>
        <v>51136</v>
      </c>
      <c r="HQ66" s="87">
        <f t="shared" si="347"/>
        <v>51167</v>
      </c>
      <c r="HR66" s="87">
        <f t="shared" si="347"/>
        <v>51196</v>
      </c>
      <c r="HS66" s="87">
        <f t="shared" si="347"/>
        <v>51227</v>
      </c>
      <c r="HT66" s="87">
        <f t="shared" si="347"/>
        <v>51257</v>
      </c>
      <c r="HU66" s="87">
        <f t="shared" si="347"/>
        <v>51288</v>
      </c>
      <c r="HV66" s="87">
        <f t="shared" si="347"/>
        <v>51318</v>
      </c>
      <c r="HW66" s="87">
        <f t="shared" si="347"/>
        <v>51349</v>
      </c>
      <c r="HX66" s="87">
        <f t="shared" si="347"/>
        <v>51380</v>
      </c>
      <c r="HY66" s="87">
        <f t="shared" si="347"/>
        <v>51410</v>
      </c>
      <c r="HZ66" s="87">
        <f t="shared" si="347"/>
        <v>51441</v>
      </c>
      <c r="IA66" s="87">
        <f t="shared" si="347"/>
        <v>51471</v>
      </c>
      <c r="IB66" s="87">
        <f t="shared" si="347"/>
        <v>51502</v>
      </c>
      <c r="IC66" s="87">
        <f t="shared" si="347"/>
        <v>51533</v>
      </c>
      <c r="ID66" s="87">
        <f t="shared" si="347"/>
        <v>51561</v>
      </c>
      <c r="IE66" s="87">
        <f t="shared" si="347"/>
        <v>51592</v>
      </c>
      <c r="IF66" s="87">
        <f t="shared" si="347"/>
        <v>51622</v>
      </c>
      <c r="IG66" s="87">
        <f t="shared" si="347"/>
        <v>51653</v>
      </c>
      <c r="IH66" s="87">
        <f t="shared" si="347"/>
        <v>51683</v>
      </c>
      <c r="II66" s="87">
        <f t="shared" si="347"/>
        <v>51714</v>
      </c>
      <c r="IJ66" s="87">
        <f t="shared" si="347"/>
        <v>51745</v>
      </c>
      <c r="IK66" s="87">
        <f t="shared" si="347"/>
        <v>51775</v>
      </c>
      <c r="IL66" s="87">
        <f t="shared" si="347"/>
        <v>51806</v>
      </c>
      <c r="IM66" s="87">
        <f t="shared" si="347"/>
        <v>51836</v>
      </c>
      <c r="IN66" s="87">
        <f t="shared" si="347"/>
        <v>51867</v>
      </c>
      <c r="IO66" s="87">
        <f t="shared" si="347"/>
        <v>51898</v>
      </c>
      <c r="IP66" s="87">
        <f t="shared" si="347"/>
        <v>51926</v>
      </c>
      <c r="IQ66" s="87">
        <f t="shared" si="347"/>
        <v>51957</v>
      </c>
      <c r="IR66" s="87">
        <f t="shared" si="347"/>
        <v>51987</v>
      </c>
      <c r="IS66" s="87">
        <f t="shared" si="347"/>
        <v>52018</v>
      </c>
      <c r="IT66" s="87">
        <f t="shared" si="347"/>
        <v>52048</v>
      </c>
      <c r="IU66" s="87">
        <f t="shared" si="347"/>
        <v>52079</v>
      </c>
      <c r="IV66" s="87">
        <f t="shared" si="347"/>
        <v>52110</v>
      </c>
      <c r="IW66" s="87">
        <f t="shared" si="347"/>
        <v>52140</v>
      </c>
      <c r="IX66" s="87">
        <f t="shared" si="347"/>
        <v>52171</v>
      </c>
      <c r="IY66" s="87">
        <f t="shared" si="347"/>
        <v>52201</v>
      </c>
      <c r="IZ66" s="87">
        <f t="shared" si="347"/>
        <v>52232</v>
      </c>
      <c r="JA66" s="87">
        <f t="shared" ref="JA66:KR66" si="348">JA$46</f>
        <v>52263</v>
      </c>
      <c r="JB66" s="87">
        <f t="shared" si="348"/>
        <v>52291</v>
      </c>
      <c r="JC66" s="87">
        <f t="shared" si="348"/>
        <v>52322</v>
      </c>
      <c r="JD66" s="87">
        <f t="shared" si="348"/>
        <v>52352</v>
      </c>
      <c r="JE66" s="87">
        <f t="shared" si="348"/>
        <v>52383</v>
      </c>
      <c r="JF66" s="87">
        <f t="shared" si="348"/>
        <v>52413</v>
      </c>
      <c r="JG66" s="87">
        <f t="shared" si="348"/>
        <v>52444</v>
      </c>
      <c r="JH66" s="87">
        <f t="shared" si="348"/>
        <v>52475</v>
      </c>
      <c r="JI66" s="87">
        <f t="shared" si="348"/>
        <v>52505</v>
      </c>
      <c r="JJ66" s="87">
        <f t="shared" si="348"/>
        <v>52536</v>
      </c>
      <c r="JK66" s="87">
        <f t="shared" si="348"/>
        <v>52566</v>
      </c>
      <c r="JL66" s="87">
        <f t="shared" si="348"/>
        <v>52597</v>
      </c>
      <c r="JM66" s="87">
        <f t="shared" si="348"/>
        <v>52628</v>
      </c>
      <c r="JN66" s="87">
        <f t="shared" si="348"/>
        <v>52657</v>
      </c>
      <c r="JO66" s="87">
        <f t="shared" si="348"/>
        <v>52688</v>
      </c>
      <c r="JP66" s="87">
        <f t="shared" si="348"/>
        <v>52718</v>
      </c>
      <c r="JQ66" s="87">
        <f t="shared" si="348"/>
        <v>52749</v>
      </c>
      <c r="JR66" s="87">
        <f t="shared" si="348"/>
        <v>52779</v>
      </c>
      <c r="JS66" s="87">
        <f t="shared" si="348"/>
        <v>52810</v>
      </c>
      <c r="JT66" s="87">
        <f t="shared" si="348"/>
        <v>52841</v>
      </c>
      <c r="JU66" s="87">
        <f t="shared" si="348"/>
        <v>52871</v>
      </c>
      <c r="JV66" s="87">
        <f t="shared" si="348"/>
        <v>52902</v>
      </c>
      <c r="JW66" s="87">
        <f t="shared" si="348"/>
        <v>52932</v>
      </c>
      <c r="JX66" s="87">
        <f t="shared" si="348"/>
        <v>52963</v>
      </c>
      <c r="JY66" s="87">
        <f t="shared" si="348"/>
        <v>52994</v>
      </c>
      <c r="JZ66" s="87">
        <f t="shared" si="348"/>
        <v>53022</v>
      </c>
      <c r="KA66" s="87">
        <f t="shared" si="348"/>
        <v>53053</v>
      </c>
      <c r="KB66" s="87">
        <f t="shared" si="348"/>
        <v>53083</v>
      </c>
      <c r="KC66" s="87">
        <f t="shared" si="348"/>
        <v>53114</v>
      </c>
      <c r="KD66" s="87">
        <f t="shared" si="348"/>
        <v>53144</v>
      </c>
      <c r="KE66" s="87">
        <f t="shared" si="348"/>
        <v>53175</v>
      </c>
      <c r="KF66" s="87">
        <f t="shared" si="348"/>
        <v>53206</v>
      </c>
      <c r="KG66" s="87">
        <f t="shared" si="348"/>
        <v>53236</v>
      </c>
      <c r="KH66" s="87">
        <f t="shared" si="348"/>
        <v>53267</v>
      </c>
      <c r="KI66" s="87">
        <f t="shared" si="348"/>
        <v>53297</v>
      </c>
      <c r="KJ66" s="87">
        <f t="shared" si="348"/>
        <v>53328</v>
      </c>
      <c r="KK66" s="87">
        <f t="shared" si="348"/>
        <v>53359</v>
      </c>
      <c r="KL66" s="87">
        <f t="shared" si="348"/>
        <v>53387</v>
      </c>
      <c r="KM66" s="87">
        <f t="shared" si="348"/>
        <v>53418</v>
      </c>
      <c r="KN66" s="87">
        <f t="shared" si="348"/>
        <v>53448</v>
      </c>
      <c r="KO66" s="87">
        <f t="shared" si="348"/>
        <v>53479</v>
      </c>
      <c r="KP66" s="87">
        <f t="shared" si="348"/>
        <v>53509</v>
      </c>
      <c r="KQ66" s="87">
        <f t="shared" si="348"/>
        <v>53540</v>
      </c>
      <c r="KR66" s="87">
        <f t="shared" si="348"/>
        <v>53571</v>
      </c>
      <c r="KS66" s="571">
        <f>YEARFRAC(C66,D66,1)</f>
        <v>0.37808219178082192</v>
      </c>
      <c r="KT66" s="85"/>
    </row>
    <row r="67" spans="1:306" ht="4.95" customHeight="1" thickBot="1" x14ac:dyDescent="0.35">
      <c r="A67" s="297"/>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297"/>
      <c r="AO67" s="297"/>
      <c r="AP67" s="297"/>
      <c r="AQ67" s="297"/>
      <c r="AR67" s="297"/>
      <c r="AS67" s="297"/>
      <c r="AT67" s="297"/>
      <c r="AU67" s="297"/>
      <c r="AV67" s="297"/>
      <c r="AW67" s="297"/>
      <c r="AX67" s="297"/>
      <c r="AY67" s="297"/>
      <c r="AZ67" s="297"/>
      <c r="BA67" s="297"/>
      <c r="BB67" s="297"/>
      <c r="BC67" s="297"/>
      <c r="BD67" s="297"/>
      <c r="BE67" s="297"/>
      <c r="BF67" s="297"/>
      <c r="BG67" s="297"/>
      <c r="BH67" s="297"/>
      <c r="BI67" s="297"/>
      <c r="BJ67" s="297"/>
      <c r="BK67" s="297"/>
      <c r="BL67" s="297"/>
      <c r="BM67" s="297"/>
      <c r="BN67" s="297"/>
      <c r="BO67" s="297"/>
      <c r="BP67" s="297"/>
      <c r="BQ67" s="297"/>
      <c r="BR67" s="297"/>
      <c r="BS67" s="297"/>
      <c r="BT67" s="297"/>
      <c r="BU67" s="297"/>
      <c r="BV67" s="297"/>
      <c r="BW67" s="297"/>
      <c r="BX67" s="297"/>
      <c r="BY67" s="297"/>
      <c r="BZ67" s="297"/>
      <c r="CA67" s="297"/>
      <c r="CB67" s="297"/>
      <c r="CC67" s="297"/>
      <c r="CD67" s="297"/>
      <c r="CE67" s="297"/>
      <c r="CF67" s="297"/>
      <c r="CG67" s="297"/>
      <c r="CH67" s="297"/>
      <c r="CI67" s="297"/>
      <c r="CJ67" s="297"/>
      <c r="CK67" s="297"/>
      <c r="CL67" s="297"/>
      <c r="CM67" s="297"/>
      <c r="CN67" s="297"/>
      <c r="CO67" s="297"/>
      <c r="CP67" s="297"/>
      <c r="CQ67" s="297"/>
      <c r="CR67" s="297"/>
      <c r="CS67" s="297"/>
      <c r="CT67" s="297"/>
      <c r="CU67" s="297"/>
      <c r="CV67" s="297"/>
      <c r="CW67" s="297"/>
      <c r="CX67" s="297"/>
      <c r="CY67" s="297"/>
      <c r="CZ67" s="297"/>
      <c r="DA67" s="297"/>
      <c r="DB67" s="297"/>
      <c r="DC67" s="297"/>
      <c r="DD67" s="297"/>
      <c r="DE67" s="297"/>
      <c r="DF67" s="297"/>
      <c r="DG67" s="297"/>
      <c r="DH67" s="297"/>
      <c r="DI67" s="297"/>
      <c r="DJ67" s="297"/>
      <c r="DK67" s="297"/>
      <c r="DL67" s="297"/>
      <c r="DM67" s="297"/>
      <c r="DN67" s="297"/>
      <c r="DO67" s="297"/>
      <c r="DP67" s="297"/>
      <c r="DQ67" s="297"/>
      <c r="DR67" s="297"/>
      <c r="DS67" s="297"/>
      <c r="DT67" s="297"/>
      <c r="DU67" s="297"/>
      <c r="DV67" s="297"/>
      <c r="DW67" s="297"/>
      <c r="DX67" s="297"/>
      <c r="DY67" s="297"/>
      <c r="DZ67" s="297"/>
      <c r="EA67" s="297"/>
      <c r="EB67" s="297"/>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G67" s="297"/>
      <c r="FH67" s="297"/>
      <c r="FI67" s="297"/>
      <c r="FJ67" s="297"/>
      <c r="FK67" s="297"/>
      <c r="FL67" s="297"/>
      <c r="FM67" s="297"/>
      <c r="FN67" s="297"/>
      <c r="FO67" s="297"/>
      <c r="FP67" s="297"/>
      <c r="FQ67" s="297"/>
      <c r="FR67" s="297"/>
      <c r="FS67" s="297"/>
      <c r="FT67" s="297"/>
      <c r="FU67" s="297"/>
      <c r="FV67" s="297"/>
      <c r="FW67" s="297"/>
      <c r="FX67" s="297"/>
      <c r="FY67" s="297"/>
      <c r="FZ67" s="297"/>
      <c r="GA67" s="297"/>
      <c r="GB67" s="297"/>
      <c r="GC67" s="297"/>
      <c r="GD67" s="297"/>
      <c r="GE67" s="297"/>
      <c r="GF67" s="297"/>
      <c r="GG67" s="297"/>
      <c r="GH67" s="297"/>
      <c r="GI67" s="297"/>
      <c r="GJ67" s="297"/>
      <c r="GK67" s="297"/>
      <c r="GL67" s="297"/>
      <c r="GM67" s="297"/>
      <c r="GN67" s="297"/>
      <c r="GO67" s="297"/>
      <c r="GP67" s="297"/>
      <c r="GQ67" s="297"/>
      <c r="GR67" s="297"/>
      <c r="GS67" s="297"/>
      <c r="GT67" s="297"/>
      <c r="GU67" s="297"/>
      <c r="GV67" s="297"/>
      <c r="GW67" s="297"/>
      <c r="GX67" s="297"/>
      <c r="GY67" s="297"/>
      <c r="GZ67" s="297"/>
      <c r="HA67" s="297"/>
      <c r="HB67" s="297"/>
      <c r="HC67" s="297"/>
      <c r="HD67" s="297"/>
      <c r="HE67" s="297"/>
      <c r="HF67" s="297"/>
      <c r="HG67" s="297"/>
      <c r="HH67" s="297"/>
      <c r="HI67" s="297"/>
      <c r="HJ67" s="297"/>
      <c r="HK67" s="297"/>
      <c r="HL67" s="297"/>
      <c r="HM67" s="297"/>
      <c r="HN67" s="297"/>
      <c r="HO67" s="297"/>
      <c r="HP67" s="297"/>
      <c r="HQ67" s="297"/>
      <c r="HR67" s="297"/>
      <c r="HS67" s="297"/>
      <c r="HT67" s="297"/>
      <c r="HU67" s="297"/>
      <c r="HV67" s="297"/>
      <c r="HW67" s="297"/>
      <c r="HX67" s="297"/>
      <c r="HY67" s="297"/>
      <c r="HZ67" s="297"/>
      <c r="IA67" s="297"/>
      <c r="IB67" s="297"/>
      <c r="IC67" s="297"/>
      <c r="ID67" s="297"/>
      <c r="IE67" s="297"/>
      <c r="IF67" s="297"/>
      <c r="IG67" s="297"/>
      <c r="IH67" s="297"/>
      <c r="II67" s="297"/>
      <c r="IJ67" s="297"/>
      <c r="IK67" s="297"/>
      <c r="IL67" s="297"/>
      <c r="IM67" s="297"/>
      <c r="IN67" s="297"/>
      <c r="IO67" s="297"/>
      <c r="IP67" s="297"/>
      <c r="IQ67" s="297"/>
      <c r="IR67" s="297"/>
      <c r="IS67" s="297"/>
      <c r="IT67" s="297"/>
      <c r="IU67" s="297"/>
      <c r="IV67" s="297"/>
      <c r="IW67" s="297"/>
      <c r="IX67" s="297"/>
      <c r="IY67" s="297"/>
      <c r="IZ67" s="297"/>
      <c r="JA67" s="297"/>
      <c r="JB67" s="297"/>
      <c r="JC67" s="297"/>
      <c r="JD67" s="297"/>
      <c r="JE67" s="297"/>
      <c r="JF67" s="297"/>
      <c r="JG67" s="297"/>
      <c r="JH67" s="297"/>
      <c r="JI67" s="297"/>
      <c r="JJ67" s="297"/>
      <c r="JK67" s="297"/>
      <c r="JL67" s="297"/>
      <c r="JM67" s="297"/>
      <c r="JN67" s="297"/>
      <c r="JO67" s="297"/>
      <c r="JP67" s="297"/>
      <c r="JQ67" s="297"/>
      <c r="JR67" s="297"/>
      <c r="JS67" s="297"/>
      <c r="JT67" s="297"/>
      <c r="JU67" s="297"/>
      <c r="JV67" s="297"/>
      <c r="JW67" s="297"/>
      <c r="JX67" s="297"/>
      <c r="JY67" s="297"/>
      <c r="JZ67" s="297"/>
      <c r="KA67" s="297"/>
      <c r="KB67" s="297"/>
      <c r="KC67" s="297"/>
      <c r="KD67" s="297"/>
      <c r="KE67" s="297"/>
      <c r="KF67" s="297"/>
      <c r="KG67" s="297"/>
      <c r="KH67" s="297"/>
      <c r="KI67" s="297"/>
      <c r="KJ67" s="297"/>
      <c r="KK67" s="297"/>
      <c r="KL67" s="297"/>
      <c r="KM67" s="297"/>
      <c r="KN67" s="297"/>
      <c r="KO67" s="297"/>
      <c r="KP67" s="297"/>
      <c r="KQ67" s="297"/>
      <c r="KR67" s="297"/>
      <c r="KS67" s="572"/>
    </row>
    <row r="68" spans="1:306" s="81" customFormat="1" ht="13.8" x14ac:dyDescent="0.3"/>
    <row r="69" spans="1:306" x14ac:dyDescent="0.3">
      <c r="A69" s="83" t="s">
        <v>1226</v>
      </c>
      <c r="B69" s="83">
        <v>2022</v>
      </c>
    </row>
  </sheetData>
  <mergeCells count="50">
    <mergeCell ref="IW51:JH51"/>
    <mergeCell ref="JI51:JT51"/>
    <mergeCell ref="JU51:KF51"/>
    <mergeCell ref="KG51:KR51"/>
    <mergeCell ref="GO51:GZ51"/>
    <mergeCell ref="HA51:HL51"/>
    <mergeCell ref="HM51:HX51"/>
    <mergeCell ref="HY51:IJ51"/>
    <mergeCell ref="IK51:IV51"/>
    <mergeCell ref="EG51:ER51"/>
    <mergeCell ref="ES51:FD51"/>
    <mergeCell ref="FE51:FP51"/>
    <mergeCell ref="FQ51:GB51"/>
    <mergeCell ref="GC51:GN51"/>
    <mergeCell ref="E51:P51"/>
    <mergeCell ref="Q51:AB51"/>
    <mergeCell ref="AC51:AN51"/>
    <mergeCell ref="AO51:AZ51"/>
    <mergeCell ref="BA51:BL51"/>
    <mergeCell ref="DU51:EF51"/>
    <mergeCell ref="BM51:BX51"/>
    <mergeCell ref="BY51:CJ51"/>
    <mergeCell ref="CK51:CV51"/>
    <mergeCell ref="CW51:DH51"/>
    <mergeCell ref="DI51:DT51"/>
    <mergeCell ref="IW8:JH8"/>
    <mergeCell ref="JI8:JT8"/>
    <mergeCell ref="JU8:KF8"/>
    <mergeCell ref="KG8:KR8"/>
    <mergeCell ref="GO8:GZ8"/>
    <mergeCell ref="HA8:HL8"/>
    <mergeCell ref="HM8:HX8"/>
    <mergeCell ref="HY8:IJ8"/>
    <mergeCell ref="IK8:IV8"/>
    <mergeCell ref="EG8:ER8"/>
    <mergeCell ref="ES8:FD8"/>
    <mergeCell ref="FE8:FP8"/>
    <mergeCell ref="FQ8:GB8"/>
    <mergeCell ref="GC8:GN8"/>
    <mergeCell ref="E8:P8"/>
    <mergeCell ref="Q8:AB8"/>
    <mergeCell ref="AC8:AN8"/>
    <mergeCell ref="AO8:AZ8"/>
    <mergeCell ref="BA8:BL8"/>
    <mergeCell ref="DU8:EF8"/>
    <mergeCell ref="BM8:BX8"/>
    <mergeCell ref="BY8:CJ8"/>
    <mergeCell ref="CK8:CV8"/>
    <mergeCell ref="CW8:DH8"/>
    <mergeCell ref="DI8:DT8"/>
  </mergeCells>
  <conditionalFormatting sqref="E12:KR22">
    <cfRule type="cellIs" dxfId="23" priority="20" operator="between">
      <formula>$C12</formula>
      <formula>$D12</formula>
    </cfRule>
  </conditionalFormatting>
  <conditionalFormatting sqref="E25:KR25">
    <cfRule type="cellIs" dxfId="22" priority="17" operator="between">
      <formula>$C25</formula>
      <formula>$D25</formula>
    </cfRule>
  </conditionalFormatting>
  <conditionalFormatting sqref="E55:KR63">
    <cfRule type="cellIs" dxfId="21" priority="7" operator="between">
      <formula>$C55</formula>
      <formula>$D55</formula>
    </cfRule>
  </conditionalFormatting>
  <conditionalFormatting sqref="E66:KR66">
    <cfRule type="cellIs" dxfId="20" priority="4" operator="between">
      <formula>$C66</formula>
      <formula>$D66</formula>
    </cfRule>
  </conditionalFormatting>
  <pageMargins left="0.25" right="0.25" top="0.25" bottom="0.5" header="0.25" footer="0.25"/>
  <pageSetup paperSize="3" fitToHeight="0" orientation="landscape" r:id="rId1"/>
  <headerFooter>
    <oddFooter>&amp;CPage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499984740745262"/>
  </sheetPr>
  <dimension ref="A1:G35"/>
  <sheetViews>
    <sheetView workbookViewId="0"/>
  </sheetViews>
  <sheetFormatPr defaultRowHeight="14.4" x14ac:dyDescent="0.3"/>
  <cols>
    <col min="1" max="1" width="11.5546875" bestFit="1" customWidth="1"/>
    <col min="3" max="3" width="37.44140625" bestFit="1" customWidth="1"/>
    <col min="5" max="9" width="14.44140625" customWidth="1"/>
  </cols>
  <sheetData>
    <row r="1" spans="1:6" x14ac:dyDescent="0.3">
      <c r="A1" s="553" t="s">
        <v>2</v>
      </c>
      <c r="B1" s="553" t="s">
        <v>1184</v>
      </c>
      <c r="C1" s="553" t="s">
        <v>1185</v>
      </c>
    </row>
    <row r="2" spans="1:6" ht="28.8" x14ac:dyDescent="0.3">
      <c r="A2" s="757" t="s">
        <v>1167</v>
      </c>
      <c r="B2" s="788">
        <f>E17</f>
        <v>340000</v>
      </c>
      <c r="C2" s="82" t="str">
        <f>E13</f>
        <v>PED (Design) Costs --- Primarily Used for USACE Civil Works Projects</v>
      </c>
    </row>
    <row r="3" spans="1:6" x14ac:dyDescent="0.3">
      <c r="A3" s="757" t="s">
        <v>1168</v>
      </c>
      <c r="B3" s="788">
        <f>E11</f>
        <v>230000</v>
      </c>
      <c r="C3" s="82" t="str">
        <f>E7</f>
        <v>FOOH Monthly Costs</v>
      </c>
    </row>
    <row r="4" spans="1:6" ht="43.2" x14ac:dyDescent="0.3">
      <c r="A4" s="757" t="s">
        <v>1169</v>
      </c>
      <c r="B4" s="788">
        <f>E23</f>
        <v>170000</v>
      </c>
      <c r="C4" s="82" t="str">
        <f>E19</f>
        <v>EDC (Engineering During Construction) Costs --- Primarily Used for USACE Civil Works Projects</v>
      </c>
    </row>
    <row r="5" spans="1:6" ht="43.2" x14ac:dyDescent="0.3">
      <c r="A5" s="757" t="s">
        <v>1170</v>
      </c>
      <c r="B5" s="788">
        <f>E29</f>
        <v>250000</v>
      </c>
      <c r="C5" s="82" t="str">
        <f>E25</f>
        <v>CM (Construction Management) Costs --- Primarily Used for USACE Civil Works Projects</v>
      </c>
    </row>
    <row r="7" spans="1:6" x14ac:dyDescent="0.3">
      <c r="E7" s="553" t="s">
        <v>1177</v>
      </c>
    </row>
    <row r="8" spans="1:6" x14ac:dyDescent="0.3">
      <c r="E8" s="153">
        <v>180000</v>
      </c>
      <c r="F8" t="s">
        <v>1174</v>
      </c>
    </row>
    <row r="9" spans="1:6" x14ac:dyDescent="0.3">
      <c r="E9" s="153">
        <f>E8*G35</f>
        <v>222156.00000000003</v>
      </c>
      <c r="F9" t="s">
        <v>1175</v>
      </c>
    </row>
    <row r="10" spans="1:6" x14ac:dyDescent="0.3">
      <c r="E10" s="153">
        <v>10000</v>
      </c>
      <c r="F10" t="s">
        <v>1176</v>
      </c>
    </row>
    <row r="11" spans="1:6" x14ac:dyDescent="0.3">
      <c r="E11" s="153">
        <f>CEILING(E9,E10)</f>
        <v>230000</v>
      </c>
      <c r="F11" t="s">
        <v>1175</v>
      </c>
    </row>
    <row r="13" spans="1:6" x14ac:dyDescent="0.3">
      <c r="E13" s="553" t="s">
        <v>1399</v>
      </c>
    </row>
    <row r="14" spans="1:6" x14ac:dyDescent="0.3">
      <c r="E14" s="153">
        <f>4000000</f>
        <v>4000000</v>
      </c>
      <c r="F14" t="s">
        <v>1213</v>
      </c>
    </row>
    <row r="15" spans="1:6" x14ac:dyDescent="0.3">
      <c r="E15" s="153">
        <f>E14/12</f>
        <v>333333.33333333331</v>
      </c>
      <c r="F15" t="s">
        <v>1179</v>
      </c>
    </row>
    <row r="16" spans="1:6" x14ac:dyDescent="0.3">
      <c r="E16" s="153">
        <v>10000</v>
      </c>
      <c r="F16" t="s">
        <v>1176</v>
      </c>
    </row>
    <row r="17" spans="5:7" x14ac:dyDescent="0.3">
      <c r="E17" s="153">
        <f>CEILING(E15,E16)</f>
        <v>340000</v>
      </c>
      <c r="F17" t="s">
        <v>1221</v>
      </c>
    </row>
    <row r="18" spans="5:7" x14ac:dyDescent="0.3">
      <c r="E18" s="153"/>
    </row>
    <row r="19" spans="5:7" x14ac:dyDescent="0.3">
      <c r="E19" s="553" t="s">
        <v>1400</v>
      </c>
    </row>
    <row r="20" spans="5:7" x14ac:dyDescent="0.3">
      <c r="E20" s="153">
        <f>2000000</f>
        <v>2000000</v>
      </c>
      <c r="F20" t="s">
        <v>1180</v>
      </c>
    </row>
    <row r="21" spans="5:7" x14ac:dyDescent="0.3">
      <c r="E21" s="153">
        <f>E20/12</f>
        <v>166666.66666666666</v>
      </c>
      <c r="F21" t="s">
        <v>1181</v>
      </c>
    </row>
    <row r="22" spans="5:7" x14ac:dyDescent="0.3">
      <c r="E22" s="153">
        <v>10000</v>
      </c>
      <c r="F22" t="s">
        <v>1176</v>
      </c>
    </row>
    <row r="23" spans="5:7" x14ac:dyDescent="0.3">
      <c r="E23" s="153">
        <f>CEILING(E21,E22)</f>
        <v>170000</v>
      </c>
      <c r="F23" t="s">
        <v>1219</v>
      </c>
    </row>
    <row r="25" spans="5:7" x14ac:dyDescent="0.3">
      <c r="E25" s="553" t="s">
        <v>1401</v>
      </c>
    </row>
    <row r="26" spans="5:7" x14ac:dyDescent="0.3">
      <c r="E26" s="153">
        <f>3000000</f>
        <v>3000000</v>
      </c>
      <c r="F26" t="s">
        <v>1182</v>
      </c>
    </row>
    <row r="27" spans="5:7" x14ac:dyDescent="0.3">
      <c r="E27" s="153">
        <f>E26/12</f>
        <v>250000</v>
      </c>
      <c r="F27" t="s">
        <v>1183</v>
      </c>
    </row>
    <row r="28" spans="5:7" x14ac:dyDescent="0.3">
      <c r="E28" s="153">
        <v>10000</v>
      </c>
      <c r="F28" t="s">
        <v>1176</v>
      </c>
    </row>
    <row r="29" spans="5:7" x14ac:dyDescent="0.3">
      <c r="E29" s="153">
        <f>CEILING(E27,E28)</f>
        <v>250000</v>
      </c>
      <c r="F29" t="s">
        <v>1220</v>
      </c>
    </row>
    <row r="31" spans="5:7" x14ac:dyDescent="0.3">
      <c r="E31" s="553" t="s">
        <v>1178</v>
      </c>
    </row>
    <row r="32" spans="5:7" x14ac:dyDescent="0.3">
      <c r="G32" s="552">
        <v>1</v>
      </c>
    </row>
    <row r="33" spans="5:7" x14ac:dyDescent="0.3">
      <c r="E33" t="s">
        <v>1171</v>
      </c>
      <c r="F33" s="224">
        <v>0.1</v>
      </c>
      <c r="G33" s="552">
        <f>G32*(1+F33)</f>
        <v>1.1000000000000001</v>
      </c>
    </row>
    <row r="34" spans="5:7" x14ac:dyDescent="0.3">
      <c r="E34" t="s">
        <v>1172</v>
      </c>
      <c r="F34" s="224">
        <v>0.1</v>
      </c>
      <c r="G34" s="552">
        <f>G33*(1+F34)</f>
        <v>1.2100000000000002</v>
      </c>
    </row>
    <row r="35" spans="5:7" x14ac:dyDescent="0.3">
      <c r="E35" t="s">
        <v>1173</v>
      </c>
      <c r="F35" s="224">
        <v>0.02</v>
      </c>
      <c r="G35" s="552">
        <f>G34*(1+F35)</f>
        <v>1.2342000000000002</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55"/>
  <sheetViews>
    <sheetView workbookViewId="0"/>
  </sheetViews>
  <sheetFormatPr defaultRowHeight="14.4" x14ac:dyDescent="0.3"/>
  <cols>
    <col min="1" max="3" width="36.5546875" customWidth="1"/>
  </cols>
  <sheetData>
    <row r="1" spans="1:3" x14ac:dyDescent="0.3">
      <c r="A1" s="555" t="s">
        <v>1193</v>
      </c>
    </row>
    <row r="3" spans="1:3" x14ac:dyDescent="0.3">
      <c r="A3" t="s">
        <v>1194</v>
      </c>
      <c r="B3" t="s">
        <v>1195</v>
      </c>
      <c r="C3">
        <v>0</v>
      </c>
    </row>
    <row r="4" spans="1:3" x14ac:dyDescent="0.3">
      <c r="A4" t="s">
        <v>1196</v>
      </c>
    </row>
    <row r="5" spans="1:3" x14ac:dyDescent="0.3">
      <c r="A5" t="s">
        <v>1197</v>
      </c>
    </row>
    <row r="7" spans="1:3" x14ac:dyDescent="0.3">
      <c r="A7" s="555" t="s">
        <v>1198</v>
      </c>
      <c r="B7" t="s">
        <v>1199</v>
      </c>
    </row>
    <row r="8" spans="1:3" x14ac:dyDescent="0.3">
      <c r="B8">
        <v>3</v>
      </c>
    </row>
    <row r="10" spans="1:3" x14ac:dyDescent="0.3">
      <c r="A10" t="s">
        <v>1200</v>
      </c>
    </row>
    <row r="11" spans="1:3" x14ac:dyDescent="0.3">
      <c r="A11" t="e">
        <f>CB_DATA_!#REF!</f>
        <v>#REF!</v>
      </c>
      <c r="B11" t="e">
        <f>'H-Risk Register-Model'!#REF!</f>
        <v>#REF!</v>
      </c>
      <c r="C11" t="e">
        <f>'I-Project Contingency'!#REF!</f>
        <v>#REF!</v>
      </c>
    </row>
    <row r="13" spans="1:3" x14ac:dyDescent="0.3">
      <c r="A13" t="s">
        <v>1201</v>
      </c>
    </row>
    <row r="14" spans="1:3" x14ac:dyDescent="0.3">
      <c r="A14" t="s">
        <v>1205</v>
      </c>
      <c r="B14" t="s">
        <v>1208</v>
      </c>
      <c r="C14" t="s">
        <v>1215</v>
      </c>
    </row>
    <row r="16" spans="1:3" x14ac:dyDescent="0.3">
      <c r="A16" t="s">
        <v>1202</v>
      </c>
    </row>
    <row r="19" spans="1:3" x14ac:dyDescent="0.3">
      <c r="A19" t="s">
        <v>1203</v>
      </c>
    </row>
    <row r="20" spans="1:3" x14ac:dyDescent="0.3">
      <c r="A20">
        <v>31</v>
      </c>
      <c r="B20">
        <v>55</v>
      </c>
      <c r="C20">
        <v>31</v>
      </c>
    </row>
    <row r="25" spans="1:3" x14ac:dyDescent="0.3">
      <c r="A25" s="555" t="s">
        <v>1204</v>
      </c>
    </row>
    <row r="26" spans="1:3" x14ac:dyDescent="0.3">
      <c r="A26" s="556" t="s">
        <v>1206</v>
      </c>
      <c r="B26" s="556" t="s">
        <v>1244</v>
      </c>
      <c r="C26" s="556" t="s">
        <v>1209</v>
      </c>
    </row>
    <row r="27" spans="1:3" x14ac:dyDescent="0.3">
      <c r="A27" t="s">
        <v>1216</v>
      </c>
      <c r="B27" t="s">
        <v>1266</v>
      </c>
      <c r="C27" t="s">
        <v>1264</v>
      </c>
    </row>
    <row r="28" spans="1:3" x14ac:dyDescent="0.3">
      <c r="A28" s="556" t="s">
        <v>1207</v>
      </c>
      <c r="B28" s="556" t="s">
        <v>1207</v>
      </c>
      <c r="C28" s="556" t="s">
        <v>1207</v>
      </c>
    </row>
    <row r="29" spans="1:3" x14ac:dyDescent="0.3">
      <c r="A29" s="556" t="s">
        <v>1209</v>
      </c>
      <c r="B29" s="556" t="s">
        <v>1206</v>
      </c>
      <c r="C29" s="556" t="s">
        <v>1206</v>
      </c>
    </row>
    <row r="30" spans="1:3" x14ac:dyDescent="0.3">
      <c r="A30" t="s">
        <v>1265</v>
      </c>
      <c r="B30" t="s">
        <v>1218</v>
      </c>
      <c r="C30" t="s">
        <v>1217</v>
      </c>
    </row>
    <row r="31" spans="1:3" x14ac:dyDescent="0.3">
      <c r="A31" s="556" t="s">
        <v>1207</v>
      </c>
      <c r="B31" s="556" t="s">
        <v>1207</v>
      </c>
      <c r="C31" s="556" t="s">
        <v>1207</v>
      </c>
    </row>
    <row r="32" spans="1:3" x14ac:dyDescent="0.3">
      <c r="B32" s="556" t="s">
        <v>1245</v>
      </c>
    </row>
    <row r="33" spans="2:2" x14ac:dyDescent="0.3">
      <c r="B33" t="s">
        <v>1257</v>
      </c>
    </row>
    <row r="34" spans="2:2" x14ac:dyDescent="0.3">
      <c r="B34" s="556" t="s">
        <v>1207</v>
      </c>
    </row>
    <row r="35" spans="2:2" x14ac:dyDescent="0.3">
      <c r="B35" s="556" t="s">
        <v>1242</v>
      </c>
    </row>
    <row r="36" spans="2:2" x14ac:dyDescent="0.3">
      <c r="B36" t="s">
        <v>1258</v>
      </c>
    </row>
    <row r="37" spans="2:2" x14ac:dyDescent="0.3">
      <c r="B37" s="556" t="s">
        <v>1207</v>
      </c>
    </row>
    <row r="38" spans="2:2" x14ac:dyDescent="0.3">
      <c r="B38" s="556" t="s">
        <v>1243</v>
      </c>
    </row>
    <row r="39" spans="2:2" x14ac:dyDescent="0.3">
      <c r="B39" t="s">
        <v>1259</v>
      </c>
    </row>
    <row r="40" spans="2:2" x14ac:dyDescent="0.3">
      <c r="B40" s="556" t="s">
        <v>1207</v>
      </c>
    </row>
    <row r="41" spans="2:2" x14ac:dyDescent="0.3">
      <c r="B41" s="556" t="s">
        <v>1214</v>
      </c>
    </row>
    <row r="42" spans="2:2" x14ac:dyDescent="0.3">
      <c r="B42" t="s">
        <v>1260</v>
      </c>
    </row>
    <row r="43" spans="2:2" x14ac:dyDescent="0.3">
      <c r="B43" s="556" t="s">
        <v>1207</v>
      </c>
    </row>
    <row r="44" spans="2:2" x14ac:dyDescent="0.3">
      <c r="B44" s="556" t="s">
        <v>1211</v>
      </c>
    </row>
    <row r="45" spans="2:2" x14ac:dyDescent="0.3">
      <c r="B45" t="s">
        <v>1267</v>
      </c>
    </row>
    <row r="46" spans="2:2" x14ac:dyDescent="0.3">
      <c r="B46" s="556" t="s">
        <v>1207</v>
      </c>
    </row>
    <row r="47" spans="2:2" x14ac:dyDescent="0.3">
      <c r="B47" s="556" t="s">
        <v>1212</v>
      </c>
    </row>
    <row r="48" spans="2:2" x14ac:dyDescent="0.3">
      <c r="B48" t="s">
        <v>1261</v>
      </c>
    </row>
    <row r="49" spans="2:2" x14ac:dyDescent="0.3">
      <c r="B49" s="556" t="s">
        <v>1207</v>
      </c>
    </row>
    <row r="50" spans="2:2" x14ac:dyDescent="0.3">
      <c r="B50" s="556" t="s">
        <v>1210</v>
      </c>
    </row>
    <row r="51" spans="2:2" x14ac:dyDescent="0.3">
      <c r="B51" t="s">
        <v>1262</v>
      </c>
    </row>
    <row r="52" spans="2:2" x14ac:dyDescent="0.3">
      <c r="B52" s="556" t="s">
        <v>1207</v>
      </c>
    </row>
    <row r="53" spans="2:2" x14ac:dyDescent="0.3">
      <c r="B53" s="556" t="s">
        <v>1209</v>
      </c>
    </row>
    <row r="54" spans="2:2" x14ac:dyDescent="0.3">
      <c r="B54" t="s">
        <v>1263</v>
      </c>
    </row>
    <row r="55" spans="2:2" x14ac:dyDescent="0.3">
      <c r="B55" s="556" t="s">
        <v>1207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1"/>
  <sheetViews>
    <sheetView zoomScaleNormal="100" workbookViewId="0"/>
  </sheetViews>
  <sheetFormatPr defaultRowHeight="14.4" x14ac:dyDescent="0.3"/>
  <cols>
    <col min="1" max="1" width="20.88671875" customWidth="1"/>
    <col min="2" max="4" width="15.88671875" customWidth="1"/>
  </cols>
  <sheetData>
    <row r="1" spans="1:4" ht="21" x14ac:dyDescent="0.4">
      <c r="A1" s="633" t="s">
        <v>1300</v>
      </c>
      <c r="B1" s="99"/>
      <c r="C1" s="99"/>
      <c r="D1" s="99"/>
    </row>
    <row r="2" spans="1:4" x14ac:dyDescent="0.3">
      <c r="A2" s="8"/>
      <c r="B2" s="8"/>
      <c r="C2" s="8"/>
      <c r="D2" s="8"/>
    </row>
    <row r="3" spans="1:4" x14ac:dyDescent="0.3">
      <c r="B3" s="631" t="s">
        <v>1123</v>
      </c>
      <c r="C3" s="631" t="s">
        <v>1276</v>
      </c>
      <c r="D3" s="631" t="s">
        <v>1277</v>
      </c>
    </row>
    <row r="4" spans="1:4" x14ac:dyDescent="0.3">
      <c r="A4" t="s">
        <v>1270</v>
      </c>
      <c r="B4" s="153">
        <v>80000000</v>
      </c>
      <c r="C4" s="153">
        <f>B4</f>
        <v>80000000</v>
      </c>
      <c r="D4" s="153">
        <f>B4</f>
        <v>80000000</v>
      </c>
    </row>
    <row r="5" spans="1:4" x14ac:dyDescent="0.3">
      <c r="A5" t="s">
        <v>1271</v>
      </c>
      <c r="B5" s="632">
        <v>0.04</v>
      </c>
      <c r="C5" s="632">
        <v>0.03</v>
      </c>
      <c r="D5" s="632">
        <v>0.05</v>
      </c>
    </row>
    <row r="6" spans="1:4" x14ac:dyDescent="0.3">
      <c r="A6" t="s">
        <v>1272</v>
      </c>
      <c r="B6" s="222">
        <v>4</v>
      </c>
      <c r="C6" s="222">
        <f>B6</f>
        <v>4</v>
      </c>
      <c r="D6" s="222">
        <f>B6</f>
        <v>4</v>
      </c>
    </row>
    <row r="7" spans="1:4" x14ac:dyDescent="0.3">
      <c r="A7" t="s">
        <v>1273</v>
      </c>
      <c r="B7" s="153">
        <f>B4*(1+B5)^B6</f>
        <v>93588684.800000012</v>
      </c>
      <c r="C7" s="153">
        <f>C4*(1+C5)^C6</f>
        <v>90040704.799999997</v>
      </c>
      <c r="D7" s="153">
        <f>D4*(1+D5)^D6</f>
        <v>97240500</v>
      </c>
    </row>
    <row r="8" spans="1:4" x14ac:dyDescent="0.3">
      <c r="B8" s="537">
        <f>B7/B4-1</f>
        <v>0.16985856000000021</v>
      </c>
      <c r="C8" s="537">
        <f>C7/C4-1</f>
        <v>0.12550880999999992</v>
      </c>
      <c r="D8" s="537">
        <f>D7/D4-1</f>
        <v>0.21550625000000001</v>
      </c>
    </row>
    <row r="9" spans="1:4" x14ac:dyDescent="0.3">
      <c r="A9" t="s">
        <v>1274</v>
      </c>
      <c r="C9" s="153">
        <f>C7-$B7</f>
        <v>-3547980.0000000149</v>
      </c>
      <c r="D9" s="153">
        <f>D7-$B7</f>
        <v>3651815.1999999881</v>
      </c>
    </row>
    <row r="10" spans="1:4" x14ac:dyDescent="0.3">
      <c r="A10" t="s">
        <v>1275</v>
      </c>
      <c r="C10" s="537">
        <f>C7/$B7-1</f>
        <v>-3.7910352171120709E-2</v>
      </c>
      <c r="D10" s="537">
        <f>D7/$B7-1</f>
        <v>3.9019836722825607E-2</v>
      </c>
    </row>
    <row r="11" spans="1:4" x14ac:dyDescent="0.3">
      <c r="D11" s="552"/>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E34"/>
  <sheetViews>
    <sheetView workbookViewId="0"/>
  </sheetViews>
  <sheetFormatPr defaultRowHeight="14.4" x14ac:dyDescent="0.3"/>
  <cols>
    <col min="1" max="1" width="38.44140625" style="8" customWidth="1"/>
    <col min="2" max="4" width="15.5546875" style="8" customWidth="1"/>
  </cols>
  <sheetData>
    <row r="1" spans="1:4" ht="21" x14ac:dyDescent="0.4">
      <c r="A1" s="633" t="s">
        <v>1299</v>
      </c>
      <c r="B1" s="99"/>
      <c r="C1" s="99"/>
      <c r="D1" s="99"/>
    </row>
    <row r="3" spans="1:4" x14ac:dyDescent="0.3">
      <c r="B3" s="631" t="s">
        <v>1278</v>
      </c>
      <c r="C3" s="631" t="s">
        <v>1268</v>
      </c>
      <c r="D3" s="631" t="s">
        <v>1269</v>
      </c>
    </row>
    <row r="4" spans="1:4" x14ac:dyDescent="0.3">
      <c r="A4" s="553" t="s">
        <v>1279</v>
      </c>
      <c r="B4" s="634"/>
    </row>
    <row r="5" spans="1:4" x14ac:dyDescent="0.3">
      <c r="A5" s="8" t="s">
        <v>1280</v>
      </c>
      <c r="B5" s="635">
        <v>104175849</v>
      </c>
      <c r="C5" s="635"/>
      <c r="D5" s="635"/>
    </row>
    <row r="6" spans="1:4" x14ac:dyDescent="0.3">
      <c r="A6" s="8" t="s">
        <v>1281</v>
      </c>
      <c r="B6" s="635">
        <v>17344966.969999999</v>
      </c>
      <c r="C6" s="635"/>
      <c r="D6" s="635"/>
    </row>
    <row r="8" spans="1:4" x14ac:dyDescent="0.3">
      <c r="A8" s="636" t="s">
        <v>1282</v>
      </c>
    </row>
    <row r="9" spans="1:4" x14ac:dyDescent="0.3">
      <c r="A9" s="637" t="s">
        <v>1283</v>
      </c>
      <c r="B9" s="638">
        <v>0.05</v>
      </c>
      <c r="C9" s="638">
        <v>0.05</v>
      </c>
      <c r="D9" s="638">
        <v>0.1</v>
      </c>
    </row>
    <row r="10" spans="1:4" x14ac:dyDescent="0.3">
      <c r="A10" s="637" t="s">
        <v>1284</v>
      </c>
      <c r="B10" s="638">
        <v>0.1</v>
      </c>
      <c r="C10" s="638">
        <v>0.08</v>
      </c>
      <c r="D10" s="638">
        <v>0.12</v>
      </c>
    </row>
    <row r="11" spans="1:4" x14ac:dyDescent="0.3">
      <c r="A11" s="637" t="s">
        <v>1285</v>
      </c>
      <c r="B11" s="638">
        <v>0.1</v>
      </c>
      <c r="C11" s="638">
        <v>0.08</v>
      </c>
      <c r="D11" s="638">
        <v>0.11</v>
      </c>
    </row>
    <row r="12" spans="1:4" x14ac:dyDescent="0.3">
      <c r="A12" s="637" t="s">
        <v>1286</v>
      </c>
      <c r="B12" s="638">
        <v>1.4999999999999999E-2</v>
      </c>
      <c r="C12" s="638">
        <v>7.4999999999999997E-3</v>
      </c>
      <c r="D12" s="638">
        <v>0.02</v>
      </c>
    </row>
    <row r="13" spans="1:4" x14ac:dyDescent="0.3">
      <c r="A13" s="637" t="s">
        <v>1287</v>
      </c>
      <c r="B13" s="638">
        <v>0.01</v>
      </c>
      <c r="C13" s="638">
        <v>5.0000000000000001E-3</v>
      </c>
      <c r="D13" s="638">
        <v>1.4999999999999999E-2</v>
      </c>
    </row>
    <row r="14" spans="1:4" x14ac:dyDescent="0.3">
      <c r="A14" s="639" t="s">
        <v>1288</v>
      </c>
      <c r="B14" s="640">
        <f>((((((1+B9)*B10)+(1+B9))*B11+((1+B9)*B10)+(1+B9))*B12+(((1+B9)*B10)+(1+B9))*B11+((1+B9)*B10)+(1+B9))*(1+B13))-1</f>
        <v>0.30245307500000007</v>
      </c>
      <c r="C14" s="640">
        <f t="shared" ref="C14:D14" si="0">((((((1+C9)*C10)+(1+C9))*C11+((1+C9)*C10)+(1+C9))*C12+(((1+C9)*C10)+(1+C9))*C11+((1+C9)*C10)+(1+C9))*(1+C13))-1</f>
        <v>0.24007492699999999</v>
      </c>
      <c r="D14" s="640">
        <f t="shared" si="0"/>
        <v>0.41579345599999984</v>
      </c>
    </row>
    <row r="16" spans="1:4" x14ac:dyDescent="0.3">
      <c r="A16" s="636" t="s">
        <v>1289</v>
      </c>
    </row>
    <row r="17" spans="1:5" x14ac:dyDescent="0.3">
      <c r="A17" s="637" t="s">
        <v>1283</v>
      </c>
      <c r="B17" s="638">
        <v>0.1</v>
      </c>
      <c r="C17" s="638">
        <v>0.08</v>
      </c>
      <c r="D17" s="638">
        <v>0.15</v>
      </c>
    </row>
    <row r="18" spans="1:5" x14ac:dyDescent="0.3">
      <c r="A18" s="637" t="s">
        <v>1284</v>
      </c>
      <c r="B18" s="638">
        <v>0.1</v>
      </c>
      <c r="C18" s="638">
        <v>0.08</v>
      </c>
      <c r="D18" s="638">
        <v>0.12</v>
      </c>
    </row>
    <row r="19" spans="1:5" x14ac:dyDescent="0.3">
      <c r="A19" s="637" t="s">
        <v>1285</v>
      </c>
      <c r="B19" s="638">
        <v>0.1</v>
      </c>
      <c r="C19" s="638">
        <v>0.08</v>
      </c>
      <c r="D19" s="638">
        <v>0.1</v>
      </c>
    </row>
    <row r="20" spans="1:5" x14ac:dyDescent="0.3">
      <c r="A20" s="637" t="s">
        <v>1286</v>
      </c>
      <c r="B20" s="638">
        <v>1.4999999999999999E-2</v>
      </c>
      <c r="C20" s="638">
        <v>5.0000000000000001E-3</v>
      </c>
      <c r="D20" s="638">
        <v>0.02</v>
      </c>
    </row>
    <row r="21" spans="1:5" x14ac:dyDescent="0.3">
      <c r="A21" s="637" t="s">
        <v>1287</v>
      </c>
      <c r="B21" s="638">
        <v>0.01</v>
      </c>
      <c r="C21" s="638">
        <v>5.0000000000000001E-3</v>
      </c>
      <c r="D21" s="638">
        <v>1.4999999999999999E-2</v>
      </c>
    </row>
    <row r="22" spans="1:5" x14ac:dyDescent="0.3">
      <c r="A22" s="639" t="s">
        <v>1290</v>
      </c>
      <c r="B22" s="640">
        <f>((((((1+B17)*B18)+(1+B17))*B19+((1+B17)*B18)+(1+B17))*B20+(((1+B17)*B18)+(1+B17))*B19+((1+B17)*B18)+(1+B17))*(1+B21))-1</f>
        <v>0.36447465000000023</v>
      </c>
      <c r="C22" s="640">
        <f t="shared" ref="C22:D22" si="1">((((((1+C17)*C18)+(1+C17))*C19+((1+C17)*C18)+(1+C17))*C20+(((1+C17)*C18)+(1+C17))*C19+((1+C17)*C18)+(1+C17))*(1+C21))-1</f>
        <v>0.27234061279999988</v>
      </c>
      <c r="D22" s="640">
        <f t="shared" si="1"/>
        <v>0.46681303999999968</v>
      </c>
    </row>
    <row r="23" spans="1:5" x14ac:dyDescent="0.3">
      <c r="A23" s="637"/>
      <c r="B23" s="638"/>
      <c r="C23" s="638"/>
      <c r="D23" s="638"/>
    </row>
    <row r="24" spans="1:5" x14ac:dyDescent="0.3">
      <c r="A24" s="641" t="s">
        <v>1291</v>
      </c>
      <c r="B24" s="635">
        <f>B6/(1+$B$22)</f>
        <v>12711827.933190254</v>
      </c>
      <c r="C24" s="635">
        <f>B24</f>
        <v>12711827.933190254</v>
      </c>
      <c r="D24" s="635">
        <f>C24</f>
        <v>12711827.933190254</v>
      </c>
    </row>
    <row r="25" spans="1:5" x14ac:dyDescent="0.3">
      <c r="A25" s="641" t="s">
        <v>1292</v>
      </c>
      <c r="B25" s="635">
        <f>B6-B24</f>
        <v>4633139.0368097443</v>
      </c>
      <c r="C25" s="635">
        <f>C24*C22</f>
        <v>3461947.0091331899</v>
      </c>
      <c r="D25" s="635">
        <f>D24*D22</f>
        <v>5934047.0414494555</v>
      </c>
    </row>
    <row r="26" spans="1:5" x14ac:dyDescent="0.3">
      <c r="A26" s="641" t="s">
        <v>1281</v>
      </c>
      <c r="B26" s="635">
        <f>SUM(B24:B25)</f>
        <v>17344966.969999999</v>
      </c>
      <c r="C26" s="635">
        <f>SUM(C24:C25)</f>
        <v>16173774.942323444</v>
      </c>
      <c r="D26" s="635">
        <f>SUM(D24:D25)</f>
        <v>18645874.97463971</v>
      </c>
    </row>
    <row r="27" spans="1:5" x14ac:dyDescent="0.3">
      <c r="B27" s="634"/>
      <c r="C27" s="634"/>
      <c r="D27" s="634"/>
    </row>
    <row r="28" spans="1:5" x14ac:dyDescent="0.3">
      <c r="A28" s="8" t="s">
        <v>1293</v>
      </c>
      <c r="B28" s="635">
        <f>B5+B24</f>
        <v>116887676.93319026</v>
      </c>
      <c r="C28" s="635">
        <f>B5+C24</f>
        <v>116887676.93319026</v>
      </c>
      <c r="D28" s="635">
        <f>B5+D24</f>
        <v>116887676.93319026</v>
      </c>
    </row>
    <row r="29" spans="1:5" x14ac:dyDescent="0.3">
      <c r="B29" s="634"/>
      <c r="C29" s="634"/>
      <c r="D29" s="634"/>
    </row>
    <row r="30" spans="1:5" x14ac:dyDescent="0.3">
      <c r="A30" s="8" t="s">
        <v>1294</v>
      </c>
      <c r="B30" s="635">
        <f>B5+B26</f>
        <v>121520815.97</v>
      </c>
      <c r="C30" s="635">
        <f>B5+C26</f>
        <v>120349623.94232345</v>
      </c>
      <c r="D30" s="635">
        <f>B5+D26</f>
        <v>122821723.97463971</v>
      </c>
    </row>
    <row r="31" spans="1:5" x14ac:dyDescent="0.3">
      <c r="A31" s="8" t="s">
        <v>1295</v>
      </c>
      <c r="B31" s="635">
        <f>B30*B14</f>
        <v>36754344.466635615</v>
      </c>
      <c r="C31" s="635">
        <f>C30*C14</f>
        <v>28892927.182430752</v>
      </c>
      <c r="D31" s="635">
        <f>D30*D14</f>
        <v>51068469.083293483</v>
      </c>
    </row>
    <row r="32" spans="1:5" x14ac:dyDescent="0.3">
      <c r="A32" s="8" t="s">
        <v>1296</v>
      </c>
      <c r="B32" s="635">
        <f>B30+B31</f>
        <v>158275160.43663561</v>
      </c>
      <c r="C32" s="635">
        <f>C30+C31</f>
        <v>149242551.12475419</v>
      </c>
      <c r="D32" s="635">
        <f>D30+D31</f>
        <v>173890193.05793321</v>
      </c>
      <c r="E32" s="642" t="s">
        <v>1297</v>
      </c>
    </row>
    <row r="33" spans="1:4" ht="15" thickBot="1" x14ac:dyDescent="0.35">
      <c r="A33" s="643" t="s">
        <v>1298</v>
      </c>
      <c r="B33" s="644"/>
      <c r="C33" s="644">
        <f>C32-$B32</f>
        <v>-9032609.311881423</v>
      </c>
      <c r="D33" s="644">
        <f>D32-$B32</f>
        <v>15615032.621297598</v>
      </c>
    </row>
    <row r="34" spans="1:4" ht="15" thickTop="1" x14ac:dyDescent="0.3">
      <c r="B34" s="635"/>
      <c r="C34" s="635"/>
      <c r="D34" s="635"/>
    </row>
  </sheetData>
  <pageMargins left="0.25" right="0.25" top="0.25" bottom="0.5" header="0.25" footer="0.25"/>
  <pageSetup scale="45" orientation="landscape"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pageSetUpPr fitToPage="1"/>
  </sheetPr>
  <dimension ref="A1:H14"/>
  <sheetViews>
    <sheetView zoomScaleNormal="100" zoomScaleSheetLayoutView="100" workbookViewId="0">
      <pane xSplit="1" ySplit="6" topLeftCell="B7" activePane="bottomRight" state="frozen"/>
      <selection pane="topRight"/>
      <selection pane="bottomLeft"/>
      <selection pane="bottomRight" activeCell="B7" sqref="B7"/>
    </sheetView>
  </sheetViews>
  <sheetFormatPr defaultColWidth="8.88671875" defaultRowHeight="14.4" x14ac:dyDescent="0.3"/>
  <cols>
    <col min="1" max="1" width="15.88671875" style="8" customWidth="1"/>
    <col min="2" max="2" width="40.88671875" style="8" customWidth="1"/>
    <col min="3" max="8" width="15.88671875" style="8" customWidth="1"/>
    <col min="9" max="16384" width="8.88671875" style="1"/>
  </cols>
  <sheetData>
    <row r="1" spans="1:8" s="35" customFormat="1" ht="18" x14ac:dyDescent="0.35">
      <c r="A1" s="507" t="s">
        <v>1092</v>
      </c>
      <c r="B1" s="1099" t="str">
        <f ca="1">A5&amp;" - "&amp;B5</f>
        <v>TBD - TBD</v>
      </c>
      <c r="C1" s="1099"/>
      <c r="D1" s="1099"/>
      <c r="E1" s="1099"/>
      <c r="F1" s="1099"/>
      <c r="G1" s="1099"/>
      <c r="H1" s="1099"/>
    </row>
    <row r="2" spans="1:8" ht="14.4" customHeight="1" thickBot="1" x14ac:dyDescent="0.35"/>
    <row r="3" spans="1:8" ht="14.4" customHeight="1" thickBot="1" x14ac:dyDescent="0.35">
      <c r="C3" s="1100" t="s">
        <v>888</v>
      </c>
      <c r="D3" s="1101"/>
      <c r="E3" s="1102"/>
      <c r="F3" s="1100" t="s">
        <v>887</v>
      </c>
      <c r="G3" s="1101"/>
      <c r="H3" s="1102"/>
    </row>
    <row r="4" spans="1:8" ht="15" thickBot="1" x14ac:dyDescent="0.35">
      <c r="A4" s="511" t="str">
        <f>'H-Risk Register-Model'!A17</f>
        <v>REF</v>
      </c>
      <c r="B4" s="514" t="str">
        <f>'H-Risk Register-Model'!C17</f>
        <v>Risk/Opportunity Event</v>
      </c>
      <c r="C4" s="511" t="s">
        <v>1093</v>
      </c>
      <c r="D4" s="512" t="s">
        <v>714</v>
      </c>
      <c r="E4" s="513" t="s">
        <v>1094</v>
      </c>
      <c r="F4" s="511" t="str">
        <f>C4</f>
        <v>Low Variance</v>
      </c>
      <c r="G4" s="512" t="str">
        <f>D4</f>
        <v>Likely</v>
      </c>
      <c r="H4" s="513" t="str">
        <f>E4</f>
        <v>High Variance</v>
      </c>
    </row>
    <row r="5" spans="1:8" ht="50.1" customHeight="1" thickBot="1" x14ac:dyDescent="0.35">
      <c r="A5" s="508" t="str" cm="1">
        <f t="array" aca="1" ref="A5" ca="1">IFERROR(MID(CELL("filename",A1),FIND("]",CELL("filename",A1))+1,255)*1,"TBD")</f>
        <v>TBD</v>
      </c>
      <c r="B5" s="509" t="str">
        <f ca="1">IFERROR(VLOOKUP($A$5,'H-Risk Register-Model'!$A$18:$AI$1051,MATCH(B4,'H-Risk Register-Model'!$17:$17,0),FALSE),"TBD")</f>
        <v>TBD</v>
      </c>
      <c r="C5" s="519" t="s">
        <v>644</v>
      </c>
      <c r="D5" s="520" t="s">
        <v>644</v>
      </c>
      <c r="E5" s="521" t="s">
        <v>644</v>
      </c>
      <c r="F5" s="522" t="s">
        <v>644</v>
      </c>
      <c r="G5" s="523" t="s">
        <v>644</v>
      </c>
      <c r="H5" s="524" t="s">
        <v>644</v>
      </c>
    </row>
    <row r="6" spans="1:8" ht="14.4" customHeight="1" thickBot="1" x14ac:dyDescent="0.35">
      <c r="B6" s="114"/>
      <c r="F6" s="8" t="s">
        <v>665</v>
      </c>
      <c r="H6" s="8" t="s">
        <v>665</v>
      </c>
    </row>
    <row r="7" spans="1:8" ht="14.4" customHeight="1" thickBot="1" x14ac:dyDescent="0.35">
      <c r="C7" s="511" t="str">
        <f>'H-Risk Register-Model'!F17</f>
        <v>Likelihood</v>
      </c>
      <c r="D7" s="512" t="str">
        <f>'H-Risk Register-Model'!G17</f>
        <v>Impact (C)</v>
      </c>
      <c r="E7" s="514" t="str">
        <f>'H-Risk Register-Model'!H17</f>
        <v>Risk Level (C)</v>
      </c>
      <c r="F7" s="511" t="str">
        <f>C7</f>
        <v>Likelihood</v>
      </c>
      <c r="G7" s="512" t="str">
        <f>'H-Risk Register-Model'!I17</f>
        <v>Impact (S)</v>
      </c>
      <c r="H7" s="513" t="str">
        <f>'H-Risk Register-Model'!J17</f>
        <v>Risk Level (S)</v>
      </c>
    </row>
    <row r="8" spans="1:8" ht="14.4" customHeight="1" thickBot="1" x14ac:dyDescent="0.35">
      <c r="A8" s="510" t="s">
        <v>665</v>
      </c>
      <c r="B8" s="515" t="s">
        <v>1091</v>
      </c>
      <c r="C8" s="516" t="str">
        <f ca="1">IFERROR(VLOOKUP($A$5,'H-Risk Register-Model'!$A$17:$AU$122,MATCH(C7,'H-Risk Register-Model'!$17:$17,0),FALSE),"TBD")</f>
        <v>TBD</v>
      </c>
      <c r="D8" s="517" t="str">
        <f ca="1">IFERROR(VLOOKUP($A$5,'H-Risk Register-Model'!$A$17:$AU$122,MATCH(D7,'H-Risk Register-Model'!$17:$17,0),FALSE),"TBD")</f>
        <v>TBD</v>
      </c>
      <c r="E8" s="526" t="str">
        <f ca="1">IFERROR(VLOOKUP($A$5,'H-Risk Register-Model'!$A$17:$AU$122,MATCH(E7,'H-Risk Register-Model'!$17:$17,0),FALSE),"TBD")</f>
        <v>TBD</v>
      </c>
      <c r="F8" s="516" t="str">
        <f ca="1">IFERROR(VLOOKUP($A$5,'H-Risk Register-Model'!$A$17:$AU$122,MATCH(F7,'H-Risk Register-Model'!$17:$17,0),FALSE),"TBD")</f>
        <v>TBD</v>
      </c>
      <c r="G8" s="517" t="str">
        <f ca="1">IFERROR(VLOOKUP($A$5,'H-Risk Register-Model'!$A$17:$AU$122,MATCH(G7,'H-Risk Register-Model'!$17:$17,0),FALSE),"TBD")</f>
        <v>TBD</v>
      </c>
      <c r="H8" s="525" t="str">
        <f ca="1">IFERROR(VLOOKUP($A$5,'H-Risk Register-Model'!$A$17:$AU$122,MATCH(H7,'H-Risk Register-Model'!$17:$17,0),FALSE),"TBD")</f>
        <v>TBD</v>
      </c>
    </row>
    <row r="9" spans="1:8" ht="14.4" customHeight="1" x14ac:dyDescent="0.3">
      <c r="F9" s="8" t="s">
        <v>665</v>
      </c>
      <c r="H9" s="8" t="s">
        <v>665</v>
      </c>
    </row>
    <row r="10" spans="1:8" ht="60" customHeight="1" x14ac:dyDescent="0.3">
      <c r="A10" s="672" t="str">
        <f>'H-Risk Register-Model'!$D$17</f>
        <v>Risk Event Description</v>
      </c>
      <c r="B10" s="1096" t="str">
        <f ca="1">IFERROR(VLOOKUP($A$5,'H-Risk Register-Model'!$A$17:$AU$122,MATCH(A10,'H-Risk Register-Model'!$17:$17,0),FALSE),"TBD")</f>
        <v>TBD</v>
      </c>
      <c r="C10" s="1097"/>
      <c r="D10" s="1097"/>
      <c r="E10" s="1097"/>
      <c r="F10" s="1097"/>
      <c r="G10" s="1097"/>
      <c r="H10" s="1098"/>
    </row>
    <row r="11" spans="1:8" ht="250.35" customHeight="1" x14ac:dyDescent="0.3">
      <c r="A11" s="672" t="str">
        <f>'H-Risk Register-Model'!$E$17</f>
        <v>PDT Discussions on Impact and Likelihood</v>
      </c>
      <c r="B11" s="1096" t="str">
        <f ca="1">IFERROR(VLOOKUP($A$5,'H-Risk Register-Model'!$A$17:$AU$122,MATCH(A11,'H-Risk Register-Model'!$17:$17,0),FALSE),"TBD")</f>
        <v>TBD</v>
      </c>
      <c r="C11" s="1097"/>
      <c r="D11" s="1097"/>
      <c r="E11" s="1097"/>
      <c r="F11" s="1097"/>
      <c r="G11" s="1097"/>
      <c r="H11" s="1098"/>
    </row>
    <row r="12" spans="1:8" ht="60" customHeight="1" x14ac:dyDescent="0.3">
      <c r="A12" s="673" t="s">
        <v>714</v>
      </c>
      <c r="B12" s="1093"/>
      <c r="C12" s="1094"/>
      <c r="D12" s="1094"/>
      <c r="E12" s="1094"/>
      <c r="F12" s="1094"/>
      <c r="G12" s="1094"/>
      <c r="H12" s="1095"/>
    </row>
    <row r="13" spans="1:8" ht="60" customHeight="1" x14ac:dyDescent="0.3">
      <c r="A13" s="673" t="s">
        <v>1093</v>
      </c>
      <c r="B13" s="1093"/>
      <c r="C13" s="1094"/>
      <c r="D13" s="1094"/>
      <c r="E13" s="1094"/>
      <c r="F13" s="1094"/>
      <c r="G13" s="1094"/>
      <c r="H13" s="1095"/>
    </row>
    <row r="14" spans="1:8" ht="60" customHeight="1" x14ac:dyDescent="0.3">
      <c r="A14" s="673" t="s">
        <v>1094</v>
      </c>
      <c r="B14" s="1093"/>
      <c r="C14" s="1094"/>
      <c r="D14" s="1094"/>
      <c r="E14" s="1094"/>
      <c r="F14" s="1094"/>
      <c r="G14" s="1094"/>
      <c r="H14" s="1095"/>
    </row>
  </sheetData>
  <mergeCells count="8">
    <mergeCell ref="B13:H13"/>
    <mergeCell ref="B14:H14"/>
    <mergeCell ref="B10:H10"/>
    <mergeCell ref="B1:H1"/>
    <mergeCell ref="C3:E3"/>
    <mergeCell ref="F3:H3"/>
    <mergeCell ref="B11:H11"/>
    <mergeCell ref="B12:H12"/>
  </mergeCells>
  <conditionalFormatting sqref="C5:E5">
    <cfRule type="expression" dxfId="19" priority="10">
      <formula>$E$8="Low"</formula>
    </cfRule>
  </conditionalFormatting>
  <conditionalFormatting sqref="F5:H5">
    <cfRule type="expression" dxfId="18" priority="9">
      <formula>$H$8="Low"</formula>
    </cfRule>
  </conditionalFormatting>
  <conditionalFormatting sqref="E8">
    <cfRule type="expression" dxfId="17" priority="5" stopIfTrue="1">
      <formula>LEFT(E8,1)="H"</formula>
    </cfRule>
    <cfRule type="expression" dxfId="16" priority="6" stopIfTrue="1">
      <formula>LEFT(E8,1)="M"</formula>
    </cfRule>
    <cfRule type="expression" dxfId="15" priority="7" stopIfTrue="1">
      <formula>LEFT(E8,1)="L"</formula>
    </cfRule>
    <cfRule type="expression" dxfId="14" priority="8" stopIfTrue="1">
      <formula>LEFT(C8,3)="Cer"</formula>
    </cfRule>
  </conditionalFormatting>
  <conditionalFormatting sqref="H8">
    <cfRule type="expression" dxfId="13" priority="1" stopIfTrue="1">
      <formula>LEFT(H8,1)="H"</formula>
    </cfRule>
    <cfRule type="expression" dxfId="12" priority="2" stopIfTrue="1">
      <formula>LEFT(H8,1)="M"</formula>
    </cfRule>
    <cfRule type="expression" dxfId="11" priority="3" stopIfTrue="1">
      <formula>LEFT(H8,1)="L"</formula>
    </cfRule>
    <cfRule type="expression" dxfId="10" priority="4" stopIfTrue="1">
      <formula>LEFT(F8,3)="Cer"</formula>
    </cfRule>
  </conditionalFormatting>
  <printOptions horizontalCentered="1"/>
  <pageMargins left="0.25" right="0.25" top="0.25" bottom="0.5" header="0.25" footer="0.25"/>
  <pageSetup scale="80" orientation="landscape" horizontalDpi="1200" verticalDpi="1200" r:id="rId1"/>
  <headerFooter>
    <oddFooter>&amp;CPage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pageSetUpPr fitToPage="1"/>
  </sheetPr>
  <dimension ref="A1:H19"/>
  <sheetViews>
    <sheetView zoomScaleNormal="100" zoomScaleSheetLayoutView="100" workbookViewId="0">
      <pane xSplit="1" ySplit="6" topLeftCell="B7" activePane="bottomRight" state="frozen"/>
      <selection pane="topRight"/>
      <selection pane="bottomLeft"/>
      <selection pane="bottomRight" activeCell="B7" sqref="B7"/>
    </sheetView>
  </sheetViews>
  <sheetFormatPr defaultColWidth="8.88671875" defaultRowHeight="14.4" x14ac:dyDescent="0.3"/>
  <cols>
    <col min="1" max="1" width="15.88671875" style="8" customWidth="1"/>
    <col min="2" max="2" width="40.88671875" style="8" customWidth="1"/>
    <col min="3" max="8" width="15.88671875" style="8" customWidth="1"/>
    <col min="9" max="18" width="15.88671875" style="1" customWidth="1"/>
    <col min="19" max="16384" width="8.88671875" style="1"/>
  </cols>
  <sheetData>
    <row r="1" spans="1:8" s="35" customFormat="1" ht="18" x14ac:dyDescent="0.35">
      <c r="A1" s="507" t="s">
        <v>1092</v>
      </c>
      <c r="B1" s="1099" t="str">
        <f ca="1">A5&amp;" - "&amp;B5</f>
        <v>1 - Example Variation Risk of Relatively Known Quantities</v>
      </c>
      <c r="C1" s="1099"/>
      <c r="D1" s="1099"/>
      <c r="E1" s="1099"/>
      <c r="F1" s="1099"/>
      <c r="G1" s="1099"/>
      <c r="H1" s="1099"/>
    </row>
    <row r="2" spans="1:8" ht="14.4" customHeight="1" thickBot="1" x14ac:dyDescent="0.35"/>
    <row r="3" spans="1:8" ht="14.4" customHeight="1" thickBot="1" x14ac:dyDescent="0.35">
      <c r="C3" s="1100" t="s">
        <v>888</v>
      </c>
      <c r="D3" s="1101"/>
      <c r="E3" s="1102"/>
      <c r="F3" s="1100" t="s">
        <v>887</v>
      </c>
      <c r="G3" s="1101"/>
      <c r="H3" s="1102"/>
    </row>
    <row r="4" spans="1:8" ht="15" thickBot="1" x14ac:dyDescent="0.35">
      <c r="A4" s="511" t="str">
        <f>'H-Risk Register-Model'!A17</f>
        <v>REF</v>
      </c>
      <c r="B4" s="514" t="str">
        <f>'H-Risk Register-Model'!C17</f>
        <v>Risk/Opportunity Event</v>
      </c>
      <c r="C4" s="511" t="s">
        <v>1093</v>
      </c>
      <c r="D4" s="512" t="s">
        <v>714</v>
      </c>
      <c r="E4" s="513" t="s">
        <v>1094</v>
      </c>
      <c r="F4" s="511" t="str">
        <f>C4</f>
        <v>Low Variance</v>
      </c>
      <c r="G4" s="512" t="str">
        <f>D4</f>
        <v>Likely</v>
      </c>
      <c r="H4" s="513" t="str">
        <f>E4</f>
        <v>High Variance</v>
      </c>
    </row>
    <row r="5" spans="1:8" ht="50.1" customHeight="1" thickBot="1" x14ac:dyDescent="0.35">
      <c r="A5" s="508" cm="1">
        <f t="array" aca="1" ref="A5" ca="1">IFERROR(MID(CELL("filename",A1),FIND("]",CELL("filename",A1))+1,255)*1,"TBD")</f>
        <v>1</v>
      </c>
      <c r="B5" s="509" t="str">
        <f ca="1">IFERROR(VLOOKUP($A$5,'H-Risk Register-Model'!$A$18:$AI$1051,MATCH(B4,'H-Risk Register-Model'!$17:$17,0),FALSE),"TBD")</f>
        <v>Example Variation Risk of Relatively Known Quantities</v>
      </c>
      <c r="C5" s="519">
        <f>G18</f>
        <v>-6250000</v>
      </c>
      <c r="D5" s="520">
        <f>G17</f>
        <v>0</v>
      </c>
      <c r="E5" s="521">
        <f>G19</f>
        <v>12500000</v>
      </c>
      <c r="F5" s="522">
        <v>-3</v>
      </c>
      <c r="G5" s="523">
        <v>0</v>
      </c>
      <c r="H5" s="524">
        <v>6</v>
      </c>
    </row>
    <row r="6" spans="1:8" ht="14.4" customHeight="1" thickBot="1" x14ac:dyDescent="0.35">
      <c r="B6" s="114"/>
      <c r="F6" s="8" t="s">
        <v>665</v>
      </c>
      <c r="H6" s="8" t="s">
        <v>665</v>
      </c>
    </row>
    <row r="7" spans="1:8" ht="14.4" customHeight="1" thickBot="1" x14ac:dyDescent="0.35">
      <c r="C7" s="511" t="str">
        <f>'H-Risk Register-Model'!F17</f>
        <v>Likelihood</v>
      </c>
      <c r="D7" s="512" t="str">
        <f>'H-Risk Register-Model'!G17</f>
        <v>Impact (C)</v>
      </c>
      <c r="E7" s="514" t="str">
        <f>'H-Risk Register-Model'!H17</f>
        <v>Risk Level (C)</v>
      </c>
      <c r="F7" s="511" t="str">
        <f>C7</f>
        <v>Likelihood</v>
      </c>
      <c r="G7" s="512" t="str">
        <f>'H-Risk Register-Model'!I17</f>
        <v>Impact (S)</v>
      </c>
      <c r="H7" s="513" t="str">
        <f>'H-Risk Register-Model'!J17</f>
        <v>Risk Level (S)</v>
      </c>
    </row>
    <row r="8" spans="1:8" ht="14.4" customHeight="1" thickBot="1" x14ac:dyDescent="0.35">
      <c r="A8" s="510" t="s">
        <v>665</v>
      </c>
      <c r="B8" s="515" t="s">
        <v>1091</v>
      </c>
      <c r="C8" s="516" t="str">
        <f ca="1">IFERROR(VLOOKUP($A$5,'H-Risk Register-Model'!$A$17:$AU$122,MATCH(C7,'H-Risk Register-Model'!$17:$17,0),FALSE),"TBD")</f>
        <v>Very Likely</v>
      </c>
      <c r="D8" s="517" t="str">
        <f ca="1">IFERROR(VLOOKUP($A$5,'H-Risk Register-Model'!$A$17:$AU$122,MATCH(D7,'H-Risk Register-Model'!$17:$17,0),FALSE),"TBD")</f>
        <v>Significant</v>
      </c>
      <c r="E8" s="526" t="str">
        <f ca="1">IFERROR(VLOOKUP($A$5,'H-Risk Register-Model'!$A$17:$AU$122,MATCH(E7,'H-Risk Register-Model'!$17:$17,0),FALSE),"TBD")</f>
        <v>High</v>
      </c>
      <c r="F8" s="516" t="str">
        <f ca="1">IFERROR(VLOOKUP($A$5,'H-Risk Register-Model'!$A$17:$AU$122,MATCH(F7,'H-Risk Register-Model'!$17:$17,0),FALSE),"TBD")</f>
        <v>Very Likely</v>
      </c>
      <c r="G8" s="517" t="str">
        <f ca="1">IFERROR(VLOOKUP($A$5,'H-Risk Register-Model'!$A$17:$AU$122,MATCH(G7,'H-Risk Register-Model'!$17:$17,0),FALSE),"TBD")</f>
        <v>Significant</v>
      </c>
      <c r="H8" s="525" t="str">
        <f ca="1">IFERROR(VLOOKUP($A$5,'H-Risk Register-Model'!$A$17:$AU$122,MATCH(H7,'H-Risk Register-Model'!$17:$17,0),FALSE),"TBD")</f>
        <v>High</v>
      </c>
    </row>
    <row r="9" spans="1:8" ht="14.4" customHeight="1" x14ac:dyDescent="0.3">
      <c r="F9" s="8" t="s">
        <v>665</v>
      </c>
      <c r="H9" s="8" t="s">
        <v>665</v>
      </c>
    </row>
    <row r="10" spans="1:8" ht="60" customHeight="1" x14ac:dyDescent="0.3">
      <c r="A10" s="672" t="str">
        <f>'H-Risk Register-Model'!$D$17</f>
        <v>Risk Event Description</v>
      </c>
      <c r="B10" s="1096" t="str">
        <f ca="1">IFERROR(VLOOKUP($A$5,'H-Risk Register-Model'!$A$17:$AU$122,MATCH(A10,'H-Risk Register-Model'!$17:$17,0),FALSE),"TBD")</f>
        <v>Example variation risk (such as quantity variation).</v>
      </c>
      <c r="C10" s="1097"/>
      <c r="D10" s="1097"/>
      <c r="E10" s="1097"/>
      <c r="F10" s="1097"/>
      <c r="G10" s="1097"/>
      <c r="H10" s="1098"/>
    </row>
    <row r="11" spans="1:8" ht="250.35" customHeight="1" x14ac:dyDescent="0.3">
      <c r="A11" s="672" t="str">
        <f>'H-Risk Register-Model'!$E$17</f>
        <v>PDT Discussions on Impact and Likelihood</v>
      </c>
      <c r="B11" s="1096" t="str">
        <f ca="1">IFERROR(VLOOKUP($A$5,'H-Risk Register-Model'!$A$17:$AU$122,MATCH(A11,'H-Risk Register-Model'!$17:$17,0),FALSE),"TBD")</f>
        <v>Best practice is to state what the current design, estimate, and schedule assumptions are and challenge your team on the Low Variance (LV) and High Variance (HV) ranges.
Example:
The base estimate &amp; schedule assumes 1M CY of excavation for 12 MO.
LV:  Assume 750k CY of excavation for 9 MO.
HV:  Assume 1.5M CY of excavation for 18 MO.</v>
      </c>
      <c r="C11" s="1097"/>
      <c r="D11" s="1097"/>
      <c r="E11" s="1097"/>
      <c r="F11" s="1097"/>
      <c r="G11" s="1097"/>
      <c r="H11" s="1098"/>
    </row>
    <row r="12" spans="1:8" ht="60" customHeight="1" x14ac:dyDescent="0.3">
      <c r="A12" s="673" t="s">
        <v>714</v>
      </c>
      <c r="B12" s="1093" t="s">
        <v>1222</v>
      </c>
      <c r="C12" s="1094"/>
      <c r="D12" s="1094"/>
      <c r="E12" s="1094"/>
      <c r="F12" s="1094"/>
      <c r="G12" s="1094"/>
      <c r="H12" s="1095"/>
    </row>
    <row r="13" spans="1:8" ht="60" customHeight="1" x14ac:dyDescent="0.3">
      <c r="A13" s="673" t="s">
        <v>1093</v>
      </c>
      <c r="B13" s="1093" t="s">
        <v>1239</v>
      </c>
      <c r="C13" s="1094"/>
      <c r="D13" s="1094"/>
      <c r="E13" s="1094"/>
      <c r="F13" s="1094"/>
      <c r="G13" s="1094"/>
      <c r="H13" s="1095"/>
    </row>
    <row r="14" spans="1:8" ht="60" customHeight="1" x14ac:dyDescent="0.3">
      <c r="A14" s="673" t="s">
        <v>1094</v>
      </c>
      <c r="B14" s="1093" t="s">
        <v>1240</v>
      </c>
      <c r="C14" s="1094"/>
      <c r="D14" s="1094"/>
      <c r="E14" s="1094"/>
      <c r="F14" s="1094"/>
      <c r="G14" s="1094"/>
      <c r="H14" s="1095"/>
    </row>
    <row r="16" spans="1:8" x14ac:dyDescent="0.3">
      <c r="C16" s="380" t="s">
        <v>1189</v>
      </c>
      <c r="D16" s="380" t="s">
        <v>1190</v>
      </c>
      <c r="E16" s="380" t="s">
        <v>1191</v>
      </c>
      <c r="F16" s="380" t="s">
        <v>888</v>
      </c>
      <c r="G16" s="380" t="s">
        <v>1192</v>
      </c>
    </row>
    <row r="17" spans="2:7" x14ac:dyDescent="0.3">
      <c r="B17" s="8" t="s">
        <v>689</v>
      </c>
      <c r="C17" s="613">
        <f>1000000</f>
        <v>1000000</v>
      </c>
      <c r="D17" s="554" t="s">
        <v>1118</v>
      </c>
      <c r="E17" s="614">
        <v>25</v>
      </c>
      <c r="F17" s="615">
        <f>C17*E17</f>
        <v>25000000</v>
      </c>
      <c r="G17" s="615">
        <f>F17-$F$17</f>
        <v>0</v>
      </c>
    </row>
    <row r="18" spans="2:7" x14ac:dyDescent="0.3">
      <c r="B18" s="8" t="s">
        <v>1237</v>
      </c>
      <c r="C18" s="613">
        <v>750000</v>
      </c>
      <c r="D18" s="554" t="s">
        <v>1118</v>
      </c>
      <c r="E18" s="614">
        <v>25</v>
      </c>
      <c r="F18" s="615">
        <f>C18*E18</f>
        <v>18750000</v>
      </c>
      <c r="G18" s="615">
        <f>F18-$F$17</f>
        <v>-6250000</v>
      </c>
    </row>
    <row r="19" spans="2:7" x14ac:dyDescent="0.3">
      <c r="B19" s="8" t="s">
        <v>1238</v>
      </c>
      <c r="C19" s="613">
        <v>1500000</v>
      </c>
      <c r="D19" s="554" t="s">
        <v>1118</v>
      </c>
      <c r="E19" s="614">
        <v>25</v>
      </c>
      <c r="F19" s="615">
        <f>C19*E19</f>
        <v>37500000</v>
      </c>
      <c r="G19" s="615">
        <f>F19-$F$17</f>
        <v>12500000</v>
      </c>
    </row>
  </sheetData>
  <mergeCells count="8">
    <mergeCell ref="B13:H13"/>
    <mergeCell ref="B14:H14"/>
    <mergeCell ref="B1:H1"/>
    <mergeCell ref="C3:E3"/>
    <mergeCell ref="F3:H3"/>
    <mergeCell ref="B10:H10"/>
    <mergeCell ref="B11:H11"/>
    <mergeCell ref="B12:H12"/>
  </mergeCells>
  <conditionalFormatting sqref="C5:E5">
    <cfRule type="expression" dxfId="9" priority="10">
      <formula>$E$8="Low"</formula>
    </cfRule>
  </conditionalFormatting>
  <conditionalFormatting sqref="F5:H5">
    <cfRule type="expression" dxfId="8" priority="9">
      <formula>$H$8="Low"</formula>
    </cfRule>
  </conditionalFormatting>
  <conditionalFormatting sqref="E8">
    <cfRule type="expression" dxfId="7" priority="5" stopIfTrue="1">
      <formula>LEFT(E8,1)="H"</formula>
    </cfRule>
    <cfRule type="expression" dxfId="6" priority="6" stopIfTrue="1">
      <formula>LEFT(E8,1)="M"</formula>
    </cfRule>
    <cfRule type="expression" dxfId="5" priority="7" stopIfTrue="1">
      <formula>LEFT(E8,1)="L"</formula>
    </cfRule>
    <cfRule type="expression" dxfId="4" priority="8" stopIfTrue="1">
      <formula>LEFT(C8,3)="Cer"</formula>
    </cfRule>
  </conditionalFormatting>
  <conditionalFormatting sqref="H8">
    <cfRule type="expression" dxfId="3" priority="1" stopIfTrue="1">
      <formula>LEFT(H8,1)="H"</formula>
    </cfRule>
    <cfRule type="expression" dxfId="2" priority="2" stopIfTrue="1">
      <formula>LEFT(H8,1)="M"</formula>
    </cfRule>
    <cfRule type="expression" dxfId="1" priority="3" stopIfTrue="1">
      <formula>LEFT(H8,1)="L"</formula>
    </cfRule>
    <cfRule type="expression" dxfId="0" priority="4" stopIfTrue="1">
      <formula>LEFT(F8,3)="Cer"</formula>
    </cfRule>
  </conditionalFormatting>
  <printOptions horizontalCentered="1"/>
  <pageMargins left="0.25" right="0.25" top="0.25" bottom="0.5" header="0.25" footer="0.25"/>
  <pageSetup scale="80" orientation="landscape" horizontalDpi="1200" verticalDpi="1200" r:id="rId1"/>
  <headerFooter>
    <oddFooter>&amp;CPage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pageSetUpPr fitToPage="1"/>
  </sheetPr>
  <dimension ref="A2:C14"/>
  <sheetViews>
    <sheetView showGridLines="0" zoomScaleNormal="100" workbookViewId="0">
      <pane ySplit="2" topLeftCell="A3" activePane="bottomLeft" state="frozen"/>
      <selection activeCell="A3" sqref="A3"/>
      <selection pane="bottomLeft" activeCell="A3" sqref="A3"/>
    </sheetView>
  </sheetViews>
  <sheetFormatPr defaultRowHeight="14.4" x14ac:dyDescent="0.3"/>
  <cols>
    <col min="1" max="1" width="3" style="8" customWidth="1"/>
    <col min="2" max="2" width="125.5546875" style="8" customWidth="1"/>
    <col min="3" max="3" width="3" style="8" customWidth="1"/>
  </cols>
  <sheetData>
    <row r="2" spans="2:2" ht="21" x14ac:dyDescent="0.3">
      <c r="B2" s="219" t="s">
        <v>852</v>
      </c>
    </row>
    <row r="3" spans="2:2" x14ac:dyDescent="0.3">
      <c r="B3" s="217" t="s">
        <v>1081</v>
      </c>
    </row>
    <row r="4" spans="2:2" ht="28.8" x14ac:dyDescent="0.3">
      <c r="B4" s="218" t="s">
        <v>1082</v>
      </c>
    </row>
    <row r="5" spans="2:2" ht="28.8" x14ac:dyDescent="0.3">
      <c r="B5" s="218" t="s">
        <v>1083</v>
      </c>
    </row>
    <row r="6" spans="2:2" ht="28.8" x14ac:dyDescent="0.3">
      <c r="B6" s="218" t="s">
        <v>1084</v>
      </c>
    </row>
    <row r="7" spans="2:2" x14ac:dyDescent="0.3">
      <c r="B7" s="218" t="s">
        <v>1085</v>
      </c>
    </row>
    <row r="8" spans="2:2" ht="57.6" x14ac:dyDescent="0.3">
      <c r="B8" s="218" t="s">
        <v>850</v>
      </c>
    </row>
    <row r="9" spans="2:2" ht="28.8" x14ac:dyDescent="0.3">
      <c r="B9" s="218" t="s">
        <v>1086</v>
      </c>
    </row>
    <row r="10" spans="2:2" ht="28.8" x14ac:dyDescent="0.3">
      <c r="B10" s="218" t="s">
        <v>1087</v>
      </c>
    </row>
    <row r="11" spans="2:2" x14ac:dyDescent="0.3">
      <c r="B11" s="218" t="s">
        <v>1088</v>
      </c>
    </row>
    <row r="12" spans="2:2" ht="28.8" x14ac:dyDescent="0.3">
      <c r="B12" s="218" t="s">
        <v>1089</v>
      </c>
    </row>
    <row r="13" spans="2:2" ht="28.8" x14ac:dyDescent="0.3">
      <c r="B13" s="218" t="s">
        <v>1090</v>
      </c>
    </row>
    <row r="14" spans="2:2" x14ac:dyDescent="0.3">
      <c r="B14" s="130" t="s">
        <v>851</v>
      </c>
    </row>
  </sheetData>
  <pageMargins left="0.25" right="0.25" top="0.25" bottom="0.5" header="0.25" footer="0.25"/>
  <pageSetup scale="99" fitToHeight="0" orientation="portrait" horizontalDpi="1200" verticalDpi="1200" r:id="rId1"/>
  <headerFooter>
    <oddFooter>&amp;CPage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
  <sheetViews>
    <sheetView workbookViewId="0"/>
  </sheetViews>
  <sheetFormatPr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36"/>
  <sheetViews>
    <sheetView showGridLines="0" zoomScaleNormal="100" workbookViewId="0">
      <pane ySplit="2" topLeftCell="A3" activePane="bottomLeft" state="frozen"/>
      <selection pane="bottomLeft" activeCell="B16" sqref="B16"/>
    </sheetView>
  </sheetViews>
  <sheetFormatPr defaultRowHeight="14.4" outlineLevelCol="1" x14ac:dyDescent="0.3"/>
  <cols>
    <col min="1" max="1" width="10.5546875" customWidth="1"/>
    <col min="2" max="2" width="100.5546875" customWidth="1"/>
    <col min="4" max="4" width="28.109375" hidden="1" customWidth="1" outlineLevel="1"/>
    <col min="5" max="5" width="55.88671875" hidden="1" customWidth="1" outlineLevel="1"/>
    <col min="6" max="6" width="30.5546875" hidden="1" customWidth="1" outlineLevel="1"/>
    <col min="7" max="7" width="5.44140625" hidden="1" customWidth="1" outlineLevel="1"/>
    <col min="8" max="8" width="8.109375" hidden="1" customWidth="1" outlineLevel="1"/>
    <col min="9" max="9" width="5.44140625" hidden="1" customWidth="1" outlineLevel="1"/>
    <col min="10" max="10" width="5.88671875" hidden="1" customWidth="1" outlineLevel="1"/>
    <col min="11" max="11" width="24.109375" hidden="1" customWidth="1" outlineLevel="1"/>
    <col min="12" max="12" width="8.88671875" hidden="1" customWidth="1" outlineLevel="1"/>
    <col min="13" max="13" width="34.5546875" hidden="1" customWidth="1" outlineLevel="1"/>
    <col min="14" max="14" width="8.88671875" collapsed="1"/>
  </cols>
  <sheetData>
    <row r="1" spans="1:13" s="7" customFormat="1" ht="21" x14ac:dyDescent="0.4">
      <c r="A1" s="850" t="s">
        <v>10</v>
      </c>
      <c r="B1" s="850"/>
      <c r="D1" s="850" t="s">
        <v>1366</v>
      </c>
      <c r="E1" s="850"/>
      <c r="F1" s="850"/>
      <c r="G1" s="850"/>
      <c r="H1" s="850"/>
      <c r="I1" s="850"/>
      <c r="J1" s="850"/>
      <c r="K1" s="850"/>
      <c r="L1" s="850"/>
      <c r="M1" s="850"/>
    </row>
    <row r="2" spans="1:13" s="1" customFormat="1" x14ac:dyDescent="0.3">
      <c r="G2"/>
      <c r="H2"/>
      <c r="I2"/>
      <c r="J2"/>
      <c r="K2"/>
      <c r="L2"/>
      <c r="M2"/>
    </row>
    <row r="3" spans="1:13" x14ac:dyDescent="0.3">
      <c r="A3" s="445" t="s">
        <v>1074</v>
      </c>
      <c r="B3" s="446"/>
      <c r="D3" s="446" t="s">
        <v>2</v>
      </c>
      <c r="E3" s="447" t="s">
        <v>1062</v>
      </c>
      <c r="F3" s="446" t="s">
        <v>1047</v>
      </c>
      <c r="G3" s="446" t="s">
        <v>1339</v>
      </c>
      <c r="H3" s="446" t="s">
        <v>1345</v>
      </c>
      <c r="I3" s="446" t="s">
        <v>1346</v>
      </c>
      <c r="K3" s="446" t="s">
        <v>1344</v>
      </c>
      <c r="M3" s="446" t="s">
        <v>1347</v>
      </c>
    </row>
    <row r="4" spans="1:13" x14ac:dyDescent="0.3">
      <c r="A4" s="758">
        <v>1</v>
      </c>
      <c r="B4" s="756" t="s">
        <v>1340</v>
      </c>
      <c r="D4" s="421" t="s">
        <v>1048</v>
      </c>
      <c r="E4" s="421" t="str" cm="1">
        <f t="array" aca="1" ref="E4" ca="1">TEXT(CELL("address",'E-Cost &amp; Schedule Summary'!$D$50),"")</f>
        <v>'[CSRA Template FY2023 REV01.xlsx]E-Cost &amp; Schedule Summary'!$D$50</v>
      </c>
      <c r="F4" s="421" t="str">
        <f t="shared" ref="F4:F19" ca="1" si="0">RIGHT(E4,LEN(E4)-FIND("]",E4))</f>
        <v>E-Cost &amp; Schedule Summary'!$D$50</v>
      </c>
      <c r="G4" s="421" t="str">
        <f t="shared" ref="G4:G31" ca="1" si="1">SUBSTITUTE(RIGHT(F4,LEN(F4)-FIND("!",F4,1)),"$","")</f>
        <v>D50</v>
      </c>
      <c r="H4" s="421" t="str">
        <f t="shared" ref="H4:H11" ca="1" si="2">SUBSTITUTE(G4,I4,"")</f>
        <v>D</v>
      </c>
      <c r="I4" s="421" t="str" cm="1">
        <f t="array" aca="1" ref="I4" ca="1">RIGHT(G4,LEN(G4)-MIN(FIND({0,1,2,3,4,5,6,7,8,9},G4&amp;"0123456789"))+1)</f>
        <v>50</v>
      </c>
      <c r="M4" s="765" t="s">
        <v>1355</v>
      </c>
    </row>
    <row r="5" spans="1:13" ht="57.6" x14ac:dyDescent="0.3">
      <c r="A5" s="758">
        <f>A4+1</f>
        <v>2</v>
      </c>
      <c r="B5" s="756" t="str">
        <f ca="1">CONCATENATE("Fill Out the '",K6,"' tab and the ‘",K5,"'’ tab before the meeting.  This will set the project assumptions tab up for the risk register ranges that display on the ‘",K9,"’ tab.  The cost and schedule data you fill in here links to the contingency tabs- so be careful if you reformat.  The ‘",K6,"’ tab is for the Estimator to help you!   It is good to break things out by WBS so you can use this in development of risk ranges.")</f>
        <v>Fill Out the 'E-Cost &amp; Schedule Summary' tab and the ‘D-Project Data'’ tab before the meeting.  This will set the project assumptions tab up for the risk register ranges that display on the ‘H-Risk Register-Model’ tab.  The cost and schedule data you fill in here links to the contingency tabs- so be careful if you reformat.  The ‘E-Cost &amp; Schedule Summary’ tab is for the Estimator to help you!   It is good to break things out by WBS so you can use this in development of risk ranges.</v>
      </c>
      <c r="D5" s="421" t="s">
        <v>1063</v>
      </c>
      <c r="E5" s="421" t="str" cm="1">
        <f t="array" aca="1" ref="E5" ca="1">TEXT(CELL("address",'E-Cost &amp; Schedule Summary'!G52),"")</f>
        <v>'[CSRA Template FY2023 REV01.xlsx]E-Cost &amp; Schedule Summary'!$G$52</v>
      </c>
      <c r="F5" s="421" t="str">
        <f t="shared" ca="1" si="0"/>
        <v>E-Cost &amp; Schedule Summary'!$G$52</v>
      </c>
      <c r="G5" s="421" t="str">
        <f t="shared" ca="1" si="1"/>
        <v>G52</v>
      </c>
      <c r="H5" s="421" t="str">
        <f t="shared" ca="1" si="2"/>
        <v>G</v>
      </c>
      <c r="I5" s="421" t="str" cm="1">
        <f t="array" aca="1" ref="I5" ca="1">RIGHT(G5,LEN(G5)-MIN(FIND({0,1,2,3,4,5,6,7,8,9},G5&amp;"0123456789"))+1)</f>
        <v>52</v>
      </c>
      <c r="K5" s="757" t="str" cm="1">
        <f t="array" aca="1" ref="K5" ca="1">MID(CELL("filename",'D-Project Data'!A1),FIND("]",CELL("filename",'D-Project Data'!A1))+1,255)</f>
        <v>D-Project Data</v>
      </c>
      <c r="M5" s="765" t="s">
        <v>1356</v>
      </c>
    </row>
    <row r="6" spans="1:13" ht="115.2" x14ac:dyDescent="0.3">
      <c r="A6" s="758">
        <f>A5+1</f>
        <v>3</v>
      </c>
      <c r="B6" s="756" t="str">
        <f ca="1">CONCATENATE("CELL ",G4," on the ‘",K6,"’ tab is what generates the 'ranges' defining costs of impacts by using the values in the ‘",K8,"’ tab and the base cost/schedule of the project.  The cost value is highlighted RED.  If you have a project cost ceiling or programmed amount already, you can populate the programmed amount in CELL ",G5," and there is a chart already created in the project contingency tab that will show it on the S-curve.  Check the ranges on the ‘",K8,"’ Tab-- a “Marginal” risk is 0.5% of the estimated project cost.  Depending on where you are in execution you may want to LOWER the thresholds of risk at each level.  ","Marginal should never be defined as more than 1/2 of 1 percent.  You can lower the values but generally don’t want to raise them.  Rounding for the assumptions is set in CELLS ",G6," and ",G7," on the '",K8,"' tab.")</f>
        <v>CELL D50 on the ‘E-Cost &amp; Schedule Summary’ tab is what generates the 'ranges' defining costs of impacts by using the values in the ‘G-Assumptions’ tab and the base cost/schedule of the project.  The cost value is highlighted RED.  If you have a project cost ceiling or programmed amount already, you can populate the programmed amount in CELL G52 and there is a chart already created in the project contingency tab that will show it on the S-curve.  Check the ranges on the ‘G-Assumptions’ Tab-- a “Marginal” risk is 0.5% of the estimated project cost.  Depending on where you are in execution you may want to LOWER the thresholds of risk at each level.  Marginal should never be defined as more than 1/2 of 1 percent.  You can lower the values but generally don’t want to raise them.  Rounding for the assumptions is set in CELLS B69 and C69 on the 'G-Assumptions' tab.</v>
      </c>
      <c r="D6" s="421" t="s">
        <v>1050</v>
      </c>
      <c r="E6" s="421" t="str" cm="1">
        <f t="array" aca="1" ref="E6" ca="1">TEXT(CELL("address",'G-Assumptions'!B69),"")</f>
        <v>'[CSRA Template FY2023 REV01.xlsx]G-Assumptions'!$B$69</v>
      </c>
      <c r="F6" s="421" t="str">
        <f t="shared" ca="1" si="0"/>
        <v>G-Assumptions'!$B$69</v>
      </c>
      <c r="G6" s="421" t="str">
        <f t="shared" ca="1" si="1"/>
        <v>B69</v>
      </c>
      <c r="H6" s="421" t="str">
        <f t="shared" ca="1" si="2"/>
        <v>B</v>
      </c>
      <c r="I6" s="421" t="str" cm="1">
        <f t="array" aca="1" ref="I6" ca="1">RIGHT(G6,LEN(G6)-MIN(FIND({0,1,2,3,4,5,6,7,8,9},G6&amp;"0123456789"))+1)</f>
        <v>69</v>
      </c>
      <c r="K6" s="757" t="str" cm="1">
        <f t="array" aca="1" ref="K6" ca="1">MID(CELL("filename",'E-Cost &amp; Schedule Summary'!$A$1),FIND("]",CELL("filename",'E-Cost &amp; Schedule Summary'!$A$1))+1,255)</f>
        <v>E-Cost &amp; Schedule Summary</v>
      </c>
      <c r="M6" s="765" t="s">
        <v>1357</v>
      </c>
    </row>
    <row r="7" spans="1:13" x14ac:dyDescent="0.3">
      <c r="A7" s="758">
        <f>A6+1</f>
        <v>4</v>
      </c>
      <c r="B7" s="756" t="s">
        <v>9</v>
      </c>
      <c r="D7" s="421" t="s">
        <v>1049</v>
      </c>
      <c r="E7" s="421" t="str" cm="1">
        <f t="array" aca="1" ref="E7" ca="1">TEXT(CELL("address",'G-Assumptions'!C69),"")</f>
        <v>'[CSRA Template FY2023 REV01.xlsx]G-Assumptions'!$C$69</v>
      </c>
      <c r="F7" s="421" t="str">
        <f t="shared" ca="1" si="0"/>
        <v>G-Assumptions'!$C$69</v>
      </c>
      <c r="G7" s="421" t="str">
        <f t="shared" ca="1" si="1"/>
        <v>C69</v>
      </c>
      <c r="H7" s="421" t="str">
        <f t="shared" ca="1" si="2"/>
        <v>C</v>
      </c>
      <c r="I7" s="421" t="str" cm="1">
        <f t="array" aca="1" ref="I7" ca="1">RIGHT(G7,LEN(G7)-MIN(FIND({0,1,2,3,4,5,6,7,8,9},G7&amp;"0123456789"))+1)</f>
        <v>69</v>
      </c>
      <c r="K7" s="757" t="str" cm="1">
        <f t="array" aca="1" ref="K7" ca="1">MID(CELL("filename",'F-Meeting Attendance'!$A$1),FIND("]",CELL("filename",'F-Meeting Attendance'!$A$1))+1,255)</f>
        <v>F-Meeting Attendance</v>
      </c>
      <c r="M7" s="765" t="s">
        <v>1358</v>
      </c>
    </row>
    <row r="8" spans="1:13" x14ac:dyDescent="0.3">
      <c r="A8" s="10"/>
      <c r="B8" s="5"/>
      <c r="D8" s="421" t="s">
        <v>1051</v>
      </c>
      <c r="E8" s="421" t="str" cm="1">
        <f t="array" aca="1" ref="E8" ca="1">TEXT(CELL("address",'H-Risk Register-Model'!$AE$1),"")</f>
        <v>'[CSRA Template FY2023 REV01.xlsx]H-Risk Register-Model'!$AE$1</v>
      </c>
      <c r="F8" s="421" t="str">
        <f t="shared" ca="1" si="0"/>
        <v>H-Risk Register-Model'!$AE$1</v>
      </c>
      <c r="G8" s="421" t="str">
        <f t="shared" ca="1" si="1"/>
        <v>AE1</v>
      </c>
      <c r="H8" s="421" t="str">
        <f t="shared" ca="1" si="2"/>
        <v>AE</v>
      </c>
      <c r="I8" s="421" t="str" cm="1">
        <f t="array" aca="1" ref="I8" ca="1">RIGHT(G8,LEN(G8)-MIN(FIND({0,1,2,3,4,5,6,7,8,9},G8&amp;"0123456789"))+1)</f>
        <v>1</v>
      </c>
      <c r="K8" s="757" t="str" cm="1">
        <f t="array" aca="1" ref="K8" ca="1">MID(CELL("filename",'G-Assumptions'!$A$1),FIND("]",CELL("filename",'G-Assumptions'!$A$1))+1,255)</f>
        <v>G-Assumptions</v>
      </c>
      <c r="M8" s="765" t="s">
        <v>1359</v>
      </c>
    </row>
    <row r="9" spans="1:13" x14ac:dyDescent="0.3">
      <c r="A9" s="445" t="s">
        <v>8</v>
      </c>
      <c r="B9" s="446"/>
      <c r="D9" s="421" t="s">
        <v>1052</v>
      </c>
      <c r="E9" s="421" t="str" cm="1">
        <f t="array" aca="1" ref="E9" ca="1">TEXT(CELL("address",'H-Risk Register-Model'!$AG$1),"")</f>
        <v>'[CSRA Template FY2023 REV01.xlsx]H-Risk Register-Model'!$AG$1</v>
      </c>
      <c r="F9" s="421" t="str">
        <f t="shared" ca="1" si="0"/>
        <v>H-Risk Register-Model'!$AG$1</v>
      </c>
      <c r="G9" s="421" t="str">
        <f t="shared" ca="1" si="1"/>
        <v>AG1</v>
      </c>
      <c r="H9" s="421" t="str">
        <f t="shared" ca="1" si="2"/>
        <v>AG</v>
      </c>
      <c r="I9" s="421" t="str" cm="1">
        <f t="array" aca="1" ref="I9" ca="1">RIGHT(G9,LEN(G9)-MIN(FIND({0,1,2,3,4,5,6,7,8,9},G9&amp;"0123456789"))+1)</f>
        <v>1</v>
      </c>
      <c r="K9" s="757" t="str" cm="1">
        <f t="array" aca="1" ref="K9" ca="1">MID(CELL("filename",'H-Risk Register-Model'!$A$1),FIND("]",CELL("filename",'H-Risk Register-Model'!$A$1))+1,255)</f>
        <v>H-Risk Register-Model</v>
      </c>
      <c r="M9" s="765" t="s">
        <v>1361</v>
      </c>
    </row>
    <row r="10" spans="1:13" ht="28.8" x14ac:dyDescent="0.3">
      <c r="A10" s="10">
        <f>A7+1</f>
        <v>5</v>
      </c>
      <c r="B10" s="5" t="str">
        <f ca="1">CONCATENATE("Lead the meeting and capture the meeting attendance on the ‘",K7,"’ tab and risks on the ‘",K9,"’ tab- it may help to have a second person capture them also so you can compare and contrast.")</f>
        <v>Lead the meeting and capture the meeting attendance on the ‘F-Meeting Attendance’ tab and risks on the ‘H-Risk Register-Model’ tab- it may help to have a second person capture them also so you can compare and contrast.</v>
      </c>
      <c r="D10" s="421" t="s">
        <v>866</v>
      </c>
      <c r="E10" s="421" t="str" cm="1">
        <f t="array" aca="1" ref="E10" ca="1">TEXT(CELL("address",'D-Project Data'!C6),"")</f>
        <v>'[CSRA Template FY2023 REV01.xlsx]D-Project Data'!$C$6</v>
      </c>
      <c r="F10" s="421" t="str">
        <f t="shared" ca="1" si="0"/>
        <v>D-Project Data'!$C$6</v>
      </c>
      <c r="G10" s="421" t="str">
        <f t="shared" ca="1" si="1"/>
        <v>C6</v>
      </c>
      <c r="H10" s="421" t="str">
        <f t="shared" ca="1" si="2"/>
        <v>C</v>
      </c>
      <c r="I10" s="421" t="str" cm="1">
        <f t="array" aca="1" ref="I10" ca="1">RIGHT(G10,LEN(G10)-MIN(FIND({0,1,2,3,4,5,6,7,8,9},G10&amp;"0123456789"))+1)</f>
        <v>6</v>
      </c>
      <c r="K10" s="757" t="str" cm="1">
        <f t="array" aca="1" ref="K10" ca="1">MID(CELL("filename",'I-Project Contingency'!$A$1),FIND("]",CELL("filename",'I-Project Contingency'!$A$1))+1,255)</f>
        <v>I-Project Contingency</v>
      </c>
      <c r="M10" s="765" t="s">
        <v>1362</v>
      </c>
    </row>
    <row r="11" spans="1:13" x14ac:dyDescent="0.3">
      <c r="A11" s="10"/>
      <c r="B11" s="5"/>
      <c r="D11" s="421" t="s">
        <v>1053</v>
      </c>
      <c r="E11" s="421" t="str" cm="1">
        <f t="array" aca="1" ref="E11" ca="1">TEXT(CELL("address",'H-Risk Register-Model'!$AI$17),"")</f>
        <v>'[CSRA Template FY2023 REV01.xlsx]H-Risk Register-Model'!$AI$17</v>
      </c>
      <c r="F11" s="421" t="str">
        <f t="shared" ca="1" si="0"/>
        <v>H-Risk Register-Model'!$AI$17</v>
      </c>
      <c r="G11" s="421" t="str">
        <f t="shared" ca="1" si="1"/>
        <v>AI17</v>
      </c>
      <c r="H11" s="421" t="str">
        <f t="shared" ca="1" si="2"/>
        <v>AI</v>
      </c>
      <c r="I11" s="421" t="str" cm="1">
        <f t="array" aca="1" ref="I11" ca="1">RIGHT(G11,LEN(G11)-MIN(FIND({0,1,2,3,4,5,6,7,8,9},G11&amp;"0123456789"))+1)</f>
        <v>17</v>
      </c>
      <c r="K11" s="757" t="str" cm="1">
        <f t="array" aca="1" ref="K11" ca="1">MID(CELL("filename",'J-Sensitivity Charts'!$A$1),FIND("]",CELL("filename",'J-Sensitivity Charts'!$A$1))+1,255)</f>
        <v>J-Sensitivity Charts</v>
      </c>
      <c r="M11" s="765" t="s">
        <v>1363</v>
      </c>
    </row>
    <row r="12" spans="1:13" x14ac:dyDescent="0.3">
      <c r="A12" s="445" t="s">
        <v>7</v>
      </c>
      <c r="B12" s="446"/>
      <c r="D12" s="421" t="s">
        <v>1055</v>
      </c>
      <c r="E12" s="421" t="str" cm="1">
        <f t="array" aca="1" ref="E12" ca="1">TEXT(CELL("address",'H-Risk Register-Model'!$A$17),"")</f>
        <v>'[CSRA Template FY2023 REV01.xlsx]H-Risk Register-Model'!$A$17</v>
      </c>
      <c r="F12" s="421" t="str">
        <f t="shared" ca="1" si="0"/>
        <v>H-Risk Register-Model'!$A$17</v>
      </c>
      <c r="G12" s="421" t="str">
        <f t="shared" ca="1" si="1"/>
        <v>A17</v>
      </c>
      <c r="H12" s="421" t="str">
        <f ca="1">SUBSTITUTE(G12,I12,"")</f>
        <v>A</v>
      </c>
      <c r="I12" s="421" t="str" cm="1">
        <f t="array" aca="1" ref="I12" ca="1">RIGHT(G12,LEN(G12)-MIN(FIND({0,1,2,3,4,5,6,7,8,9},G12&amp;"0123456789"))+1)</f>
        <v>17</v>
      </c>
      <c r="K12" s="757" t="str" cm="1">
        <f t="array" aca="1" ref="K12" ca="1">MID(CELL("filename",'K1-Risk Dashboard (Cost)'!$A$1),FIND("]",CELL("filename",'K1-Risk Dashboard (Cost)'!$A$1))+1,255)</f>
        <v>K1-Risk Dashboard (Cost)</v>
      </c>
      <c r="M12" s="765" t="s">
        <v>1364</v>
      </c>
    </row>
    <row r="13" spans="1:13" ht="28.8" x14ac:dyDescent="0.3">
      <c r="A13" s="758">
        <f>A10+1</f>
        <v>6</v>
      </c>
      <c r="B13" s="756" t="s">
        <v>6</v>
      </c>
      <c r="D13" s="421" t="s">
        <v>1054</v>
      </c>
      <c r="E13" s="421" t="str" cm="1">
        <f t="array" aca="1" ref="E13" ca="1">TEXT(CELL("address",'H-Risk Register-Model'!AI17),"")</f>
        <v>'[CSRA Template FY2023 REV01.xlsx]H-Risk Register-Model'!$AI$17</v>
      </c>
      <c r="F13" s="421" t="str">
        <f t="shared" ca="1" si="0"/>
        <v>H-Risk Register-Model'!$AI$17</v>
      </c>
      <c r="G13" s="421" t="str">
        <f t="shared" ca="1" si="1"/>
        <v>AI17</v>
      </c>
      <c r="H13" s="421" t="str">
        <f t="shared" ref="H13:H20" ca="1" si="3">SUBSTITUTE(G13,I13,"")</f>
        <v>AI</v>
      </c>
      <c r="I13" s="421" t="str" cm="1">
        <f t="array" aca="1" ref="I13" ca="1">RIGHT(G13,LEN(G13)-MIN(FIND({0,1,2,3,4,5,6,7,8,9},G13&amp;"0123456789"))+1)</f>
        <v>17</v>
      </c>
      <c r="K13" s="757" t="str" cm="1">
        <f t="array" aca="1" ref="K13" ca="1">MID(CELL("filename",'K2-Risk Dashboard (Schedule)'!$A$1),FIND("]",CELL("filename",'K2-Risk Dashboard (Schedule)'!$A$1))+1,255)</f>
        <v>K2-Risk Dashboard (Schedule)</v>
      </c>
      <c r="M13" s="765" t="s">
        <v>1360</v>
      </c>
    </row>
    <row r="14" spans="1:13" ht="43.2" x14ac:dyDescent="0.3">
      <c r="A14" s="855">
        <v>7</v>
      </c>
      <c r="B14" s="759" t="str">
        <f ca="1">CONCATENATE("On the ‘",K9,"’ tab, recommend hiding the CSRA modeling data and sending a copy of the risk register to the team to make sure you have all the risks captured and their discussions are correct.  ","Recommend showing only columns ",H12," through ",H13," and hiding the Crystal Ball data (columns ",H14," through ",H15,").")</f>
        <v>On the ‘H-Risk Register-Model’ tab, recommend hiding the CSRA modeling data and sending a copy of the risk register to the team to make sure you have all the risks captured and their discussions are correct.  Recommend showing only columns A through AI and hiding the Crystal Ball data (columns P through AH).</v>
      </c>
      <c r="D14" s="421" t="s">
        <v>1056</v>
      </c>
      <c r="E14" s="421" t="str" cm="1">
        <f t="array" aca="1" ref="E14" ca="1">TEXT(CELL("address",'H-Risk Register-Model'!$P$17),"")</f>
        <v>'[CSRA Template FY2023 REV01.xlsx]H-Risk Register-Model'!$P$17</v>
      </c>
      <c r="F14" s="421" t="str">
        <f t="shared" ca="1" si="0"/>
        <v>H-Risk Register-Model'!$P$17</v>
      </c>
      <c r="G14" s="421" t="str">
        <f t="shared" ca="1" si="1"/>
        <v>P17</v>
      </c>
      <c r="H14" s="421" t="str">
        <f t="shared" ca="1" si="3"/>
        <v>P</v>
      </c>
      <c r="I14" s="421" t="str" cm="1">
        <f t="array" aca="1" ref="I14" ca="1">RIGHT(G14,LEN(G14)-MIN(FIND({0,1,2,3,4,5,6,7,8,9},G14&amp;"0123456789"))+1)</f>
        <v>17</v>
      </c>
      <c r="K14" s="757" t="str" cm="1">
        <f t="array" aca="1" ref="K14" ca="1">MID(CELL("filename",'REF Risk Detail Template'!$A$1),FIND("]",CELL("filename",'REF Risk Detail Template'!$A$1))+1,255)</f>
        <v>REF Risk Detail Template</v>
      </c>
    </row>
    <row r="15" spans="1:13" ht="28.8" x14ac:dyDescent="0.3">
      <c r="A15" s="855"/>
      <c r="B15" s="760" t="str">
        <f ca="1">CONCATENATE("Make sure you have the team's buy-in on the risks at this point, clean up your master ‘",K9,"’ tab, and get started modeling.")</f>
        <v>Make sure you have the team's buy-in on the risks at this point, clean up your master ‘H-Risk Register-Model’ tab, and get started modeling.</v>
      </c>
      <c r="D15" s="421" t="s">
        <v>1057</v>
      </c>
      <c r="E15" s="421" t="str" cm="1">
        <f t="array" aca="1" ref="E15" ca="1">TEXT(CELL("address",'H-Risk Register-Model'!$AH$17),"")</f>
        <v>'[CSRA Template FY2023 REV01.xlsx]H-Risk Register-Model'!$AH$17</v>
      </c>
      <c r="F15" s="421" t="str">
        <f t="shared" ca="1" si="0"/>
        <v>H-Risk Register-Model'!$AH$17</v>
      </c>
      <c r="G15" s="421" t="str">
        <f t="shared" ca="1" si="1"/>
        <v>AH17</v>
      </c>
      <c r="H15" s="421" t="str">
        <f t="shared" ca="1" si="3"/>
        <v>AH</v>
      </c>
      <c r="I15" s="421" t="str" cm="1">
        <f t="array" aca="1" ref="I15" ca="1">RIGHT(G15,LEN(G15)-MIN(FIND({0,1,2,3,4,5,6,7,8,9},G15&amp;"0123456789"))+1)</f>
        <v>17</v>
      </c>
    </row>
    <row r="16" spans="1:13" x14ac:dyDescent="0.3">
      <c r="A16" s="10"/>
      <c r="B16" s="5"/>
      <c r="D16" s="421" t="s">
        <v>1058</v>
      </c>
      <c r="E16" s="421" t="str" cm="1">
        <f t="array" aca="1" ref="E16" ca="1">TEXT(CELL("address",'J-Sensitivity Charts'!$M$19),"")</f>
        <v>'[CSRA Template FY2023 REV01.xlsx]J-Sensitivity Charts'!$M$19</v>
      </c>
      <c r="F16" s="421" t="str">
        <f t="shared" ca="1" si="0"/>
        <v>J-Sensitivity Charts'!$M$19</v>
      </c>
      <c r="G16" s="421" t="str">
        <f t="shared" ca="1" si="1"/>
        <v>M19</v>
      </c>
      <c r="H16" s="421" t="str">
        <f t="shared" ca="1" si="3"/>
        <v>M</v>
      </c>
      <c r="I16" s="421" t="str" cm="1">
        <f t="array" aca="1" ref="I16" ca="1">RIGHT(G16,LEN(G16)-MIN(FIND({0,1,2,3,4,5,6,7,8,9},G16&amp;"0123456789"))+1)</f>
        <v>19</v>
      </c>
    </row>
    <row r="17" spans="1:9" x14ac:dyDescent="0.3">
      <c r="A17" s="445" t="s">
        <v>5</v>
      </c>
      <c r="B17" s="446"/>
      <c r="D17" s="421" t="s">
        <v>1059</v>
      </c>
      <c r="E17" s="421" t="str" cm="1">
        <f t="array" aca="1" ref="E17" ca="1">TEXT(CELL("address",'J-Sensitivity Charts'!$M$28),"")</f>
        <v>'[CSRA Template FY2023 REV01.xlsx]J-Sensitivity Charts'!$M$28</v>
      </c>
      <c r="F17" s="421" t="str">
        <f t="shared" ca="1" si="0"/>
        <v>J-Sensitivity Charts'!$M$28</v>
      </c>
      <c r="G17" s="421" t="str">
        <f t="shared" ca="1" si="1"/>
        <v>M28</v>
      </c>
      <c r="H17" s="421" t="str">
        <f t="shared" ca="1" si="3"/>
        <v>M</v>
      </c>
      <c r="I17" s="421" t="str" cm="1">
        <f t="array" aca="1" ref="I17" ca="1">RIGHT(G17,LEN(G17)-MIN(FIND({0,1,2,3,4,5,6,7,8,9},G17&amp;"0123456789"))+1)</f>
        <v>28</v>
      </c>
    </row>
    <row r="18" spans="1:9" x14ac:dyDescent="0.3">
      <c r="A18" s="758">
        <f>A14+1</f>
        <v>8</v>
      </c>
      <c r="B18" s="762" t="str">
        <f ca="1">CONCATENATE("Cell ",G10," on the '",K5,"' tab can be used to adjust the confidence level being reported.")</f>
        <v>Cell C6 on the 'D-Project Data' tab can be used to adjust the confidence level being reported.</v>
      </c>
      <c r="D18" s="421" t="s">
        <v>1060</v>
      </c>
      <c r="E18" s="421" t="str" cm="1">
        <f t="array" aca="1" ref="E18" ca="1">TEXT(CELL("address",'J-Sensitivity Charts'!$M$41),"")</f>
        <v>'[CSRA Template FY2023 REV01.xlsx]J-Sensitivity Charts'!$M$41</v>
      </c>
      <c r="F18" s="421" t="str">
        <f t="shared" ca="1" si="0"/>
        <v>J-Sensitivity Charts'!$M$41</v>
      </c>
      <c r="G18" s="421" t="str">
        <f t="shared" ca="1" si="1"/>
        <v>M41</v>
      </c>
      <c r="H18" s="421" t="str">
        <f t="shared" ca="1" si="3"/>
        <v>M</v>
      </c>
      <c r="I18" s="421" t="str" cm="1">
        <f t="array" aca="1" ref="I18" ca="1">RIGHT(G18,LEN(G18)-MIN(FIND({0,1,2,3,4,5,6,7,8,9},G18&amp;"0123456789"))+1)</f>
        <v>41</v>
      </c>
    </row>
    <row r="19" spans="1:9" ht="43.2" x14ac:dyDescent="0.3">
      <c r="A19" s="761">
        <f>A18+1</f>
        <v>9</v>
      </c>
      <c r="B19" s="756" t="str">
        <f ca="1">CONCATENATE("You will have to build all your risk assumptions in the ‘",K9,"’ tab.  Make sure that as you add and subtract rows so that the formulas in CELL ",G8," and ",G9," sum all the rows you have risks modeled in because THIS FEEDS THE FORECASTS FOR THE MODEL on the ‘",K10,"’ tab.")</f>
        <v>You will have to build all your risk assumptions in the ‘H-Risk Register-Model’ tab.  Make sure that as you add and subtract rows so that the formulas in CELL AE1 and AG1 sum all the rows you have risks modeled in because THIS FEEDS THE FORECASTS FOR THE MODEL on the ‘I-Project Contingency’ tab.</v>
      </c>
      <c r="D19" s="421" t="s">
        <v>1061</v>
      </c>
      <c r="E19" s="421" t="str" cm="1">
        <f t="array" aca="1" ref="E19" ca="1">TEXT(CELL("address",'J-Sensitivity Charts'!$M$50),"")</f>
        <v>'[CSRA Template FY2023 REV01.xlsx]J-Sensitivity Charts'!$M$50</v>
      </c>
      <c r="F19" s="421" t="str">
        <f t="shared" ca="1" si="0"/>
        <v>J-Sensitivity Charts'!$M$50</v>
      </c>
      <c r="G19" s="421" t="str">
        <f t="shared" ca="1" si="1"/>
        <v>M50</v>
      </c>
      <c r="H19" s="421" t="str">
        <f t="shared" ca="1" si="3"/>
        <v>M</v>
      </c>
      <c r="I19" s="421" t="str" cm="1">
        <f t="array" aca="1" ref="I19" ca="1">RIGHT(G19,LEN(G19)-MIN(FIND({0,1,2,3,4,5,6,7,8,9},G19&amp;"0123456789"))+1)</f>
        <v>50</v>
      </c>
    </row>
    <row r="20" spans="1:9" ht="43.2" x14ac:dyDescent="0.3">
      <c r="A20" s="10"/>
      <c r="B20" s="756" t="str">
        <f ca="1">CONCATENATE("If rows are added, make sure the built-in QC data in columns ",H28,":",H29," and risk forecasts/extracts in columns",H26,":",H27," are copied as well to ensure the new built-in automation still works.  Remember to do Crystal Ball copy/paste for the forecast cells.  FAILURE TO DO THIS COULD LEAD TO INACCURATE RESULTS.")</f>
        <v>If rows are added, make sure the built-in QC data in columns AK:AS and risk forecasts/extracts in columnsAU:BX are copied as well to ensure the new built-in automation still works.  Remember to do Crystal Ball copy/paste for the forecast cells.  FAILURE TO DO THIS COULD LEAD TO INACCURATE RESULTS.</v>
      </c>
      <c r="D20" s="421" t="s">
        <v>1365</v>
      </c>
      <c r="E20" s="421" t="str" cm="1">
        <f t="array" aca="1" ref="E20" ca="1">TEXT(CELL("address",'H-Risk Register-Model'!AI24),"")</f>
        <v>'[CSRA Template FY2023 REV01.xlsx]H-Risk Register-Model'!$AI$24</v>
      </c>
      <c r="F20" s="421" t="str">
        <f t="shared" ref="F20" ca="1" si="4">RIGHT(E20,LEN(E20)-FIND("]",E20))</f>
        <v>H-Risk Register-Model'!$AI$24</v>
      </c>
      <c r="G20" s="421" t="str">
        <f t="shared" ca="1" si="1"/>
        <v>AI24</v>
      </c>
      <c r="H20" s="421" t="str">
        <f t="shared" ca="1" si="3"/>
        <v>AI</v>
      </c>
      <c r="I20" s="421" t="str" cm="1">
        <f t="array" aca="1" ref="I20" ca="1">RIGHT(G20,LEN(G20)-MIN(FIND({0,1,2,3,4,5,6,7,8,9},G20&amp;"0123456789"))+1)</f>
        <v>24</v>
      </c>
    </row>
    <row r="21" spans="1:9" ht="28.8" x14ac:dyDescent="0.3">
      <c r="A21" s="10"/>
      <c r="B21" s="756" t="str">
        <f ca="1">CONCATENATE(K10,"’ tab.   DO NOT MESS WITH THIS TAB.  This tab is setup with an extracting forecast and rounding to calculate the overall contingency as well as make the S- Curve graphs.")</f>
        <v>I-Project Contingency’ tab.   DO NOT MESS WITH THIS TAB.  This tab is setup with an extracting forecast and rounding to calculate the overall contingency as well as make the S- Curve graphs.</v>
      </c>
      <c r="D21" s="421" t="s">
        <v>1348</v>
      </c>
      <c r="E21" s="421" t="str" cm="1">
        <f t="array" aca="1" ref="E21" ca="1">TEXT(CELL("address",'H-Risk Register-Model'!$AA$18),"")</f>
        <v>'[CSRA Template FY2023 REV01.xlsx]H-Risk Register-Model'!$AA$18</v>
      </c>
      <c r="F21" s="421" t="str">
        <f t="shared" ref="F21" ca="1" si="5">RIGHT(E21,LEN(E21)-FIND("]",E21))</f>
        <v>H-Risk Register-Model'!$AA$18</v>
      </c>
      <c r="G21" s="421" t="str">
        <f t="shared" ca="1" si="1"/>
        <v>AA18</v>
      </c>
      <c r="H21" s="421" t="str">
        <f t="shared" ref="H21:H31" ca="1" si="6">SUBSTITUTE(G21,I21,"")</f>
        <v>AA</v>
      </c>
      <c r="I21" s="421" t="str" cm="1">
        <f t="array" aca="1" ref="I21" ca="1">RIGHT(G21,LEN(G21)-MIN(FIND({0,1,2,3,4,5,6,7,8,9},G21&amp;"0123456789"))+1)</f>
        <v>18</v>
      </c>
    </row>
    <row r="22" spans="1:9" ht="86.4" x14ac:dyDescent="0.3">
      <c r="A22" s="10"/>
      <c r="B22" s="756" t="str">
        <f ca="1">CONCATENATE("If risk detail sheets are needed to help document complex risk items, recommend copying &amp; pasting the '",K14,"' tab and then renaming the new tab to the risk ID being evaluated (ex. '1', '2', '3', etc.).  ","Values from the detail sheets can be quickly referenced in the modeling fields of the '",K9,"' by copying the formulas in ",G23,":",G24," on the '",K9,"' tab.  Recommend not changing the detail sheets because this formula only works when detail sheets cost &amp; schedule summaries stay within cells ",G30,":",G31,".  Also, make sure to evaluate the cost impacts related to the schedule delays if not factored in on the detail sheet.")</f>
        <v>If risk detail sheets are needed to help document complex risk items, recommend copying &amp; pasting the 'REF Risk Detail Template' tab and then renaming the new tab to the risk ID being evaluated (ex. '1', '2', '3', etc.).  Values from the detail sheets can be quickly referenced in the modeling fields of the 'H-Risk Register-Model' by copying the formulas in P18:U18 on the 'H-Risk Register-Model' tab.  Recommend not changing the detail sheets because this formula only works when detail sheets cost &amp; schedule summaries stay within cells C5:H5.  Also, make sure to evaluate the cost impacts related to the schedule delays if not factored in on the detail sheet.</v>
      </c>
      <c r="D22" s="421" t="s">
        <v>1349</v>
      </c>
      <c r="E22" s="421" t="str" cm="1">
        <f t="array" aca="1" ref="E22" ca="1">TEXT(CELL("address",'H-Risk Register-Model'!$AC$18),"")</f>
        <v>'[CSRA Template FY2023 REV01.xlsx]H-Risk Register-Model'!$AC$18</v>
      </c>
      <c r="F22" s="421" t="str">
        <f t="shared" ref="F22" ca="1" si="7">RIGHT(E22,LEN(E22)-FIND("]",E22))</f>
        <v>H-Risk Register-Model'!$AC$18</v>
      </c>
      <c r="G22" s="421" t="str">
        <f t="shared" ca="1" si="1"/>
        <v>AC18</v>
      </c>
      <c r="H22" s="421" t="str">
        <f t="shared" ca="1" si="6"/>
        <v>AC</v>
      </c>
      <c r="I22" s="421" t="str" cm="1">
        <f t="array" aca="1" ref="I22" ca="1">RIGHT(G22,LEN(G22)-MIN(FIND({0,1,2,3,4,5,6,7,8,9},G22&amp;"0123456789"))+1)</f>
        <v>18</v>
      </c>
    </row>
    <row r="23" spans="1:9" ht="28.8" x14ac:dyDescent="0.3">
      <c r="A23" s="758">
        <f>A19+1</f>
        <v>10</v>
      </c>
      <c r="B23" s="756" t="str">
        <f ca="1">CONCATENATE("It is recommended to develop RISK MITIGATION MEASURES for each risk and note in the ‘",K9,"’ tab in the appropriate column (",H20,").  Talk to the PDT!!!")</f>
        <v>It is recommended to develop RISK MITIGATION MEASURES for each risk and note in the ‘H-Risk Register-Model’ tab in the appropriate column (AI).  Talk to the PDT!!!</v>
      </c>
      <c r="D23" s="763" t="s">
        <v>1341</v>
      </c>
      <c r="E23" s="421" t="str" cm="1">
        <f t="array" aca="1" ref="E23" ca="1">TEXT(CELL("address",'H-Risk Register-Model'!$P$18),"")</f>
        <v>'[CSRA Template FY2023 REV01.xlsx]H-Risk Register-Model'!$P$18</v>
      </c>
      <c r="F23" s="421" t="str">
        <f t="shared" ref="F23" ca="1" si="8">RIGHT(E23,LEN(E23)-FIND("]",E23))</f>
        <v>H-Risk Register-Model'!$P$18</v>
      </c>
      <c r="G23" s="421" t="str">
        <f t="shared" ca="1" si="1"/>
        <v>P18</v>
      </c>
      <c r="H23" s="421" t="str">
        <f t="shared" ca="1" si="6"/>
        <v>P</v>
      </c>
      <c r="I23" s="421" t="str" cm="1">
        <f t="array" aca="1" ref="I23" ca="1">RIGHT(G23,LEN(G23)-MIN(FIND({0,1,2,3,4,5,6,7,8,9},G23&amp;"0123456789"))+1)</f>
        <v>18</v>
      </c>
    </row>
    <row r="24" spans="1:9" ht="28.8" x14ac:dyDescent="0.3">
      <c r="A24" s="853">
        <f>A23+1</f>
        <v>11</v>
      </c>
      <c r="B24" s="756" t="str">
        <f>CONCATENATE("When the model is complete and you are happy with it, it is recommended that you create a report as follows which mimics what is included in the NWW Cost MCX CSRA Report and Appendixes.")</f>
        <v>When the model is complete and you are happy with it, it is recommended that you create a report as follows which mimics what is included in the NWW Cost MCX CSRA Report and Appendixes.</v>
      </c>
      <c r="D24" s="763" t="s">
        <v>1342</v>
      </c>
      <c r="E24" s="421" t="str" cm="1">
        <f t="array" aca="1" ref="E24" ca="1">TEXT(CELL("address",'H-Risk Register-Model'!$U$18),"")</f>
        <v>'[CSRA Template FY2023 REV01.xlsx]H-Risk Register-Model'!$U$18</v>
      </c>
      <c r="F24" s="421" t="str">
        <f t="shared" ref="F24" ca="1" si="9">RIGHT(E24,LEN(E24)-FIND("]",E24))</f>
        <v>H-Risk Register-Model'!$U$18</v>
      </c>
      <c r="G24" s="421" t="str">
        <f t="shared" ca="1" si="1"/>
        <v>U18</v>
      </c>
      <c r="H24" s="421" t="str">
        <f t="shared" ca="1" si="6"/>
        <v>U</v>
      </c>
      <c r="I24" s="421" t="str" cm="1">
        <f t="array" aca="1" ref="I24" ca="1">RIGHT(G24,LEN(G24)-MIN(FIND({0,1,2,3,4,5,6,7,8,9},G24&amp;"0123456789"))+1)</f>
        <v>18</v>
      </c>
    </row>
    <row r="25" spans="1:9" ht="43.2" x14ac:dyDescent="0.3">
      <c r="A25" s="854"/>
      <c r="B25" s="764" t="str">
        <f ca="1">CONCATENATE(M4," - Recommend printing the '",K6,"' tab tab to document the base estimate &amp; schedule from which this CSRA was developed (traceability).  A more detailed summary could also be used from the optional base estimate tab (recommend only 1-2 pages if so).")</f>
        <v>APPENDIX A: BASE ESTIMATE - Recommend printing the 'E-Cost &amp; Schedule Summary' tab tab to document the base estimate &amp; schedule from which this CSRA was developed (traceability).  A more detailed summary could also be used from the optional base estimate tab (recommend only 1-2 pages if so).</v>
      </c>
      <c r="D25" s="763" t="s">
        <v>1350</v>
      </c>
      <c r="E25" s="421" t="str" cm="1">
        <f t="array" aca="1" ref="E25" ca="1">TEXT(CELL("address",'H-Risk Register-Model'!$AU$18),"")</f>
        <v>'[CSRA Template FY2023 REV01.xlsx]H-Risk Register-Model'!$AU$18</v>
      </c>
      <c r="F25" s="421" t="str">
        <f t="shared" ref="F25" ca="1" si="10">RIGHT(E25,LEN(E25)-FIND("]",E25))</f>
        <v>H-Risk Register-Model'!$AU$18</v>
      </c>
      <c r="G25" s="421" t="str">
        <f t="shared" ca="1" si="1"/>
        <v>AU18</v>
      </c>
      <c r="H25" s="421" t="str">
        <f t="shared" ca="1" si="6"/>
        <v>AU</v>
      </c>
      <c r="I25" s="421" t="str" cm="1">
        <f t="array" aca="1" ref="I25" ca="1">RIGHT(G25,LEN(G25)-MIN(FIND({0,1,2,3,4,5,6,7,8,9},G25&amp;"0123456789"))+1)</f>
        <v>18</v>
      </c>
    </row>
    <row r="26" spans="1:9" ht="28.8" x14ac:dyDescent="0.3">
      <c r="A26" s="854"/>
      <c r="B26" s="764" t="str">
        <f>CONCATENATE(M5," - Recommend printing the optional base schedule tab or inserting a high level summary (1-2 pages) of the schedule from which this CSRA was developed (traceability).")</f>
        <v>APPENDIX B: BASE SCHEDULE - Recommend printing the optional base schedule tab or inserting a high level summary (1-2 pages) of the schedule from which this CSRA was developed (traceability).</v>
      </c>
      <c r="D26" s="763" t="s">
        <v>1351</v>
      </c>
      <c r="E26" s="421" t="str" cm="1">
        <f t="array" aca="1" ref="E26" ca="1">TEXT(CELL("address",'H-Risk Register-Model'!$AU$17),"")</f>
        <v>'[CSRA Template FY2023 REV01.xlsx]H-Risk Register-Model'!$AU$17</v>
      </c>
      <c r="F26" s="421" t="str">
        <f t="shared" ref="F26" ca="1" si="11">RIGHT(E26,LEN(E26)-FIND("]",E26))</f>
        <v>H-Risk Register-Model'!$AU$17</v>
      </c>
      <c r="G26" s="421" t="str">
        <f t="shared" ca="1" si="1"/>
        <v>AU17</v>
      </c>
      <c r="H26" s="421" t="str">
        <f t="shared" ca="1" si="6"/>
        <v>AU</v>
      </c>
      <c r="I26" s="421" t="str" cm="1">
        <f t="array" aca="1" ref="I26" ca="1">RIGHT(G26,LEN(G26)-MIN(FIND({0,1,2,3,4,5,6,7,8,9},G26&amp;"0123456789"))+1)</f>
        <v>17</v>
      </c>
    </row>
    <row r="27" spans="1:9" ht="57.6" x14ac:dyDescent="0.3">
      <c r="A27" s="854"/>
      <c r="B27" s="764" t="str">
        <f ca="1">CONCATENATE("Appendix C-1: RISK DASHBOARDS - Recommend printing the ‘",K12,"’ and ‘",K13,"’ tabs to communicate a high-level summary of the project cost &amp; schedule risks as well as the top risk items and suggested risk reduction measures.","  Recommend reviewing and resizing the summary tables for ease of reading since some of the text can get truncated due to the auto-lookup feature.")</f>
        <v>Appendix C-1: RISK DASHBOARDS - Recommend printing the ‘K1-Risk Dashboard (Cost)’ and ‘K2-Risk Dashboard (Schedule)’ tabs to communicate a high-level summary of the project cost &amp; schedule risks as well as the top risk items and suggested risk reduction measures.  Recommend reviewing and resizing the summary tables for ease of reading since some of the text can get truncated due to the auto-lookup feature.</v>
      </c>
      <c r="D27" s="763" t="s">
        <v>1352</v>
      </c>
      <c r="E27" s="421" t="str" cm="1">
        <f t="array" aca="1" ref="E27" ca="1">TEXT(CELL("address",'H-Risk Register-Model'!$BX$17),"")</f>
        <v>'[CSRA Template FY2023 REV01.xlsx]H-Risk Register-Model'!$BX$17</v>
      </c>
      <c r="F27" s="421" t="str">
        <f t="shared" ref="F27:F28" ca="1" si="12">RIGHT(E27,LEN(E27)-FIND("]",E27))</f>
        <v>H-Risk Register-Model'!$BX$17</v>
      </c>
      <c r="G27" s="421" t="str">
        <f t="shared" ca="1" si="1"/>
        <v>BX17</v>
      </c>
      <c r="H27" s="421" t="str">
        <f t="shared" ca="1" si="6"/>
        <v>BX</v>
      </c>
      <c r="I27" s="421" t="str" cm="1">
        <f t="array" aca="1" ref="I27" ca="1">RIGHT(G27,LEN(G27)-MIN(FIND({0,1,2,3,4,5,6,7,8,9},G27&amp;"0123456789"))+1)</f>
        <v>17</v>
      </c>
    </row>
    <row r="28" spans="1:9" ht="28.8" x14ac:dyDescent="0.3">
      <c r="A28" s="854"/>
      <c r="B28" s="764" t="str">
        <f ca="1">CONCATENATE(M8," - Recommend printing the ‘",K10,"’ tab which is a summary of the various contingency values for cost &amp; schedule by confidence level.")</f>
        <v>APPENDIX C-2: CONTINGENCY SUMMARY - Recommend printing the ‘I-Project Contingency’ tab which is a summary of the various contingency values for cost &amp; schedule by confidence level.</v>
      </c>
      <c r="D28" s="763" t="s">
        <v>1353</v>
      </c>
      <c r="E28" s="421" t="str" cm="1">
        <f t="array" aca="1" ref="E28" ca="1">TEXT(CELL("address",'H-Risk Register-Model'!$AK$17),"")</f>
        <v>'[CSRA Template FY2023 REV01.xlsx]H-Risk Register-Model'!$AK$17</v>
      </c>
      <c r="F28" s="421" t="str">
        <f t="shared" ca="1" si="12"/>
        <v>H-Risk Register-Model'!$AK$17</v>
      </c>
      <c r="G28" s="421" t="str">
        <f t="shared" ca="1" si="1"/>
        <v>AK17</v>
      </c>
      <c r="H28" s="421" t="str">
        <f t="shared" ca="1" si="6"/>
        <v>AK</v>
      </c>
      <c r="I28" s="421" t="str" cm="1">
        <f t="array" aca="1" ref="I28" ca="1">RIGHT(G28,LEN(G28)-MIN(FIND({0,1,2,3,4,5,6,7,8,9},G28&amp;"0123456789"))+1)</f>
        <v>17</v>
      </c>
    </row>
    <row r="29" spans="1:9" ht="57.6" x14ac:dyDescent="0.3">
      <c r="A29" s="854"/>
      <c r="B29" s="764" t="str">
        <f ca="1">CONCATENATE(M9," - Recommend printing the '",K11,"' tab to communicate the major cost &amp; schedule risk drivers for the project.  Recommend reviewing the top cost and schedule risk IDs from the sensitivity charts in cells ",G16,":",G17," and ",G18,":",G19," which should be automatically generated.  This tab also auto-generates the information in the ‘",K12,"' and '",K13,"' tabs.")</f>
        <v>APPENDIX C-3: SENSITIVITY CHARTS - Recommend printing the 'J-Sensitivity Charts' tab to communicate the major cost &amp; schedule risk drivers for the project.  Recommend reviewing the top cost and schedule risk IDs from the sensitivity charts in cells M19:M28 and M41:M50 which should be automatically generated.  This tab also auto-generates the information in the ‘K1-Risk Dashboard (Cost)' and 'K2-Risk Dashboard (Schedule)' tabs.</v>
      </c>
      <c r="D29" s="763" t="s">
        <v>1354</v>
      </c>
      <c r="E29" s="421" t="str" cm="1">
        <f t="array" aca="1" ref="E29" ca="1">TEXT(CELL("address",'H-Risk Register-Model'!$AS$17),"")</f>
        <v>'[CSRA Template FY2023 REV01.xlsx]H-Risk Register-Model'!$AS$17</v>
      </c>
      <c r="F29" s="421" t="str">
        <f t="shared" ref="F29" ca="1" si="13">RIGHT(E29,LEN(E29)-FIND("]",E29))</f>
        <v>H-Risk Register-Model'!$AS$17</v>
      </c>
      <c r="G29" s="421" t="str">
        <f t="shared" ca="1" si="1"/>
        <v>AS17</v>
      </c>
      <c r="H29" s="421" t="str">
        <f t="shared" ca="1" si="6"/>
        <v>AS</v>
      </c>
      <c r="I29" s="421" t="str" cm="1">
        <f t="array" aca="1" ref="I29" ca="1">RIGHT(G29,LEN(G29)-MIN(FIND({0,1,2,3,4,5,6,7,8,9},G29&amp;"0123456789"))+1)</f>
        <v>17</v>
      </c>
    </row>
    <row r="30" spans="1:9" ht="43.2" x14ac:dyDescent="0.3">
      <c r="A30" s="854"/>
      <c r="B30" s="764" t="str">
        <f ca="1">CONCATENATE(M10," - Recommend printing the ‘",K9,"’ tab columns ",H12," through ",H13," and hiding the Crystal Ball data (columns ",H14," through ",H15,").  This is for the team for communication purposes and you already did this once after the meeting right?")</f>
        <v>APPENDIX C-4: RISK REGISTER - Recommend printing the ‘H-Risk Register-Model’ tab columns A through AI and hiding the Crystal Ball data (columns P through AH).  This is for the team for communication purposes and you already did this once after the meeting right?</v>
      </c>
      <c r="D30" s="763" t="s">
        <v>1367</v>
      </c>
      <c r="E30" s="421" t="str" cm="1">
        <f t="array" aca="1" ref="E30" ca="1">TEXT(CELL("address",'REF Risk Detail Template'!$C$5:$E$5),"")</f>
        <v>'[CSRA Template FY2023 REV01.xlsx]REF Risk Detail Template'!$C$5</v>
      </c>
      <c r="F30" s="421" t="str">
        <f t="shared" ref="F30" ca="1" si="14">RIGHT(E30,LEN(E30)-FIND("]",E30))</f>
        <v>REF Risk Detail Template'!$C$5</v>
      </c>
      <c r="G30" s="421" t="str">
        <f t="shared" ca="1" si="1"/>
        <v>C5</v>
      </c>
      <c r="H30" s="421" t="str">
        <f t="shared" ca="1" si="6"/>
        <v>C</v>
      </c>
      <c r="I30" s="421" t="str" cm="1">
        <f t="array" aca="1" ref="I30" ca="1">RIGHT(G30,LEN(G30)-MIN(FIND({0,1,2,3,4,5,6,7,8,9},G30&amp;"0123456789"))+1)</f>
        <v>5</v>
      </c>
    </row>
    <row r="31" spans="1:9" ht="43.2" x14ac:dyDescent="0.3">
      <c r="A31" s="854"/>
      <c r="B31" s="764" t="str">
        <f ca="1">CONCATENATE(M11," - Recommend printing the '",K8,"' tab to communicate the risk matrix, likelihood of occurrence definition, impact or consequence definitions for cost / schedule, and cost / schedule impact ranges as they relate to this project.")</f>
        <v>APPENDIX C-5: CSRA ASSUMPTIONS - Recommend printing the 'G-Assumptions' tab to communicate the risk matrix, likelihood of occurrence definition, impact or consequence definitions for cost / schedule, and cost / schedule impact ranges as they relate to this project.</v>
      </c>
      <c r="D31" s="763" t="s">
        <v>1368</v>
      </c>
      <c r="E31" s="421" t="str" cm="1">
        <f t="array" aca="1" ref="E31" ca="1">TEXT(CELL("address",'REF Risk Detail Template'!$H$5),"")</f>
        <v>'[CSRA Template FY2023 REV01.xlsx]REF Risk Detail Template'!$H$5</v>
      </c>
      <c r="F31" s="421" t="str">
        <f t="shared" ref="F31" ca="1" si="15">RIGHT(E31,LEN(E31)-FIND("]",E31))</f>
        <v>REF Risk Detail Template'!$H$5</v>
      </c>
      <c r="G31" s="421" t="str">
        <f t="shared" ca="1" si="1"/>
        <v>H5</v>
      </c>
      <c r="H31" s="421" t="str">
        <f t="shared" ca="1" si="6"/>
        <v>H</v>
      </c>
      <c r="I31" s="421" t="str" cm="1">
        <f t="array" aca="1" ref="I31" ca="1">RIGHT(G31,LEN(G31)-MIN(FIND({0,1,2,3,4,5,6,7,8,9},G31&amp;"0123456789"))+1)</f>
        <v>5</v>
      </c>
    </row>
    <row r="32" spans="1:9" ht="28.8" x14ac:dyDescent="0.3">
      <c r="A32" s="854"/>
      <c r="B32" s="764" t="str">
        <f ca="1">CONCATENATE(M12," - Recommend printing the '",K7,"' tab to document the risk register attendance and adequate team representation.")</f>
        <v>APPENDIX C-6: RISK REGISTER ATTENDANCE - Recommend printing the 'F-Meeting Attendance' tab to document the risk register attendance and adequate team representation.</v>
      </c>
    </row>
    <row r="33" spans="1:2" ht="28.8" x14ac:dyDescent="0.3">
      <c r="A33" s="854"/>
      <c r="B33" s="764" t="str">
        <f ca="1">CONCATENATE(M13," - Recommend printing the '",K8,"' tab to document the risk register attendance and adequate team representation.")</f>
        <v>APPENDIX C-7: RISK DETAILS - Recommend printing the 'G-Assumptions' tab to document the risk register attendance and adequate team representation.</v>
      </c>
    </row>
    <row r="34" spans="1:2" ht="28.8" x14ac:dyDescent="0.3">
      <c r="A34" s="758">
        <f>A24+1</f>
        <v>12</v>
      </c>
      <c r="B34" s="756" t="s">
        <v>1343</v>
      </c>
    </row>
    <row r="35" spans="1:2" ht="28.8" x14ac:dyDescent="0.3">
      <c r="A35" s="758">
        <f>A34+1</f>
        <v>13</v>
      </c>
      <c r="B35" s="756" t="str">
        <f>CONCATENATE("PRINT/PDF:  Recommend merging the Main Report PDF listed in step #",A34," as well as the recommended appendixes listed in step #",A24,".  This should create a well-developed report summarzing the CSRA.")</f>
        <v>PRINT/PDF:  Recommend merging the Main Report PDF listed in step #12 as well as the recommended appendixes listed in step #11.  This should create a well-developed report summarzing the CSRA.</v>
      </c>
    </row>
    <row r="36" spans="1:2" x14ac:dyDescent="0.3">
      <c r="A36" s="9"/>
      <c r="B36" s="8"/>
    </row>
  </sheetData>
  <sortState xmlns:xlrd2="http://schemas.microsoft.com/office/spreadsheetml/2017/richdata2" ref="L18:L31">
    <sortCondition ref="L18:L31"/>
  </sortState>
  <mergeCells count="4">
    <mergeCell ref="A24:A33"/>
    <mergeCell ref="A14:A15"/>
    <mergeCell ref="A1:B1"/>
    <mergeCell ref="D1:M1"/>
  </mergeCells>
  <pageMargins left="0.25" right="0.25" top="0.25" bottom="0.5" header="0.25" footer="0.25"/>
  <pageSetup scale="92" fitToHeight="0" orientation="portrait" horizontalDpi="1200" verticalDpi="1200" r:id="rId1"/>
  <headerFooter>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5"/>
  <sheetViews>
    <sheetView showGridLines="0" zoomScaleNormal="100" workbookViewId="0">
      <pane ySplit="2" topLeftCell="A3" activePane="bottomLeft" state="frozen"/>
      <selection pane="bottomLeft" activeCell="A3" sqref="A3"/>
    </sheetView>
  </sheetViews>
  <sheetFormatPr defaultRowHeight="14.4" x14ac:dyDescent="0.3"/>
  <cols>
    <col min="1" max="1" width="3.88671875" style="8" customWidth="1"/>
    <col min="2" max="2" width="8.88671875" style="8"/>
    <col min="3" max="10" width="10.5546875" style="8" customWidth="1"/>
  </cols>
  <sheetData>
    <row r="1" spans="1:10" ht="21" x14ac:dyDescent="0.4">
      <c r="A1" s="857" t="s">
        <v>12</v>
      </c>
      <c r="B1" s="857"/>
      <c r="C1" s="857"/>
      <c r="D1" s="857"/>
      <c r="E1" s="857"/>
      <c r="F1" s="857"/>
      <c r="G1" s="857"/>
      <c r="H1" s="857"/>
      <c r="I1" s="857"/>
      <c r="J1" s="857"/>
    </row>
    <row r="2" spans="1:10" x14ac:dyDescent="0.3">
      <c r="A2" s="14"/>
      <c r="B2" s="14"/>
      <c r="C2" s="14"/>
      <c r="D2" s="14"/>
      <c r="E2" s="14"/>
      <c r="F2" s="14"/>
      <c r="G2" s="14"/>
      <c r="H2" s="14"/>
      <c r="I2" s="14"/>
      <c r="J2" s="14"/>
    </row>
    <row r="3" spans="1:10" x14ac:dyDescent="0.3">
      <c r="A3" s="14"/>
      <c r="B3" s="15"/>
      <c r="C3" s="12" t="s">
        <v>13</v>
      </c>
      <c r="D3" s="12"/>
      <c r="E3" s="12"/>
      <c r="F3" s="12"/>
      <c r="G3" s="12"/>
      <c r="H3" s="12"/>
      <c r="I3" s="12"/>
      <c r="J3" s="12"/>
    </row>
    <row r="4" spans="1:10" x14ac:dyDescent="0.3">
      <c r="A4" s="14"/>
      <c r="B4" s="15"/>
      <c r="C4" s="12" t="s">
        <v>14</v>
      </c>
      <c r="D4" s="12"/>
      <c r="E4" s="12"/>
      <c r="F4" s="12"/>
      <c r="G4" s="12"/>
      <c r="H4" s="12"/>
      <c r="I4" s="12"/>
      <c r="J4" s="12"/>
    </row>
    <row r="5" spans="1:10" x14ac:dyDescent="0.3">
      <c r="A5" s="14"/>
      <c r="B5" s="16"/>
      <c r="C5" s="13" t="s">
        <v>15</v>
      </c>
      <c r="D5" s="12"/>
      <c r="E5" s="12"/>
      <c r="F5" s="12"/>
      <c r="G5" s="12"/>
      <c r="H5" s="12"/>
      <c r="I5" s="12"/>
      <c r="J5" s="12"/>
    </row>
    <row r="6" spans="1:10" x14ac:dyDescent="0.3">
      <c r="A6" s="14"/>
      <c r="B6" s="16"/>
      <c r="C6" s="13" t="s">
        <v>16</v>
      </c>
      <c r="D6" s="12"/>
      <c r="E6" s="12"/>
      <c r="F6" s="12"/>
      <c r="G6" s="12"/>
      <c r="H6" s="12"/>
      <c r="I6" s="12"/>
      <c r="J6" s="12"/>
    </row>
    <row r="7" spans="1:10" x14ac:dyDescent="0.3">
      <c r="A7" s="14"/>
      <c r="B7" s="16"/>
      <c r="C7" s="13" t="s">
        <v>17</v>
      </c>
      <c r="D7" s="12"/>
      <c r="E7" s="12"/>
      <c r="F7" s="12"/>
      <c r="G7" s="12"/>
      <c r="H7" s="12"/>
      <c r="I7" s="12"/>
      <c r="J7" s="12"/>
    </row>
    <row r="8" spans="1:10" x14ac:dyDescent="0.3">
      <c r="A8" s="14"/>
      <c r="B8" s="15"/>
      <c r="C8" s="12" t="s">
        <v>18</v>
      </c>
      <c r="D8" s="12"/>
      <c r="E8" s="12"/>
      <c r="F8" s="12"/>
      <c r="G8" s="12"/>
      <c r="H8" s="12"/>
      <c r="I8" s="12"/>
      <c r="J8" s="12"/>
    </row>
    <row r="9" spans="1:10" x14ac:dyDescent="0.3">
      <c r="A9" s="14"/>
      <c r="B9" s="15"/>
      <c r="C9" s="12" t="s">
        <v>19</v>
      </c>
      <c r="D9" s="12"/>
      <c r="E9" s="12"/>
      <c r="F9" s="12"/>
      <c r="G9" s="12"/>
      <c r="H9" s="12"/>
      <c r="I9" s="12"/>
      <c r="J9" s="12"/>
    </row>
    <row r="10" spans="1:10" x14ac:dyDescent="0.3">
      <c r="A10" s="14"/>
      <c r="B10" s="15"/>
      <c r="C10" s="12" t="s">
        <v>20</v>
      </c>
      <c r="D10" s="12"/>
      <c r="E10" s="12"/>
      <c r="F10" s="12"/>
      <c r="G10" s="12"/>
      <c r="H10" s="12"/>
      <c r="I10" s="12"/>
      <c r="J10" s="12"/>
    </row>
    <row r="11" spans="1:10" x14ac:dyDescent="0.3">
      <c r="A11" s="14"/>
      <c r="B11" s="15"/>
      <c r="C11" s="13" t="s">
        <v>21</v>
      </c>
      <c r="D11" s="13"/>
      <c r="E11" s="12"/>
      <c r="F11" s="12"/>
      <c r="G11" s="12"/>
      <c r="H11" s="12"/>
      <c r="I11" s="12"/>
      <c r="J11" s="12"/>
    </row>
    <row r="12" spans="1:10" x14ac:dyDescent="0.3">
      <c r="A12" s="14"/>
      <c r="B12" s="15"/>
      <c r="C12" s="13" t="s">
        <v>22</v>
      </c>
      <c r="D12" s="13"/>
      <c r="E12" s="12"/>
      <c r="F12" s="12"/>
      <c r="G12" s="12"/>
      <c r="H12" s="12"/>
      <c r="I12" s="12"/>
      <c r="J12" s="12"/>
    </row>
    <row r="13" spans="1:10" x14ac:dyDescent="0.3">
      <c r="A13" s="14"/>
      <c r="B13" s="15"/>
      <c r="C13" s="13" t="s">
        <v>23</v>
      </c>
      <c r="D13" s="13"/>
      <c r="E13" s="12"/>
      <c r="F13" s="12"/>
      <c r="G13" s="12"/>
      <c r="H13" s="12"/>
      <c r="I13" s="12"/>
      <c r="J13" s="12"/>
    </row>
    <row r="14" spans="1:10" x14ac:dyDescent="0.3">
      <c r="A14" s="14"/>
      <c r="B14" s="15"/>
      <c r="C14" s="13" t="s">
        <v>24</v>
      </c>
      <c r="D14" s="13"/>
      <c r="E14" s="12"/>
      <c r="F14" s="12"/>
      <c r="G14" s="12"/>
      <c r="H14" s="12"/>
      <c r="I14" s="12"/>
      <c r="J14" s="12"/>
    </row>
    <row r="15" spans="1:10" x14ac:dyDescent="0.3">
      <c r="A15" s="14"/>
      <c r="B15" s="15"/>
      <c r="C15" s="12" t="s">
        <v>25</v>
      </c>
      <c r="D15" s="12"/>
      <c r="E15" s="12"/>
      <c r="F15" s="12"/>
      <c r="G15" s="12"/>
      <c r="H15" s="12"/>
      <c r="I15" s="12"/>
      <c r="J15" s="12"/>
    </row>
    <row r="16" spans="1:10" x14ac:dyDescent="0.3">
      <c r="A16" s="14"/>
      <c r="B16" s="16"/>
      <c r="C16" s="12"/>
      <c r="D16" s="12"/>
      <c r="E16" s="12"/>
      <c r="F16" s="12"/>
      <c r="G16" s="12"/>
      <c r="H16" s="12"/>
      <c r="I16" s="12"/>
      <c r="J16" s="12"/>
    </row>
    <row r="17" spans="1:10" x14ac:dyDescent="0.3">
      <c r="A17" s="14"/>
      <c r="B17" s="16"/>
      <c r="C17" s="856" t="s">
        <v>11</v>
      </c>
      <c r="D17" s="856"/>
      <c r="E17" s="856"/>
      <c r="F17" s="856"/>
      <c r="G17" s="856"/>
      <c r="H17" s="856"/>
      <c r="I17" s="856"/>
      <c r="J17" s="856"/>
    </row>
    <row r="18" spans="1:10" x14ac:dyDescent="0.3">
      <c r="A18" s="14"/>
      <c r="B18" s="16"/>
      <c r="C18" s="12" t="s">
        <v>26</v>
      </c>
      <c r="D18" s="12"/>
      <c r="E18" s="12"/>
      <c r="F18" s="12"/>
      <c r="G18" s="12"/>
      <c r="H18" s="12"/>
      <c r="I18" s="12"/>
      <c r="J18" s="12"/>
    </row>
    <row r="19" spans="1:10" x14ac:dyDescent="0.3">
      <c r="A19" s="14"/>
      <c r="B19" s="16"/>
      <c r="C19" s="12" t="s">
        <v>31</v>
      </c>
      <c r="D19" s="12"/>
      <c r="E19" s="12"/>
      <c r="F19" s="12"/>
      <c r="G19" s="12"/>
      <c r="H19" s="12"/>
      <c r="I19" s="12"/>
      <c r="J19" s="12"/>
    </row>
    <row r="20" spans="1:10" x14ac:dyDescent="0.3">
      <c r="A20" s="14"/>
      <c r="B20" s="16"/>
      <c r="C20" s="12" t="s">
        <v>27</v>
      </c>
      <c r="D20" s="12"/>
      <c r="E20" s="12"/>
      <c r="F20" s="12"/>
      <c r="G20" s="12"/>
      <c r="H20" s="12"/>
      <c r="I20" s="12"/>
      <c r="J20" s="12"/>
    </row>
    <row r="21" spans="1:10" x14ac:dyDescent="0.3">
      <c r="A21" s="14"/>
      <c r="B21" s="16"/>
      <c r="C21" s="12" t="s">
        <v>28</v>
      </c>
      <c r="D21" s="12"/>
      <c r="E21" s="12"/>
      <c r="F21" s="12"/>
      <c r="G21" s="12"/>
      <c r="H21" s="12"/>
      <c r="I21" s="12"/>
      <c r="J21" s="12"/>
    </row>
    <row r="22" spans="1:10" x14ac:dyDescent="0.3">
      <c r="A22" s="14"/>
      <c r="B22" s="16"/>
      <c r="C22" s="12" t="s">
        <v>29</v>
      </c>
      <c r="D22" s="12"/>
      <c r="E22" s="12"/>
      <c r="F22" s="12"/>
      <c r="G22" s="12"/>
      <c r="H22" s="12"/>
      <c r="I22" s="12"/>
      <c r="J22" s="12"/>
    </row>
    <row r="23" spans="1:10" x14ac:dyDescent="0.3">
      <c r="A23" s="14"/>
      <c r="B23" s="16"/>
      <c r="C23" s="12" t="s">
        <v>32</v>
      </c>
      <c r="D23" s="12"/>
      <c r="E23" s="12"/>
      <c r="F23" s="12"/>
      <c r="G23" s="12"/>
      <c r="H23" s="12"/>
      <c r="I23" s="12"/>
      <c r="J23" s="12"/>
    </row>
    <row r="24" spans="1:10" x14ac:dyDescent="0.3">
      <c r="A24" s="14"/>
      <c r="B24" s="16"/>
      <c r="C24" s="12" t="s">
        <v>30</v>
      </c>
      <c r="D24" s="12"/>
      <c r="E24" s="12"/>
      <c r="F24" s="12"/>
      <c r="G24" s="12"/>
      <c r="H24" s="12"/>
      <c r="I24" s="12"/>
      <c r="J24" s="12"/>
    </row>
    <row r="25" spans="1:10" x14ac:dyDescent="0.3">
      <c r="A25" s="14"/>
      <c r="B25" s="16"/>
      <c r="C25" s="12"/>
      <c r="D25" s="12"/>
      <c r="E25" s="12"/>
      <c r="F25" s="12"/>
      <c r="G25" s="12"/>
      <c r="H25" s="12"/>
      <c r="I25" s="12"/>
      <c r="J25" s="12"/>
    </row>
  </sheetData>
  <mergeCells count="2">
    <mergeCell ref="C17:J17"/>
    <mergeCell ref="A1:J1"/>
  </mergeCells>
  <pageMargins left="0.25" right="0.25" top="0.25" bottom="0.5" header="0.25" footer="0.25"/>
  <pageSetup orientation="portrait" horizontalDpi="1200" verticalDpi="1200" r:id="rId1"/>
  <headerFooter>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452"/>
  <sheetViews>
    <sheetView showGridLines="0" zoomScaleNormal="100" workbookViewId="0">
      <pane ySplit="3" topLeftCell="A4" activePane="bottomLeft" state="frozen"/>
      <selection pane="bottomLeft" activeCell="A4" sqref="A4:D4"/>
    </sheetView>
  </sheetViews>
  <sheetFormatPr defaultRowHeight="14.4" x14ac:dyDescent="0.3"/>
  <cols>
    <col min="1" max="1" width="13.44140625" style="28" customWidth="1"/>
    <col min="2" max="3" width="10.88671875" style="28" customWidth="1"/>
    <col min="4" max="4" width="100.5546875" style="28" customWidth="1"/>
  </cols>
  <sheetData>
    <row r="1" spans="1:4" s="7" customFormat="1" ht="21" x14ac:dyDescent="0.4">
      <c r="B1" s="850" t="s">
        <v>485</v>
      </c>
      <c r="C1" s="850"/>
      <c r="D1" s="850"/>
    </row>
    <row r="2" spans="1:4" s="1" customFormat="1" x14ac:dyDescent="0.3"/>
    <row r="3" spans="1:4" x14ac:dyDescent="0.3">
      <c r="A3" s="449" t="s">
        <v>483</v>
      </c>
      <c r="B3" s="449" t="s">
        <v>482</v>
      </c>
      <c r="C3" s="449" t="s">
        <v>481</v>
      </c>
      <c r="D3" s="448" t="s">
        <v>480</v>
      </c>
    </row>
    <row r="4" spans="1:4" ht="14.4" customHeight="1" x14ac:dyDescent="0.3">
      <c r="A4" s="858" t="s">
        <v>479</v>
      </c>
      <c r="B4" s="859"/>
      <c r="C4" s="859"/>
      <c r="D4" s="860"/>
    </row>
    <row r="5" spans="1:4" ht="14.4" customHeight="1" x14ac:dyDescent="0.3">
      <c r="A5" s="861" t="s">
        <v>478</v>
      </c>
      <c r="B5" s="862"/>
      <c r="C5" s="862"/>
      <c r="D5" s="863"/>
    </row>
    <row r="6" spans="1:4" x14ac:dyDescent="0.3">
      <c r="A6" s="17" t="s">
        <v>35</v>
      </c>
      <c r="B6" s="775" t="s">
        <v>467</v>
      </c>
      <c r="C6" s="776">
        <v>1</v>
      </c>
      <c r="D6" s="20" t="s">
        <v>477</v>
      </c>
    </row>
    <row r="7" spans="1:4" x14ac:dyDescent="0.3">
      <c r="A7" s="17" t="s">
        <v>35</v>
      </c>
      <c r="B7" s="775" t="s">
        <v>467</v>
      </c>
      <c r="C7" s="776">
        <f>IF(C6="",C5+1,C6+1)</f>
        <v>2</v>
      </c>
      <c r="D7" s="20" t="s">
        <v>476</v>
      </c>
    </row>
    <row r="8" spans="1:4" x14ac:dyDescent="0.3">
      <c r="A8" s="17" t="s">
        <v>35</v>
      </c>
      <c r="B8" s="775" t="s">
        <v>467</v>
      </c>
      <c r="C8" s="776">
        <f>IF(C7="",C6+1,C7+1)</f>
        <v>3</v>
      </c>
      <c r="D8" s="20" t="s">
        <v>475</v>
      </c>
    </row>
    <row r="9" spans="1:4" ht="14.4" customHeight="1" x14ac:dyDescent="0.3">
      <c r="A9" s="861" t="s">
        <v>474</v>
      </c>
      <c r="B9" s="862"/>
      <c r="C9" s="862"/>
      <c r="D9" s="863"/>
    </row>
    <row r="10" spans="1:4" x14ac:dyDescent="0.3">
      <c r="A10" s="17" t="s">
        <v>35</v>
      </c>
      <c r="B10" s="775" t="s">
        <v>467</v>
      </c>
      <c r="C10" s="776">
        <f t="shared" ref="C10:C16" si="0">IF(C9="",C8+1,C9+1)</f>
        <v>4</v>
      </c>
      <c r="D10" s="20" t="s">
        <v>473</v>
      </c>
    </row>
    <row r="11" spans="1:4" x14ac:dyDescent="0.3">
      <c r="A11" s="17" t="s">
        <v>35</v>
      </c>
      <c r="B11" s="775" t="s">
        <v>467</v>
      </c>
      <c r="C11" s="776">
        <f t="shared" si="0"/>
        <v>5</v>
      </c>
      <c r="D11" s="20" t="s">
        <v>472</v>
      </c>
    </row>
    <row r="12" spans="1:4" x14ac:dyDescent="0.3">
      <c r="A12" s="17" t="s">
        <v>35</v>
      </c>
      <c r="B12" s="775" t="s">
        <v>467</v>
      </c>
      <c r="C12" s="776">
        <f t="shared" si="0"/>
        <v>6</v>
      </c>
      <c r="D12" s="20" t="s">
        <v>471</v>
      </c>
    </row>
    <row r="13" spans="1:4" x14ac:dyDescent="0.3">
      <c r="A13" s="17" t="s">
        <v>35</v>
      </c>
      <c r="B13" s="775" t="s">
        <v>467</v>
      </c>
      <c r="C13" s="776">
        <f t="shared" si="0"/>
        <v>7</v>
      </c>
      <c r="D13" s="20" t="s">
        <v>470</v>
      </c>
    </row>
    <row r="14" spans="1:4" x14ac:dyDescent="0.3">
      <c r="A14" s="17" t="s">
        <v>35</v>
      </c>
      <c r="B14" s="775" t="s">
        <v>467</v>
      </c>
      <c r="C14" s="776">
        <f t="shared" si="0"/>
        <v>8</v>
      </c>
      <c r="D14" s="20" t="s">
        <v>469</v>
      </c>
    </row>
    <row r="15" spans="1:4" x14ac:dyDescent="0.3">
      <c r="A15" s="17" t="s">
        <v>35</v>
      </c>
      <c r="B15" s="775" t="s">
        <v>467</v>
      </c>
      <c r="C15" s="776">
        <f t="shared" si="0"/>
        <v>9</v>
      </c>
      <c r="D15" s="20" t="s">
        <v>468</v>
      </c>
    </row>
    <row r="16" spans="1:4" x14ac:dyDescent="0.3">
      <c r="A16" s="17" t="s">
        <v>35</v>
      </c>
      <c r="B16" s="775" t="s">
        <v>467</v>
      </c>
      <c r="C16" s="776">
        <f t="shared" si="0"/>
        <v>10</v>
      </c>
      <c r="D16" s="20" t="s">
        <v>466</v>
      </c>
    </row>
    <row r="17" spans="1:4" ht="14.4" customHeight="1" x14ac:dyDescent="0.3">
      <c r="A17" s="858" t="s">
        <v>465</v>
      </c>
      <c r="B17" s="859"/>
      <c r="C17" s="859"/>
      <c r="D17" s="860"/>
    </row>
    <row r="18" spans="1:4" x14ac:dyDescent="0.3">
      <c r="A18" s="17" t="s">
        <v>35</v>
      </c>
      <c r="B18" s="775" t="s">
        <v>452</v>
      </c>
      <c r="C18" s="776">
        <f t="shared" ref="C18:C30" si="1">IF(C17="",C16+1,C17+1)</f>
        <v>11</v>
      </c>
      <c r="D18" s="20" t="s">
        <v>464</v>
      </c>
    </row>
    <row r="19" spans="1:4" x14ac:dyDescent="0.3">
      <c r="A19" s="17" t="s">
        <v>35</v>
      </c>
      <c r="B19" s="775" t="s">
        <v>452</v>
      </c>
      <c r="C19" s="776">
        <f t="shared" si="1"/>
        <v>12</v>
      </c>
      <c r="D19" s="20" t="s">
        <v>463</v>
      </c>
    </row>
    <row r="20" spans="1:4" x14ac:dyDescent="0.3">
      <c r="A20" s="17" t="s">
        <v>35</v>
      </c>
      <c r="B20" s="775" t="s">
        <v>452</v>
      </c>
      <c r="C20" s="776">
        <f t="shared" si="1"/>
        <v>13</v>
      </c>
      <c r="D20" s="20" t="s">
        <v>462</v>
      </c>
    </row>
    <row r="21" spans="1:4" x14ac:dyDescent="0.3">
      <c r="A21" s="17" t="s">
        <v>35</v>
      </c>
      <c r="B21" s="775" t="s">
        <v>452</v>
      </c>
      <c r="C21" s="776">
        <f t="shared" si="1"/>
        <v>14</v>
      </c>
      <c r="D21" s="20" t="s">
        <v>461</v>
      </c>
    </row>
    <row r="22" spans="1:4" x14ac:dyDescent="0.3">
      <c r="A22" s="17" t="s">
        <v>35</v>
      </c>
      <c r="B22" s="775" t="s">
        <v>452</v>
      </c>
      <c r="C22" s="776">
        <f t="shared" si="1"/>
        <v>15</v>
      </c>
      <c r="D22" s="21" t="s">
        <v>460</v>
      </c>
    </row>
    <row r="23" spans="1:4" x14ac:dyDescent="0.3">
      <c r="A23" s="17" t="s">
        <v>35</v>
      </c>
      <c r="B23" s="775" t="s">
        <v>452</v>
      </c>
      <c r="C23" s="776">
        <f t="shared" si="1"/>
        <v>16</v>
      </c>
      <c r="D23" s="21" t="s">
        <v>459</v>
      </c>
    </row>
    <row r="24" spans="1:4" x14ac:dyDescent="0.3">
      <c r="A24" s="17" t="s">
        <v>35</v>
      </c>
      <c r="B24" s="775" t="s">
        <v>452</v>
      </c>
      <c r="C24" s="776">
        <f t="shared" si="1"/>
        <v>17</v>
      </c>
      <c r="D24" s="21" t="s">
        <v>458</v>
      </c>
    </row>
    <row r="25" spans="1:4" x14ac:dyDescent="0.3">
      <c r="A25" s="17" t="s">
        <v>35</v>
      </c>
      <c r="B25" s="775" t="s">
        <v>452</v>
      </c>
      <c r="C25" s="776">
        <f t="shared" si="1"/>
        <v>18</v>
      </c>
      <c r="D25" s="20" t="s">
        <v>457</v>
      </c>
    </row>
    <row r="26" spans="1:4" x14ac:dyDescent="0.3">
      <c r="A26" s="17" t="s">
        <v>35</v>
      </c>
      <c r="B26" s="775" t="s">
        <v>452</v>
      </c>
      <c r="C26" s="776">
        <f t="shared" si="1"/>
        <v>19</v>
      </c>
      <c r="D26" s="20" t="s">
        <v>456</v>
      </c>
    </row>
    <row r="27" spans="1:4" x14ac:dyDescent="0.3">
      <c r="A27" s="17" t="s">
        <v>35</v>
      </c>
      <c r="B27" s="775" t="s">
        <v>452</v>
      </c>
      <c r="C27" s="776">
        <f t="shared" si="1"/>
        <v>20</v>
      </c>
      <c r="D27" s="20" t="s">
        <v>455</v>
      </c>
    </row>
    <row r="28" spans="1:4" x14ac:dyDescent="0.3">
      <c r="A28" s="17" t="s">
        <v>35</v>
      </c>
      <c r="B28" s="775" t="s">
        <v>452</v>
      </c>
      <c r="C28" s="776">
        <f t="shared" si="1"/>
        <v>21</v>
      </c>
      <c r="D28" s="20" t="s">
        <v>454</v>
      </c>
    </row>
    <row r="29" spans="1:4" x14ac:dyDescent="0.3">
      <c r="A29" s="17" t="s">
        <v>35</v>
      </c>
      <c r="B29" s="775" t="s">
        <v>452</v>
      </c>
      <c r="C29" s="776">
        <f t="shared" si="1"/>
        <v>22</v>
      </c>
      <c r="D29" s="20" t="s">
        <v>453</v>
      </c>
    </row>
    <row r="30" spans="1:4" x14ac:dyDescent="0.3">
      <c r="A30" s="17" t="s">
        <v>35</v>
      </c>
      <c r="B30" s="775" t="s">
        <v>452</v>
      </c>
      <c r="C30" s="776">
        <f t="shared" si="1"/>
        <v>23</v>
      </c>
      <c r="D30" s="20" t="s">
        <v>451</v>
      </c>
    </row>
    <row r="31" spans="1:4" ht="14.4" customHeight="1" x14ac:dyDescent="0.3">
      <c r="A31" s="858" t="s">
        <v>450</v>
      </c>
      <c r="B31" s="859"/>
      <c r="C31" s="859"/>
      <c r="D31" s="860"/>
    </row>
    <row r="32" spans="1:4" x14ac:dyDescent="0.3">
      <c r="A32" s="17" t="s">
        <v>35</v>
      </c>
      <c r="B32" s="775" t="s">
        <v>436</v>
      </c>
      <c r="C32" s="776">
        <f t="shared" ref="C32:C45" si="2">IF(C31="",C30+1,C31+1)</f>
        <v>24</v>
      </c>
      <c r="D32" s="20" t="s">
        <v>449</v>
      </c>
    </row>
    <row r="33" spans="1:4" x14ac:dyDescent="0.3">
      <c r="A33" s="17" t="s">
        <v>35</v>
      </c>
      <c r="B33" s="775" t="s">
        <v>436</v>
      </c>
      <c r="C33" s="776">
        <f t="shared" si="2"/>
        <v>25</v>
      </c>
      <c r="D33" s="20" t="s">
        <v>448</v>
      </c>
    </row>
    <row r="34" spans="1:4" x14ac:dyDescent="0.3">
      <c r="A34" s="17" t="s">
        <v>35</v>
      </c>
      <c r="B34" s="775" t="s">
        <v>436</v>
      </c>
      <c r="C34" s="776">
        <f t="shared" si="2"/>
        <v>26</v>
      </c>
      <c r="D34" s="20" t="s">
        <v>447</v>
      </c>
    </row>
    <row r="35" spans="1:4" x14ac:dyDescent="0.3">
      <c r="A35" s="17" t="s">
        <v>35</v>
      </c>
      <c r="B35" s="775" t="s">
        <v>436</v>
      </c>
      <c r="C35" s="776">
        <f t="shared" si="2"/>
        <v>27</v>
      </c>
      <c r="D35" s="20" t="s">
        <v>446</v>
      </c>
    </row>
    <row r="36" spans="1:4" x14ac:dyDescent="0.3">
      <c r="A36" s="17" t="s">
        <v>35</v>
      </c>
      <c r="B36" s="775" t="s">
        <v>436</v>
      </c>
      <c r="C36" s="776">
        <f t="shared" si="2"/>
        <v>28</v>
      </c>
      <c r="D36" s="20" t="s">
        <v>445</v>
      </c>
    </row>
    <row r="37" spans="1:4" x14ac:dyDescent="0.3">
      <c r="A37" s="17" t="s">
        <v>35</v>
      </c>
      <c r="B37" s="775" t="s">
        <v>436</v>
      </c>
      <c r="C37" s="776">
        <f t="shared" si="2"/>
        <v>29</v>
      </c>
      <c r="D37" s="20" t="s">
        <v>444</v>
      </c>
    </row>
    <row r="38" spans="1:4" x14ac:dyDescent="0.3">
      <c r="A38" s="17" t="s">
        <v>35</v>
      </c>
      <c r="B38" s="775" t="s">
        <v>436</v>
      </c>
      <c r="C38" s="776">
        <f t="shared" si="2"/>
        <v>30</v>
      </c>
      <c r="D38" s="20" t="s">
        <v>443</v>
      </c>
    </row>
    <row r="39" spans="1:4" x14ac:dyDescent="0.3">
      <c r="A39" s="17" t="s">
        <v>35</v>
      </c>
      <c r="B39" s="775" t="s">
        <v>436</v>
      </c>
      <c r="C39" s="776">
        <f t="shared" si="2"/>
        <v>31</v>
      </c>
      <c r="D39" s="20" t="s">
        <v>442</v>
      </c>
    </row>
    <row r="40" spans="1:4" x14ac:dyDescent="0.3">
      <c r="A40" s="17" t="s">
        <v>35</v>
      </c>
      <c r="B40" s="775" t="s">
        <v>436</v>
      </c>
      <c r="C40" s="776">
        <f t="shared" si="2"/>
        <v>32</v>
      </c>
      <c r="D40" s="20" t="s">
        <v>441</v>
      </c>
    </row>
    <row r="41" spans="1:4" x14ac:dyDescent="0.3">
      <c r="A41" s="17" t="s">
        <v>35</v>
      </c>
      <c r="B41" s="775" t="s">
        <v>436</v>
      </c>
      <c r="C41" s="776">
        <f t="shared" si="2"/>
        <v>33</v>
      </c>
      <c r="D41" s="20" t="s">
        <v>440</v>
      </c>
    </row>
    <row r="42" spans="1:4" x14ac:dyDescent="0.3">
      <c r="A42" s="17" t="s">
        <v>35</v>
      </c>
      <c r="B42" s="775" t="s">
        <v>436</v>
      </c>
      <c r="C42" s="776">
        <f t="shared" si="2"/>
        <v>34</v>
      </c>
      <c r="D42" s="20" t="s">
        <v>439</v>
      </c>
    </row>
    <row r="43" spans="1:4" x14ac:dyDescent="0.3">
      <c r="A43" s="17" t="s">
        <v>35</v>
      </c>
      <c r="B43" s="775" t="s">
        <v>436</v>
      </c>
      <c r="C43" s="776">
        <f t="shared" si="2"/>
        <v>35</v>
      </c>
      <c r="D43" s="20" t="s">
        <v>438</v>
      </c>
    </row>
    <row r="44" spans="1:4" x14ac:dyDescent="0.3">
      <c r="A44" s="17" t="s">
        <v>35</v>
      </c>
      <c r="B44" s="775" t="s">
        <v>436</v>
      </c>
      <c r="C44" s="776">
        <f t="shared" si="2"/>
        <v>36</v>
      </c>
      <c r="D44" s="20" t="s">
        <v>437</v>
      </c>
    </row>
    <row r="45" spans="1:4" x14ac:dyDescent="0.3">
      <c r="A45" s="17" t="s">
        <v>35</v>
      </c>
      <c r="B45" s="775" t="s">
        <v>436</v>
      </c>
      <c r="C45" s="776">
        <f t="shared" si="2"/>
        <v>37</v>
      </c>
      <c r="D45" s="20" t="s">
        <v>435</v>
      </c>
    </row>
    <row r="46" spans="1:4" ht="14.4" customHeight="1" x14ac:dyDescent="0.3">
      <c r="A46" s="858" t="s">
        <v>434</v>
      </c>
      <c r="B46" s="859"/>
      <c r="C46" s="859"/>
      <c r="D46" s="860"/>
    </row>
    <row r="47" spans="1:4" x14ac:dyDescent="0.3">
      <c r="A47" s="17" t="s">
        <v>35</v>
      </c>
      <c r="B47" s="775" t="s">
        <v>407</v>
      </c>
      <c r="C47" s="776">
        <f t="shared" ref="C47:C52" si="3">IF(C46="",C45+1,C46+1)</f>
        <v>38</v>
      </c>
      <c r="D47" s="20" t="s">
        <v>433</v>
      </c>
    </row>
    <row r="48" spans="1:4" x14ac:dyDescent="0.3">
      <c r="A48" s="17" t="s">
        <v>35</v>
      </c>
      <c r="B48" s="775" t="s">
        <v>407</v>
      </c>
      <c r="C48" s="776">
        <f t="shared" si="3"/>
        <v>39</v>
      </c>
      <c r="D48" s="20" t="s">
        <v>224</v>
      </c>
    </row>
    <row r="49" spans="1:4" x14ac:dyDescent="0.3">
      <c r="A49" s="17" t="s">
        <v>35</v>
      </c>
      <c r="B49" s="775" t="s">
        <v>407</v>
      </c>
      <c r="C49" s="776">
        <f t="shared" si="3"/>
        <v>40</v>
      </c>
      <c r="D49" s="20" t="s">
        <v>223</v>
      </c>
    </row>
    <row r="50" spans="1:4" x14ac:dyDescent="0.3">
      <c r="A50" s="17" t="s">
        <v>35</v>
      </c>
      <c r="B50" s="775" t="s">
        <v>407</v>
      </c>
      <c r="C50" s="776">
        <f t="shared" si="3"/>
        <v>41</v>
      </c>
      <c r="D50" s="20" t="s">
        <v>432</v>
      </c>
    </row>
    <row r="51" spans="1:4" x14ac:dyDescent="0.3">
      <c r="A51" s="17" t="s">
        <v>35</v>
      </c>
      <c r="B51" s="775" t="s">
        <v>407</v>
      </c>
      <c r="C51" s="776">
        <f t="shared" si="3"/>
        <v>42</v>
      </c>
      <c r="D51" s="20" t="s">
        <v>431</v>
      </c>
    </row>
    <row r="52" spans="1:4" x14ac:dyDescent="0.3">
      <c r="A52" s="17" t="s">
        <v>35</v>
      </c>
      <c r="B52" s="775" t="s">
        <v>407</v>
      </c>
      <c r="C52" s="776">
        <f t="shared" si="3"/>
        <v>43</v>
      </c>
      <c r="D52" s="20" t="s">
        <v>430</v>
      </c>
    </row>
    <row r="53" spans="1:4" ht="14.4" customHeight="1" x14ac:dyDescent="0.3">
      <c r="A53" s="858" t="s">
        <v>429</v>
      </c>
      <c r="B53" s="859"/>
      <c r="C53" s="859"/>
      <c r="D53" s="860"/>
    </row>
    <row r="54" spans="1:4" x14ac:dyDescent="0.3">
      <c r="A54" s="17" t="s">
        <v>35</v>
      </c>
      <c r="B54" s="775" t="s">
        <v>412</v>
      </c>
      <c r="C54" s="776">
        <f t="shared" ref="C54:C70" si="4">IF(C53="",C52+1,C53+1)</f>
        <v>44</v>
      </c>
      <c r="D54" s="20" t="s">
        <v>428</v>
      </c>
    </row>
    <row r="55" spans="1:4" ht="28.8" x14ac:dyDescent="0.3">
      <c r="A55" s="17" t="s">
        <v>35</v>
      </c>
      <c r="B55" s="775" t="s">
        <v>412</v>
      </c>
      <c r="C55" s="776">
        <f t="shared" si="4"/>
        <v>45</v>
      </c>
      <c r="D55" s="22" t="s">
        <v>427</v>
      </c>
    </row>
    <row r="56" spans="1:4" x14ac:dyDescent="0.3">
      <c r="A56" s="17" t="s">
        <v>35</v>
      </c>
      <c r="B56" s="775" t="s">
        <v>412</v>
      </c>
      <c r="C56" s="776">
        <f t="shared" si="4"/>
        <v>46</v>
      </c>
      <c r="D56" s="22" t="s">
        <v>426</v>
      </c>
    </row>
    <row r="57" spans="1:4" ht="28.8" x14ac:dyDescent="0.3">
      <c r="A57" s="17" t="s">
        <v>35</v>
      </c>
      <c r="B57" s="775" t="s">
        <v>412</v>
      </c>
      <c r="C57" s="776">
        <f t="shared" si="4"/>
        <v>47</v>
      </c>
      <c r="D57" s="22" t="s">
        <v>425</v>
      </c>
    </row>
    <row r="58" spans="1:4" ht="28.8" x14ac:dyDescent="0.3">
      <c r="A58" s="17" t="s">
        <v>35</v>
      </c>
      <c r="B58" s="775" t="s">
        <v>412</v>
      </c>
      <c r="C58" s="776">
        <f t="shared" si="4"/>
        <v>48</v>
      </c>
      <c r="D58" s="22" t="s">
        <v>424</v>
      </c>
    </row>
    <row r="59" spans="1:4" ht="28.8" x14ac:dyDescent="0.3">
      <c r="A59" s="17" t="s">
        <v>35</v>
      </c>
      <c r="B59" s="775" t="s">
        <v>412</v>
      </c>
      <c r="C59" s="776">
        <f t="shared" si="4"/>
        <v>49</v>
      </c>
      <c r="D59" s="22" t="s">
        <v>423</v>
      </c>
    </row>
    <row r="60" spans="1:4" x14ac:dyDescent="0.3">
      <c r="A60" s="17" t="s">
        <v>35</v>
      </c>
      <c r="B60" s="775" t="s">
        <v>412</v>
      </c>
      <c r="C60" s="776">
        <f t="shared" si="4"/>
        <v>50</v>
      </c>
      <c r="D60" s="22" t="s">
        <v>422</v>
      </c>
    </row>
    <row r="61" spans="1:4" x14ac:dyDescent="0.3">
      <c r="A61" s="17" t="s">
        <v>35</v>
      </c>
      <c r="B61" s="775" t="s">
        <v>412</v>
      </c>
      <c r="C61" s="776">
        <f t="shared" si="4"/>
        <v>51</v>
      </c>
      <c r="D61" s="22" t="s">
        <v>421</v>
      </c>
    </row>
    <row r="62" spans="1:4" x14ac:dyDescent="0.3">
      <c r="A62" s="17" t="s">
        <v>35</v>
      </c>
      <c r="B62" s="775" t="s">
        <v>412</v>
      </c>
      <c r="C62" s="776">
        <f t="shared" si="4"/>
        <v>52</v>
      </c>
      <c r="D62" s="22" t="s">
        <v>420</v>
      </c>
    </row>
    <row r="63" spans="1:4" x14ac:dyDescent="0.3">
      <c r="A63" s="17" t="s">
        <v>35</v>
      </c>
      <c r="B63" s="775" t="s">
        <v>412</v>
      </c>
      <c r="C63" s="776">
        <f t="shared" si="4"/>
        <v>53</v>
      </c>
      <c r="D63" s="22" t="s">
        <v>419</v>
      </c>
    </row>
    <row r="64" spans="1:4" ht="28.8" x14ac:dyDescent="0.3">
      <c r="A64" s="17" t="s">
        <v>35</v>
      </c>
      <c r="B64" s="775" t="s">
        <v>412</v>
      </c>
      <c r="C64" s="776">
        <f t="shared" si="4"/>
        <v>54</v>
      </c>
      <c r="D64" s="22" t="s">
        <v>418</v>
      </c>
    </row>
    <row r="65" spans="1:4" ht="57.6" x14ac:dyDescent="0.3">
      <c r="A65" s="17" t="s">
        <v>35</v>
      </c>
      <c r="B65" s="775" t="s">
        <v>412</v>
      </c>
      <c r="C65" s="776">
        <f t="shared" si="4"/>
        <v>55</v>
      </c>
      <c r="D65" s="22" t="s">
        <v>417</v>
      </c>
    </row>
    <row r="66" spans="1:4" x14ac:dyDescent="0.3">
      <c r="A66" s="17" t="s">
        <v>35</v>
      </c>
      <c r="B66" s="775" t="s">
        <v>412</v>
      </c>
      <c r="C66" s="776">
        <f t="shared" si="4"/>
        <v>56</v>
      </c>
      <c r="D66" s="22" t="s">
        <v>416</v>
      </c>
    </row>
    <row r="67" spans="1:4" ht="28.8" x14ac:dyDescent="0.3">
      <c r="A67" s="17" t="s">
        <v>35</v>
      </c>
      <c r="B67" s="775" t="s">
        <v>412</v>
      </c>
      <c r="C67" s="776">
        <f t="shared" si="4"/>
        <v>57</v>
      </c>
      <c r="D67" s="22" t="s">
        <v>415</v>
      </c>
    </row>
    <row r="68" spans="1:4" x14ac:dyDescent="0.3">
      <c r="A68" s="17" t="s">
        <v>35</v>
      </c>
      <c r="B68" s="775" t="s">
        <v>412</v>
      </c>
      <c r="C68" s="776">
        <f t="shared" si="4"/>
        <v>58</v>
      </c>
      <c r="D68" s="22" t="s">
        <v>414</v>
      </c>
    </row>
    <row r="69" spans="1:4" x14ac:dyDescent="0.3">
      <c r="A69" s="17" t="s">
        <v>35</v>
      </c>
      <c r="B69" s="775" t="s">
        <v>412</v>
      </c>
      <c r="C69" s="776">
        <f t="shared" si="4"/>
        <v>59</v>
      </c>
      <c r="D69" s="22" t="s">
        <v>413</v>
      </c>
    </row>
    <row r="70" spans="1:4" x14ac:dyDescent="0.3">
      <c r="A70" s="17" t="s">
        <v>35</v>
      </c>
      <c r="B70" s="775" t="s">
        <v>412</v>
      </c>
      <c r="C70" s="776">
        <f t="shared" si="4"/>
        <v>60</v>
      </c>
      <c r="D70" s="22" t="s">
        <v>411</v>
      </c>
    </row>
    <row r="71" spans="1:4" ht="14.4" customHeight="1" x14ac:dyDescent="0.3">
      <c r="A71" s="858" t="s">
        <v>410</v>
      </c>
      <c r="B71" s="859"/>
      <c r="C71" s="859"/>
      <c r="D71" s="860"/>
    </row>
    <row r="72" spans="1:4" x14ac:dyDescent="0.3">
      <c r="A72" s="17" t="s">
        <v>35</v>
      </c>
      <c r="B72" s="775" t="s">
        <v>407</v>
      </c>
      <c r="C72" s="776">
        <f>IF(C71="",C70+1,C71+1)</f>
        <v>61</v>
      </c>
      <c r="D72" s="22" t="s">
        <v>409</v>
      </c>
    </row>
    <row r="73" spans="1:4" x14ac:dyDescent="0.3">
      <c r="A73" s="17" t="s">
        <v>35</v>
      </c>
      <c r="B73" s="775" t="s">
        <v>407</v>
      </c>
      <c r="C73" s="776">
        <f>IF(C72="",C71+1,C72+1)</f>
        <v>62</v>
      </c>
      <c r="D73" s="22" t="s">
        <v>408</v>
      </c>
    </row>
    <row r="74" spans="1:4" x14ac:dyDescent="0.3">
      <c r="A74" s="17" t="s">
        <v>35</v>
      </c>
      <c r="B74" s="775" t="s">
        <v>407</v>
      </c>
      <c r="C74" s="776">
        <f>IF(C73="",C72+1,C73+1)</f>
        <v>63</v>
      </c>
      <c r="D74" s="22" t="s">
        <v>406</v>
      </c>
    </row>
    <row r="75" spans="1:4" ht="14.4" customHeight="1" x14ac:dyDescent="0.3">
      <c r="A75" s="858" t="s">
        <v>405</v>
      </c>
      <c r="B75" s="859"/>
      <c r="C75" s="859"/>
      <c r="D75" s="860"/>
    </row>
    <row r="76" spans="1:4" ht="28.8" x14ac:dyDescent="0.3">
      <c r="A76" s="17" t="s">
        <v>35</v>
      </c>
      <c r="B76" s="775" t="s">
        <v>382</v>
      </c>
      <c r="C76" s="776">
        <f t="shared" ref="C76:C98" si="5">IF(C75="",C74+1,C75+1)</f>
        <v>64</v>
      </c>
      <c r="D76" s="22" t="s">
        <v>404</v>
      </c>
    </row>
    <row r="77" spans="1:4" ht="43.2" x14ac:dyDescent="0.3">
      <c r="A77" s="17" t="s">
        <v>35</v>
      </c>
      <c r="B77" s="775" t="s">
        <v>382</v>
      </c>
      <c r="C77" s="776">
        <f t="shared" si="5"/>
        <v>65</v>
      </c>
      <c r="D77" s="22" t="s">
        <v>403</v>
      </c>
    </row>
    <row r="78" spans="1:4" x14ac:dyDescent="0.3">
      <c r="A78" s="17" t="s">
        <v>35</v>
      </c>
      <c r="B78" s="775" t="s">
        <v>382</v>
      </c>
      <c r="C78" s="776">
        <f t="shared" si="5"/>
        <v>66</v>
      </c>
      <c r="D78" s="23" t="s">
        <v>402</v>
      </c>
    </row>
    <row r="79" spans="1:4" x14ac:dyDescent="0.3">
      <c r="A79" s="17" t="s">
        <v>35</v>
      </c>
      <c r="B79" s="775" t="s">
        <v>382</v>
      </c>
      <c r="C79" s="776">
        <f t="shared" si="5"/>
        <v>67</v>
      </c>
      <c r="D79" s="23" t="s">
        <v>401</v>
      </c>
    </row>
    <row r="80" spans="1:4" x14ac:dyDescent="0.3">
      <c r="A80" s="17" t="s">
        <v>35</v>
      </c>
      <c r="B80" s="775" t="s">
        <v>382</v>
      </c>
      <c r="C80" s="776">
        <f t="shared" si="5"/>
        <v>68</v>
      </c>
      <c r="D80" s="23" t="s">
        <v>400</v>
      </c>
    </row>
    <row r="81" spans="1:4" x14ac:dyDescent="0.3">
      <c r="A81" s="17" t="s">
        <v>35</v>
      </c>
      <c r="B81" s="775" t="s">
        <v>382</v>
      </c>
      <c r="C81" s="776">
        <f t="shared" si="5"/>
        <v>69</v>
      </c>
      <c r="D81" s="23" t="s">
        <v>399</v>
      </c>
    </row>
    <row r="82" spans="1:4" x14ac:dyDescent="0.3">
      <c r="A82" s="17" t="s">
        <v>35</v>
      </c>
      <c r="B82" s="775" t="s">
        <v>382</v>
      </c>
      <c r="C82" s="776">
        <f t="shared" si="5"/>
        <v>70</v>
      </c>
      <c r="D82" s="23" t="s">
        <v>398</v>
      </c>
    </row>
    <row r="83" spans="1:4" x14ac:dyDescent="0.3">
      <c r="A83" s="17" t="s">
        <v>35</v>
      </c>
      <c r="B83" s="775" t="s">
        <v>382</v>
      </c>
      <c r="C83" s="776">
        <f t="shared" si="5"/>
        <v>71</v>
      </c>
      <c r="D83" s="23" t="s">
        <v>397</v>
      </c>
    </row>
    <row r="84" spans="1:4" x14ac:dyDescent="0.3">
      <c r="A84" s="17" t="s">
        <v>35</v>
      </c>
      <c r="B84" s="775" t="s">
        <v>382</v>
      </c>
      <c r="C84" s="776">
        <f t="shared" si="5"/>
        <v>72</v>
      </c>
      <c r="D84" s="23" t="s">
        <v>396</v>
      </c>
    </row>
    <row r="85" spans="1:4" ht="28.8" x14ac:dyDescent="0.3">
      <c r="A85" s="17" t="s">
        <v>35</v>
      </c>
      <c r="B85" s="775" t="s">
        <v>382</v>
      </c>
      <c r="C85" s="776">
        <f t="shared" si="5"/>
        <v>73</v>
      </c>
      <c r="D85" s="23" t="s">
        <v>395</v>
      </c>
    </row>
    <row r="86" spans="1:4" ht="43.2" x14ac:dyDescent="0.3">
      <c r="A86" s="17" t="s">
        <v>35</v>
      </c>
      <c r="B86" s="775" t="s">
        <v>382</v>
      </c>
      <c r="C86" s="776">
        <f t="shared" si="5"/>
        <v>74</v>
      </c>
      <c r="D86" s="23" t="s">
        <v>394</v>
      </c>
    </row>
    <row r="87" spans="1:4" x14ac:dyDescent="0.3">
      <c r="A87" s="17" t="s">
        <v>35</v>
      </c>
      <c r="B87" s="775" t="s">
        <v>382</v>
      </c>
      <c r="C87" s="776">
        <f t="shared" si="5"/>
        <v>75</v>
      </c>
      <c r="D87" s="23" t="s">
        <v>393</v>
      </c>
    </row>
    <row r="88" spans="1:4" x14ac:dyDescent="0.3">
      <c r="A88" s="17" t="s">
        <v>35</v>
      </c>
      <c r="B88" s="775" t="s">
        <v>382</v>
      </c>
      <c r="C88" s="776">
        <f t="shared" si="5"/>
        <v>76</v>
      </c>
      <c r="D88" s="23" t="s">
        <v>392</v>
      </c>
    </row>
    <row r="89" spans="1:4" x14ac:dyDescent="0.3">
      <c r="A89" s="17" t="s">
        <v>35</v>
      </c>
      <c r="B89" s="775" t="s">
        <v>382</v>
      </c>
      <c r="C89" s="776">
        <f t="shared" si="5"/>
        <v>77</v>
      </c>
      <c r="D89" s="23" t="s">
        <v>391</v>
      </c>
    </row>
    <row r="90" spans="1:4" ht="43.2" x14ac:dyDescent="0.3">
      <c r="A90" s="17" t="s">
        <v>35</v>
      </c>
      <c r="B90" s="775" t="s">
        <v>382</v>
      </c>
      <c r="C90" s="776">
        <f t="shared" si="5"/>
        <v>78</v>
      </c>
      <c r="D90" s="23" t="s">
        <v>390</v>
      </c>
    </row>
    <row r="91" spans="1:4" ht="28.8" x14ac:dyDescent="0.3">
      <c r="A91" s="17" t="s">
        <v>35</v>
      </c>
      <c r="B91" s="775" t="s">
        <v>382</v>
      </c>
      <c r="C91" s="776">
        <f t="shared" si="5"/>
        <v>79</v>
      </c>
      <c r="D91" s="23" t="s">
        <v>389</v>
      </c>
    </row>
    <row r="92" spans="1:4" ht="28.8" x14ac:dyDescent="0.3">
      <c r="A92" s="17" t="s">
        <v>35</v>
      </c>
      <c r="B92" s="775" t="s">
        <v>382</v>
      </c>
      <c r="C92" s="776">
        <f t="shared" si="5"/>
        <v>80</v>
      </c>
      <c r="D92" s="23" t="s">
        <v>388</v>
      </c>
    </row>
    <row r="93" spans="1:4" x14ac:dyDescent="0.3">
      <c r="A93" s="17" t="s">
        <v>35</v>
      </c>
      <c r="B93" s="775" t="s">
        <v>382</v>
      </c>
      <c r="C93" s="776">
        <f t="shared" si="5"/>
        <v>81</v>
      </c>
      <c r="D93" s="23" t="s">
        <v>387</v>
      </c>
    </row>
    <row r="94" spans="1:4" x14ac:dyDescent="0.3">
      <c r="A94" s="17" t="s">
        <v>35</v>
      </c>
      <c r="B94" s="775" t="s">
        <v>382</v>
      </c>
      <c r="C94" s="776">
        <f t="shared" si="5"/>
        <v>82</v>
      </c>
      <c r="D94" s="22" t="s">
        <v>386</v>
      </c>
    </row>
    <row r="95" spans="1:4" ht="28.8" x14ac:dyDescent="0.3">
      <c r="A95" s="17" t="s">
        <v>35</v>
      </c>
      <c r="B95" s="775" t="s">
        <v>382</v>
      </c>
      <c r="C95" s="776">
        <f t="shared" si="5"/>
        <v>83</v>
      </c>
      <c r="D95" s="22" t="s">
        <v>385</v>
      </c>
    </row>
    <row r="96" spans="1:4" x14ac:dyDescent="0.3">
      <c r="A96" s="17" t="s">
        <v>35</v>
      </c>
      <c r="B96" s="775" t="s">
        <v>382</v>
      </c>
      <c r="C96" s="776">
        <f t="shared" si="5"/>
        <v>84</v>
      </c>
      <c r="D96" s="22" t="s">
        <v>384</v>
      </c>
    </row>
    <row r="97" spans="1:4" x14ac:dyDescent="0.3">
      <c r="A97" s="17" t="s">
        <v>35</v>
      </c>
      <c r="B97" s="775" t="s">
        <v>382</v>
      </c>
      <c r="C97" s="776">
        <f t="shared" si="5"/>
        <v>85</v>
      </c>
      <c r="D97" s="22" t="s">
        <v>383</v>
      </c>
    </row>
    <row r="98" spans="1:4" x14ac:dyDescent="0.3">
      <c r="A98" s="17" t="s">
        <v>35</v>
      </c>
      <c r="B98" s="775" t="s">
        <v>382</v>
      </c>
      <c r="C98" s="776">
        <f t="shared" si="5"/>
        <v>86</v>
      </c>
      <c r="D98" s="22" t="s">
        <v>381</v>
      </c>
    </row>
    <row r="99" spans="1:4" ht="14.4" customHeight="1" x14ac:dyDescent="0.3">
      <c r="A99" s="858" t="s">
        <v>380</v>
      </c>
      <c r="B99" s="859"/>
      <c r="C99" s="859"/>
      <c r="D99" s="860" t="s">
        <v>373</v>
      </c>
    </row>
    <row r="100" spans="1:4" x14ac:dyDescent="0.3">
      <c r="A100" s="17" t="s">
        <v>35</v>
      </c>
      <c r="B100" s="775" t="s">
        <v>375</v>
      </c>
      <c r="C100" s="776">
        <f>IF(C99="",C98+1,C99+1)</f>
        <v>87</v>
      </c>
      <c r="D100" s="20" t="s">
        <v>379</v>
      </c>
    </row>
    <row r="101" spans="1:4" x14ac:dyDescent="0.3">
      <c r="A101" s="17" t="s">
        <v>35</v>
      </c>
      <c r="B101" s="775" t="s">
        <v>375</v>
      </c>
      <c r="C101" s="776">
        <f>IF(C100="",C99+1,C100+1)</f>
        <v>88</v>
      </c>
      <c r="D101" s="20" t="s">
        <v>378</v>
      </c>
    </row>
    <row r="102" spans="1:4" x14ac:dyDescent="0.3">
      <c r="A102" s="17" t="s">
        <v>35</v>
      </c>
      <c r="B102" s="775" t="s">
        <v>375</v>
      </c>
      <c r="C102" s="776">
        <f>IF(C101="",C100+1,C101+1)</f>
        <v>89</v>
      </c>
      <c r="D102" s="20" t="s">
        <v>377</v>
      </c>
    </row>
    <row r="103" spans="1:4" x14ac:dyDescent="0.3">
      <c r="A103" s="17" t="s">
        <v>35</v>
      </c>
      <c r="B103" s="775" t="s">
        <v>375</v>
      </c>
      <c r="C103" s="776">
        <f>IF(C102="",C101+1,C102+1)</f>
        <v>90</v>
      </c>
      <c r="D103" s="20" t="s">
        <v>376</v>
      </c>
    </row>
    <row r="104" spans="1:4" x14ac:dyDescent="0.3">
      <c r="A104" s="17" t="s">
        <v>35</v>
      </c>
      <c r="B104" s="775" t="s">
        <v>375</v>
      </c>
      <c r="C104" s="776">
        <f>IF(C103="",C102+1,C103+1)</f>
        <v>91</v>
      </c>
      <c r="D104" s="20" t="s">
        <v>374</v>
      </c>
    </row>
    <row r="105" spans="1:4" ht="14.4" customHeight="1" x14ac:dyDescent="0.3">
      <c r="A105" s="858" t="s">
        <v>1382</v>
      </c>
      <c r="B105" s="859"/>
      <c r="C105" s="859"/>
      <c r="D105" s="860" t="s">
        <v>373</v>
      </c>
    </row>
    <row r="106" spans="1:4" x14ac:dyDescent="0.3">
      <c r="A106" s="17" t="s">
        <v>35</v>
      </c>
      <c r="B106" s="775" t="s">
        <v>1383</v>
      </c>
      <c r="C106" s="776">
        <f t="shared" ref="C106:C121" si="6">IF(C105="",C104+1,C105+1)</f>
        <v>92</v>
      </c>
      <c r="D106" s="20" t="s">
        <v>1384</v>
      </c>
    </row>
    <row r="107" spans="1:4" x14ac:dyDescent="0.3">
      <c r="A107" s="17" t="s">
        <v>35</v>
      </c>
      <c r="B107" s="775" t="s">
        <v>1383</v>
      </c>
      <c r="C107" s="776">
        <f t="shared" si="6"/>
        <v>93</v>
      </c>
      <c r="D107" s="20" t="s">
        <v>372</v>
      </c>
    </row>
    <row r="108" spans="1:4" x14ac:dyDescent="0.3">
      <c r="A108" s="17" t="s">
        <v>35</v>
      </c>
      <c r="B108" s="775" t="s">
        <v>1383</v>
      </c>
      <c r="C108" s="776">
        <f t="shared" si="6"/>
        <v>94</v>
      </c>
      <c r="D108" s="20" t="s">
        <v>371</v>
      </c>
    </row>
    <row r="109" spans="1:4" x14ac:dyDescent="0.3">
      <c r="A109" s="17" t="s">
        <v>35</v>
      </c>
      <c r="B109" s="775" t="s">
        <v>1383</v>
      </c>
      <c r="C109" s="776">
        <f t="shared" si="6"/>
        <v>95</v>
      </c>
      <c r="D109" s="20" t="s">
        <v>370</v>
      </c>
    </row>
    <row r="110" spans="1:4" x14ac:dyDescent="0.3">
      <c r="A110" s="17" t="s">
        <v>35</v>
      </c>
      <c r="B110" s="775" t="s">
        <v>1383</v>
      </c>
      <c r="C110" s="776">
        <f t="shared" si="6"/>
        <v>96</v>
      </c>
      <c r="D110" s="20" t="s">
        <v>369</v>
      </c>
    </row>
    <row r="111" spans="1:4" x14ac:dyDescent="0.3">
      <c r="A111" s="17" t="s">
        <v>35</v>
      </c>
      <c r="B111" s="775" t="s">
        <v>1383</v>
      </c>
      <c r="C111" s="776">
        <f t="shared" si="6"/>
        <v>97</v>
      </c>
      <c r="D111" s="20" t="s">
        <v>368</v>
      </c>
    </row>
    <row r="112" spans="1:4" x14ac:dyDescent="0.3">
      <c r="A112" s="17" t="s">
        <v>35</v>
      </c>
      <c r="B112" s="775" t="s">
        <v>1383</v>
      </c>
      <c r="C112" s="776">
        <f t="shared" si="6"/>
        <v>98</v>
      </c>
      <c r="D112" s="20" t="s">
        <v>367</v>
      </c>
    </row>
    <row r="113" spans="1:4" x14ac:dyDescent="0.3">
      <c r="A113" s="17" t="s">
        <v>35</v>
      </c>
      <c r="B113" s="775" t="s">
        <v>1383</v>
      </c>
      <c r="C113" s="776">
        <f t="shared" si="6"/>
        <v>99</v>
      </c>
      <c r="D113" s="20" t="s">
        <v>366</v>
      </c>
    </row>
    <row r="114" spans="1:4" x14ac:dyDescent="0.3">
      <c r="A114" s="17" t="s">
        <v>35</v>
      </c>
      <c r="B114" s="775" t="s">
        <v>1383</v>
      </c>
      <c r="C114" s="776">
        <f t="shared" si="6"/>
        <v>100</v>
      </c>
      <c r="D114" s="20" t="s">
        <v>365</v>
      </c>
    </row>
    <row r="115" spans="1:4" x14ac:dyDescent="0.3">
      <c r="A115" s="17" t="s">
        <v>35</v>
      </c>
      <c r="B115" s="775" t="s">
        <v>1383</v>
      </c>
      <c r="C115" s="776">
        <f t="shared" si="6"/>
        <v>101</v>
      </c>
      <c r="D115" s="20" t="s">
        <v>364</v>
      </c>
    </row>
    <row r="116" spans="1:4" x14ac:dyDescent="0.3">
      <c r="A116" s="17" t="s">
        <v>35</v>
      </c>
      <c r="B116" s="775" t="s">
        <v>1383</v>
      </c>
      <c r="C116" s="776">
        <f t="shared" si="6"/>
        <v>102</v>
      </c>
      <c r="D116" s="20" t="s">
        <v>363</v>
      </c>
    </row>
    <row r="117" spans="1:4" x14ac:dyDescent="0.3">
      <c r="A117" s="17" t="s">
        <v>35</v>
      </c>
      <c r="B117" s="775" t="s">
        <v>1383</v>
      </c>
      <c r="C117" s="776">
        <f t="shared" si="6"/>
        <v>103</v>
      </c>
      <c r="D117" s="20" t="s">
        <v>362</v>
      </c>
    </row>
    <row r="118" spans="1:4" x14ac:dyDescent="0.3">
      <c r="A118" s="17" t="s">
        <v>35</v>
      </c>
      <c r="B118" s="775" t="s">
        <v>1383</v>
      </c>
      <c r="C118" s="776">
        <f t="shared" si="6"/>
        <v>104</v>
      </c>
      <c r="D118" s="20" t="s">
        <v>361</v>
      </c>
    </row>
    <row r="119" spans="1:4" x14ac:dyDescent="0.3">
      <c r="A119" s="17" t="s">
        <v>35</v>
      </c>
      <c r="B119" s="775" t="s">
        <v>1383</v>
      </c>
      <c r="C119" s="776">
        <f t="shared" si="6"/>
        <v>105</v>
      </c>
      <c r="D119" s="20" t="s">
        <v>360</v>
      </c>
    </row>
    <row r="120" spans="1:4" x14ac:dyDescent="0.3">
      <c r="A120" s="17" t="s">
        <v>35</v>
      </c>
      <c r="B120" s="775" t="s">
        <v>1383</v>
      </c>
      <c r="C120" s="776">
        <f t="shared" si="6"/>
        <v>106</v>
      </c>
      <c r="D120" s="20" t="s">
        <v>359</v>
      </c>
    </row>
    <row r="121" spans="1:4" ht="86.4" x14ac:dyDescent="0.3">
      <c r="A121" s="17" t="s">
        <v>35</v>
      </c>
      <c r="B121" s="775" t="s">
        <v>1383</v>
      </c>
      <c r="C121" s="776">
        <f t="shared" si="6"/>
        <v>107</v>
      </c>
      <c r="D121" s="22" t="s">
        <v>1385</v>
      </c>
    </row>
    <row r="122" spans="1:4" ht="14.4" customHeight="1" x14ac:dyDescent="0.3">
      <c r="A122" s="858" t="s">
        <v>358</v>
      </c>
      <c r="B122" s="859" t="s">
        <v>337</v>
      </c>
      <c r="C122" s="859"/>
      <c r="D122" s="860"/>
    </row>
    <row r="123" spans="1:4" x14ac:dyDescent="0.3">
      <c r="A123" s="17" t="s">
        <v>35</v>
      </c>
      <c r="B123" s="775" t="s">
        <v>337</v>
      </c>
      <c r="C123" s="776">
        <f t="shared" ref="C123:C144" si="7">IF(C122="",C121+1,C122+1)</f>
        <v>108</v>
      </c>
      <c r="D123" s="20" t="s">
        <v>75</v>
      </c>
    </row>
    <row r="124" spans="1:4" x14ac:dyDescent="0.3">
      <c r="A124" s="17" t="s">
        <v>35</v>
      </c>
      <c r="B124" s="775" t="s">
        <v>337</v>
      </c>
      <c r="C124" s="776">
        <f t="shared" si="7"/>
        <v>109</v>
      </c>
      <c r="D124" s="20" t="s">
        <v>357</v>
      </c>
    </row>
    <row r="125" spans="1:4" x14ac:dyDescent="0.3">
      <c r="A125" s="17" t="s">
        <v>35</v>
      </c>
      <c r="B125" s="775" t="s">
        <v>337</v>
      </c>
      <c r="C125" s="776">
        <f t="shared" si="7"/>
        <v>110</v>
      </c>
      <c r="D125" s="20" t="s">
        <v>356</v>
      </c>
    </row>
    <row r="126" spans="1:4" x14ac:dyDescent="0.3">
      <c r="A126" s="17" t="s">
        <v>35</v>
      </c>
      <c r="B126" s="775" t="s">
        <v>337</v>
      </c>
      <c r="C126" s="776">
        <f t="shared" si="7"/>
        <v>111</v>
      </c>
      <c r="D126" s="20" t="s">
        <v>355</v>
      </c>
    </row>
    <row r="127" spans="1:4" x14ac:dyDescent="0.3">
      <c r="A127" s="17" t="s">
        <v>35</v>
      </c>
      <c r="B127" s="775" t="s">
        <v>337</v>
      </c>
      <c r="C127" s="776">
        <f t="shared" si="7"/>
        <v>112</v>
      </c>
      <c r="D127" s="20" t="s">
        <v>354</v>
      </c>
    </row>
    <row r="128" spans="1:4" x14ac:dyDescent="0.3">
      <c r="A128" s="17" t="s">
        <v>35</v>
      </c>
      <c r="B128" s="775" t="s">
        <v>337</v>
      </c>
      <c r="C128" s="776">
        <f t="shared" si="7"/>
        <v>113</v>
      </c>
      <c r="D128" s="20" t="s">
        <v>353</v>
      </c>
    </row>
    <row r="129" spans="1:4" x14ac:dyDescent="0.3">
      <c r="A129" s="17" t="s">
        <v>35</v>
      </c>
      <c r="B129" s="775" t="s">
        <v>337</v>
      </c>
      <c r="C129" s="776">
        <f t="shared" si="7"/>
        <v>114</v>
      </c>
      <c r="D129" s="20" t="s">
        <v>352</v>
      </c>
    </row>
    <row r="130" spans="1:4" x14ac:dyDescent="0.3">
      <c r="A130" s="17" t="s">
        <v>35</v>
      </c>
      <c r="B130" s="775" t="s">
        <v>337</v>
      </c>
      <c r="C130" s="776">
        <f t="shared" si="7"/>
        <v>115</v>
      </c>
      <c r="D130" s="20" t="s">
        <v>351</v>
      </c>
    </row>
    <row r="131" spans="1:4" x14ac:dyDescent="0.3">
      <c r="A131" s="17" t="s">
        <v>35</v>
      </c>
      <c r="B131" s="775" t="s">
        <v>337</v>
      </c>
      <c r="C131" s="776">
        <f t="shared" si="7"/>
        <v>116</v>
      </c>
      <c r="D131" s="20" t="s">
        <v>350</v>
      </c>
    </row>
    <row r="132" spans="1:4" x14ac:dyDescent="0.3">
      <c r="A132" s="17" t="s">
        <v>35</v>
      </c>
      <c r="B132" s="775" t="s">
        <v>337</v>
      </c>
      <c r="C132" s="776">
        <f t="shared" si="7"/>
        <v>117</v>
      </c>
      <c r="D132" s="20" t="s">
        <v>349</v>
      </c>
    </row>
    <row r="133" spans="1:4" x14ac:dyDescent="0.3">
      <c r="A133" s="17" t="s">
        <v>35</v>
      </c>
      <c r="B133" s="775" t="s">
        <v>337</v>
      </c>
      <c r="C133" s="776">
        <f t="shared" si="7"/>
        <v>118</v>
      </c>
      <c r="D133" s="20" t="s">
        <v>348</v>
      </c>
    </row>
    <row r="134" spans="1:4" ht="28.8" x14ac:dyDescent="0.3">
      <c r="A134" s="17" t="s">
        <v>35</v>
      </c>
      <c r="B134" s="775" t="s">
        <v>337</v>
      </c>
      <c r="C134" s="776">
        <f t="shared" si="7"/>
        <v>119</v>
      </c>
      <c r="D134" s="20" t="s">
        <v>347</v>
      </c>
    </row>
    <row r="135" spans="1:4" x14ac:dyDescent="0.3">
      <c r="A135" s="17" t="s">
        <v>35</v>
      </c>
      <c r="B135" s="775" t="s">
        <v>337</v>
      </c>
      <c r="C135" s="776">
        <f t="shared" si="7"/>
        <v>120</v>
      </c>
      <c r="D135" s="20" t="s">
        <v>346</v>
      </c>
    </row>
    <row r="136" spans="1:4" x14ac:dyDescent="0.3">
      <c r="A136" s="17" t="s">
        <v>35</v>
      </c>
      <c r="B136" s="775" t="s">
        <v>337</v>
      </c>
      <c r="C136" s="776">
        <f t="shared" si="7"/>
        <v>121</v>
      </c>
      <c r="D136" s="20" t="s">
        <v>345</v>
      </c>
    </row>
    <row r="137" spans="1:4" x14ac:dyDescent="0.3">
      <c r="A137" s="17" t="s">
        <v>35</v>
      </c>
      <c r="B137" s="775" t="s">
        <v>337</v>
      </c>
      <c r="C137" s="776">
        <f t="shared" si="7"/>
        <v>122</v>
      </c>
      <c r="D137" s="20" t="s">
        <v>344</v>
      </c>
    </row>
    <row r="138" spans="1:4" x14ac:dyDescent="0.3">
      <c r="A138" s="17" t="s">
        <v>35</v>
      </c>
      <c r="B138" s="775" t="s">
        <v>337</v>
      </c>
      <c r="C138" s="776">
        <f t="shared" si="7"/>
        <v>123</v>
      </c>
      <c r="D138" s="20" t="s">
        <v>343</v>
      </c>
    </row>
    <row r="139" spans="1:4" x14ac:dyDescent="0.3">
      <c r="A139" s="17" t="s">
        <v>35</v>
      </c>
      <c r="B139" s="775" t="s">
        <v>337</v>
      </c>
      <c r="C139" s="776">
        <f t="shared" si="7"/>
        <v>124</v>
      </c>
      <c r="D139" s="20" t="s">
        <v>342</v>
      </c>
    </row>
    <row r="140" spans="1:4" x14ac:dyDescent="0.3">
      <c r="A140" s="17" t="s">
        <v>35</v>
      </c>
      <c r="B140" s="775" t="s">
        <v>337</v>
      </c>
      <c r="C140" s="776">
        <f t="shared" si="7"/>
        <v>125</v>
      </c>
      <c r="D140" s="20" t="s">
        <v>341</v>
      </c>
    </row>
    <row r="141" spans="1:4" x14ac:dyDescent="0.3">
      <c r="A141" s="17" t="s">
        <v>35</v>
      </c>
      <c r="B141" s="775" t="s">
        <v>337</v>
      </c>
      <c r="C141" s="776">
        <f t="shared" si="7"/>
        <v>126</v>
      </c>
      <c r="D141" s="20" t="s">
        <v>340</v>
      </c>
    </row>
    <row r="142" spans="1:4" x14ac:dyDescent="0.3">
      <c r="A142" s="17" t="s">
        <v>35</v>
      </c>
      <c r="B142" s="775" t="s">
        <v>337</v>
      </c>
      <c r="C142" s="776">
        <f t="shared" si="7"/>
        <v>127</v>
      </c>
      <c r="D142" s="20" t="s">
        <v>339</v>
      </c>
    </row>
    <row r="143" spans="1:4" x14ac:dyDescent="0.3">
      <c r="A143" s="17" t="s">
        <v>35</v>
      </c>
      <c r="B143" s="775" t="s">
        <v>337</v>
      </c>
      <c r="C143" s="776">
        <f t="shared" si="7"/>
        <v>128</v>
      </c>
      <c r="D143" s="20" t="s">
        <v>338</v>
      </c>
    </row>
    <row r="144" spans="1:4" x14ac:dyDescent="0.3">
      <c r="A144" s="17" t="s">
        <v>35</v>
      </c>
      <c r="B144" s="775" t="s">
        <v>337</v>
      </c>
      <c r="C144" s="776">
        <f t="shared" si="7"/>
        <v>129</v>
      </c>
      <c r="D144" s="20" t="s">
        <v>57</v>
      </c>
    </row>
    <row r="145" spans="1:4" ht="14.4" customHeight="1" x14ac:dyDescent="0.3">
      <c r="A145" s="858" t="s">
        <v>336</v>
      </c>
      <c r="B145" s="859" t="s">
        <v>322</v>
      </c>
      <c r="C145" s="859"/>
      <c r="D145" s="860"/>
    </row>
    <row r="146" spans="1:4" x14ac:dyDescent="0.3">
      <c r="A146" s="17" t="s">
        <v>35</v>
      </c>
      <c r="B146" s="775" t="s">
        <v>322</v>
      </c>
      <c r="C146" s="776">
        <f t="shared" ref="C146:C160" si="8">IF(C145="",C144+1,C145+1)</f>
        <v>130</v>
      </c>
      <c r="D146" s="20" t="s">
        <v>75</v>
      </c>
    </row>
    <row r="147" spans="1:4" x14ac:dyDescent="0.3">
      <c r="A147" s="17" t="s">
        <v>35</v>
      </c>
      <c r="B147" s="775" t="s">
        <v>322</v>
      </c>
      <c r="C147" s="776">
        <f t="shared" si="8"/>
        <v>131</v>
      </c>
      <c r="D147" s="20" t="s">
        <v>335</v>
      </c>
    </row>
    <row r="148" spans="1:4" x14ac:dyDescent="0.3">
      <c r="A148" s="17" t="s">
        <v>35</v>
      </c>
      <c r="B148" s="775" t="s">
        <v>322</v>
      </c>
      <c r="C148" s="776">
        <f t="shared" si="8"/>
        <v>132</v>
      </c>
      <c r="D148" s="20" t="s">
        <v>334</v>
      </c>
    </row>
    <row r="149" spans="1:4" x14ac:dyDescent="0.3">
      <c r="A149" s="17" t="s">
        <v>35</v>
      </c>
      <c r="B149" s="775" t="s">
        <v>322</v>
      </c>
      <c r="C149" s="776">
        <f t="shared" si="8"/>
        <v>133</v>
      </c>
      <c r="D149" s="20" t="s">
        <v>333</v>
      </c>
    </row>
    <row r="150" spans="1:4" x14ac:dyDescent="0.3">
      <c r="A150" s="17" t="s">
        <v>35</v>
      </c>
      <c r="B150" s="775" t="s">
        <v>322</v>
      </c>
      <c r="C150" s="776">
        <f t="shared" si="8"/>
        <v>134</v>
      </c>
      <c r="D150" s="20" t="s">
        <v>332</v>
      </c>
    </row>
    <row r="151" spans="1:4" x14ac:dyDescent="0.3">
      <c r="A151" s="17" t="s">
        <v>35</v>
      </c>
      <c r="B151" s="775" t="s">
        <v>322</v>
      </c>
      <c r="C151" s="776">
        <f t="shared" si="8"/>
        <v>135</v>
      </c>
      <c r="D151" s="20" t="s">
        <v>331</v>
      </c>
    </row>
    <row r="152" spans="1:4" x14ac:dyDescent="0.3">
      <c r="A152" s="17" t="s">
        <v>35</v>
      </c>
      <c r="B152" s="775" t="s">
        <v>322</v>
      </c>
      <c r="C152" s="776">
        <f t="shared" si="8"/>
        <v>136</v>
      </c>
      <c r="D152" s="20" t="s">
        <v>330</v>
      </c>
    </row>
    <row r="153" spans="1:4" x14ac:dyDescent="0.3">
      <c r="A153" s="17" t="s">
        <v>35</v>
      </c>
      <c r="B153" s="775" t="s">
        <v>322</v>
      </c>
      <c r="C153" s="776">
        <f t="shared" si="8"/>
        <v>137</v>
      </c>
      <c r="D153" s="20" t="s">
        <v>329</v>
      </c>
    </row>
    <row r="154" spans="1:4" x14ac:dyDescent="0.3">
      <c r="A154" s="17" t="s">
        <v>35</v>
      </c>
      <c r="B154" s="775" t="s">
        <v>322</v>
      </c>
      <c r="C154" s="776">
        <f t="shared" si="8"/>
        <v>138</v>
      </c>
      <c r="D154" s="20" t="s">
        <v>328</v>
      </c>
    </row>
    <row r="155" spans="1:4" x14ac:dyDescent="0.3">
      <c r="A155" s="17" t="s">
        <v>35</v>
      </c>
      <c r="B155" s="775" t="s">
        <v>322</v>
      </c>
      <c r="C155" s="776">
        <f t="shared" si="8"/>
        <v>139</v>
      </c>
      <c r="D155" s="20" t="s">
        <v>327</v>
      </c>
    </row>
    <row r="156" spans="1:4" x14ac:dyDescent="0.3">
      <c r="A156" s="17" t="s">
        <v>35</v>
      </c>
      <c r="B156" s="775" t="s">
        <v>322</v>
      </c>
      <c r="C156" s="776">
        <f t="shared" si="8"/>
        <v>140</v>
      </c>
      <c r="D156" s="20" t="s">
        <v>326</v>
      </c>
    </row>
    <row r="157" spans="1:4" x14ac:dyDescent="0.3">
      <c r="A157" s="17" t="s">
        <v>35</v>
      </c>
      <c r="B157" s="775" t="s">
        <v>322</v>
      </c>
      <c r="C157" s="776">
        <f t="shared" si="8"/>
        <v>141</v>
      </c>
      <c r="D157" s="20" t="s">
        <v>325</v>
      </c>
    </row>
    <row r="158" spans="1:4" x14ac:dyDescent="0.3">
      <c r="A158" s="17" t="s">
        <v>35</v>
      </c>
      <c r="B158" s="775" t="s">
        <v>322</v>
      </c>
      <c r="C158" s="776">
        <f t="shared" si="8"/>
        <v>142</v>
      </c>
      <c r="D158" s="20" t="s">
        <v>324</v>
      </c>
    </row>
    <row r="159" spans="1:4" x14ac:dyDescent="0.3">
      <c r="A159" s="17" t="s">
        <v>35</v>
      </c>
      <c r="B159" s="775" t="s">
        <v>322</v>
      </c>
      <c r="C159" s="776">
        <f t="shared" si="8"/>
        <v>143</v>
      </c>
      <c r="D159" s="20" t="s">
        <v>323</v>
      </c>
    </row>
    <row r="160" spans="1:4" x14ac:dyDescent="0.3">
      <c r="A160" s="17" t="s">
        <v>35</v>
      </c>
      <c r="B160" s="775" t="s">
        <v>322</v>
      </c>
      <c r="C160" s="776">
        <f t="shared" si="8"/>
        <v>144</v>
      </c>
      <c r="D160" s="20" t="s">
        <v>57</v>
      </c>
    </row>
    <row r="161" spans="1:4" ht="14.4" customHeight="1" x14ac:dyDescent="0.3">
      <c r="A161" s="858" t="s">
        <v>321</v>
      </c>
      <c r="B161" s="859" t="s">
        <v>314</v>
      </c>
      <c r="C161" s="859"/>
      <c r="D161" s="860"/>
    </row>
    <row r="162" spans="1:4" x14ac:dyDescent="0.3">
      <c r="A162" s="17" t="s">
        <v>35</v>
      </c>
      <c r="B162" s="775" t="s">
        <v>314</v>
      </c>
      <c r="C162" s="776">
        <f t="shared" ref="C162:C170" si="9">IF(C161="",C160+1,C161+1)</f>
        <v>145</v>
      </c>
      <c r="D162" s="20" t="s">
        <v>75</v>
      </c>
    </row>
    <row r="163" spans="1:4" x14ac:dyDescent="0.3">
      <c r="A163" s="17" t="s">
        <v>35</v>
      </c>
      <c r="B163" s="775" t="s">
        <v>314</v>
      </c>
      <c r="C163" s="776">
        <f t="shared" si="9"/>
        <v>146</v>
      </c>
      <c r="D163" s="20" t="s">
        <v>320</v>
      </c>
    </row>
    <row r="164" spans="1:4" x14ac:dyDescent="0.3">
      <c r="A164" s="17" t="s">
        <v>35</v>
      </c>
      <c r="B164" s="775" t="s">
        <v>314</v>
      </c>
      <c r="C164" s="776">
        <f t="shared" si="9"/>
        <v>147</v>
      </c>
      <c r="D164" s="20" t="s">
        <v>319</v>
      </c>
    </row>
    <row r="165" spans="1:4" x14ac:dyDescent="0.3">
      <c r="A165" s="17" t="s">
        <v>35</v>
      </c>
      <c r="B165" s="775" t="s">
        <v>314</v>
      </c>
      <c r="C165" s="776">
        <f t="shared" si="9"/>
        <v>148</v>
      </c>
      <c r="D165" s="20" t="s">
        <v>318</v>
      </c>
    </row>
    <row r="166" spans="1:4" x14ac:dyDescent="0.3">
      <c r="A166" s="17" t="s">
        <v>35</v>
      </c>
      <c r="B166" s="775" t="s">
        <v>314</v>
      </c>
      <c r="C166" s="776">
        <f t="shared" si="9"/>
        <v>149</v>
      </c>
      <c r="D166" s="20" t="s">
        <v>317</v>
      </c>
    </row>
    <row r="167" spans="1:4" x14ac:dyDescent="0.3">
      <c r="A167" s="17" t="s">
        <v>35</v>
      </c>
      <c r="B167" s="775" t="s">
        <v>314</v>
      </c>
      <c r="C167" s="776">
        <f t="shared" si="9"/>
        <v>150</v>
      </c>
      <c r="D167" s="20" t="s">
        <v>316</v>
      </c>
    </row>
    <row r="168" spans="1:4" x14ac:dyDescent="0.3">
      <c r="A168" s="17" t="s">
        <v>35</v>
      </c>
      <c r="B168" s="775" t="s">
        <v>314</v>
      </c>
      <c r="C168" s="776">
        <f t="shared" si="9"/>
        <v>151</v>
      </c>
      <c r="D168" s="20" t="s">
        <v>290</v>
      </c>
    </row>
    <row r="169" spans="1:4" x14ac:dyDescent="0.3">
      <c r="A169" s="17" t="s">
        <v>35</v>
      </c>
      <c r="B169" s="775" t="s">
        <v>314</v>
      </c>
      <c r="C169" s="776">
        <f t="shared" si="9"/>
        <v>152</v>
      </c>
      <c r="D169" s="20" t="s">
        <v>315</v>
      </c>
    </row>
    <row r="170" spans="1:4" x14ac:dyDescent="0.3">
      <c r="A170" s="17" t="s">
        <v>35</v>
      </c>
      <c r="B170" s="775" t="s">
        <v>314</v>
      </c>
      <c r="C170" s="776">
        <f t="shared" si="9"/>
        <v>153</v>
      </c>
      <c r="D170" s="20" t="s">
        <v>57</v>
      </c>
    </row>
    <row r="171" spans="1:4" ht="14.4" customHeight="1" x14ac:dyDescent="0.3">
      <c r="A171" s="858" t="s">
        <v>313</v>
      </c>
      <c r="B171" s="859"/>
      <c r="C171" s="859"/>
      <c r="D171" s="860"/>
    </row>
    <row r="172" spans="1:4" x14ac:dyDescent="0.3">
      <c r="A172" s="17" t="s">
        <v>35</v>
      </c>
      <c r="B172" s="775" t="s">
        <v>296</v>
      </c>
      <c r="C172" s="776">
        <f t="shared" ref="C172:C191" si="10">IF(C171="",C170+1,C171+1)</f>
        <v>154</v>
      </c>
      <c r="D172" s="20" t="s">
        <v>75</v>
      </c>
    </row>
    <row r="173" spans="1:4" x14ac:dyDescent="0.3">
      <c r="A173" s="17" t="s">
        <v>35</v>
      </c>
      <c r="B173" s="775" t="s">
        <v>296</v>
      </c>
      <c r="C173" s="776">
        <f t="shared" si="10"/>
        <v>155</v>
      </c>
      <c r="D173" s="20" t="s">
        <v>312</v>
      </c>
    </row>
    <row r="174" spans="1:4" x14ac:dyDescent="0.3">
      <c r="A174" s="17" t="s">
        <v>35</v>
      </c>
      <c r="B174" s="775" t="s">
        <v>296</v>
      </c>
      <c r="C174" s="776">
        <f t="shared" si="10"/>
        <v>156</v>
      </c>
      <c r="D174" s="20" t="s">
        <v>311</v>
      </c>
    </row>
    <row r="175" spans="1:4" x14ac:dyDescent="0.3">
      <c r="A175" s="17" t="s">
        <v>35</v>
      </c>
      <c r="B175" s="775" t="s">
        <v>296</v>
      </c>
      <c r="C175" s="776">
        <f t="shared" si="10"/>
        <v>157</v>
      </c>
      <c r="D175" s="20" t="s">
        <v>310</v>
      </c>
    </row>
    <row r="176" spans="1:4" x14ac:dyDescent="0.3">
      <c r="A176" s="17" t="s">
        <v>35</v>
      </c>
      <c r="B176" s="775" t="s">
        <v>296</v>
      </c>
      <c r="C176" s="776">
        <f t="shared" si="10"/>
        <v>158</v>
      </c>
      <c r="D176" s="20" t="s">
        <v>286</v>
      </c>
    </row>
    <row r="177" spans="1:4" x14ac:dyDescent="0.3">
      <c r="A177" s="17" t="s">
        <v>35</v>
      </c>
      <c r="B177" s="775" t="s">
        <v>296</v>
      </c>
      <c r="C177" s="776">
        <f t="shared" si="10"/>
        <v>159</v>
      </c>
      <c r="D177" s="20" t="s">
        <v>309</v>
      </c>
    </row>
    <row r="178" spans="1:4" x14ac:dyDescent="0.3">
      <c r="A178" s="17" t="s">
        <v>35</v>
      </c>
      <c r="B178" s="775" t="s">
        <v>296</v>
      </c>
      <c r="C178" s="776">
        <f t="shared" si="10"/>
        <v>160</v>
      </c>
      <c r="D178" s="20" t="s">
        <v>308</v>
      </c>
    </row>
    <row r="179" spans="1:4" x14ac:dyDescent="0.3">
      <c r="A179" s="17" t="s">
        <v>35</v>
      </c>
      <c r="B179" s="775" t="s">
        <v>296</v>
      </c>
      <c r="C179" s="776">
        <f t="shared" si="10"/>
        <v>161</v>
      </c>
      <c r="D179" s="20" t="s">
        <v>307</v>
      </c>
    </row>
    <row r="180" spans="1:4" x14ac:dyDescent="0.3">
      <c r="A180" s="17" t="s">
        <v>35</v>
      </c>
      <c r="B180" s="775" t="s">
        <v>296</v>
      </c>
      <c r="C180" s="776">
        <f t="shared" si="10"/>
        <v>162</v>
      </c>
      <c r="D180" s="20" t="s">
        <v>290</v>
      </c>
    </row>
    <row r="181" spans="1:4" x14ac:dyDescent="0.3">
      <c r="A181" s="17" t="s">
        <v>35</v>
      </c>
      <c r="B181" s="775" t="s">
        <v>296</v>
      </c>
      <c r="C181" s="776">
        <f t="shared" si="10"/>
        <v>163</v>
      </c>
      <c r="D181" s="20" t="s">
        <v>306</v>
      </c>
    </row>
    <row r="182" spans="1:4" x14ac:dyDescent="0.3">
      <c r="A182" s="17" t="s">
        <v>35</v>
      </c>
      <c r="B182" s="775" t="s">
        <v>296</v>
      </c>
      <c r="C182" s="776">
        <f t="shared" si="10"/>
        <v>164</v>
      </c>
      <c r="D182" s="20" t="s">
        <v>305</v>
      </c>
    </row>
    <row r="183" spans="1:4" x14ac:dyDescent="0.3">
      <c r="A183" s="17" t="s">
        <v>35</v>
      </c>
      <c r="B183" s="775" t="s">
        <v>296</v>
      </c>
      <c r="C183" s="776">
        <f t="shared" si="10"/>
        <v>165</v>
      </c>
      <c r="D183" s="20" t="s">
        <v>304</v>
      </c>
    </row>
    <row r="184" spans="1:4" x14ac:dyDescent="0.3">
      <c r="A184" s="17" t="s">
        <v>35</v>
      </c>
      <c r="B184" s="775" t="s">
        <v>296</v>
      </c>
      <c r="C184" s="776">
        <f t="shared" si="10"/>
        <v>166</v>
      </c>
      <c r="D184" s="20" t="s">
        <v>303</v>
      </c>
    </row>
    <row r="185" spans="1:4" x14ac:dyDescent="0.3">
      <c r="A185" s="17" t="s">
        <v>35</v>
      </c>
      <c r="B185" s="775" t="s">
        <v>296</v>
      </c>
      <c r="C185" s="776">
        <f t="shared" si="10"/>
        <v>167</v>
      </c>
      <c r="D185" s="20" t="s">
        <v>302</v>
      </c>
    </row>
    <row r="186" spans="1:4" x14ac:dyDescent="0.3">
      <c r="A186" s="17" t="s">
        <v>35</v>
      </c>
      <c r="B186" s="775" t="s">
        <v>296</v>
      </c>
      <c r="C186" s="776">
        <f t="shared" si="10"/>
        <v>168</v>
      </c>
      <c r="D186" s="20" t="s">
        <v>301</v>
      </c>
    </row>
    <row r="187" spans="1:4" x14ac:dyDescent="0.3">
      <c r="A187" s="17" t="s">
        <v>35</v>
      </c>
      <c r="B187" s="775" t="s">
        <v>296</v>
      </c>
      <c r="C187" s="776">
        <f t="shared" si="10"/>
        <v>169</v>
      </c>
      <c r="D187" s="20" t="s">
        <v>300</v>
      </c>
    </row>
    <row r="188" spans="1:4" x14ac:dyDescent="0.3">
      <c r="A188" s="17" t="s">
        <v>35</v>
      </c>
      <c r="B188" s="775" t="s">
        <v>296</v>
      </c>
      <c r="C188" s="776">
        <f t="shared" si="10"/>
        <v>170</v>
      </c>
      <c r="D188" s="20" t="s">
        <v>299</v>
      </c>
    </row>
    <row r="189" spans="1:4" x14ac:dyDescent="0.3">
      <c r="A189" s="17" t="s">
        <v>35</v>
      </c>
      <c r="B189" s="775" t="s">
        <v>296</v>
      </c>
      <c r="C189" s="776">
        <f t="shared" si="10"/>
        <v>171</v>
      </c>
      <c r="D189" s="20" t="s">
        <v>298</v>
      </c>
    </row>
    <row r="190" spans="1:4" x14ac:dyDescent="0.3">
      <c r="A190" s="17" t="s">
        <v>35</v>
      </c>
      <c r="B190" s="775" t="s">
        <v>296</v>
      </c>
      <c r="C190" s="776">
        <f t="shared" si="10"/>
        <v>172</v>
      </c>
      <c r="D190" s="20" t="s">
        <v>297</v>
      </c>
    </row>
    <row r="191" spans="1:4" x14ac:dyDescent="0.3">
      <c r="A191" s="17" t="s">
        <v>35</v>
      </c>
      <c r="B191" s="775" t="s">
        <v>296</v>
      </c>
      <c r="C191" s="776">
        <f t="shared" si="10"/>
        <v>173</v>
      </c>
      <c r="D191" s="20" t="s">
        <v>57</v>
      </c>
    </row>
    <row r="192" spans="1:4" ht="14.4" customHeight="1" x14ac:dyDescent="0.3">
      <c r="A192" s="858" t="s">
        <v>295</v>
      </c>
      <c r="B192" s="859" t="s">
        <v>273</v>
      </c>
      <c r="C192" s="859"/>
      <c r="D192" s="860"/>
    </row>
    <row r="193" spans="1:4" x14ac:dyDescent="0.3">
      <c r="A193" s="17" t="s">
        <v>35</v>
      </c>
      <c r="B193" s="775" t="s">
        <v>273</v>
      </c>
      <c r="C193" s="776">
        <f t="shared" ref="C193:C215" si="11">IF(C192="",C191+1,C192+1)</f>
        <v>174</v>
      </c>
      <c r="D193" s="20" t="s">
        <v>75</v>
      </c>
    </row>
    <row r="194" spans="1:4" x14ac:dyDescent="0.3">
      <c r="A194" s="17" t="s">
        <v>35</v>
      </c>
      <c r="B194" s="775" t="s">
        <v>273</v>
      </c>
      <c r="C194" s="776">
        <f t="shared" si="11"/>
        <v>175</v>
      </c>
      <c r="D194" s="20" t="s">
        <v>294</v>
      </c>
    </row>
    <row r="195" spans="1:4" x14ac:dyDescent="0.3">
      <c r="A195" s="17" t="s">
        <v>35</v>
      </c>
      <c r="B195" s="775" t="s">
        <v>273</v>
      </c>
      <c r="C195" s="776">
        <f t="shared" si="11"/>
        <v>176</v>
      </c>
      <c r="D195" s="20" t="s">
        <v>293</v>
      </c>
    </row>
    <row r="196" spans="1:4" x14ac:dyDescent="0.3">
      <c r="A196" s="17" t="s">
        <v>35</v>
      </c>
      <c r="B196" s="775" t="s">
        <v>273</v>
      </c>
      <c r="C196" s="776">
        <f t="shared" si="11"/>
        <v>177</v>
      </c>
      <c r="D196" s="20" t="s">
        <v>292</v>
      </c>
    </row>
    <row r="197" spans="1:4" x14ac:dyDescent="0.3">
      <c r="A197" s="17" t="s">
        <v>35</v>
      </c>
      <c r="B197" s="775" t="s">
        <v>273</v>
      </c>
      <c r="C197" s="776">
        <f t="shared" si="11"/>
        <v>178</v>
      </c>
      <c r="D197" s="20" t="s">
        <v>291</v>
      </c>
    </row>
    <row r="198" spans="1:4" x14ac:dyDescent="0.3">
      <c r="A198" s="17" t="s">
        <v>35</v>
      </c>
      <c r="B198" s="775" t="s">
        <v>273</v>
      </c>
      <c r="C198" s="776">
        <f t="shared" si="11"/>
        <v>179</v>
      </c>
      <c r="D198" s="20" t="s">
        <v>290</v>
      </c>
    </row>
    <row r="199" spans="1:4" x14ac:dyDescent="0.3">
      <c r="A199" s="17" t="s">
        <v>35</v>
      </c>
      <c r="B199" s="775" t="s">
        <v>273</v>
      </c>
      <c r="C199" s="776">
        <f t="shared" si="11"/>
        <v>180</v>
      </c>
      <c r="D199" s="20" t="s">
        <v>289</v>
      </c>
    </row>
    <row r="200" spans="1:4" x14ac:dyDescent="0.3">
      <c r="A200" s="17" t="s">
        <v>35</v>
      </c>
      <c r="B200" s="775" t="s">
        <v>273</v>
      </c>
      <c r="C200" s="776">
        <f t="shared" si="11"/>
        <v>181</v>
      </c>
      <c r="D200" s="20" t="s">
        <v>288</v>
      </c>
    </row>
    <row r="201" spans="1:4" x14ac:dyDescent="0.3">
      <c r="A201" s="17" t="s">
        <v>35</v>
      </c>
      <c r="B201" s="775" t="s">
        <v>273</v>
      </c>
      <c r="C201" s="776">
        <f t="shared" si="11"/>
        <v>182</v>
      </c>
      <c r="D201" s="20" t="s">
        <v>287</v>
      </c>
    </row>
    <row r="202" spans="1:4" x14ac:dyDescent="0.3">
      <c r="A202" s="17" t="s">
        <v>35</v>
      </c>
      <c r="B202" s="775" t="s">
        <v>273</v>
      </c>
      <c r="C202" s="776">
        <f t="shared" si="11"/>
        <v>183</v>
      </c>
      <c r="D202" s="20" t="s">
        <v>286</v>
      </c>
    </row>
    <row r="203" spans="1:4" x14ac:dyDescent="0.3">
      <c r="A203" s="17" t="s">
        <v>35</v>
      </c>
      <c r="B203" s="775" t="s">
        <v>273</v>
      </c>
      <c r="C203" s="776">
        <f t="shared" si="11"/>
        <v>184</v>
      </c>
      <c r="D203" s="20" t="s">
        <v>285</v>
      </c>
    </row>
    <row r="204" spans="1:4" x14ac:dyDescent="0.3">
      <c r="A204" s="17" t="s">
        <v>35</v>
      </c>
      <c r="B204" s="775" t="s">
        <v>273</v>
      </c>
      <c r="C204" s="776">
        <f t="shared" si="11"/>
        <v>185</v>
      </c>
      <c r="D204" s="20" t="s">
        <v>284</v>
      </c>
    </row>
    <row r="205" spans="1:4" x14ac:dyDescent="0.3">
      <c r="A205" s="17" t="s">
        <v>35</v>
      </c>
      <c r="B205" s="775" t="s">
        <v>273</v>
      </c>
      <c r="C205" s="776">
        <f t="shared" si="11"/>
        <v>186</v>
      </c>
      <c r="D205" s="20" t="s">
        <v>283</v>
      </c>
    </row>
    <row r="206" spans="1:4" x14ac:dyDescent="0.3">
      <c r="A206" s="17" t="s">
        <v>35</v>
      </c>
      <c r="B206" s="775" t="s">
        <v>273</v>
      </c>
      <c r="C206" s="776">
        <f t="shared" si="11"/>
        <v>187</v>
      </c>
      <c r="D206" s="20" t="s">
        <v>282</v>
      </c>
    </row>
    <row r="207" spans="1:4" x14ac:dyDescent="0.3">
      <c r="A207" s="17" t="s">
        <v>35</v>
      </c>
      <c r="B207" s="775" t="s">
        <v>273</v>
      </c>
      <c r="C207" s="776">
        <f t="shared" si="11"/>
        <v>188</v>
      </c>
      <c r="D207" s="20" t="s">
        <v>281</v>
      </c>
    </row>
    <row r="208" spans="1:4" x14ac:dyDescent="0.3">
      <c r="A208" s="17" t="s">
        <v>35</v>
      </c>
      <c r="B208" s="775" t="s">
        <v>273</v>
      </c>
      <c r="C208" s="776">
        <f t="shared" si="11"/>
        <v>189</v>
      </c>
      <c r="D208" s="20" t="s">
        <v>280</v>
      </c>
    </row>
    <row r="209" spans="1:4" x14ac:dyDescent="0.3">
      <c r="A209" s="17" t="s">
        <v>35</v>
      </c>
      <c r="B209" s="775" t="s">
        <v>273</v>
      </c>
      <c r="C209" s="776">
        <f t="shared" si="11"/>
        <v>190</v>
      </c>
      <c r="D209" s="20" t="s">
        <v>279</v>
      </c>
    </row>
    <row r="210" spans="1:4" x14ac:dyDescent="0.3">
      <c r="A210" s="17" t="s">
        <v>35</v>
      </c>
      <c r="B210" s="775" t="s">
        <v>273</v>
      </c>
      <c r="C210" s="776">
        <f t="shared" si="11"/>
        <v>191</v>
      </c>
      <c r="D210" s="20" t="s">
        <v>278</v>
      </c>
    </row>
    <row r="211" spans="1:4" x14ac:dyDescent="0.3">
      <c r="A211" s="17" t="s">
        <v>35</v>
      </c>
      <c r="B211" s="775" t="s">
        <v>273</v>
      </c>
      <c r="C211" s="776">
        <f t="shared" si="11"/>
        <v>192</v>
      </c>
      <c r="D211" s="20" t="s">
        <v>277</v>
      </c>
    </row>
    <row r="212" spans="1:4" x14ac:dyDescent="0.3">
      <c r="A212" s="17" t="s">
        <v>35</v>
      </c>
      <c r="B212" s="775" t="s">
        <v>273</v>
      </c>
      <c r="C212" s="776">
        <f t="shared" si="11"/>
        <v>193</v>
      </c>
      <c r="D212" s="20" t="s">
        <v>276</v>
      </c>
    </row>
    <row r="213" spans="1:4" x14ac:dyDescent="0.3">
      <c r="A213" s="17" t="s">
        <v>35</v>
      </c>
      <c r="B213" s="775" t="s">
        <v>273</v>
      </c>
      <c r="C213" s="776">
        <f t="shared" si="11"/>
        <v>194</v>
      </c>
      <c r="D213" s="20" t="s">
        <v>275</v>
      </c>
    </row>
    <row r="214" spans="1:4" x14ac:dyDescent="0.3">
      <c r="A214" s="17" t="s">
        <v>35</v>
      </c>
      <c r="B214" s="775" t="s">
        <v>273</v>
      </c>
      <c r="C214" s="776">
        <f t="shared" si="11"/>
        <v>195</v>
      </c>
      <c r="D214" s="20" t="s">
        <v>274</v>
      </c>
    </row>
    <row r="215" spans="1:4" x14ac:dyDescent="0.3">
      <c r="A215" s="17" t="s">
        <v>35</v>
      </c>
      <c r="B215" s="775" t="s">
        <v>273</v>
      </c>
      <c r="C215" s="776">
        <f t="shared" si="11"/>
        <v>196</v>
      </c>
      <c r="D215" s="20" t="s">
        <v>57</v>
      </c>
    </row>
    <row r="216" spans="1:4" ht="14.4" customHeight="1" x14ac:dyDescent="0.3">
      <c r="A216" s="858" t="s">
        <v>272</v>
      </c>
      <c r="B216" s="859" t="s">
        <v>266</v>
      </c>
      <c r="C216" s="859"/>
      <c r="D216" s="860"/>
    </row>
    <row r="217" spans="1:4" x14ac:dyDescent="0.3">
      <c r="A217" s="17" t="s">
        <v>35</v>
      </c>
      <c r="B217" s="775" t="s">
        <v>266</v>
      </c>
      <c r="C217" s="776">
        <f t="shared" ref="C217:C222" si="12">IF(C216="",C215+1,C216+1)</f>
        <v>197</v>
      </c>
      <c r="D217" s="20" t="s">
        <v>271</v>
      </c>
    </row>
    <row r="218" spans="1:4" x14ac:dyDescent="0.3">
      <c r="A218" s="17" t="s">
        <v>35</v>
      </c>
      <c r="B218" s="775" t="s">
        <v>266</v>
      </c>
      <c r="C218" s="776">
        <f t="shared" si="12"/>
        <v>198</v>
      </c>
      <c r="D218" s="20" t="s">
        <v>270</v>
      </c>
    </row>
    <row r="219" spans="1:4" x14ac:dyDescent="0.3">
      <c r="A219" s="17" t="s">
        <v>35</v>
      </c>
      <c r="B219" s="775" t="s">
        <v>266</v>
      </c>
      <c r="C219" s="776">
        <f t="shared" si="12"/>
        <v>199</v>
      </c>
      <c r="D219" s="20" t="s">
        <v>269</v>
      </c>
    </row>
    <row r="220" spans="1:4" x14ac:dyDescent="0.3">
      <c r="A220" s="17" t="s">
        <v>35</v>
      </c>
      <c r="B220" s="775" t="s">
        <v>266</v>
      </c>
      <c r="C220" s="776">
        <f t="shared" si="12"/>
        <v>200</v>
      </c>
      <c r="D220" s="20" t="s">
        <v>268</v>
      </c>
    </row>
    <row r="221" spans="1:4" x14ac:dyDescent="0.3">
      <c r="A221" s="17" t="s">
        <v>35</v>
      </c>
      <c r="B221" s="775" t="s">
        <v>266</v>
      </c>
      <c r="C221" s="776">
        <f t="shared" si="12"/>
        <v>201</v>
      </c>
      <c r="D221" s="20" t="s">
        <v>267</v>
      </c>
    </row>
    <row r="222" spans="1:4" x14ac:dyDescent="0.3">
      <c r="A222" s="17" t="s">
        <v>35</v>
      </c>
      <c r="B222" s="775" t="s">
        <v>266</v>
      </c>
      <c r="C222" s="776">
        <f t="shared" si="12"/>
        <v>202</v>
      </c>
      <c r="D222" s="20" t="s">
        <v>57</v>
      </c>
    </row>
    <row r="223" spans="1:4" ht="14.4" customHeight="1" x14ac:dyDescent="0.3">
      <c r="A223" s="858" t="s">
        <v>265</v>
      </c>
      <c r="B223" s="859" t="s">
        <v>217</v>
      </c>
      <c r="C223" s="859"/>
      <c r="D223" s="860"/>
    </row>
    <row r="224" spans="1:4" x14ac:dyDescent="0.3">
      <c r="A224" s="17" t="s">
        <v>35</v>
      </c>
      <c r="B224" s="775" t="s">
        <v>217</v>
      </c>
      <c r="C224" s="776">
        <f t="shared" ref="C224:C256" si="13">IF(C223="",C222+1,C223+1)</f>
        <v>203</v>
      </c>
      <c r="D224" s="20" t="s">
        <v>264</v>
      </c>
    </row>
    <row r="225" spans="1:4" x14ac:dyDescent="0.3">
      <c r="A225" s="17" t="s">
        <v>35</v>
      </c>
      <c r="B225" s="775" t="s">
        <v>217</v>
      </c>
      <c r="C225" s="776">
        <f t="shared" si="13"/>
        <v>204</v>
      </c>
      <c r="D225" s="20" t="s">
        <v>263</v>
      </c>
    </row>
    <row r="226" spans="1:4" x14ac:dyDescent="0.3">
      <c r="A226" s="17" t="s">
        <v>35</v>
      </c>
      <c r="B226" s="775" t="s">
        <v>217</v>
      </c>
      <c r="C226" s="776">
        <f t="shared" si="13"/>
        <v>205</v>
      </c>
      <c r="D226" s="20" t="s">
        <v>262</v>
      </c>
    </row>
    <row r="227" spans="1:4" x14ac:dyDescent="0.3">
      <c r="A227" s="17" t="s">
        <v>35</v>
      </c>
      <c r="B227" s="775" t="s">
        <v>217</v>
      </c>
      <c r="C227" s="776">
        <f t="shared" si="13"/>
        <v>206</v>
      </c>
      <c r="D227" s="20" t="s">
        <v>261</v>
      </c>
    </row>
    <row r="228" spans="1:4" x14ac:dyDescent="0.3">
      <c r="A228" s="17" t="s">
        <v>35</v>
      </c>
      <c r="B228" s="775" t="s">
        <v>217</v>
      </c>
      <c r="C228" s="776">
        <f t="shared" si="13"/>
        <v>207</v>
      </c>
      <c r="D228" s="20" t="s">
        <v>260</v>
      </c>
    </row>
    <row r="229" spans="1:4" x14ac:dyDescent="0.3">
      <c r="A229" s="17" t="s">
        <v>35</v>
      </c>
      <c r="B229" s="775" t="s">
        <v>217</v>
      </c>
      <c r="C229" s="776">
        <f t="shared" si="13"/>
        <v>208</v>
      </c>
      <c r="D229" s="20" t="s">
        <v>259</v>
      </c>
    </row>
    <row r="230" spans="1:4" x14ac:dyDescent="0.3">
      <c r="A230" s="17" t="s">
        <v>35</v>
      </c>
      <c r="B230" s="775" t="s">
        <v>217</v>
      </c>
      <c r="C230" s="776">
        <f t="shared" si="13"/>
        <v>209</v>
      </c>
      <c r="D230" s="20" t="s">
        <v>258</v>
      </c>
    </row>
    <row r="231" spans="1:4" x14ac:dyDescent="0.3">
      <c r="A231" s="17" t="s">
        <v>35</v>
      </c>
      <c r="B231" s="775" t="s">
        <v>217</v>
      </c>
      <c r="C231" s="776">
        <f t="shared" si="13"/>
        <v>210</v>
      </c>
      <c r="D231" s="20" t="s">
        <v>257</v>
      </c>
    </row>
    <row r="232" spans="1:4" x14ac:dyDescent="0.3">
      <c r="A232" s="17" t="s">
        <v>35</v>
      </c>
      <c r="B232" s="775" t="s">
        <v>217</v>
      </c>
      <c r="C232" s="776">
        <f t="shared" si="13"/>
        <v>211</v>
      </c>
      <c r="D232" s="20" t="s">
        <v>256</v>
      </c>
    </row>
    <row r="233" spans="1:4" x14ac:dyDescent="0.3">
      <c r="A233" s="17" t="s">
        <v>35</v>
      </c>
      <c r="B233" s="775" t="s">
        <v>217</v>
      </c>
      <c r="C233" s="776">
        <f t="shared" si="13"/>
        <v>212</v>
      </c>
      <c r="D233" s="20" t="s">
        <v>255</v>
      </c>
    </row>
    <row r="234" spans="1:4" x14ac:dyDescent="0.3">
      <c r="A234" s="17" t="s">
        <v>35</v>
      </c>
      <c r="B234" s="775" t="s">
        <v>217</v>
      </c>
      <c r="C234" s="776">
        <f t="shared" si="13"/>
        <v>213</v>
      </c>
      <c r="D234" s="20" t="s">
        <v>254</v>
      </c>
    </row>
    <row r="235" spans="1:4" x14ac:dyDescent="0.3">
      <c r="A235" s="17" t="s">
        <v>35</v>
      </c>
      <c r="B235" s="775" t="s">
        <v>217</v>
      </c>
      <c r="C235" s="776">
        <f t="shared" si="13"/>
        <v>214</v>
      </c>
      <c r="D235" s="20" t="s">
        <v>253</v>
      </c>
    </row>
    <row r="236" spans="1:4" x14ac:dyDescent="0.3">
      <c r="A236" s="17" t="s">
        <v>35</v>
      </c>
      <c r="B236" s="775" t="s">
        <v>217</v>
      </c>
      <c r="C236" s="776">
        <f t="shared" si="13"/>
        <v>215</v>
      </c>
      <c r="D236" s="20" t="s">
        <v>252</v>
      </c>
    </row>
    <row r="237" spans="1:4" x14ac:dyDescent="0.3">
      <c r="A237" s="17" t="s">
        <v>35</v>
      </c>
      <c r="B237" s="775" t="s">
        <v>217</v>
      </c>
      <c r="C237" s="776">
        <f t="shared" si="13"/>
        <v>216</v>
      </c>
      <c r="D237" s="20" t="s">
        <v>251</v>
      </c>
    </row>
    <row r="238" spans="1:4" x14ac:dyDescent="0.3">
      <c r="A238" s="17" t="s">
        <v>35</v>
      </c>
      <c r="B238" s="775" t="s">
        <v>217</v>
      </c>
      <c r="C238" s="776">
        <f t="shared" si="13"/>
        <v>217</v>
      </c>
      <c r="D238" s="20" t="s">
        <v>250</v>
      </c>
    </row>
    <row r="239" spans="1:4" x14ac:dyDescent="0.3">
      <c r="A239" s="17" t="s">
        <v>35</v>
      </c>
      <c r="B239" s="775" t="s">
        <v>217</v>
      </c>
      <c r="C239" s="776">
        <f t="shared" si="13"/>
        <v>218</v>
      </c>
      <c r="D239" s="20" t="s">
        <v>249</v>
      </c>
    </row>
    <row r="240" spans="1:4" x14ac:dyDescent="0.3">
      <c r="A240" s="17" t="s">
        <v>35</v>
      </c>
      <c r="B240" s="775" t="s">
        <v>217</v>
      </c>
      <c r="C240" s="776">
        <f t="shared" si="13"/>
        <v>219</v>
      </c>
      <c r="D240" s="20" t="s">
        <v>248</v>
      </c>
    </row>
    <row r="241" spans="1:4" x14ac:dyDescent="0.3">
      <c r="A241" s="17" t="s">
        <v>35</v>
      </c>
      <c r="B241" s="775" t="s">
        <v>217</v>
      </c>
      <c r="C241" s="776">
        <f t="shared" si="13"/>
        <v>220</v>
      </c>
      <c r="D241" s="20" t="s">
        <v>247</v>
      </c>
    </row>
    <row r="242" spans="1:4" x14ac:dyDescent="0.3">
      <c r="A242" s="17" t="s">
        <v>35</v>
      </c>
      <c r="B242" s="775" t="s">
        <v>217</v>
      </c>
      <c r="C242" s="776">
        <f t="shared" si="13"/>
        <v>221</v>
      </c>
      <c r="D242" s="20" t="s">
        <v>246</v>
      </c>
    </row>
    <row r="243" spans="1:4" x14ac:dyDescent="0.3">
      <c r="A243" s="17" t="s">
        <v>35</v>
      </c>
      <c r="B243" s="775" t="s">
        <v>217</v>
      </c>
      <c r="C243" s="776">
        <f t="shared" si="13"/>
        <v>222</v>
      </c>
      <c r="D243" s="20" t="s">
        <v>245</v>
      </c>
    </row>
    <row r="244" spans="1:4" x14ac:dyDescent="0.3">
      <c r="A244" s="17" t="s">
        <v>35</v>
      </c>
      <c r="B244" s="775" t="s">
        <v>217</v>
      </c>
      <c r="C244" s="776">
        <f t="shared" si="13"/>
        <v>223</v>
      </c>
      <c r="D244" s="20" t="s">
        <v>244</v>
      </c>
    </row>
    <row r="245" spans="1:4" x14ac:dyDescent="0.3">
      <c r="A245" s="17" t="s">
        <v>35</v>
      </c>
      <c r="B245" s="775" t="s">
        <v>217</v>
      </c>
      <c r="C245" s="776">
        <f t="shared" si="13"/>
        <v>224</v>
      </c>
      <c r="D245" s="20" t="s">
        <v>243</v>
      </c>
    </row>
    <row r="246" spans="1:4" x14ac:dyDescent="0.3">
      <c r="A246" s="17" t="s">
        <v>35</v>
      </c>
      <c r="B246" s="775" t="s">
        <v>217</v>
      </c>
      <c r="C246" s="776">
        <f t="shared" si="13"/>
        <v>225</v>
      </c>
      <c r="D246" s="20" t="s">
        <v>242</v>
      </c>
    </row>
    <row r="247" spans="1:4" x14ac:dyDescent="0.3">
      <c r="A247" s="17" t="s">
        <v>35</v>
      </c>
      <c r="B247" s="775" t="s">
        <v>217</v>
      </c>
      <c r="C247" s="776">
        <f t="shared" si="13"/>
        <v>226</v>
      </c>
      <c r="D247" s="20" t="s">
        <v>121</v>
      </c>
    </row>
    <row r="248" spans="1:4" x14ac:dyDescent="0.3">
      <c r="A248" s="17" t="s">
        <v>35</v>
      </c>
      <c r="B248" s="775" t="s">
        <v>217</v>
      </c>
      <c r="C248" s="776">
        <f t="shared" si="13"/>
        <v>227</v>
      </c>
      <c r="D248" s="21" t="s">
        <v>241</v>
      </c>
    </row>
    <row r="249" spans="1:4" x14ac:dyDescent="0.3">
      <c r="A249" s="17" t="s">
        <v>35</v>
      </c>
      <c r="B249" s="775" t="s">
        <v>217</v>
      </c>
      <c r="C249" s="776">
        <f t="shared" si="13"/>
        <v>228</v>
      </c>
      <c r="D249" s="21" t="s">
        <v>240</v>
      </c>
    </row>
    <row r="250" spans="1:4" x14ac:dyDescent="0.3">
      <c r="A250" s="17" t="s">
        <v>35</v>
      </c>
      <c r="B250" s="775" t="s">
        <v>217</v>
      </c>
      <c r="C250" s="776">
        <f t="shared" si="13"/>
        <v>229</v>
      </c>
      <c r="D250" s="21" t="s">
        <v>239</v>
      </c>
    </row>
    <row r="251" spans="1:4" x14ac:dyDescent="0.3">
      <c r="A251" s="17" t="s">
        <v>35</v>
      </c>
      <c r="B251" s="775" t="s">
        <v>217</v>
      </c>
      <c r="C251" s="776">
        <f t="shared" si="13"/>
        <v>230</v>
      </c>
      <c r="D251" s="21" t="s">
        <v>238</v>
      </c>
    </row>
    <row r="252" spans="1:4" x14ac:dyDescent="0.3">
      <c r="A252" s="17" t="s">
        <v>35</v>
      </c>
      <c r="B252" s="775" t="s">
        <v>217</v>
      </c>
      <c r="C252" s="776">
        <f t="shared" si="13"/>
        <v>231</v>
      </c>
      <c r="D252" s="21" t="s">
        <v>237</v>
      </c>
    </row>
    <row r="253" spans="1:4" x14ac:dyDescent="0.3">
      <c r="A253" s="17" t="s">
        <v>35</v>
      </c>
      <c r="B253" s="775" t="s">
        <v>217</v>
      </c>
      <c r="C253" s="776">
        <f t="shared" si="13"/>
        <v>232</v>
      </c>
      <c r="D253" s="21" t="s">
        <v>236</v>
      </c>
    </row>
    <row r="254" spans="1:4" x14ac:dyDescent="0.3">
      <c r="A254" s="17" t="s">
        <v>35</v>
      </c>
      <c r="B254" s="775" t="s">
        <v>217</v>
      </c>
      <c r="C254" s="776">
        <f t="shared" si="13"/>
        <v>233</v>
      </c>
      <c r="D254" s="21" t="s">
        <v>235</v>
      </c>
    </row>
    <row r="255" spans="1:4" x14ac:dyDescent="0.3">
      <c r="A255" s="17" t="s">
        <v>35</v>
      </c>
      <c r="B255" s="775" t="s">
        <v>217</v>
      </c>
      <c r="C255" s="776">
        <f t="shared" si="13"/>
        <v>234</v>
      </c>
      <c r="D255" s="20" t="s">
        <v>57</v>
      </c>
    </row>
    <row r="256" spans="1:4" x14ac:dyDescent="0.3">
      <c r="A256" s="17" t="s">
        <v>35</v>
      </c>
      <c r="B256" s="775" t="s">
        <v>217</v>
      </c>
      <c r="C256" s="776">
        <f t="shared" si="13"/>
        <v>235</v>
      </c>
      <c r="D256" s="20" t="s">
        <v>234</v>
      </c>
    </row>
    <row r="257" spans="1:4" x14ac:dyDescent="0.3">
      <c r="A257" s="858" t="s">
        <v>233</v>
      </c>
      <c r="B257" s="859"/>
      <c r="C257" s="859"/>
      <c r="D257" s="860" t="s">
        <v>232</v>
      </c>
    </row>
    <row r="258" spans="1:4" x14ac:dyDescent="0.3">
      <c r="A258" s="17" t="s">
        <v>35</v>
      </c>
      <c r="B258" s="775" t="s">
        <v>220</v>
      </c>
      <c r="C258" s="776">
        <f t="shared" ref="C258:C269" si="14">IF(C257="",C256+1,C257+1)</f>
        <v>236</v>
      </c>
      <c r="D258" s="24" t="s">
        <v>231</v>
      </c>
    </row>
    <row r="259" spans="1:4" x14ac:dyDescent="0.3">
      <c r="A259" s="17" t="s">
        <v>35</v>
      </c>
      <c r="B259" s="775" t="s">
        <v>220</v>
      </c>
      <c r="C259" s="776">
        <f t="shared" si="14"/>
        <v>237</v>
      </c>
      <c r="D259" s="20" t="s">
        <v>230</v>
      </c>
    </row>
    <row r="260" spans="1:4" x14ac:dyDescent="0.3">
      <c r="A260" s="17" t="s">
        <v>35</v>
      </c>
      <c r="B260" s="775" t="s">
        <v>220</v>
      </c>
      <c r="C260" s="776">
        <f t="shared" si="14"/>
        <v>238</v>
      </c>
      <c r="D260" s="20" t="s">
        <v>229</v>
      </c>
    </row>
    <row r="261" spans="1:4" x14ac:dyDescent="0.3">
      <c r="A261" s="17" t="s">
        <v>35</v>
      </c>
      <c r="B261" s="775" t="s">
        <v>220</v>
      </c>
      <c r="C261" s="776">
        <f t="shared" si="14"/>
        <v>239</v>
      </c>
      <c r="D261" s="20" t="s">
        <v>228</v>
      </c>
    </row>
    <row r="262" spans="1:4" x14ac:dyDescent="0.3">
      <c r="A262" s="17" t="s">
        <v>35</v>
      </c>
      <c r="B262" s="775" t="s">
        <v>220</v>
      </c>
      <c r="C262" s="776">
        <f t="shared" si="14"/>
        <v>240</v>
      </c>
      <c r="D262" s="20" t="s">
        <v>227</v>
      </c>
    </row>
    <row r="263" spans="1:4" x14ac:dyDescent="0.3">
      <c r="A263" s="17" t="s">
        <v>35</v>
      </c>
      <c r="B263" s="775" t="s">
        <v>220</v>
      </c>
      <c r="C263" s="776">
        <f t="shared" si="14"/>
        <v>241</v>
      </c>
      <c r="D263" s="20" t="s">
        <v>226</v>
      </c>
    </row>
    <row r="264" spans="1:4" x14ac:dyDescent="0.3">
      <c r="A264" s="17" t="s">
        <v>35</v>
      </c>
      <c r="B264" s="775" t="s">
        <v>220</v>
      </c>
      <c r="C264" s="776">
        <f t="shared" si="14"/>
        <v>242</v>
      </c>
      <c r="D264" s="20" t="s">
        <v>225</v>
      </c>
    </row>
    <row r="265" spans="1:4" x14ac:dyDescent="0.3">
      <c r="A265" s="17" t="s">
        <v>35</v>
      </c>
      <c r="B265" s="775" t="s">
        <v>220</v>
      </c>
      <c r="C265" s="776">
        <f t="shared" si="14"/>
        <v>243</v>
      </c>
      <c r="D265" s="20" t="s">
        <v>224</v>
      </c>
    </row>
    <row r="266" spans="1:4" x14ac:dyDescent="0.3">
      <c r="A266" s="17" t="s">
        <v>35</v>
      </c>
      <c r="B266" s="775" t="s">
        <v>220</v>
      </c>
      <c r="C266" s="776">
        <f t="shared" si="14"/>
        <v>244</v>
      </c>
      <c r="D266" s="20" t="s">
        <v>223</v>
      </c>
    </row>
    <row r="267" spans="1:4" ht="57.6" x14ac:dyDescent="0.3">
      <c r="A267" s="17" t="s">
        <v>35</v>
      </c>
      <c r="B267" s="775" t="s">
        <v>220</v>
      </c>
      <c r="C267" s="776">
        <f t="shared" si="14"/>
        <v>245</v>
      </c>
      <c r="D267" s="20" t="s">
        <v>222</v>
      </c>
    </row>
    <row r="268" spans="1:4" x14ac:dyDescent="0.3">
      <c r="A268" s="17" t="s">
        <v>35</v>
      </c>
      <c r="B268" s="775" t="s">
        <v>220</v>
      </c>
      <c r="C268" s="776">
        <f t="shared" si="14"/>
        <v>246</v>
      </c>
      <c r="D268" s="20" t="s">
        <v>221</v>
      </c>
    </row>
    <row r="269" spans="1:4" x14ac:dyDescent="0.3">
      <c r="A269" s="17" t="s">
        <v>35</v>
      </c>
      <c r="B269" s="775" t="s">
        <v>220</v>
      </c>
      <c r="C269" s="776">
        <f t="shared" si="14"/>
        <v>247</v>
      </c>
      <c r="D269" s="20" t="s">
        <v>219</v>
      </c>
    </row>
    <row r="270" spans="1:4" ht="14.4" customHeight="1" x14ac:dyDescent="0.3">
      <c r="A270" s="858" t="s">
        <v>218</v>
      </c>
      <c r="B270" s="859" t="s">
        <v>217</v>
      </c>
      <c r="C270" s="859"/>
      <c r="D270" s="860"/>
    </row>
    <row r="271" spans="1:4" x14ac:dyDescent="0.3">
      <c r="A271" s="17" t="s">
        <v>35</v>
      </c>
      <c r="B271" s="775" t="s">
        <v>208</v>
      </c>
      <c r="C271" s="776">
        <f t="shared" ref="C271:C279" si="15">IF(C270="",C269+1,C270+1)</f>
        <v>248</v>
      </c>
      <c r="D271" s="20" t="s">
        <v>216</v>
      </c>
    </row>
    <row r="272" spans="1:4" x14ac:dyDescent="0.3">
      <c r="A272" s="17" t="s">
        <v>35</v>
      </c>
      <c r="B272" s="775" t="s">
        <v>208</v>
      </c>
      <c r="C272" s="776">
        <f t="shared" si="15"/>
        <v>249</v>
      </c>
      <c r="D272" s="20" t="s">
        <v>215</v>
      </c>
    </row>
    <row r="273" spans="1:4" x14ac:dyDescent="0.3">
      <c r="A273" s="17" t="s">
        <v>35</v>
      </c>
      <c r="B273" s="775" t="s">
        <v>208</v>
      </c>
      <c r="C273" s="776">
        <f t="shared" si="15"/>
        <v>250</v>
      </c>
      <c r="D273" s="20" t="s">
        <v>214</v>
      </c>
    </row>
    <row r="274" spans="1:4" x14ac:dyDescent="0.3">
      <c r="A274" s="17" t="s">
        <v>35</v>
      </c>
      <c r="B274" s="775" t="s">
        <v>208</v>
      </c>
      <c r="C274" s="776">
        <f t="shared" si="15"/>
        <v>251</v>
      </c>
      <c r="D274" s="20" t="s">
        <v>213</v>
      </c>
    </row>
    <row r="275" spans="1:4" x14ac:dyDescent="0.3">
      <c r="A275" s="17" t="s">
        <v>35</v>
      </c>
      <c r="B275" s="775" t="s">
        <v>208</v>
      </c>
      <c r="C275" s="776">
        <f t="shared" si="15"/>
        <v>252</v>
      </c>
      <c r="D275" s="20" t="s">
        <v>212</v>
      </c>
    </row>
    <row r="276" spans="1:4" x14ac:dyDescent="0.3">
      <c r="A276" s="17" t="s">
        <v>35</v>
      </c>
      <c r="B276" s="775" t="s">
        <v>208</v>
      </c>
      <c r="C276" s="776">
        <f t="shared" si="15"/>
        <v>253</v>
      </c>
      <c r="D276" s="20" t="s">
        <v>211</v>
      </c>
    </row>
    <row r="277" spans="1:4" x14ac:dyDescent="0.3">
      <c r="A277" s="17" t="s">
        <v>35</v>
      </c>
      <c r="B277" s="775" t="s">
        <v>208</v>
      </c>
      <c r="C277" s="776">
        <f t="shared" si="15"/>
        <v>254</v>
      </c>
      <c r="D277" s="20" t="s">
        <v>210</v>
      </c>
    </row>
    <row r="278" spans="1:4" x14ac:dyDescent="0.3">
      <c r="A278" s="17" t="s">
        <v>35</v>
      </c>
      <c r="B278" s="775" t="s">
        <v>208</v>
      </c>
      <c r="C278" s="776">
        <f t="shared" si="15"/>
        <v>255</v>
      </c>
      <c r="D278" s="20" t="s">
        <v>209</v>
      </c>
    </row>
    <row r="279" spans="1:4" x14ac:dyDescent="0.3">
      <c r="A279" s="17" t="s">
        <v>35</v>
      </c>
      <c r="B279" s="775" t="s">
        <v>208</v>
      </c>
      <c r="C279" s="776">
        <f t="shared" si="15"/>
        <v>256</v>
      </c>
      <c r="D279" s="20" t="s">
        <v>207</v>
      </c>
    </row>
    <row r="280" spans="1:4" ht="14.4" customHeight="1" x14ac:dyDescent="0.3">
      <c r="A280" s="858" t="s">
        <v>206</v>
      </c>
      <c r="B280" s="859"/>
      <c r="C280" s="859"/>
      <c r="D280" s="860"/>
    </row>
    <row r="281" spans="1:4" x14ac:dyDescent="0.3">
      <c r="A281" s="17" t="s">
        <v>35</v>
      </c>
      <c r="B281" s="775" t="s">
        <v>92</v>
      </c>
      <c r="C281" s="776">
        <f t="shared" ref="C281:C344" si="16">IF(C280="",C279+1,C280+1)</f>
        <v>257</v>
      </c>
      <c r="D281" s="20" t="s">
        <v>205</v>
      </c>
    </row>
    <row r="282" spans="1:4" x14ac:dyDescent="0.3">
      <c r="A282" s="17" t="s">
        <v>35</v>
      </c>
      <c r="B282" s="775" t="s">
        <v>92</v>
      </c>
      <c r="C282" s="776">
        <f t="shared" si="16"/>
        <v>258</v>
      </c>
      <c r="D282" s="20" t="s">
        <v>204</v>
      </c>
    </row>
    <row r="283" spans="1:4" x14ac:dyDescent="0.3">
      <c r="A283" s="17" t="s">
        <v>35</v>
      </c>
      <c r="B283" s="775" t="s">
        <v>92</v>
      </c>
      <c r="C283" s="776">
        <f t="shared" si="16"/>
        <v>259</v>
      </c>
      <c r="D283" s="20" t="s">
        <v>203</v>
      </c>
    </row>
    <row r="284" spans="1:4" x14ac:dyDescent="0.3">
      <c r="A284" s="17" t="s">
        <v>35</v>
      </c>
      <c r="B284" s="775" t="s">
        <v>92</v>
      </c>
      <c r="C284" s="776">
        <f t="shared" si="16"/>
        <v>260</v>
      </c>
      <c r="D284" s="20" t="s">
        <v>202</v>
      </c>
    </row>
    <row r="285" spans="1:4" x14ac:dyDescent="0.3">
      <c r="A285" s="17" t="s">
        <v>35</v>
      </c>
      <c r="B285" s="775" t="s">
        <v>92</v>
      </c>
      <c r="C285" s="776">
        <f t="shared" si="16"/>
        <v>261</v>
      </c>
      <c r="D285" s="20" t="s">
        <v>201</v>
      </c>
    </row>
    <row r="286" spans="1:4" x14ac:dyDescent="0.3">
      <c r="A286" s="17" t="s">
        <v>35</v>
      </c>
      <c r="B286" s="775" t="s">
        <v>92</v>
      </c>
      <c r="C286" s="776">
        <f t="shared" si="16"/>
        <v>262</v>
      </c>
      <c r="D286" s="20" t="s">
        <v>200</v>
      </c>
    </row>
    <row r="287" spans="1:4" x14ac:dyDescent="0.3">
      <c r="A287" s="17" t="s">
        <v>35</v>
      </c>
      <c r="B287" s="775" t="s">
        <v>199</v>
      </c>
      <c r="C287" s="776">
        <f t="shared" si="16"/>
        <v>263</v>
      </c>
      <c r="D287" s="20" t="s">
        <v>198</v>
      </c>
    </row>
    <row r="288" spans="1:4" x14ac:dyDescent="0.3">
      <c r="A288" s="17" t="s">
        <v>35</v>
      </c>
      <c r="B288" s="775" t="s">
        <v>92</v>
      </c>
      <c r="C288" s="776">
        <f t="shared" si="16"/>
        <v>264</v>
      </c>
      <c r="D288" s="20" t="s">
        <v>197</v>
      </c>
    </row>
    <row r="289" spans="1:4" x14ac:dyDescent="0.3">
      <c r="A289" s="17" t="s">
        <v>35</v>
      </c>
      <c r="B289" s="775" t="s">
        <v>92</v>
      </c>
      <c r="C289" s="776">
        <f t="shared" si="16"/>
        <v>265</v>
      </c>
      <c r="D289" s="20" t="s">
        <v>196</v>
      </c>
    </row>
    <row r="290" spans="1:4" x14ac:dyDescent="0.3">
      <c r="A290" s="17" t="s">
        <v>35</v>
      </c>
      <c r="B290" s="775" t="s">
        <v>92</v>
      </c>
      <c r="C290" s="776">
        <f t="shared" si="16"/>
        <v>266</v>
      </c>
      <c r="D290" s="20" t="s">
        <v>137</v>
      </c>
    </row>
    <row r="291" spans="1:4" x14ac:dyDescent="0.3">
      <c r="A291" s="17" t="s">
        <v>35</v>
      </c>
      <c r="B291" s="775" t="s">
        <v>92</v>
      </c>
      <c r="C291" s="776">
        <f t="shared" si="16"/>
        <v>267</v>
      </c>
      <c r="D291" s="20" t="s">
        <v>139</v>
      </c>
    </row>
    <row r="292" spans="1:4" x14ac:dyDescent="0.3">
      <c r="A292" s="17" t="s">
        <v>35</v>
      </c>
      <c r="B292" s="775" t="s">
        <v>92</v>
      </c>
      <c r="C292" s="776">
        <f t="shared" si="16"/>
        <v>268</v>
      </c>
      <c r="D292" s="20" t="s">
        <v>195</v>
      </c>
    </row>
    <row r="293" spans="1:4" x14ac:dyDescent="0.3">
      <c r="A293" s="17" t="s">
        <v>35</v>
      </c>
      <c r="B293" s="775" t="s">
        <v>92</v>
      </c>
      <c r="C293" s="776">
        <f t="shared" si="16"/>
        <v>269</v>
      </c>
      <c r="D293" s="20" t="s">
        <v>194</v>
      </c>
    </row>
    <row r="294" spans="1:4" x14ac:dyDescent="0.3">
      <c r="A294" s="17" t="s">
        <v>35</v>
      </c>
      <c r="B294" s="775" t="s">
        <v>92</v>
      </c>
      <c r="C294" s="776">
        <f t="shared" si="16"/>
        <v>270</v>
      </c>
      <c r="D294" s="20" t="s">
        <v>193</v>
      </c>
    </row>
    <row r="295" spans="1:4" x14ac:dyDescent="0.3">
      <c r="A295" s="17" t="s">
        <v>35</v>
      </c>
      <c r="B295" s="775" t="s">
        <v>92</v>
      </c>
      <c r="C295" s="776">
        <f t="shared" si="16"/>
        <v>271</v>
      </c>
      <c r="D295" s="20" t="s">
        <v>192</v>
      </c>
    </row>
    <row r="296" spans="1:4" x14ac:dyDescent="0.3">
      <c r="A296" s="17" t="s">
        <v>35</v>
      </c>
      <c r="B296" s="775" t="s">
        <v>92</v>
      </c>
      <c r="C296" s="776">
        <f t="shared" si="16"/>
        <v>272</v>
      </c>
      <c r="D296" s="20" t="s">
        <v>191</v>
      </c>
    </row>
    <row r="297" spans="1:4" x14ac:dyDescent="0.3">
      <c r="A297" s="17" t="s">
        <v>35</v>
      </c>
      <c r="B297" s="775" t="s">
        <v>92</v>
      </c>
      <c r="C297" s="776">
        <f t="shared" si="16"/>
        <v>273</v>
      </c>
      <c r="D297" s="20" t="s">
        <v>190</v>
      </c>
    </row>
    <row r="298" spans="1:4" x14ac:dyDescent="0.3">
      <c r="A298" s="17" t="s">
        <v>35</v>
      </c>
      <c r="B298" s="775" t="s">
        <v>92</v>
      </c>
      <c r="C298" s="776">
        <f t="shared" si="16"/>
        <v>274</v>
      </c>
      <c r="D298" s="20" t="s">
        <v>189</v>
      </c>
    </row>
    <row r="299" spans="1:4" x14ac:dyDescent="0.3">
      <c r="A299" s="17" t="s">
        <v>35</v>
      </c>
      <c r="B299" s="775" t="s">
        <v>92</v>
      </c>
      <c r="C299" s="776">
        <f t="shared" si="16"/>
        <v>275</v>
      </c>
      <c r="D299" s="20" t="s">
        <v>188</v>
      </c>
    </row>
    <row r="300" spans="1:4" x14ac:dyDescent="0.3">
      <c r="A300" s="17" t="s">
        <v>35</v>
      </c>
      <c r="B300" s="775" t="s">
        <v>92</v>
      </c>
      <c r="C300" s="776">
        <f t="shared" si="16"/>
        <v>276</v>
      </c>
      <c r="D300" s="20" t="s">
        <v>187</v>
      </c>
    </row>
    <row r="301" spans="1:4" x14ac:dyDescent="0.3">
      <c r="A301" s="17" t="s">
        <v>35</v>
      </c>
      <c r="B301" s="775" t="s">
        <v>92</v>
      </c>
      <c r="C301" s="776">
        <f t="shared" si="16"/>
        <v>277</v>
      </c>
      <c r="D301" s="20" t="s">
        <v>186</v>
      </c>
    </row>
    <row r="302" spans="1:4" x14ac:dyDescent="0.3">
      <c r="A302" s="17" t="s">
        <v>35</v>
      </c>
      <c r="B302" s="775" t="s">
        <v>92</v>
      </c>
      <c r="C302" s="776">
        <f t="shared" si="16"/>
        <v>278</v>
      </c>
      <c r="D302" s="20" t="s">
        <v>136</v>
      </c>
    </row>
    <row r="303" spans="1:4" x14ac:dyDescent="0.3">
      <c r="A303" s="17" t="s">
        <v>35</v>
      </c>
      <c r="B303" s="775" t="s">
        <v>92</v>
      </c>
      <c r="C303" s="776">
        <f t="shared" si="16"/>
        <v>279</v>
      </c>
      <c r="D303" s="20" t="s">
        <v>185</v>
      </c>
    </row>
    <row r="304" spans="1:4" x14ac:dyDescent="0.3">
      <c r="A304" s="17" t="s">
        <v>35</v>
      </c>
      <c r="B304" s="775" t="s">
        <v>92</v>
      </c>
      <c r="C304" s="776">
        <f t="shared" si="16"/>
        <v>280</v>
      </c>
      <c r="D304" s="20" t="s">
        <v>184</v>
      </c>
    </row>
    <row r="305" spans="1:4" x14ac:dyDescent="0.3">
      <c r="A305" s="17" t="s">
        <v>35</v>
      </c>
      <c r="B305" s="775" t="s">
        <v>92</v>
      </c>
      <c r="C305" s="776">
        <f t="shared" si="16"/>
        <v>281</v>
      </c>
      <c r="D305" s="20" t="s">
        <v>183</v>
      </c>
    </row>
    <row r="306" spans="1:4" x14ac:dyDescent="0.3">
      <c r="A306" s="17" t="s">
        <v>35</v>
      </c>
      <c r="B306" s="775" t="s">
        <v>92</v>
      </c>
      <c r="C306" s="776">
        <f t="shared" si="16"/>
        <v>282</v>
      </c>
      <c r="D306" s="20" t="s">
        <v>182</v>
      </c>
    </row>
    <row r="307" spans="1:4" x14ac:dyDescent="0.3">
      <c r="A307" s="17" t="s">
        <v>35</v>
      </c>
      <c r="B307" s="775" t="s">
        <v>92</v>
      </c>
      <c r="C307" s="776">
        <f t="shared" si="16"/>
        <v>283</v>
      </c>
      <c r="D307" s="20" t="s">
        <v>181</v>
      </c>
    </row>
    <row r="308" spans="1:4" x14ac:dyDescent="0.3">
      <c r="A308" s="17" t="s">
        <v>35</v>
      </c>
      <c r="B308" s="775" t="s">
        <v>92</v>
      </c>
      <c r="C308" s="776">
        <f t="shared" si="16"/>
        <v>284</v>
      </c>
      <c r="D308" s="20" t="s">
        <v>180</v>
      </c>
    </row>
    <row r="309" spans="1:4" x14ac:dyDescent="0.3">
      <c r="A309" s="17" t="s">
        <v>35</v>
      </c>
      <c r="B309" s="775" t="s">
        <v>92</v>
      </c>
      <c r="C309" s="776">
        <f t="shared" si="16"/>
        <v>285</v>
      </c>
      <c r="D309" s="20" t="s">
        <v>179</v>
      </c>
    </row>
    <row r="310" spans="1:4" x14ac:dyDescent="0.3">
      <c r="A310" s="17" t="s">
        <v>35</v>
      </c>
      <c r="B310" s="775" t="s">
        <v>92</v>
      </c>
      <c r="C310" s="776">
        <f t="shared" si="16"/>
        <v>286</v>
      </c>
      <c r="D310" s="20" t="s">
        <v>178</v>
      </c>
    </row>
    <row r="311" spans="1:4" x14ac:dyDescent="0.3">
      <c r="A311" s="17" t="s">
        <v>35</v>
      </c>
      <c r="B311" s="775" t="s">
        <v>92</v>
      </c>
      <c r="C311" s="776">
        <f t="shared" si="16"/>
        <v>287</v>
      </c>
      <c r="D311" s="20" t="s">
        <v>177</v>
      </c>
    </row>
    <row r="312" spans="1:4" x14ac:dyDescent="0.3">
      <c r="A312" s="17" t="s">
        <v>35</v>
      </c>
      <c r="B312" s="775" t="s">
        <v>92</v>
      </c>
      <c r="C312" s="776">
        <f t="shared" si="16"/>
        <v>288</v>
      </c>
      <c r="D312" s="20" t="s">
        <v>176</v>
      </c>
    </row>
    <row r="313" spans="1:4" x14ac:dyDescent="0.3">
      <c r="A313" s="17" t="s">
        <v>35</v>
      </c>
      <c r="B313" s="775" t="s">
        <v>92</v>
      </c>
      <c r="C313" s="776">
        <f t="shared" si="16"/>
        <v>289</v>
      </c>
      <c r="D313" s="20" t="s">
        <v>175</v>
      </c>
    </row>
    <row r="314" spans="1:4" x14ac:dyDescent="0.3">
      <c r="A314" s="17" t="s">
        <v>35</v>
      </c>
      <c r="B314" s="775" t="s">
        <v>92</v>
      </c>
      <c r="C314" s="776">
        <f t="shared" si="16"/>
        <v>290</v>
      </c>
      <c r="D314" s="21" t="s">
        <v>174</v>
      </c>
    </row>
    <row r="315" spans="1:4" x14ac:dyDescent="0.3">
      <c r="A315" s="17" t="s">
        <v>35</v>
      </c>
      <c r="B315" s="775" t="s">
        <v>92</v>
      </c>
      <c r="C315" s="776">
        <f t="shared" si="16"/>
        <v>291</v>
      </c>
      <c r="D315" s="21" t="s">
        <v>173</v>
      </c>
    </row>
    <row r="316" spans="1:4" x14ac:dyDescent="0.3">
      <c r="A316" s="17" t="s">
        <v>35</v>
      </c>
      <c r="B316" s="775" t="s">
        <v>92</v>
      </c>
      <c r="C316" s="776">
        <f t="shared" si="16"/>
        <v>292</v>
      </c>
      <c r="D316" s="21" t="s">
        <v>172</v>
      </c>
    </row>
    <row r="317" spans="1:4" x14ac:dyDescent="0.3">
      <c r="A317" s="17" t="s">
        <v>35</v>
      </c>
      <c r="B317" s="775" t="s">
        <v>92</v>
      </c>
      <c r="C317" s="776">
        <f t="shared" si="16"/>
        <v>293</v>
      </c>
      <c r="D317" s="21" t="s">
        <v>171</v>
      </c>
    </row>
    <row r="318" spans="1:4" x14ac:dyDescent="0.3">
      <c r="A318" s="17" t="s">
        <v>35</v>
      </c>
      <c r="B318" s="775" t="s">
        <v>92</v>
      </c>
      <c r="C318" s="776">
        <f t="shared" si="16"/>
        <v>294</v>
      </c>
      <c r="D318" s="21" t="s">
        <v>170</v>
      </c>
    </row>
    <row r="319" spans="1:4" x14ac:dyDescent="0.3">
      <c r="A319" s="17" t="s">
        <v>35</v>
      </c>
      <c r="B319" s="775" t="s">
        <v>92</v>
      </c>
      <c r="C319" s="776">
        <f t="shared" si="16"/>
        <v>295</v>
      </c>
      <c r="D319" s="21" t="s">
        <v>169</v>
      </c>
    </row>
    <row r="320" spans="1:4" x14ac:dyDescent="0.3">
      <c r="A320" s="17" t="s">
        <v>35</v>
      </c>
      <c r="B320" s="775" t="s">
        <v>92</v>
      </c>
      <c r="C320" s="776">
        <f t="shared" si="16"/>
        <v>296</v>
      </c>
      <c r="D320" s="21" t="s">
        <v>168</v>
      </c>
    </row>
    <row r="321" spans="1:4" x14ac:dyDescent="0.3">
      <c r="A321" s="17" t="s">
        <v>35</v>
      </c>
      <c r="B321" s="775" t="s">
        <v>92</v>
      </c>
      <c r="C321" s="776">
        <f t="shared" si="16"/>
        <v>297</v>
      </c>
      <c r="D321" s="21" t="s">
        <v>167</v>
      </c>
    </row>
    <row r="322" spans="1:4" x14ac:dyDescent="0.3">
      <c r="A322" s="17" t="s">
        <v>35</v>
      </c>
      <c r="B322" s="775" t="s">
        <v>92</v>
      </c>
      <c r="C322" s="776">
        <f t="shared" si="16"/>
        <v>298</v>
      </c>
      <c r="D322" s="21" t="s">
        <v>166</v>
      </c>
    </row>
    <row r="323" spans="1:4" x14ac:dyDescent="0.3">
      <c r="A323" s="17" t="s">
        <v>35</v>
      </c>
      <c r="B323" s="775" t="s">
        <v>92</v>
      </c>
      <c r="C323" s="776">
        <f t="shared" si="16"/>
        <v>299</v>
      </c>
      <c r="D323" s="21" t="s">
        <v>165</v>
      </c>
    </row>
    <row r="324" spans="1:4" x14ac:dyDescent="0.3">
      <c r="A324" s="17" t="s">
        <v>35</v>
      </c>
      <c r="B324" s="775" t="s">
        <v>92</v>
      </c>
      <c r="C324" s="776">
        <f t="shared" si="16"/>
        <v>300</v>
      </c>
      <c r="D324" s="20" t="s">
        <v>164</v>
      </c>
    </row>
    <row r="325" spans="1:4" x14ac:dyDescent="0.3">
      <c r="A325" s="17" t="s">
        <v>35</v>
      </c>
      <c r="B325" s="775" t="s">
        <v>92</v>
      </c>
      <c r="C325" s="776">
        <f t="shared" si="16"/>
        <v>301</v>
      </c>
      <c r="D325" s="20" t="s">
        <v>163</v>
      </c>
    </row>
    <row r="326" spans="1:4" x14ac:dyDescent="0.3">
      <c r="A326" s="17" t="s">
        <v>35</v>
      </c>
      <c r="B326" s="775" t="s">
        <v>92</v>
      </c>
      <c r="C326" s="776">
        <f t="shared" si="16"/>
        <v>302</v>
      </c>
      <c r="D326" s="20" t="s">
        <v>162</v>
      </c>
    </row>
    <row r="327" spans="1:4" x14ac:dyDescent="0.3">
      <c r="A327" s="17" t="s">
        <v>35</v>
      </c>
      <c r="B327" s="775" t="s">
        <v>92</v>
      </c>
      <c r="C327" s="776">
        <f t="shared" si="16"/>
        <v>303</v>
      </c>
      <c r="D327" s="20" t="s">
        <v>161</v>
      </c>
    </row>
    <row r="328" spans="1:4" x14ac:dyDescent="0.3">
      <c r="A328" s="17" t="s">
        <v>35</v>
      </c>
      <c r="B328" s="775" t="s">
        <v>92</v>
      </c>
      <c r="C328" s="776">
        <f t="shared" si="16"/>
        <v>304</v>
      </c>
      <c r="D328" s="20" t="s">
        <v>160</v>
      </c>
    </row>
    <row r="329" spans="1:4" x14ac:dyDescent="0.3">
      <c r="A329" s="17" t="s">
        <v>35</v>
      </c>
      <c r="B329" s="775" t="s">
        <v>92</v>
      </c>
      <c r="C329" s="776">
        <f t="shared" si="16"/>
        <v>305</v>
      </c>
      <c r="D329" s="20" t="s">
        <v>159</v>
      </c>
    </row>
    <row r="330" spans="1:4" x14ac:dyDescent="0.3">
      <c r="A330" s="17" t="s">
        <v>35</v>
      </c>
      <c r="B330" s="775" t="s">
        <v>92</v>
      </c>
      <c r="C330" s="776">
        <f t="shared" si="16"/>
        <v>306</v>
      </c>
      <c r="D330" s="20" t="s">
        <v>158</v>
      </c>
    </row>
    <row r="331" spans="1:4" x14ac:dyDescent="0.3">
      <c r="A331" s="17" t="s">
        <v>35</v>
      </c>
      <c r="B331" s="775" t="s">
        <v>92</v>
      </c>
      <c r="C331" s="776">
        <f t="shared" si="16"/>
        <v>307</v>
      </c>
      <c r="D331" s="20" t="s">
        <v>157</v>
      </c>
    </row>
    <row r="332" spans="1:4" x14ac:dyDescent="0.3">
      <c r="A332" s="17" t="s">
        <v>35</v>
      </c>
      <c r="B332" s="775" t="s">
        <v>92</v>
      </c>
      <c r="C332" s="776">
        <f t="shared" si="16"/>
        <v>308</v>
      </c>
      <c r="D332" s="20" t="s">
        <v>156</v>
      </c>
    </row>
    <row r="333" spans="1:4" x14ac:dyDescent="0.3">
      <c r="A333" s="17" t="s">
        <v>35</v>
      </c>
      <c r="B333" s="775" t="s">
        <v>92</v>
      </c>
      <c r="C333" s="776">
        <f t="shared" si="16"/>
        <v>309</v>
      </c>
      <c r="D333" s="20" t="s">
        <v>155</v>
      </c>
    </row>
    <row r="334" spans="1:4" x14ac:dyDescent="0.3">
      <c r="A334" s="17" t="s">
        <v>35</v>
      </c>
      <c r="B334" s="775" t="s">
        <v>92</v>
      </c>
      <c r="C334" s="776">
        <f t="shared" si="16"/>
        <v>310</v>
      </c>
      <c r="D334" s="20" t="s">
        <v>154</v>
      </c>
    </row>
    <row r="335" spans="1:4" x14ac:dyDescent="0.3">
      <c r="A335" s="17" t="s">
        <v>35</v>
      </c>
      <c r="B335" s="775" t="s">
        <v>92</v>
      </c>
      <c r="C335" s="776">
        <f t="shared" si="16"/>
        <v>311</v>
      </c>
      <c r="D335" s="20" t="s">
        <v>153</v>
      </c>
    </row>
    <row r="336" spans="1:4" x14ac:dyDescent="0.3">
      <c r="A336" s="17" t="s">
        <v>35</v>
      </c>
      <c r="B336" s="775" t="s">
        <v>92</v>
      </c>
      <c r="C336" s="776">
        <f t="shared" si="16"/>
        <v>312</v>
      </c>
      <c r="D336" s="20" t="s">
        <v>152</v>
      </c>
    </row>
    <row r="337" spans="1:4" x14ac:dyDescent="0.3">
      <c r="A337" s="17" t="s">
        <v>35</v>
      </c>
      <c r="B337" s="775" t="s">
        <v>92</v>
      </c>
      <c r="C337" s="776">
        <f t="shared" si="16"/>
        <v>313</v>
      </c>
      <c r="D337" s="20" t="s">
        <v>151</v>
      </c>
    </row>
    <row r="338" spans="1:4" x14ac:dyDescent="0.3">
      <c r="A338" s="17" t="s">
        <v>35</v>
      </c>
      <c r="B338" s="775" t="s">
        <v>92</v>
      </c>
      <c r="C338" s="776">
        <f t="shared" si="16"/>
        <v>314</v>
      </c>
      <c r="D338" s="20" t="s">
        <v>150</v>
      </c>
    </row>
    <row r="339" spans="1:4" x14ac:dyDescent="0.3">
      <c r="A339" s="17" t="s">
        <v>35</v>
      </c>
      <c r="B339" s="775" t="s">
        <v>92</v>
      </c>
      <c r="C339" s="776">
        <f t="shared" si="16"/>
        <v>315</v>
      </c>
      <c r="D339" s="20" t="s">
        <v>149</v>
      </c>
    </row>
    <row r="340" spans="1:4" x14ac:dyDescent="0.3">
      <c r="A340" s="17" t="s">
        <v>35</v>
      </c>
      <c r="B340" s="775" t="s">
        <v>92</v>
      </c>
      <c r="C340" s="776">
        <f t="shared" si="16"/>
        <v>316</v>
      </c>
      <c r="D340" s="20" t="s">
        <v>148</v>
      </c>
    </row>
    <row r="341" spans="1:4" x14ac:dyDescent="0.3">
      <c r="A341" s="17" t="s">
        <v>35</v>
      </c>
      <c r="B341" s="775" t="s">
        <v>92</v>
      </c>
      <c r="C341" s="776">
        <f t="shared" si="16"/>
        <v>317</v>
      </c>
      <c r="D341" s="20" t="s">
        <v>147</v>
      </c>
    </row>
    <row r="342" spans="1:4" x14ac:dyDescent="0.3">
      <c r="A342" s="17" t="s">
        <v>35</v>
      </c>
      <c r="B342" s="775" t="s">
        <v>92</v>
      </c>
      <c r="C342" s="776">
        <f t="shared" si="16"/>
        <v>318</v>
      </c>
      <c r="D342" s="20" t="s">
        <v>146</v>
      </c>
    </row>
    <row r="343" spans="1:4" x14ac:dyDescent="0.3">
      <c r="A343" s="17" t="s">
        <v>35</v>
      </c>
      <c r="B343" s="775" t="s">
        <v>92</v>
      </c>
      <c r="C343" s="776">
        <f t="shared" si="16"/>
        <v>319</v>
      </c>
      <c r="D343" s="20" t="s">
        <v>145</v>
      </c>
    </row>
    <row r="344" spans="1:4" x14ac:dyDescent="0.3">
      <c r="A344" s="17" t="s">
        <v>35</v>
      </c>
      <c r="B344" s="775" t="s">
        <v>92</v>
      </c>
      <c r="C344" s="776">
        <f t="shared" si="16"/>
        <v>320</v>
      </c>
      <c r="D344" s="20" t="s">
        <v>144</v>
      </c>
    </row>
    <row r="345" spans="1:4" x14ac:dyDescent="0.3">
      <c r="A345" s="17" t="s">
        <v>35</v>
      </c>
      <c r="B345" s="775" t="s">
        <v>92</v>
      </c>
      <c r="C345" s="776">
        <f t="shared" ref="C345:C400" si="17">IF(C344="",C343+1,C344+1)</f>
        <v>321</v>
      </c>
      <c r="D345" s="20" t="s">
        <v>143</v>
      </c>
    </row>
    <row r="346" spans="1:4" x14ac:dyDescent="0.3">
      <c r="A346" s="17" t="s">
        <v>35</v>
      </c>
      <c r="B346" s="775" t="s">
        <v>92</v>
      </c>
      <c r="C346" s="776">
        <f t="shared" si="17"/>
        <v>322</v>
      </c>
      <c r="D346" s="20" t="s">
        <v>142</v>
      </c>
    </row>
    <row r="347" spans="1:4" x14ac:dyDescent="0.3">
      <c r="A347" s="17" t="s">
        <v>35</v>
      </c>
      <c r="B347" s="775" t="s">
        <v>92</v>
      </c>
      <c r="C347" s="776">
        <f t="shared" si="17"/>
        <v>323</v>
      </c>
      <c r="D347" s="20" t="s">
        <v>141</v>
      </c>
    </row>
    <row r="348" spans="1:4" x14ac:dyDescent="0.3">
      <c r="A348" s="17" t="s">
        <v>35</v>
      </c>
      <c r="B348" s="775" t="s">
        <v>92</v>
      </c>
      <c r="C348" s="776">
        <f t="shared" si="17"/>
        <v>324</v>
      </c>
      <c r="D348" s="20" t="s">
        <v>140</v>
      </c>
    </row>
    <row r="349" spans="1:4" x14ac:dyDescent="0.3">
      <c r="A349" s="17" t="s">
        <v>35</v>
      </c>
      <c r="B349" s="775" t="s">
        <v>92</v>
      </c>
      <c r="C349" s="776">
        <f t="shared" si="17"/>
        <v>325</v>
      </c>
      <c r="D349" s="20" t="s">
        <v>139</v>
      </c>
    </row>
    <row r="350" spans="1:4" x14ac:dyDescent="0.3">
      <c r="A350" s="17" t="s">
        <v>35</v>
      </c>
      <c r="B350" s="775" t="s">
        <v>92</v>
      </c>
      <c r="C350" s="776">
        <f t="shared" si="17"/>
        <v>326</v>
      </c>
      <c r="D350" s="20" t="s">
        <v>138</v>
      </c>
    </row>
    <row r="351" spans="1:4" x14ac:dyDescent="0.3">
      <c r="A351" s="17" t="s">
        <v>35</v>
      </c>
      <c r="B351" s="775" t="s">
        <v>92</v>
      </c>
      <c r="C351" s="776">
        <f t="shared" si="17"/>
        <v>327</v>
      </c>
      <c r="D351" s="20" t="s">
        <v>137</v>
      </c>
    </row>
    <row r="352" spans="1:4" x14ac:dyDescent="0.3">
      <c r="A352" s="17" t="s">
        <v>35</v>
      </c>
      <c r="B352" s="775" t="s">
        <v>92</v>
      </c>
      <c r="C352" s="776">
        <f t="shared" si="17"/>
        <v>328</v>
      </c>
      <c r="D352" s="20" t="s">
        <v>136</v>
      </c>
    </row>
    <row r="353" spans="1:4" x14ac:dyDescent="0.3">
      <c r="A353" s="17" t="s">
        <v>35</v>
      </c>
      <c r="B353" s="775" t="s">
        <v>92</v>
      </c>
      <c r="C353" s="776">
        <f t="shared" si="17"/>
        <v>329</v>
      </c>
      <c r="D353" s="20" t="s">
        <v>135</v>
      </c>
    </row>
    <row r="354" spans="1:4" x14ac:dyDescent="0.3">
      <c r="A354" s="17" t="s">
        <v>35</v>
      </c>
      <c r="B354" s="775" t="s">
        <v>92</v>
      </c>
      <c r="C354" s="776">
        <f t="shared" si="17"/>
        <v>330</v>
      </c>
      <c r="D354" s="20" t="s">
        <v>134</v>
      </c>
    </row>
    <row r="355" spans="1:4" x14ac:dyDescent="0.3">
      <c r="A355" s="17" t="s">
        <v>35</v>
      </c>
      <c r="B355" s="775" t="s">
        <v>92</v>
      </c>
      <c r="C355" s="776">
        <f t="shared" si="17"/>
        <v>331</v>
      </c>
      <c r="D355" s="20" t="s">
        <v>133</v>
      </c>
    </row>
    <row r="356" spans="1:4" x14ac:dyDescent="0.3">
      <c r="A356" s="17" t="s">
        <v>35</v>
      </c>
      <c r="B356" s="775" t="s">
        <v>92</v>
      </c>
      <c r="C356" s="776">
        <f t="shared" si="17"/>
        <v>332</v>
      </c>
      <c r="D356" s="20" t="s">
        <v>132</v>
      </c>
    </row>
    <row r="357" spans="1:4" x14ac:dyDescent="0.3">
      <c r="A357" s="17" t="s">
        <v>35</v>
      </c>
      <c r="B357" s="775" t="s">
        <v>92</v>
      </c>
      <c r="C357" s="776">
        <f t="shared" si="17"/>
        <v>333</v>
      </c>
      <c r="D357" s="21" t="s">
        <v>131</v>
      </c>
    </row>
    <row r="358" spans="1:4" x14ac:dyDescent="0.3">
      <c r="A358" s="17" t="s">
        <v>35</v>
      </c>
      <c r="B358" s="775" t="s">
        <v>92</v>
      </c>
      <c r="C358" s="776">
        <f t="shared" si="17"/>
        <v>334</v>
      </c>
      <c r="D358" s="21" t="s">
        <v>130</v>
      </c>
    </row>
    <row r="359" spans="1:4" x14ac:dyDescent="0.3">
      <c r="A359" s="17" t="s">
        <v>35</v>
      </c>
      <c r="B359" s="775" t="s">
        <v>92</v>
      </c>
      <c r="C359" s="776">
        <f t="shared" si="17"/>
        <v>335</v>
      </c>
      <c r="D359" s="21" t="s">
        <v>129</v>
      </c>
    </row>
    <row r="360" spans="1:4" x14ac:dyDescent="0.3">
      <c r="A360" s="17" t="s">
        <v>35</v>
      </c>
      <c r="B360" s="775" t="s">
        <v>92</v>
      </c>
      <c r="C360" s="776">
        <f t="shared" si="17"/>
        <v>336</v>
      </c>
      <c r="D360" s="25" t="s">
        <v>128</v>
      </c>
    </row>
    <row r="361" spans="1:4" x14ac:dyDescent="0.3">
      <c r="A361" s="17" t="s">
        <v>35</v>
      </c>
      <c r="B361" s="775" t="s">
        <v>92</v>
      </c>
      <c r="C361" s="776">
        <f t="shared" si="17"/>
        <v>337</v>
      </c>
      <c r="D361" s="25" t="s">
        <v>127</v>
      </c>
    </row>
    <row r="362" spans="1:4" x14ac:dyDescent="0.3">
      <c r="A362" s="17" t="s">
        <v>35</v>
      </c>
      <c r="B362" s="775" t="s">
        <v>92</v>
      </c>
      <c r="C362" s="776">
        <f t="shared" si="17"/>
        <v>338</v>
      </c>
      <c r="D362" s="25" t="s">
        <v>126</v>
      </c>
    </row>
    <row r="363" spans="1:4" x14ac:dyDescent="0.3">
      <c r="A363" s="17" t="s">
        <v>35</v>
      </c>
      <c r="B363" s="775" t="s">
        <v>92</v>
      </c>
      <c r="C363" s="776">
        <f t="shared" si="17"/>
        <v>339</v>
      </c>
      <c r="D363" s="21" t="s">
        <v>125</v>
      </c>
    </row>
    <row r="364" spans="1:4" x14ac:dyDescent="0.3">
      <c r="A364" s="17" t="s">
        <v>35</v>
      </c>
      <c r="B364" s="775" t="s">
        <v>92</v>
      </c>
      <c r="C364" s="776">
        <f t="shared" si="17"/>
        <v>340</v>
      </c>
      <c r="D364" s="21" t="s">
        <v>124</v>
      </c>
    </row>
    <row r="365" spans="1:4" x14ac:dyDescent="0.3">
      <c r="A365" s="17" t="s">
        <v>35</v>
      </c>
      <c r="B365" s="775" t="s">
        <v>92</v>
      </c>
      <c r="C365" s="776">
        <f t="shared" si="17"/>
        <v>341</v>
      </c>
      <c r="D365" s="21" t="s">
        <v>123</v>
      </c>
    </row>
    <row r="366" spans="1:4" x14ac:dyDescent="0.3">
      <c r="A366" s="17" t="s">
        <v>35</v>
      </c>
      <c r="B366" s="775" t="s">
        <v>92</v>
      </c>
      <c r="C366" s="776">
        <f t="shared" si="17"/>
        <v>342</v>
      </c>
      <c r="D366" s="20" t="s">
        <v>122</v>
      </c>
    </row>
    <row r="367" spans="1:4" x14ac:dyDescent="0.3">
      <c r="A367" s="17" t="s">
        <v>35</v>
      </c>
      <c r="B367" s="775" t="s">
        <v>92</v>
      </c>
      <c r="C367" s="776">
        <f t="shared" si="17"/>
        <v>343</v>
      </c>
      <c r="D367" s="20" t="s">
        <v>121</v>
      </c>
    </row>
    <row r="368" spans="1:4" x14ac:dyDescent="0.3">
      <c r="A368" s="17" t="s">
        <v>35</v>
      </c>
      <c r="B368" s="775" t="s">
        <v>92</v>
      </c>
      <c r="C368" s="776">
        <f t="shared" si="17"/>
        <v>344</v>
      </c>
      <c r="D368" s="21" t="s">
        <v>120</v>
      </c>
    </row>
    <row r="369" spans="1:4" x14ac:dyDescent="0.3">
      <c r="A369" s="17" t="s">
        <v>35</v>
      </c>
      <c r="B369" s="775" t="s">
        <v>92</v>
      </c>
      <c r="C369" s="776">
        <f t="shared" si="17"/>
        <v>345</v>
      </c>
      <c r="D369" s="21" t="s">
        <v>119</v>
      </c>
    </row>
    <row r="370" spans="1:4" x14ac:dyDescent="0.3">
      <c r="A370" s="17" t="s">
        <v>35</v>
      </c>
      <c r="B370" s="775" t="s">
        <v>92</v>
      </c>
      <c r="C370" s="776">
        <f t="shared" si="17"/>
        <v>346</v>
      </c>
      <c r="D370" s="21" t="s">
        <v>118</v>
      </c>
    </row>
    <row r="371" spans="1:4" x14ac:dyDescent="0.3">
      <c r="A371" s="17" t="s">
        <v>35</v>
      </c>
      <c r="B371" s="775" t="s">
        <v>92</v>
      </c>
      <c r="C371" s="776">
        <f t="shared" si="17"/>
        <v>347</v>
      </c>
      <c r="D371" s="21" t="s">
        <v>117</v>
      </c>
    </row>
    <row r="372" spans="1:4" x14ac:dyDescent="0.3">
      <c r="A372" s="17" t="s">
        <v>35</v>
      </c>
      <c r="B372" s="775" t="s">
        <v>92</v>
      </c>
      <c r="C372" s="776">
        <f t="shared" si="17"/>
        <v>348</v>
      </c>
      <c r="D372" s="21" t="s">
        <v>116</v>
      </c>
    </row>
    <row r="373" spans="1:4" x14ac:dyDescent="0.3">
      <c r="A373" s="17" t="s">
        <v>35</v>
      </c>
      <c r="B373" s="775" t="s">
        <v>92</v>
      </c>
      <c r="C373" s="776">
        <f t="shared" si="17"/>
        <v>349</v>
      </c>
      <c r="D373" s="20" t="s">
        <v>115</v>
      </c>
    </row>
    <row r="374" spans="1:4" x14ac:dyDescent="0.3">
      <c r="A374" s="17" t="s">
        <v>35</v>
      </c>
      <c r="B374" s="775" t="s">
        <v>92</v>
      </c>
      <c r="C374" s="776">
        <f t="shared" si="17"/>
        <v>350</v>
      </c>
      <c r="D374" s="20" t="s">
        <v>114</v>
      </c>
    </row>
    <row r="375" spans="1:4" x14ac:dyDescent="0.3">
      <c r="A375" s="17" t="s">
        <v>35</v>
      </c>
      <c r="B375" s="775" t="s">
        <v>92</v>
      </c>
      <c r="C375" s="776">
        <f t="shared" si="17"/>
        <v>351</v>
      </c>
      <c r="D375" s="20" t="s">
        <v>113</v>
      </c>
    </row>
    <row r="376" spans="1:4" x14ac:dyDescent="0.3">
      <c r="A376" s="17" t="s">
        <v>35</v>
      </c>
      <c r="B376" s="775" t="s">
        <v>92</v>
      </c>
      <c r="C376" s="776">
        <f t="shared" si="17"/>
        <v>352</v>
      </c>
      <c r="D376" s="20" t="s">
        <v>112</v>
      </c>
    </row>
    <row r="377" spans="1:4" x14ac:dyDescent="0.3">
      <c r="A377" s="17" t="s">
        <v>35</v>
      </c>
      <c r="B377" s="775" t="s">
        <v>92</v>
      </c>
      <c r="C377" s="776">
        <f t="shared" si="17"/>
        <v>353</v>
      </c>
      <c r="D377" s="20" t="s">
        <v>57</v>
      </c>
    </row>
    <row r="378" spans="1:4" x14ac:dyDescent="0.3">
      <c r="A378" s="17" t="s">
        <v>35</v>
      </c>
      <c r="B378" s="775" t="s">
        <v>92</v>
      </c>
      <c r="C378" s="776">
        <f t="shared" si="17"/>
        <v>354</v>
      </c>
      <c r="D378" s="26" t="s">
        <v>111</v>
      </c>
    </row>
    <row r="379" spans="1:4" ht="172.8" x14ac:dyDescent="0.3">
      <c r="A379" s="17" t="s">
        <v>35</v>
      </c>
      <c r="B379" s="775" t="s">
        <v>92</v>
      </c>
      <c r="C379" s="776">
        <f t="shared" si="17"/>
        <v>355</v>
      </c>
      <c r="D379" s="23" t="s">
        <v>110</v>
      </c>
    </row>
    <row r="380" spans="1:4" ht="28.8" x14ac:dyDescent="0.3">
      <c r="A380" s="17" t="s">
        <v>35</v>
      </c>
      <c r="B380" s="775" t="s">
        <v>92</v>
      </c>
      <c r="C380" s="776">
        <f t="shared" si="17"/>
        <v>356</v>
      </c>
      <c r="D380" s="23" t="s">
        <v>109</v>
      </c>
    </row>
    <row r="381" spans="1:4" ht="28.8" x14ac:dyDescent="0.3">
      <c r="A381" s="17" t="s">
        <v>35</v>
      </c>
      <c r="B381" s="775" t="s">
        <v>92</v>
      </c>
      <c r="C381" s="776">
        <f t="shared" si="17"/>
        <v>357</v>
      </c>
      <c r="D381" s="23" t="s">
        <v>484</v>
      </c>
    </row>
    <row r="382" spans="1:4" x14ac:dyDescent="0.3">
      <c r="A382" s="17" t="s">
        <v>35</v>
      </c>
      <c r="B382" s="775" t="s">
        <v>92</v>
      </c>
      <c r="C382" s="776">
        <f t="shared" si="17"/>
        <v>358</v>
      </c>
      <c r="D382" s="27" t="s">
        <v>56</v>
      </c>
    </row>
    <row r="383" spans="1:4" x14ac:dyDescent="0.3">
      <c r="A383" s="17" t="s">
        <v>35</v>
      </c>
      <c r="B383" s="775" t="s">
        <v>92</v>
      </c>
      <c r="C383" s="776">
        <f t="shared" si="17"/>
        <v>359</v>
      </c>
      <c r="D383" s="21" t="s">
        <v>108</v>
      </c>
    </row>
    <row r="384" spans="1:4" x14ac:dyDescent="0.3">
      <c r="A384" s="17" t="s">
        <v>35</v>
      </c>
      <c r="B384" s="775" t="s">
        <v>92</v>
      </c>
      <c r="C384" s="776">
        <f t="shared" si="17"/>
        <v>360</v>
      </c>
      <c r="D384" s="21" t="s">
        <v>107</v>
      </c>
    </row>
    <row r="385" spans="1:4" x14ac:dyDescent="0.3">
      <c r="A385" s="17" t="s">
        <v>35</v>
      </c>
      <c r="B385" s="775" t="s">
        <v>92</v>
      </c>
      <c r="C385" s="776">
        <f t="shared" si="17"/>
        <v>361</v>
      </c>
      <c r="D385" s="21" t="s">
        <v>106</v>
      </c>
    </row>
    <row r="386" spans="1:4" x14ac:dyDescent="0.3">
      <c r="A386" s="17" t="s">
        <v>35</v>
      </c>
      <c r="B386" s="775" t="s">
        <v>92</v>
      </c>
      <c r="C386" s="776">
        <f t="shared" si="17"/>
        <v>362</v>
      </c>
      <c r="D386" s="21" t="s">
        <v>105</v>
      </c>
    </row>
    <row r="387" spans="1:4" x14ac:dyDescent="0.3">
      <c r="A387" s="17" t="s">
        <v>35</v>
      </c>
      <c r="B387" s="775" t="s">
        <v>92</v>
      </c>
      <c r="C387" s="776">
        <f t="shared" si="17"/>
        <v>363</v>
      </c>
      <c r="D387" s="21" t="s">
        <v>104</v>
      </c>
    </row>
    <row r="388" spans="1:4" x14ac:dyDescent="0.3">
      <c r="A388" s="17" t="s">
        <v>35</v>
      </c>
      <c r="B388" s="775" t="s">
        <v>92</v>
      </c>
      <c r="C388" s="776">
        <f t="shared" si="17"/>
        <v>364</v>
      </c>
      <c r="D388" s="21" t="s">
        <v>103</v>
      </c>
    </row>
    <row r="389" spans="1:4" x14ac:dyDescent="0.3">
      <c r="A389" s="17" t="s">
        <v>35</v>
      </c>
      <c r="B389" s="775" t="s">
        <v>92</v>
      </c>
      <c r="C389" s="776">
        <f t="shared" si="17"/>
        <v>365</v>
      </c>
      <c r="D389" s="21" t="s">
        <v>102</v>
      </c>
    </row>
    <row r="390" spans="1:4" x14ac:dyDescent="0.3">
      <c r="A390" s="17" t="s">
        <v>35</v>
      </c>
      <c r="B390" s="775" t="s">
        <v>92</v>
      </c>
      <c r="C390" s="776">
        <f t="shared" si="17"/>
        <v>366</v>
      </c>
      <c r="D390" s="21" t="s">
        <v>101</v>
      </c>
    </row>
    <row r="391" spans="1:4" ht="28.8" x14ac:dyDescent="0.3">
      <c r="A391" s="17" t="s">
        <v>35</v>
      </c>
      <c r="B391" s="775" t="s">
        <v>92</v>
      </c>
      <c r="C391" s="776">
        <f t="shared" si="17"/>
        <v>367</v>
      </c>
      <c r="D391" s="21" t="s">
        <v>100</v>
      </c>
    </row>
    <row r="392" spans="1:4" x14ac:dyDescent="0.3">
      <c r="A392" s="17" t="s">
        <v>35</v>
      </c>
      <c r="B392" s="775" t="s">
        <v>92</v>
      </c>
      <c r="C392" s="776">
        <f t="shared" si="17"/>
        <v>368</v>
      </c>
      <c r="D392" s="21" t="s">
        <v>99</v>
      </c>
    </row>
    <row r="393" spans="1:4" x14ac:dyDescent="0.3">
      <c r="A393" s="17" t="s">
        <v>35</v>
      </c>
      <c r="B393" s="775" t="s">
        <v>92</v>
      </c>
      <c r="C393" s="776">
        <f t="shared" si="17"/>
        <v>369</v>
      </c>
      <c r="D393" s="26" t="s">
        <v>98</v>
      </c>
    </row>
    <row r="394" spans="1:4" x14ac:dyDescent="0.3">
      <c r="A394" s="17" t="s">
        <v>35</v>
      </c>
      <c r="B394" s="775" t="s">
        <v>92</v>
      </c>
      <c r="C394" s="776">
        <f t="shared" si="17"/>
        <v>370</v>
      </c>
      <c r="D394" s="21" t="s">
        <v>97</v>
      </c>
    </row>
    <row r="395" spans="1:4" x14ac:dyDescent="0.3">
      <c r="A395" s="17" t="s">
        <v>35</v>
      </c>
      <c r="B395" s="775" t="s">
        <v>92</v>
      </c>
      <c r="C395" s="776">
        <f t="shared" si="17"/>
        <v>371</v>
      </c>
      <c r="D395" s="21" t="s">
        <v>96</v>
      </c>
    </row>
    <row r="396" spans="1:4" x14ac:dyDescent="0.3">
      <c r="A396" s="17" t="s">
        <v>35</v>
      </c>
      <c r="B396" s="775" t="s">
        <v>92</v>
      </c>
      <c r="C396" s="776">
        <f t="shared" si="17"/>
        <v>372</v>
      </c>
      <c r="D396" s="21" t="s">
        <v>95</v>
      </c>
    </row>
    <row r="397" spans="1:4" x14ac:dyDescent="0.3">
      <c r="A397" s="17" t="s">
        <v>35</v>
      </c>
      <c r="B397" s="775" t="s">
        <v>92</v>
      </c>
      <c r="C397" s="776">
        <f t="shared" si="17"/>
        <v>373</v>
      </c>
      <c r="D397" s="21" t="s">
        <v>94</v>
      </c>
    </row>
    <row r="398" spans="1:4" x14ac:dyDescent="0.3">
      <c r="A398" s="17" t="s">
        <v>35</v>
      </c>
      <c r="B398" s="775" t="s">
        <v>92</v>
      </c>
      <c r="C398" s="776">
        <f t="shared" si="17"/>
        <v>374</v>
      </c>
      <c r="D398" s="21" t="s">
        <v>93</v>
      </c>
    </row>
    <row r="399" spans="1:4" x14ac:dyDescent="0.3">
      <c r="A399" s="17" t="s">
        <v>35</v>
      </c>
      <c r="B399" s="775" t="s">
        <v>92</v>
      </c>
      <c r="C399" s="776">
        <f t="shared" si="17"/>
        <v>375</v>
      </c>
      <c r="D399" s="21" t="s">
        <v>91</v>
      </c>
    </row>
    <row r="400" spans="1:4" x14ac:dyDescent="0.3">
      <c r="A400" s="17" t="s">
        <v>35</v>
      </c>
      <c r="B400" s="775" t="s">
        <v>90</v>
      </c>
      <c r="C400" s="776">
        <f t="shared" si="17"/>
        <v>376</v>
      </c>
      <c r="D400" s="21" t="s">
        <v>89</v>
      </c>
    </row>
    <row r="401" spans="1:4" ht="14.4" customHeight="1" x14ac:dyDescent="0.3">
      <c r="A401" s="858" t="s">
        <v>88</v>
      </c>
      <c r="B401" s="859" t="s">
        <v>78</v>
      </c>
      <c r="C401" s="859"/>
      <c r="D401" s="860"/>
    </row>
    <row r="402" spans="1:4" x14ac:dyDescent="0.3">
      <c r="A402" s="17" t="s">
        <v>35</v>
      </c>
      <c r="B402" s="775" t="s">
        <v>78</v>
      </c>
      <c r="C402" s="776">
        <f t="shared" ref="C402:C411" si="18">IF(C401="",C400+1,C401+1)</f>
        <v>377</v>
      </c>
      <c r="D402" s="20" t="s">
        <v>87</v>
      </c>
    </row>
    <row r="403" spans="1:4" x14ac:dyDescent="0.3">
      <c r="A403" s="17" t="s">
        <v>35</v>
      </c>
      <c r="B403" s="775" t="s">
        <v>78</v>
      </c>
      <c r="C403" s="776">
        <f t="shared" si="18"/>
        <v>378</v>
      </c>
      <c r="D403" s="21" t="s">
        <v>86</v>
      </c>
    </row>
    <row r="404" spans="1:4" x14ac:dyDescent="0.3">
      <c r="A404" s="17" t="s">
        <v>35</v>
      </c>
      <c r="B404" s="775" t="s">
        <v>78</v>
      </c>
      <c r="C404" s="776">
        <f t="shared" si="18"/>
        <v>379</v>
      </c>
      <c r="D404" s="20" t="s">
        <v>85</v>
      </c>
    </row>
    <row r="405" spans="1:4" x14ac:dyDescent="0.3">
      <c r="A405" s="17" t="s">
        <v>35</v>
      </c>
      <c r="B405" s="775" t="s">
        <v>78</v>
      </c>
      <c r="C405" s="776">
        <f t="shared" si="18"/>
        <v>380</v>
      </c>
      <c r="D405" s="20" t="s">
        <v>84</v>
      </c>
    </row>
    <row r="406" spans="1:4" ht="28.8" x14ac:dyDescent="0.3">
      <c r="A406" s="17" t="s">
        <v>35</v>
      </c>
      <c r="B406" s="775" t="s">
        <v>78</v>
      </c>
      <c r="C406" s="776">
        <f t="shared" si="18"/>
        <v>381</v>
      </c>
      <c r="D406" s="20" t="s">
        <v>83</v>
      </c>
    </row>
    <row r="407" spans="1:4" x14ac:dyDescent="0.3">
      <c r="A407" s="17" t="s">
        <v>35</v>
      </c>
      <c r="B407" s="775" t="s">
        <v>78</v>
      </c>
      <c r="C407" s="776">
        <f t="shared" si="18"/>
        <v>382</v>
      </c>
      <c r="D407" s="20" t="s">
        <v>82</v>
      </c>
    </row>
    <row r="408" spans="1:4" x14ac:dyDescent="0.3">
      <c r="A408" s="17" t="s">
        <v>35</v>
      </c>
      <c r="B408" s="775" t="s">
        <v>78</v>
      </c>
      <c r="C408" s="776">
        <f t="shared" si="18"/>
        <v>383</v>
      </c>
      <c r="D408" s="20" t="s">
        <v>81</v>
      </c>
    </row>
    <row r="409" spans="1:4" x14ac:dyDescent="0.3">
      <c r="A409" s="17" t="s">
        <v>35</v>
      </c>
      <c r="B409" s="775" t="s">
        <v>78</v>
      </c>
      <c r="C409" s="776">
        <f t="shared" si="18"/>
        <v>384</v>
      </c>
      <c r="D409" s="20" t="s">
        <v>80</v>
      </c>
    </row>
    <row r="410" spans="1:4" x14ac:dyDescent="0.3">
      <c r="A410" s="17" t="s">
        <v>35</v>
      </c>
      <c r="B410" s="775" t="s">
        <v>78</v>
      </c>
      <c r="C410" s="776">
        <f t="shared" si="18"/>
        <v>385</v>
      </c>
      <c r="D410" s="20" t="s">
        <v>79</v>
      </c>
    </row>
    <row r="411" spans="1:4" x14ac:dyDescent="0.3">
      <c r="A411" s="17" t="s">
        <v>35</v>
      </c>
      <c r="B411" s="775" t="s">
        <v>78</v>
      </c>
      <c r="C411" s="776">
        <f t="shared" si="18"/>
        <v>386</v>
      </c>
      <c r="D411" s="20" t="s">
        <v>57</v>
      </c>
    </row>
    <row r="412" spans="1:4" ht="14.4" customHeight="1" x14ac:dyDescent="0.3">
      <c r="A412" s="858" t="s">
        <v>77</v>
      </c>
      <c r="B412" s="859"/>
      <c r="C412" s="859"/>
      <c r="D412" s="860" t="s">
        <v>76</v>
      </c>
    </row>
    <row r="413" spans="1:4" x14ac:dyDescent="0.3">
      <c r="A413" s="17" t="s">
        <v>35</v>
      </c>
      <c r="B413" s="775" t="s">
        <v>46</v>
      </c>
      <c r="C413" s="776">
        <f>IF(C392="",C391+1,C392+1)</f>
        <v>369</v>
      </c>
      <c r="D413" s="20" t="s">
        <v>75</v>
      </c>
    </row>
    <row r="414" spans="1:4" x14ac:dyDescent="0.3">
      <c r="A414" s="17" t="s">
        <v>35</v>
      </c>
      <c r="B414" s="775" t="s">
        <v>46</v>
      </c>
      <c r="C414" s="776">
        <f>IF(C413="",C392+1,C413+1)</f>
        <v>370</v>
      </c>
      <c r="D414" s="20" t="s">
        <v>74</v>
      </c>
    </row>
    <row r="415" spans="1:4" x14ac:dyDescent="0.3">
      <c r="A415" s="17" t="s">
        <v>35</v>
      </c>
      <c r="B415" s="775" t="s">
        <v>46</v>
      </c>
      <c r="C415" s="776">
        <f t="shared" ref="C415:C442" si="19">IF(C414="",C413+1,C414+1)</f>
        <v>371</v>
      </c>
      <c r="D415" s="20" t="s">
        <v>73</v>
      </c>
    </row>
    <row r="416" spans="1:4" x14ac:dyDescent="0.3">
      <c r="A416" s="17" t="s">
        <v>35</v>
      </c>
      <c r="B416" s="775" t="s">
        <v>46</v>
      </c>
      <c r="C416" s="776">
        <f t="shared" si="19"/>
        <v>372</v>
      </c>
      <c r="D416" s="20" t="s">
        <v>72</v>
      </c>
    </row>
    <row r="417" spans="1:4" x14ac:dyDescent="0.3">
      <c r="A417" s="17" t="s">
        <v>35</v>
      </c>
      <c r="B417" s="775" t="s">
        <v>46</v>
      </c>
      <c r="C417" s="776">
        <f t="shared" si="19"/>
        <v>373</v>
      </c>
      <c r="D417" s="20" t="s">
        <v>71</v>
      </c>
    </row>
    <row r="418" spans="1:4" x14ac:dyDescent="0.3">
      <c r="A418" s="17" t="s">
        <v>35</v>
      </c>
      <c r="B418" s="775" t="s">
        <v>46</v>
      </c>
      <c r="C418" s="776">
        <f t="shared" si="19"/>
        <v>374</v>
      </c>
      <c r="D418" s="21" t="s">
        <v>70</v>
      </c>
    </row>
    <row r="419" spans="1:4" ht="28.8" x14ac:dyDescent="0.3">
      <c r="A419" s="17" t="s">
        <v>35</v>
      </c>
      <c r="B419" s="775" t="s">
        <v>46</v>
      </c>
      <c r="C419" s="776">
        <f t="shared" si="19"/>
        <v>375</v>
      </c>
      <c r="D419" s="20" t="s">
        <v>69</v>
      </c>
    </row>
    <row r="420" spans="1:4" x14ac:dyDescent="0.3">
      <c r="A420" s="17" t="s">
        <v>35</v>
      </c>
      <c r="B420" s="775" t="s">
        <v>46</v>
      </c>
      <c r="C420" s="776">
        <f t="shared" si="19"/>
        <v>376</v>
      </c>
      <c r="D420" s="20" t="s">
        <v>68</v>
      </c>
    </row>
    <row r="421" spans="1:4" x14ac:dyDescent="0.3">
      <c r="A421" s="17" t="s">
        <v>35</v>
      </c>
      <c r="B421" s="775" t="s">
        <v>46</v>
      </c>
      <c r="C421" s="776">
        <f t="shared" si="19"/>
        <v>377</v>
      </c>
      <c r="D421" s="20" t="s">
        <v>67</v>
      </c>
    </row>
    <row r="422" spans="1:4" x14ac:dyDescent="0.3">
      <c r="A422" s="17" t="s">
        <v>35</v>
      </c>
      <c r="B422" s="775" t="s">
        <v>46</v>
      </c>
      <c r="C422" s="776">
        <f t="shared" si="19"/>
        <v>378</v>
      </c>
      <c r="D422" s="21" t="s">
        <v>66</v>
      </c>
    </row>
    <row r="423" spans="1:4" x14ac:dyDescent="0.3">
      <c r="A423" s="17" t="s">
        <v>35</v>
      </c>
      <c r="B423" s="775" t="s">
        <v>46</v>
      </c>
      <c r="C423" s="776">
        <f t="shared" si="19"/>
        <v>379</v>
      </c>
      <c r="D423" s="21" t="s">
        <v>65</v>
      </c>
    </row>
    <row r="424" spans="1:4" x14ac:dyDescent="0.3">
      <c r="A424" s="17" t="s">
        <v>35</v>
      </c>
      <c r="B424" s="775" t="s">
        <v>46</v>
      </c>
      <c r="C424" s="776">
        <f t="shared" si="19"/>
        <v>380</v>
      </c>
      <c r="D424" s="20" t="s">
        <v>64</v>
      </c>
    </row>
    <row r="425" spans="1:4" x14ac:dyDescent="0.3">
      <c r="A425" s="17" t="s">
        <v>35</v>
      </c>
      <c r="B425" s="775" t="s">
        <v>46</v>
      </c>
      <c r="C425" s="776">
        <f t="shared" si="19"/>
        <v>381</v>
      </c>
      <c r="D425" s="20" t="s">
        <v>63</v>
      </c>
    </row>
    <row r="426" spans="1:4" x14ac:dyDescent="0.3">
      <c r="A426" s="17" t="s">
        <v>35</v>
      </c>
      <c r="B426" s="775" t="s">
        <v>46</v>
      </c>
      <c r="C426" s="776">
        <f t="shared" si="19"/>
        <v>382</v>
      </c>
      <c r="D426" s="21" t="s">
        <v>62</v>
      </c>
    </row>
    <row r="427" spans="1:4" x14ac:dyDescent="0.3">
      <c r="A427" s="17" t="s">
        <v>35</v>
      </c>
      <c r="B427" s="775" t="s">
        <v>46</v>
      </c>
      <c r="C427" s="776">
        <f t="shared" si="19"/>
        <v>383</v>
      </c>
      <c r="D427" s="20" t="s">
        <v>61</v>
      </c>
    </row>
    <row r="428" spans="1:4" x14ac:dyDescent="0.3">
      <c r="A428" s="17" t="s">
        <v>35</v>
      </c>
      <c r="B428" s="775" t="s">
        <v>46</v>
      </c>
      <c r="C428" s="776">
        <f t="shared" si="19"/>
        <v>384</v>
      </c>
      <c r="D428" s="20" t="s">
        <v>60</v>
      </c>
    </row>
    <row r="429" spans="1:4" x14ac:dyDescent="0.3">
      <c r="A429" s="17" t="s">
        <v>35</v>
      </c>
      <c r="B429" s="775" t="s">
        <v>46</v>
      </c>
      <c r="C429" s="776">
        <f t="shared" si="19"/>
        <v>385</v>
      </c>
      <c r="D429" s="20" t="s">
        <v>59</v>
      </c>
    </row>
    <row r="430" spans="1:4" x14ac:dyDescent="0.3">
      <c r="A430" s="17" t="s">
        <v>35</v>
      </c>
      <c r="B430" s="775" t="s">
        <v>46</v>
      </c>
      <c r="C430" s="776">
        <f t="shared" si="19"/>
        <v>386</v>
      </c>
      <c r="D430" s="20" t="s">
        <v>58</v>
      </c>
    </row>
    <row r="431" spans="1:4" x14ac:dyDescent="0.3">
      <c r="A431" s="17" t="s">
        <v>35</v>
      </c>
      <c r="B431" s="775" t="s">
        <v>46</v>
      </c>
      <c r="C431" s="776">
        <f t="shared" si="19"/>
        <v>387</v>
      </c>
      <c r="D431" s="20" t="s">
        <v>57</v>
      </c>
    </row>
    <row r="432" spans="1:4" x14ac:dyDescent="0.3">
      <c r="A432" s="17" t="s">
        <v>35</v>
      </c>
      <c r="B432" s="775" t="s">
        <v>46</v>
      </c>
      <c r="C432" s="776">
        <f t="shared" si="19"/>
        <v>388</v>
      </c>
      <c r="D432" s="20" t="s">
        <v>56</v>
      </c>
    </row>
    <row r="433" spans="1:4" x14ac:dyDescent="0.3">
      <c r="A433" s="17" t="s">
        <v>35</v>
      </c>
      <c r="B433" s="775" t="s">
        <v>46</v>
      </c>
      <c r="C433" s="776">
        <f t="shared" si="19"/>
        <v>389</v>
      </c>
      <c r="D433" s="21" t="s">
        <v>55</v>
      </c>
    </row>
    <row r="434" spans="1:4" x14ac:dyDescent="0.3">
      <c r="A434" s="17" t="s">
        <v>35</v>
      </c>
      <c r="B434" s="775" t="s">
        <v>46</v>
      </c>
      <c r="C434" s="776">
        <f t="shared" si="19"/>
        <v>390</v>
      </c>
      <c r="D434" s="21" t="s">
        <v>54</v>
      </c>
    </row>
    <row r="435" spans="1:4" x14ac:dyDescent="0.3">
      <c r="A435" s="17" t="s">
        <v>35</v>
      </c>
      <c r="B435" s="775" t="s">
        <v>46</v>
      </c>
      <c r="C435" s="776">
        <f t="shared" si="19"/>
        <v>391</v>
      </c>
      <c r="D435" s="21" t="s">
        <v>53</v>
      </c>
    </row>
    <row r="436" spans="1:4" x14ac:dyDescent="0.3">
      <c r="A436" s="17" t="s">
        <v>35</v>
      </c>
      <c r="B436" s="775" t="s">
        <v>46</v>
      </c>
      <c r="C436" s="776">
        <f t="shared" si="19"/>
        <v>392</v>
      </c>
      <c r="D436" s="21" t="s">
        <v>52</v>
      </c>
    </row>
    <row r="437" spans="1:4" x14ac:dyDescent="0.3">
      <c r="A437" s="17" t="s">
        <v>35</v>
      </c>
      <c r="B437" s="775" t="s">
        <v>46</v>
      </c>
      <c r="C437" s="776">
        <f t="shared" si="19"/>
        <v>393</v>
      </c>
      <c r="D437" s="21" t="s">
        <v>51</v>
      </c>
    </row>
    <row r="438" spans="1:4" x14ac:dyDescent="0.3">
      <c r="A438" s="17" t="s">
        <v>35</v>
      </c>
      <c r="B438" s="775" t="s">
        <v>46</v>
      </c>
      <c r="C438" s="776">
        <f t="shared" si="19"/>
        <v>394</v>
      </c>
      <c r="D438" s="21" t="s">
        <v>50</v>
      </c>
    </row>
    <row r="439" spans="1:4" x14ac:dyDescent="0.3">
      <c r="A439" s="17" t="s">
        <v>35</v>
      </c>
      <c r="B439" s="775" t="s">
        <v>46</v>
      </c>
      <c r="C439" s="776">
        <f t="shared" si="19"/>
        <v>395</v>
      </c>
      <c r="D439" s="21" t="s">
        <v>49</v>
      </c>
    </row>
    <row r="440" spans="1:4" x14ac:dyDescent="0.3">
      <c r="A440" s="17" t="s">
        <v>35</v>
      </c>
      <c r="B440" s="775" t="s">
        <v>46</v>
      </c>
      <c r="C440" s="776">
        <f t="shared" si="19"/>
        <v>396</v>
      </c>
      <c r="D440" s="21" t="s">
        <v>48</v>
      </c>
    </row>
    <row r="441" spans="1:4" x14ac:dyDescent="0.3">
      <c r="A441" s="17" t="s">
        <v>35</v>
      </c>
      <c r="B441" s="775" t="s">
        <v>46</v>
      </c>
      <c r="C441" s="776">
        <f t="shared" si="19"/>
        <v>397</v>
      </c>
      <c r="D441" s="21" t="s">
        <v>47</v>
      </c>
    </row>
    <row r="442" spans="1:4" x14ac:dyDescent="0.3">
      <c r="A442" s="17" t="s">
        <v>35</v>
      </c>
      <c r="B442" s="775" t="s">
        <v>46</v>
      </c>
      <c r="C442" s="776">
        <f t="shared" si="19"/>
        <v>398</v>
      </c>
      <c r="D442" s="21" t="s">
        <v>45</v>
      </c>
    </row>
    <row r="443" spans="1:4" ht="14.4" customHeight="1" x14ac:dyDescent="0.3">
      <c r="A443" s="858" t="s">
        <v>44</v>
      </c>
      <c r="B443" s="859"/>
      <c r="C443" s="859"/>
      <c r="D443" s="860"/>
    </row>
    <row r="444" spans="1:4" x14ac:dyDescent="0.3">
      <c r="A444" s="17" t="s">
        <v>35</v>
      </c>
      <c r="B444" s="775" t="s">
        <v>34</v>
      </c>
      <c r="C444" s="776">
        <f t="shared" ref="C444:C452" si="20">IF(C443="",C442+1,C443+1)</f>
        <v>399</v>
      </c>
      <c r="D444" s="20" t="s">
        <v>43</v>
      </c>
    </row>
    <row r="445" spans="1:4" x14ac:dyDescent="0.3">
      <c r="A445" s="17" t="s">
        <v>35</v>
      </c>
      <c r="B445" s="775" t="s">
        <v>34</v>
      </c>
      <c r="C445" s="776">
        <f t="shared" si="20"/>
        <v>400</v>
      </c>
      <c r="D445" s="20" t="s">
        <v>42</v>
      </c>
    </row>
    <row r="446" spans="1:4" x14ac:dyDescent="0.3">
      <c r="A446" s="17" t="s">
        <v>35</v>
      </c>
      <c r="B446" s="775" t="s">
        <v>34</v>
      </c>
      <c r="C446" s="776">
        <f t="shared" si="20"/>
        <v>401</v>
      </c>
      <c r="D446" s="20" t="s">
        <v>41</v>
      </c>
    </row>
    <row r="447" spans="1:4" x14ac:dyDescent="0.3">
      <c r="A447" s="17" t="s">
        <v>35</v>
      </c>
      <c r="B447" s="775" t="s">
        <v>34</v>
      </c>
      <c r="C447" s="776">
        <f t="shared" si="20"/>
        <v>402</v>
      </c>
      <c r="D447" s="20" t="s">
        <v>40</v>
      </c>
    </row>
    <row r="448" spans="1:4" x14ac:dyDescent="0.3">
      <c r="A448" s="17" t="s">
        <v>35</v>
      </c>
      <c r="B448" s="775" t="s">
        <v>34</v>
      </c>
      <c r="C448" s="776">
        <f t="shared" si="20"/>
        <v>403</v>
      </c>
      <c r="D448" s="20" t="s">
        <v>39</v>
      </c>
    </row>
    <row r="449" spans="1:4" x14ac:dyDescent="0.3">
      <c r="A449" s="17" t="s">
        <v>35</v>
      </c>
      <c r="B449" s="775" t="s">
        <v>34</v>
      </c>
      <c r="C449" s="776">
        <f t="shared" si="20"/>
        <v>404</v>
      </c>
      <c r="D449" s="20" t="s">
        <v>38</v>
      </c>
    </row>
    <row r="450" spans="1:4" x14ac:dyDescent="0.3">
      <c r="A450" s="17" t="s">
        <v>35</v>
      </c>
      <c r="B450" s="775" t="s">
        <v>34</v>
      </c>
      <c r="C450" s="776">
        <f t="shared" si="20"/>
        <v>405</v>
      </c>
      <c r="D450" s="20" t="s">
        <v>37</v>
      </c>
    </row>
    <row r="451" spans="1:4" x14ac:dyDescent="0.3">
      <c r="A451" s="17" t="s">
        <v>35</v>
      </c>
      <c r="B451" s="775" t="s">
        <v>34</v>
      </c>
      <c r="C451" s="776">
        <f t="shared" si="20"/>
        <v>406</v>
      </c>
      <c r="D451" s="20" t="s">
        <v>36</v>
      </c>
    </row>
    <row r="452" spans="1:4" x14ac:dyDescent="0.3">
      <c r="A452" s="17" t="s">
        <v>35</v>
      </c>
      <c r="B452" s="775" t="s">
        <v>34</v>
      </c>
      <c r="C452" s="776">
        <f t="shared" si="20"/>
        <v>407</v>
      </c>
      <c r="D452" s="20" t="s">
        <v>33</v>
      </c>
    </row>
  </sheetData>
  <autoFilter ref="A3:D452" xr:uid="{00000000-0009-0000-0000-000006000000}"/>
  <mergeCells count="25">
    <mergeCell ref="A4:D4"/>
    <mergeCell ref="A443:D443"/>
    <mergeCell ref="A9:D9"/>
    <mergeCell ref="A31:D31"/>
    <mergeCell ref="A17:D17"/>
    <mergeCell ref="A46:D46"/>
    <mergeCell ref="A53:D53"/>
    <mergeCell ref="A71:D71"/>
    <mergeCell ref="A75:D75"/>
    <mergeCell ref="B1:D1"/>
    <mergeCell ref="A412:D412"/>
    <mergeCell ref="A270:D270"/>
    <mergeCell ref="A280:D280"/>
    <mergeCell ref="A401:D401"/>
    <mergeCell ref="A192:D192"/>
    <mergeCell ref="A216:D216"/>
    <mergeCell ref="A223:D223"/>
    <mergeCell ref="A257:D257"/>
    <mergeCell ref="A122:D122"/>
    <mergeCell ref="A145:D145"/>
    <mergeCell ref="A99:D99"/>
    <mergeCell ref="A105:D105"/>
    <mergeCell ref="A161:D161"/>
    <mergeCell ref="A171:D171"/>
    <mergeCell ref="A5:D5"/>
  </mergeCells>
  <dataValidations count="4">
    <dataValidation allowBlank="1" showInputMessage="1" showErrorMessage="1" prompt="Include Risk Event for evaluation?" sqref="A99:D99 A105:D105 A432:D432" xr:uid="{00000000-0002-0000-0600-000000000000}"/>
    <dataValidation type="list" allowBlank="1" showInputMessage="1" showErrorMessage="1" sqref="C280 C46" xr:uid="{00000000-0002-0000-0600-000001000000}">
      <formula1>RT</formula1>
    </dataValidation>
    <dataValidation type="list" allowBlank="1" showInputMessage="1" showErrorMessage="1" sqref="B18:B30 B6:B8 B146:B160 B32:B45 B444:B452 B258:B269 B54:B70 B172:B191 B193:B215 B123:B144 B217:B222 B224:B256 B271:B279 B76:B98 B47:B52 B10:B16 B100:B104 B72:B74 B281:B400 B162:B170 B402:B442 B106:B121" xr:uid="{00000000-0002-0000-0600-000002000000}">
      <formula1>RTA</formula1>
    </dataValidation>
    <dataValidation type="list" allowBlank="1" showInputMessage="1" showErrorMessage="1" prompt="Include Risk Event for evaluation?" sqref="A18:A30 A6:A8 A10:A16 A32:A45 A444:A452 A106:A121 A100:A104 A162:A170 A172:A191 A193:A215 A146:A160 A123:A144 A217:A222 A224:A256 A271:A279 A47:A52 A54:A70 A72:A74 A76:A98 A258:A269 A402:A442 A281:A400" xr:uid="{00000000-0002-0000-0600-000003000000}">
      <formula1>Include</formula1>
    </dataValidation>
  </dataValidations>
  <pageMargins left="0.25" right="0.25" top="0.25" bottom="0.5" header="0.25" footer="0.25"/>
  <pageSetup scale="76" fitToHeight="0" orientation="portrait" horizontalDpi="1200" verticalDpi="1200" r:id="rId1"/>
  <headerFooter>
    <oddFooter>&amp;CPage &amp;P of &amp;N</oddFooter>
  </headerFooter>
  <rowBreaks count="1" manualBreakCount="1">
    <brk id="191" min="1"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367"/>
  <sheetViews>
    <sheetView showGridLines="0" zoomScaleNormal="100" workbookViewId="0">
      <pane ySplit="3" topLeftCell="A4" activePane="bottomLeft" state="frozen"/>
      <selection pane="bottomLeft" activeCell="A4" sqref="A4:D4"/>
    </sheetView>
  </sheetViews>
  <sheetFormatPr defaultRowHeight="14.4" x14ac:dyDescent="0.3"/>
  <cols>
    <col min="1" max="1" width="13.44140625" style="28" customWidth="1"/>
    <col min="2" max="3" width="10.88671875" style="28" customWidth="1"/>
    <col min="4" max="4" width="100.5546875" style="28" customWidth="1"/>
  </cols>
  <sheetData>
    <row r="1" spans="1:4" s="7" customFormat="1" ht="21" x14ac:dyDescent="0.4">
      <c r="B1" s="850" t="s">
        <v>637</v>
      </c>
      <c r="C1" s="850"/>
      <c r="D1" s="850"/>
    </row>
    <row r="2" spans="1:4" s="1" customFormat="1" x14ac:dyDescent="0.3"/>
    <row r="3" spans="1:4" x14ac:dyDescent="0.3">
      <c r="A3" s="449" t="s">
        <v>483</v>
      </c>
      <c r="B3" s="449" t="s">
        <v>482</v>
      </c>
      <c r="C3" s="449" t="s">
        <v>481</v>
      </c>
      <c r="D3" s="448" t="s">
        <v>480</v>
      </c>
    </row>
    <row r="4" spans="1:4" x14ac:dyDescent="0.3">
      <c r="A4" s="858" t="s">
        <v>479</v>
      </c>
      <c r="B4" s="864"/>
      <c r="C4" s="864"/>
      <c r="D4" s="860"/>
    </row>
    <row r="5" spans="1:4" x14ac:dyDescent="0.3">
      <c r="A5" s="17" t="s">
        <v>35</v>
      </c>
      <c r="B5" s="18" t="s">
        <v>467</v>
      </c>
      <c r="C5" s="19">
        <v>1</v>
      </c>
      <c r="D5" s="20" t="s">
        <v>636</v>
      </c>
    </row>
    <row r="6" spans="1:4" x14ac:dyDescent="0.3">
      <c r="A6" s="17" t="s">
        <v>35</v>
      </c>
      <c r="B6" s="18" t="s">
        <v>467</v>
      </c>
      <c r="C6" s="19">
        <f>IF(C5="",#REF!+1,C5+1)</f>
        <v>2</v>
      </c>
      <c r="D6" s="20" t="s">
        <v>635</v>
      </c>
    </row>
    <row r="7" spans="1:4" x14ac:dyDescent="0.3">
      <c r="A7" s="17" t="s">
        <v>35</v>
      </c>
      <c r="B7" s="18" t="s">
        <v>467</v>
      </c>
      <c r="C7" s="19">
        <f t="shared" ref="C7:C36" si="0">IF(C6="",C5+1,C6+1)</f>
        <v>3</v>
      </c>
      <c r="D7" s="20" t="s">
        <v>634</v>
      </c>
    </row>
    <row r="8" spans="1:4" x14ac:dyDescent="0.3">
      <c r="A8" s="17" t="s">
        <v>35</v>
      </c>
      <c r="B8" s="18" t="s">
        <v>467</v>
      </c>
      <c r="C8" s="19">
        <f t="shared" si="0"/>
        <v>4</v>
      </c>
      <c r="D8" s="20" t="s">
        <v>633</v>
      </c>
    </row>
    <row r="9" spans="1:4" x14ac:dyDescent="0.3">
      <c r="A9" s="17" t="s">
        <v>35</v>
      </c>
      <c r="B9" s="18" t="s">
        <v>467</v>
      </c>
      <c r="C9" s="19">
        <f t="shared" si="0"/>
        <v>5</v>
      </c>
      <c r="D9" s="20" t="s">
        <v>632</v>
      </c>
    </row>
    <row r="10" spans="1:4" x14ac:dyDescent="0.3">
      <c r="A10" s="17" t="s">
        <v>35</v>
      </c>
      <c r="B10" s="18" t="s">
        <v>467</v>
      </c>
      <c r="C10" s="19">
        <f t="shared" si="0"/>
        <v>6</v>
      </c>
      <c r="D10" s="20" t="s">
        <v>631</v>
      </c>
    </row>
    <row r="11" spans="1:4" x14ac:dyDescent="0.3">
      <c r="A11" s="17" t="s">
        <v>35</v>
      </c>
      <c r="B11" s="18" t="s">
        <v>467</v>
      </c>
      <c r="C11" s="19">
        <f t="shared" si="0"/>
        <v>7</v>
      </c>
      <c r="D11" s="20" t="s">
        <v>630</v>
      </c>
    </row>
    <row r="12" spans="1:4" x14ac:dyDescent="0.3">
      <c r="A12" s="17" t="s">
        <v>35</v>
      </c>
      <c r="B12" s="18" t="s">
        <v>467</v>
      </c>
      <c r="C12" s="19">
        <f t="shared" si="0"/>
        <v>8</v>
      </c>
      <c r="D12" s="20" t="s">
        <v>629</v>
      </c>
    </row>
    <row r="13" spans="1:4" x14ac:dyDescent="0.3">
      <c r="A13" s="17" t="s">
        <v>35</v>
      </c>
      <c r="B13" s="18" t="s">
        <v>467</v>
      </c>
      <c r="C13" s="19">
        <f t="shared" si="0"/>
        <v>9</v>
      </c>
      <c r="D13" s="20" t="s">
        <v>628</v>
      </c>
    </row>
    <row r="14" spans="1:4" x14ac:dyDescent="0.3">
      <c r="A14" s="17" t="s">
        <v>35</v>
      </c>
      <c r="B14" s="18" t="s">
        <v>467</v>
      </c>
      <c r="C14" s="19">
        <f t="shared" si="0"/>
        <v>10</v>
      </c>
      <c r="D14" s="20" t="s">
        <v>627</v>
      </c>
    </row>
    <row r="15" spans="1:4" x14ac:dyDescent="0.3">
      <c r="A15" s="17" t="s">
        <v>35</v>
      </c>
      <c r="B15" s="18" t="s">
        <v>467</v>
      </c>
      <c r="C15" s="19">
        <f t="shared" si="0"/>
        <v>11</v>
      </c>
      <c r="D15" s="20" t="s">
        <v>626</v>
      </c>
    </row>
    <row r="16" spans="1:4" x14ac:dyDescent="0.3">
      <c r="A16" s="17" t="s">
        <v>35</v>
      </c>
      <c r="B16" s="18" t="s">
        <v>467</v>
      </c>
      <c r="C16" s="19">
        <f t="shared" si="0"/>
        <v>12</v>
      </c>
      <c r="D16" s="20" t="s">
        <v>625</v>
      </c>
    </row>
    <row r="17" spans="1:4" x14ac:dyDescent="0.3">
      <c r="A17" s="17" t="s">
        <v>35</v>
      </c>
      <c r="B17" s="18" t="s">
        <v>467</v>
      </c>
      <c r="C17" s="19">
        <f t="shared" si="0"/>
        <v>13</v>
      </c>
      <c r="D17" s="20" t="s">
        <v>624</v>
      </c>
    </row>
    <row r="18" spans="1:4" x14ac:dyDescent="0.3">
      <c r="A18" s="17" t="s">
        <v>35</v>
      </c>
      <c r="B18" s="18" t="s">
        <v>467</v>
      </c>
      <c r="C18" s="19">
        <f t="shared" si="0"/>
        <v>14</v>
      </c>
      <c r="D18" s="20" t="s">
        <v>623</v>
      </c>
    </row>
    <row r="19" spans="1:4" x14ac:dyDescent="0.3">
      <c r="A19" s="17" t="s">
        <v>35</v>
      </c>
      <c r="B19" s="18" t="s">
        <v>467</v>
      </c>
      <c r="C19" s="19">
        <f t="shared" si="0"/>
        <v>15</v>
      </c>
      <c r="D19" s="20" t="s">
        <v>622</v>
      </c>
    </row>
    <row r="20" spans="1:4" x14ac:dyDescent="0.3">
      <c r="A20" s="17" t="s">
        <v>35</v>
      </c>
      <c r="B20" s="18" t="s">
        <v>467</v>
      </c>
      <c r="C20" s="19">
        <f t="shared" si="0"/>
        <v>16</v>
      </c>
      <c r="D20" s="20" t="s">
        <v>621</v>
      </c>
    </row>
    <row r="21" spans="1:4" x14ac:dyDescent="0.3">
      <c r="A21" s="17" t="s">
        <v>35</v>
      </c>
      <c r="B21" s="18" t="s">
        <v>467</v>
      </c>
      <c r="C21" s="19">
        <f t="shared" si="0"/>
        <v>17</v>
      </c>
      <c r="D21" s="21" t="s">
        <v>620</v>
      </c>
    </row>
    <row r="22" spans="1:4" x14ac:dyDescent="0.3">
      <c r="A22" s="17" t="s">
        <v>35</v>
      </c>
      <c r="B22" s="18" t="s">
        <v>467</v>
      </c>
      <c r="C22" s="19">
        <f t="shared" si="0"/>
        <v>18</v>
      </c>
      <c r="D22" s="21" t="s">
        <v>619</v>
      </c>
    </row>
    <row r="23" spans="1:4" x14ac:dyDescent="0.3">
      <c r="A23" s="17" t="s">
        <v>35</v>
      </c>
      <c r="B23" s="18" t="s">
        <v>467</v>
      </c>
      <c r="C23" s="19">
        <f t="shared" si="0"/>
        <v>19</v>
      </c>
      <c r="D23" s="20" t="s">
        <v>618</v>
      </c>
    </row>
    <row r="24" spans="1:4" x14ac:dyDescent="0.3">
      <c r="A24" s="17" t="s">
        <v>35</v>
      </c>
      <c r="B24" s="18" t="s">
        <v>467</v>
      </c>
      <c r="C24" s="19">
        <f t="shared" si="0"/>
        <v>20</v>
      </c>
      <c r="D24" s="20" t="s">
        <v>617</v>
      </c>
    </row>
    <row r="25" spans="1:4" x14ac:dyDescent="0.3">
      <c r="A25" s="17" t="s">
        <v>35</v>
      </c>
      <c r="B25" s="18" t="s">
        <v>467</v>
      </c>
      <c r="C25" s="19">
        <f t="shared" si="0"/>
        <v>21</v>
      </c>
      <c r="D25" s="20" t="s">
        <v>616</v>
      </c>
    </row>
    <row r="26" spans="1:4" x14ac:dyDescent="0.3">
      <c r="A26" s="17" t="s">
        <v>35</v>
      </c>
      <c r="B26" s="18" t="s">
        <v>467</v>
      </c>
      <c r="C26" s="19">
        <f t="shared" si="0"/>
        <v>22</v>
      </c>
      <c r="D26" s="20" t="s">
        <v>615</v>
      </c>
    </row>
    <row r="27" spans="1:4" x14ac:dyDescent="0.3">
      <c r="A27" s="17" t="s">
        <v>35</v>
      </c>
      <c r="B27" s="18" t="s">
        <v>467</v>
      </c>
      <c r="C27" s="19">
        <f t="shared" si="0"/>
        <v>23</v>
      </c>
      <c r="D27" s="20" t="s">
        <v>614</v>
      </c>
    </row>
    <row r="28" spans="1:4" x14ac:dyDescent="0.3">
      <c r="A28" s="17" t="s">
        <v>35</v>
      </c>
      <c r="B28" s="18" t="s">
        <v>467</v>
      </c>
      <c r="C28" s="19">
        <f t="shared" si="0"/>
        <v>24</v>
      </c>
      <c r="D28" s="20" t="s">
        <v>613</v>
      </c>
    </row>
    <row r="29" spans="1:4" x14ac:dyDescent="0.3">
      <c r="A29" s="17" t="s">
        <v>35</v>
      </c>
      <c r="B29" s="18" t="s">
        <v>467</v>
      </c>
      <c r="C29" s="19">
        <f t="shared" si="0"/>
        <v>25</v>
      </c>
      <c r="D29" s="20" t="s">
        <v>612</v>
      </c>
    </row>
    <row r="30" spans="1:4" x14ac:dyDescent="0.3">
      <c r="A30" s="17" t="s">
        <v>35</v>
      </c>
      <c r="B30" s="18" t="s">
        <v>467</v>
      </c>
      <c r="C30" s="19">
        <f t="shared" si="0"/>
        <v>26</v>
      </c>
      <c r="D30" s="20" t="s">
        <v>611</v>
      </c>
    </row>
    <row r="31" spans="1:4" x14ac:dyDescent="0.3">
      <c r="A31" s="17" t="s">
        <v>35</v>
      </c>
      <c r="B31" s="18" t="s">
        <v>467</v>
      </c>
      <c r="C31" s="19">
        <f t="shared" si="0"/>
        <v>27</v>
      </c>
      <c r="D31" s="20" t="s">
        <v>610</v>
      </c>
    </row>
    <row r="32" spans="1:4" x14ac:dyDescent="0.3">
      <c r="A32" s="17" t="s">
        <v>35</v>
      </c>
      <c r="B32" s="18" t="s">
        <v>467</v>
      </c>
      <c r="C32" s="19">
        <f t="shared" si="0"/>
        <v>28</v>
      </c>
      <c r="D32" s="20" t="s">
        <v>609</v>
      </c>
    </row>
    <row r="33" spans="1:4" x14ac:dyDescent="0.3">
      <c r="A33" s="17" t="s">
        <v>35</v>
      </c>
      <c r="B33" s="18" t="s">
        <v>467</v>
      </c>
      <c r="C33" s="19">
        <f t="shared" si="0"/>
        <v>29</v>
      </c>
      <c r="D33" s="20" t="s">
        <v>608</v>
      </c>
    </row>
    <row r="34" spans="1:4" x14ac:dyDescent="0.3">
      <c r="A34" s="17" t="s">
        <v>35</v>
      </c>
      <c r="B34" s="18" t="s">
        <v>467</v>
      </c>
      <c r="C34" s="19">
        <f t="shared" si="0"/>
        <v>30</v>
      </c>
      <c r="D34" s="20" t="s">
        <v>607</v>
      </c>
    </row>
    <row r="35" spans="1:4" x14ac:dyDescent="0.3">
      <c r="A35" s="17" t="s">
        <v>35</v>
      </c>
      <c r="B35" s="18" t="s">
        <v>467</v>
      </c>
      <c r="C35" s="19">
        <f t="shared" si="0"/>
        <v>31</v>
      </c>
      <c r="D35" s="20" t="s">
        <v>606</v>
      </c>
    </row>
    <row r="36" spans="1:4" x14ac:dyDescent="0.3">
      <c r="A36" s="17" t="s">
        <v>35</v>
      </c>
      <c r="B36" s="18" t="s">
        <v>467</v>
      </c>
      <c r="C36" s="19">
        <f t="shared" si="0"/>
        <v>32</v>
      </c>
      <c r="D36" s="20" t="s">
        <v>605</v>
      </c>
    </row>
    <row r="37" spans="1:4" x14ac:dyDescent="0.3">
      <c r="A37" s="858" t="s">
        <v>450</v>
      </c>
      <c r="B37" s="864"/>
      <c r="C37" s="864"/>
      <c r="D37" s="860"/>
    </row>
    <row r="38" spans="1:4" x14ac:dyDescent="0.3">
      <c r="A38" s="17" t="s">
        <v>35</v>
      </c>
      <c r="B38" s="18" t="s">
        <v>436</v>
      </c>
      <c r="C38" s="19">
        <f t="shared" ref="C38:C55" si="1">IF(C37="",C36+1,C37+1)</f>
        <v>33</v>
      </c>
      <c r="D38" s="20" t="s">
        <v>604</v>
      </c>
    </row>
    <row r="39" spans="1:4" x14ac:dyDescent="0.3">
      <c r="A39" s="17" t="s">
        <v>35</v>
      </c>
      <c r="B39" s="18" t="s">
        <v>436</v>
      </c>
      <c r="C39" s="19">
        <f t="shared" si="1"/>
        <v>34</v>
      </c>
      <c r="D39" s="20" t="s">
        <v>603</v>
      </c>
    </row>
    <row r="40" spans="1:4" x14ac:dyDescent="0.3">
      <c r="A40" s="17" t="s">
        <v>35</v>
      </c>
      <c r="B40" s="18" t="s">
        <v>436</v>
      </c>
      <c r="C40" s="19">
        <f t="shared" si="1"/>
        <v>35</v>
      </c>
      <c r="D40" s="20" t="s">
        <v>602</v>
      </c>
    </row>
    <row r="41" spans="1:4" x14ac:dyDescent="0.3">
      <c r="A41" s="17" t="s">
        <v>35</v>
      </c>
      <c r="B41" s="18" t="s">
        <v>436</v>
      </c>
      <c r="C41" s="19">
        <f t="shared" si="1"/>
        <v>36</v>
      </c>
      <c r="D41" s="20" t="s">
        <v>601</v>
      </c>
    </row>
    <row r="42" spans="1:4" x14ac:dyDescent="0.3">
      <c r="A42" s="17" t="s">
        <v>35</v>
      </c>
      <c r="B42" s="18" t="s">
        <v>436</v>
      </c>
      <c r="C42" s="19">
        <f t="shared" si="1"/>
        <v>37</v>
      </c>
      <c r="D42" s="20" t="s">
        <v>600</v>
      </c>
    </row>
    <row r="43" spans="1:4" x14ac:dyDescent="0.3">
      <c r="A43" s="17" t="s">
        <v>35</v>
      </c>
      <c r="B43" s="18" t="s">
        <v>436</v>
      </c>
      <c r="C43" s="19">
        <f t="shared" si="1"/>
        <v>38</v>
      </c>
      <c r="D43" s="20" t="s">
        <v>599</v>
      </c>
    </row>
    <row r="44" spans="1:4" x14ac:dyDescent="0.3">
      <c r="A44" s="17" t="s">
        <v>35</v>
      </c>
      <c r="B44" s="18" t="s">
        <v>436</v>
      </c>
      <c r="C44" s="19">
        <f t="shared" si="1"/>
        <v>39</v>
      </c>
      <c r="D44" s="20" t="s">
        <v>598</v>
      </c>
    </row>
    <row r="45" spans="1:4" x14ac:dyDescent="0.3">
      <c r="A45" s="17" t="s">
        <v>35</v>
      </c>
      <c r="B45" s="18" t="s">
        <v>436</v>
      </c>
      <c r="C45" s="19">
        <f t="shared" si="1"/>
        <v>40</v>
      </c>
      <c r="D45" s="20" t="s">
        <v>597</v>
      </c>
    </row>
    <row r="46" spans="1:4" x14ac:dyDescent="0.3">
      <c r="A46" s="17" t="s">
        <v>35</v>
      </c>
      <c r="B46" s="18" t="s">
        <v>436</v>
      </c>
      <c r="C46" s="19">
        <f t="shared" si="1"/>
        <v>41</v>
      </c>
      <c r="D46" s="20" t="s">
        <v>596</v>
      </c>
    </row>
    <row r="47" spans="1:4" x14ac:dyDescent="0.3">
      <c r="A47" s="17" t="s">
        <v>35</v>
      </c>
      <c r="B47" s="18" t="s">
        <v>436</v>
      </c>
      <c r="C47" s="19">
        <f t="shared" si="1"/>
        <v>42</v>
      </c>
      <c r="D47" s="20" t="s">
        <v>595</v>
      </c>
    </row>
    <row r="48" spans="1:4" x14ac:dyDescent="0.3">
      <c r="A48" s="17" t="s">
        <v>35</v>
      </c>
      <c r="B48" s="18" t="s">
        <v>436</v>
      </c>
      <c r="C48" s="19">
        <f t="shared" si="1"/>
        <v>43</v>
      </c>
      <c r="D48" s="20" t="s">
        <v>594</v>
      </c>
    </row>
    <row r="49" spans="1:4" ht="28.8" x14ac:dyDescent="0.3">
      <c r="A49" s="17" t="s">
        <v>35</v>
      </c>
      <c r="B49" s="18" t="s">
        <v>436</v>
      </c>
      <c r="C49" s="19">
        <f t="shared" si="1"/>
        <v>44</v>
      </c>
      <c r="D49" s="20" t="s">
        <v>593</v>
      </c>
    </row>
    <row r="50" spans="1:4" x14ac:dyDescent="0.3">
      <c r="A50" s="17" t="s">
        <v>35</v>
      </c>
      <c r="B50" s="18" t="s">
        <v>436</v>
      </c>
      <c r="C50" s="19">
        <f t="shared" si="1"/>
        <v>45</v>
      </c>
      <c r="D50" s="20" t="s">
        <v>592</v>
      </c>
    </row>
    <row r="51" spans="1:4" x14ac:dyDescent="0.3">
      <c r="A51" s="17" t="s">
        <v>35</v>
      </c>
      <c r="B51" s="18" t="s">
        <v>436</v>
      </c>
      <c r="C51" s="19">
        <f t="shared" si="1"/>
        <v>46</v>
      </c>
      <c r="D51" s="20" t="s">
        <v>591</v>
      </c>
    </row>
    <row r="52" spans="1:4" x14ac:dyDescent="0.3">
      <c r="A52" s="17" t="s">
        <v>35</v>
      </c>
      <c r="B52" s="18" t="s">
        <v>436</v>
      </c>
      <c r="C52" s="19">
        <f t="shared" si="1"/>
        <v>47</v>
      </c>
      <c r="D52" s="20" t="s">
        <v>590</v>
      </c>
    </row>
    <row r="53" spans="1:4" x14ac:dyDescent="0.3">
      <c r="A53" s="17" t="s">
        <v>35</v>
      </c>
      <c r="B53" s="18" t="s">
        <v>436</v>
      </c>
      <c r="C53" s="19">
        <f t="shared" si="1"/>
        <v>48</v>
      </c>
      <c r="D53" s="20" t="s">
        <v>589</v>
      </c>
    </row>
    <row r="54" spans="1:4" x14ac:dyDescent="0.3">
      <c r="A54" s="17" t="s">
        <v>35</v>
      </c>
      <c r="B54" s="18" t="s">
        <v>436</v>
      </c>
      <c r="C54" s="19">
        <f t="shared" si="1"/>
        <v>49</v>
      </c>
      <c r="D54" s="20" t="s">
        <v>588</v>
      </c>
    </row>
    <row r="55" spans="1:4" x14ac:dyDescent="0.3">
      <c r="A55" s="17" t="s">
        <v>35</v>
      </c>
      <c r="B55" s="18" t="s">
        <v>436</v>
      </c>
      <c r="C55" s="19">
        <f t="shared" si="1"/>
        <v>50</v>
      </c>
      <c r="D55" s="20" t="s">
        <v>498</v>
      </c>
    </row>
    <row r="56" spans="1:4" x14ac:dyDescent="0.3">
      <c r="A56" s="858" t="s">
        <v>587</v>
      </c>
      <c r="B56" s="864"/>
      <c r="C56" s="864"/>
      <c r="D56" s="860"/>
    </row>
    <row r="57" spans="1:4" x14ac:dyDescent="0.3">
      <c r="A57" s="17" t="s">
        <v>35</v>
      </c>
      <c r="B57" s="18" t="s">
        <v>199</v>
      </c>
      <c r="C57" s="19">
        <f t="shared" ref="C57:C85" si="2">IF(C56="",C55+1,C56+1)</f>
        <v>51</v>
      </c>
      <c r="D57" s="22" t="s">
        <v>586</v>
      </c>
    </row>
    <row r="58" spans="1:4" x14ac:dyDescent="0.3">
      <c r="A58" s="17" t="s">
        <v>35</v>
      </c>
      <c r="B58" s="18" t="s">
        <v>199</v>
      </c>
      <c r="C58" s="19">
        <f t="shared" si="2"/>
        <v>52</v>
      </c>
      <c r="D58" s="22" t="s">
        <v>585</v>
      </c>
    </row>
    <row r="59" spans="1:4" x14ac:dyDescent="0.3">
      <c r="A59" s="17" t="s">
        <v>35</v>
      </c>
      <c r="B59" s="18" t="s">
        <v>199</v>
      </c>
      <c r="C59" s="19">
        <f t="shared" si="2"/>
        <v>53</v>
      </c>
      <c r="D59" s="22" t="s">
        <v>584</v>
      </c>
    </row>
    <row r="60" spans="1:4" x14ac:dyDescent="0.3">
      <c r="A60" s="17" t="s">
        <v>35</v>
      </c>
      <c r="B60" s="18" t="s">
        <v>199</v>
      </c>
      <c r="C60" s="19">
        <f t="shared" si="2"/>
        <v>54</v>
      </c>
      <c r="D60" s="22" t="s">
        <v>583</v>
      </c>
    </row>
    <row r="61" spans="1:4" x14ac:dyDescent="0.3">
      <c r="A61" s="17" t="s">
        <v>35</v>
      </c>
      <c r="B61" s="18" t="s">
        <v>199</v>
      </c>
      <c r="C61" s="19">
        <f t="shared" si="2"/>
        <v>55</v>
      </c>
      <c r="D61" s="22" t="s">
        <v>376</v>
      </c>
    </row>
    <row r="62" spans="1:4" x14ac:dyDescent="0.3">
      <c r="A62" s="17" t="s">
        <v>35</v>
      </c>
      <c r="B62" s="18" t="s">
        <v>199</v>
      </c>
      <c r="C62" s="19">
        <f t="shared" si="2"/>
        <v>56</v>
      </c>
      <c r="D62" s="22" t="s">
        <v>453</v>
      </c>
    </row>
    <row r="63" spans="1:4" x14ac:dyDescent="0.3">
      <c r="A63" s="17" t="s">
        <v>35</v>
      </c>
      <c r="B63" s="18" t="s">
        <v>199</v>
      </c>
      <c r="C63" s="19">
        <f t="shared" si="2"/>
        <v>57</v>
      </c>
      <c r="D63" s="22" t="s">
        <v>451</v>
      </c>
    </row>
    <row r="64" spans="1:4" x14ac:dyDescent="0.3">
      <c r="A64" s="17" t="s">
        <v>35</v>
      </c>
      <c r="B64" s="18" t="s">
        <v>199</v>
      </c>
      <c r="C64" s="19">
        <f t="shared" si="2"/>
        <v>58</v>
      </c>
      <c r="D64" s="22" t="s">
        <v>582</v>
      </c>
    </row>
    <row r="65" spans="1:4" ht="28.8" x14ac:dyDescent="0.3">
      <c r="A65" s="17" t="s">
        <v>35</v>
      </c>
      <c r="B65" s="18" t="s">
        <v>199</v>
      </c>
      <c r="C65" s="19">
        <f t="shared" si="2"/>
        <v>59</v>
      </c>
      <c r="D65" s="22" t="s">
        <v>581</v>
      </c>
    </row>
    <row r="66" spans="1:4" x14ac:dyDescent="0.3">
      <c r="A66" s="17" t="s">
        <v>35</v>
      </c>
      <c r="B66" s="18" t="s">
        <v>199</v>
      </c>
      <c r="C66" s="19">
        <f t="shared" si="2"/>
        <v>60</v>
      </c>
      <c r="D66" s="22" t="s">
        <v>580</v>
      </c>
    </row>
    <row r="67" spans="1:4" x14ac:dyDescent="0.3">
      <c r="A67" s="17" t="s">
        <v>35</v>
      </c>
      <c r="B67" s="18" t="s">
        <v>199</v>
      </c>
      <c r="C67" s="19">
        <f t="shared" si="2"/>
        <v>61</v>
      </c>
      <c r="D67" s="22" t="s">
        <v>579</v>
      </c>
    </row>
    <row r="68" spans="1:4" x14ac:dyDescent="0.3">
      <c r="A68" s="17" t="s">
        <v>35</v>
      </c>
      <c r="B68" s="18" t="s">
        <v>199</v>
      </c>
      <c r="C68" s="19">
        <f t="shared" si="2"/>
        <v>62</v>
      </c>
      <c r="D68" s="22" t="s">
        <v>578</v>
      </c>
    </row>
    <row r="69" spans="1:4" x14ac:dyDescent="0.3">
      <c r="A69" s="17" t="s">
        <v>35</v>
      </c>
      <c r="B69" s="18" t="s">
        <v>199</v>
      </c>
      <c r="C69" s="19">
        <f t="shared" si="2"/>
        <v>63</v>
      </c>
      <c r="D69" s="22" t="s">
        <v>577</v>
      </c>
    </row>
    <row r="70" spans="1:4" x14ac:dyDescent="0.3">
      <c r="A70" s="17" t="s">
        <v>35</v>
      </c>
      <c r="B70" s="18" t="s">
        <v>199</v>
      </c>
      <c r="C70" s="19">
        <f t="shared" si="2"/>
        <v>64</v>
      </c>
      <c r="D70" s="22" t="s">
        <v>576</v>
      </c>
    </row>
    <row r="71" spans="1:4" x14ac:dyDescent="0.3">
      <c r="A71" s="17" t="s">
        <v>35</v>
      </c>
      <c r="B71" s="18" t="s">
        <v>199</v>
      </c>
      <c r="C71" s="19">
        <f t="shared" si="2"/>
        <v>65</v>
      </c>
      <c r="D71" s="22" t="s">
        <v>575</v>
      </c>
    </row>
    <row r="72" spans="1:4" x14ac:dyDescent="0.3">
      <c r="A72" s="17" t="s">
        <v>35</v>
      </c>
      <c r="B72" s="18" t="s">
        <v>199</v>
      </c>
      <c r="C72" s="19">
        <f t="shared" si="2"/>
        <v>66</v>
      </c>
      <c r="D72" s="22" t="s">
        <v>574</v>
      </c>
    </row>
    <row r="73" spans="1:4" ht="28.8" x14ac:dyDescent="0.3">
      <c r="A73" s="17" t="s">
        <v>35</v>
      </c>
      <c r="B73" s="18" t="s">
        <v>199</v>
      </c>
      <c r="C73" s="19">
        <f t="shared" si="2"/>
        <v>67</v>
      </c>
      <c r="D73" s="22" t="s">
        <v>573</v>
      </c>
    </row>
    <row r="74" spans="1:4" x14ac:dyDescent="0.3">
      <c r="A74" s="17" t="s">
        <v>35</v>
      </c>
      <c r="B74" s="18" t="s">
        <v>199</v>
      </c>
      <c r="C74" s="19">
        <f t="shared" si="2"/>
        <v>68</v>
      </c>
      <c r="D74" s="22" t="s">
        <v>198</v>
      </c>
    </row>
    <row r="75" spans="1:4" x14ac:dyDescent="0.3">
      <c r="A75" s="17" t="s">
        <v>35</v>
      </c>
      <c r="B75" s="18" t="s">
        <v>199</v>
      </c>
      <c r="C75" s="19">
        <f t="shared" si="2"/>
        <v>69</v>
      </c>
      <c r="D75" s="22" t="s">
        <v>572</v>
      </c>
    </row>
    <row r="76" spans="1:4" x14ac:dyDescent="0.3">
      <c r="A76" s="17" t="s">
        <v>35</v>
      </c>
      <c r="B76" s="18" t="s">
        <v>199</v>
      </c>
      <c r="C76" s="19">
        <f t="shared" si="2"/>
        <v>70</v>
      </c>
      <c r="D76" s="22" t="s">
        <v>571</v>
      </c>
    </row>
    <row r="77" spans="1:4" x14ac:dyDescent="0.3">
      <c r="A77" s="17" t="s">
        <v>35</v>
      </c>
      <c r="B77" s="18" t="s">
        <v>199</v>
      </c>
      <c r="C77" s="19">
        <f t="shared" si="2"/>
        <v>71</v>
      </c>
      <c r="D77" s="22" t="s">
        <v>570</v>
      </c>
    </row>
    <row r="78" spans="1:4" ht="28.8" x14ac:dyDescent="0.3">
      <c r="A78" s="17" t="s">
        <v>35</v>
      </c>
      <c r="B78" s="18" t="s">
        <v>199</v>
      </c>
      <c r="C78" s="19">
        <f t="shared" si="2"/>
        <v>72</v>
      </c>
      <c r="D78" s="22" t="s">
        <v>569</v>
      </c>
    </row>
    <row r="79" spans="1:4" ht="28.8" x14ac:dyDescent="0.3">
      <c r="A79" s="17" t="s">
        <v>35</v>
      </c>
      <c r="B79" s="18" t="s">
        <v>199</v>
      </c>
      <c r="C79" s="19">
        <f t="shared" si="2"/>
        <v>73</v>
      </c>
      <c r="D79" s="22" t="s">
        <v>100</v>
      </c>
    </row>
    <row r="80" spans="1:4" x14ac:dyDescent="0.3">
      <c r="A80" s="17" t="s">
        <v>35</v>
      </c>
      <c r="B80" s="18" t="s">
        <v>199</v>
      </c>
      <c r="C80" s="19">
        <f t="shared" si="2"/>
        <v>74</v>
      </c>
      <c r="D80" s="22" t="s">
        <v>323</v>
      </c>
    </row>
    <row r="81" spans="1:4" x14ac:dyDescent="0.3">
      <c r="A81" s="17" t="s">
        <v>35</v>
      </c>
      <c r="B81" s="18" t="s">
        <v>199</v>
      </c>
      <c r="C81" s="19">
        <f t="shared" si="2"/>
        <v>75</v>
      </c>
      <c r="D81" s="22" t="s">
        <v>428</v>
      </c>
    </row>
    <row r="82" spans="1:4" x14ac:dyDescent="0.3">
      <c r="A82" s="17" t="s">
        <v>35</v>
      </c>
      <c r="B82" s="18" t="s">
        <v>199</v>
      </c>
      <c r="C82" s="19">
        <f t="shared" si="2"/>
        <v>76</v>
      </c>
      <c r="D82" s="22" t="s">
        <v>568</v>
      </c>
    </row>
    <row r="83" spans="1:4" x14ac:dyDescent="0.3">
      <c r="A83" s="17" t="s">
        <v>35</v>
      </c>
      <c r="B83" s="18" t="s">
        <v>199</v>
      </c>
      <c r="C83" s="19">
        <f t="shared" si="2"/>
        <v>77</v>
      </c>
      <c r="D83" s="22" t="s">
        <v>567</v>
      </c>
    </row>
    <row r="84" spans="1:4" x14ac:dyDescent="0.3">
      <c r="A84" s="17" t="s">
        <v>35</v>
      </c>
      <c r="B84" s="18" t="s">
        <v>199</v>
      </c>
      <c r="C84" s="19">
        <f t="shared" si="2"/>
        <v>78</v>
      </c>
      <c r="D84" s="22" t="s">
        <v>566</v>
      </c>
    </row>
    <row r="85" spans="1:4" x14ac:dyDescent="0.3">
      <c r="A85" s="17" t="s">
        <v>35</v>
      </c>
      <c r="B85" s="18" t="s">
        <v>199</v>
      </c>
      <c r="C85" s="19">
        <f t="shared" si="2"/>
        <v>79</v>
      </c>
      <c r="D85" s="22" t="s">
        <v>57</v>
      </c>
    </row>
    <row r="86" spans="1:4" x14ac:dyDescent="0.3">
      <c r="A86" s="858" t="s">
        <v>358</v>
      </c>
      <c r="B86" s="864" t="s">
        <v>337</v>
      </c>
      <c r="C86" s="864"/>
      <c r="D86" s="860"/>
    </row>
    <row r="87" spans="1:4" x14ac:dyDescent="0.3">
      <c r="A87" s="17" t="s">
        <v>35</v>
      </c>
      <c r="B87" s="18" t="s">
        <v>337</v>
      </c>
      <c r="C87" s="19">
        <f t="shared" ref="C87:C110" si="3">IF(C86="",C85+1,C86+1)</f>
        <v>80</v>
      </c>
      <c r="D87" s="20" t="s">
        <v>75</v>
      </c>
    </row>
    <row r="88" spans="1:4" x14ac:dyDescent="0.3">
      <c r="A88" s="17" t="s">
        <v>35</v>
      </c>
      <c r="B88" s="18" t="s">
        <v>337</v>
      </c>
      <c r="C88" s="19">
        <f t="shared" si="3"/>
        <v>81</v>
      </c>
      <c r="D88" s="20" t="s">
        <v>357</v>
      </c>
    </row>
    <row r="89" spans="1:4" x14ac:dyDescent="0.3">
      <c r="A89" s="17" t="s">
        <v>35</v>
      </c>
      <c r="B89" s="18" t="s">
        <v>337</v>
      </c>
      <c r="C89" s="19">
        <f t="shared" si="3"/>
        <v>82</v>
      </c>
      <c r="D89" s="20" t="s">
        <v>356</v>
      </c>
    </row>
    <row r="90" spans="1:4" x14ac:dyDescent="0.3">
      <c r="A90" s="17" t="s">
        <v>35</v>
      </c>
      <c r="B90" s="18" t="s">
        <v>337</v>
      </c>
      <c r="C90" s="19">
        <f t="shared" si="3"/>
        <v>83</v>
      </c>
      <c r="D90" s="20" t="s">
        <v>355</v>
      </c>
    </row>
    <row r="91" spans="1:4" x14ac:dyDescent="0.3">
      <c r="A91" s="17" t="s">
        <v>35</v>
      </c>
      <c r="B91" s="18" t="s">
        <v>337</v>
      </c>
      <c r="C91" s="19">
        <f t="shared" si="3"/>
        <v>84</v>
      </c>
      <c r="D91" s="20" t="s">
        <v>354</v>
      </c>
    </row>
    <row r="92" spans="1:4" x14ac:dyDescent="0.3">
      <c r="A92" s="17"/>
      <c r="B92" s="18"/>
      <c r="C92" s="19">
        <f t="shared" si="3"/>
        <v>85</v>
      </c>
      <c r="D92" s="20" t="s">
        <v>353</v>
      </c>
    </row>
    <row r="93" spans="1:4" x14ac:dyDescent="0.3">
      <c r="A93" s="17"/>
      <c r="B93" s="18"/>
      <c r="C93" s="19">
        <f t="shared" si="3"/>
        <v>86</v>
      </c>
      <c r="D93" s="20" t="s">
        <v>352</v>
      </c>
    </row>
    <row r="94" spans="1:4" x14ac:dyDescent="0.3">
      <c r="A94" s="17" t="s">
        <v>35</v>
      </c>
      <c r="B94" s="18" t="s">
        <v>337</v>
      </c>
      <c r="C94" s="19">
        <f t="shared" si="3"/>
        <v>87</v>
      </c>
      <c r="D94" s="20" t="s">
        <v>351</v>
      </c>
    </row>
    <row r="95" spans="1:4" x14ac:dyDescent="0.3">
      <c r="A95" s="17" t="s">
        <v>35</v>
      </c>
      <c r="B95" s="18" t="s">
        <v>337</v>
      </c>
      <c r="C95" s="19">
        <f t="shared" si="3"/>
        <v>88</v>
      </c>
      <c r="D95" s="20" t="s">
        <v>350</v>
      </c>
    </row>
    <row r="96" spans="1:4" x14ac:dyDescent="0.3">
      <c r="A96" s="17" t="s">
        <v>35</v>
      </c>
      <c r="B96" s="18" t="s">
        <v>337</v>
      </c>
      <c r="C96" s="19">
        <f t="shared" si="3"/>
        <v>89</v>
      </c>
      <c r="D96" s="20" t="s">
        <v>349</v>
      </c>
    </row>
    <row r="97" spans="1:4" x14ac:dyDescent="0.3">
      <c r="A97" s="17" t="s">
        <v>35</v>
      </c>
      <c r="B97" s="18" t="s">
        <v>337</v>
      </c>
      <c r="C97" s="19">
        <f t="shared" si="3"/>
        <v>90</v>
      </c>
      <c r="D97" s="20" t="s">
        <v>348</v>
      </c>
    </row>
    <row r="98" spans="1:4" ht="28.8" x14ac:dyDescent="0.3">
      <c r="A98" s="17" t="s">
        <v>35</v>
      </c>
      <c r="B98" s="18" t="s">
        <v>337</v>
      </c>
      <c r="C98" s="19">
        <f t="shared" si="3"/>
        <v>91</v>
      </c>
      <c r="D98" s="20" t="s">
        <v>347</v>
      </c>
    </row>
    <row r="99" spans="1:4" x14ac:dyDescent="0.3">
      <c r="A99" s="17" t="s">
        <v>35</v>
      </c>
      <c r="B99" s="18" t="s">
        <v>337</v>
      </c>
      <c r="C99" s="19">
        <f t="shared" si="3"/>
        <v>92</v>
      </c>
      <c r="D99" s="20" t="s">
        <v>346</v>
      </c>
    </row>
    <row r="100" spans="1:4" x14ac:dyDescent="0.3">
      <c r="A100" s="17" t="s">
        <v>35</v>
      </c>
      <c r="B100" s="18" t="s">
        <v>337</v>
      </c>
      <c r="C100" s="19">
        <f t="shared" si="3"/>
        <v>93</v>
      </c>
      <c r="D100" s="20" t="s">
        <v>345</v>
      </c>
    </row>
    <row r="101" spans="1:4" x14ac:dyDescent="0.3">
      <c r="A101" s="17" t="s">
        <v>35</v>
      </c>
      <c r="B101" s="18" t="s">
        <v>337</v>
      </c>
      <c r="C101" s="19">
        <f t="shared" si="3"/>
        <v>94</v>
      </c>
      <c r="D101" s="20" t="s">
        <v>344</v>
      </c>
    </row>
    <row r="102" spans="1:4" x14ac:dyDescent="0.3">
      <c r="A102" s="17" t="s">
        <v>35</v>
      </c>
      <c r="B102" s="18" t="s">
        <v>337</v>
      </c>
      <c r="C102" s="19">
        <f t="shared" si="3"/>
        <v>95</v>
      </c>
      <c r="D102" s="20" t="s">
        <v>565</v>
      </c>
    </row>
    <row r="103" spans="1:4" x14ac:dyDescent="0.3">
      <c r="A103" s="17" t="s">
        <v>35</v>
      </c>
      <c r="B103" s="18" t="s">
        <v>337</v>
      </c>
      <c r="C103" s="19">
        <f t="shared" si="3"/>
        <v>96</v>
      </c>
      <c r="D103" s="20" t="s">
        <v>342</v>
      </c>
    </row>
    <row r="104" spans="1:4" x14ac:dyDescent="0.3">
      <c r="A104" s="17" t="s">
        <v>35</v>
      </c>
      <c r="B104" s="18" t="s">
        <v>337</v>
      </c>
      <c r="C104" s="19">
        <f t="shared" si="3"/>
        <v>97</v>
      </c>
      <c r="D104" s="20" t="s">
        <v>341</v>
      </c>
    </row>
    <row r="105" spans="1:4" ht="28.8" x14ac:dyDescent="0.3">
      <c r="A105" s="17" t="s">
        <v>35</v>
      </c>
      <c r="B105" s="18" t="s">
        <v>337</v>
      </c>
      <c r="C105" s="19">
        <f t="shared" si="3"/>
        <v>98</v>
      </c>
      <c r="D105" s="20" t="s">
        <v>564</v>
      </c>
    </row>
    <row r="106" spans="1:4" x14ac:dyDescent="0.3">
      <c r="A106" s="17" t="s">
        <v>35</v>
      </c>
      <c r="B106" s="18" t="s">
        <v>337</v>
      </c>
      <c r="C106" s="19">
        <f t="shared" si="3"/>
        <v>99</v>
      </c>
      <c r="D106" s="20" t="s">
        <v>340</v>
      </c>
    </row>
    <row r="107" spans="1:4" x14ac:dyDescent="0.3">
      <c r="A107" s="17" t="s">
        <v>35</v>
      </c>
      <c r="B107" s="18" t="s">
        <v>337</v>
      </c>
      <c r="C107" s="19">
        <f t="shared" si="3"/>
        <v>100</v>
      </c>
      <c r="D107" s="20" t="s">
        <v>339</v>
      </c>
    </row>
    <row r="108" spans="1:4" x14ac:dyDescent="0.3">
      <c r="A108" s="17" t="s">
        <v>35</v>
      </c>
      <c r="B108" s="18" t="s">
        <v>337</v>
      </c>
      <c r="C108" s="19">
        <f t="shared" si="3"/>
        <v>101</v>
      </c>
      <c r="D108" s="20" t="s">
        <v>290</v>
      </c>
    </row>
    <row r="109" spans="1:4" x14ac:dyDescent="0.3">
      <c r="A109" s="17" t="s">
        <v>35</v>
      </c>
      <c r="B109" s="18" t="s">
        <v>337</v>
      </c>
      <c r="C109" s="19">
        <f t="shared" si="3"/>
        <v>102</v>
      </c>
      <c r="D109" s="20" t="s">
        <v>338</v>
      </c>
    </row>
    <row r="110" spans="1:4" x14ac:dyDescent="0.3">
      <c r="A110" s="17" t="s">
        <v>35</v>
      </c>
      <c r="B110" s="18" t="s">
        <v>337</v>
      </c>
      <c r="C110" s="19">
        <f t="shared" si="3"/>
        <v>103</v>
      </c>
      <c r="D110" s="20" t="s">
        <v>57</v>
      </c>
    </row>
    <row r="111" spans="1:4" x14ac:dyDescent="0.3">
      <c r="A111" s="858" t="s">
        <v>336</v>
      </c>
      <c r="B111" s="864" t="s">
        <v>322</v>
      </c>
      <c r="C111" s="864"/>
      <c r="D111" s="860"/>
    </row>
    <row r="112" spans="1:4" x14ac:dyDescent="0.3">
      <c r="A112" s="17" t="s">
        <v>35</v>
      </c>
      <c r="B112" s="18" t="s">
        <v>322</v>
      </c>
      <c r="C112" s="19">
        <f t="shared" ref="C112:C125" si="4">IF(C111="",C110+1,C111+1)</f>
        <v>104</v>
      </c>
      <c r="D112" s="20" t="s">
        <v>75</v>
      </c>
    </row>
    <row r="113" spans="1:4" x14ac:dyDescent="0.3">
      <c r="A113" s="17" t="s">
        <v>35</v>
      </c>
      <c r="B113" s="18" t="s">
        <v>322</v>
      </c>
      <c r="C113" s="19">
        <f t="shared" si="4"/>
        <v>105</v>
      </c>
      <c r="D113" s="20" t="s">
        <v>335</v>
      </c>
    </row>
    <row r="114" spans="1:4" x14ac:dyDescent="0.3">
      <c r="A114" s="17" t="s">
        <v>35</v>
      </c>
      <c r="B114" s="18" t="s">
        <v>322</v>
      </c>
      <c r="C114" s="19">
        <f t="shared" si="4"/>
        <v>106</v>
      </c>
      <c r="D114" s="20" t="s">
        <v>334</v>
      </c>
    </row>
    <row r="115" spans="1:4" x14ac:dyDescent="0.3">
      <c r="A115" s="17" t="s">
        <v>35</v>
      </c>
      <c r="B115" s="18" t="s">
        <v>322</v>
      </c>
      <c r="C115" s="19">
        <f t="shared" si="4"/>
        <v>107</v>
      </c>
      <c r="D115" s="20" t="s">
        <v>333</v>
      </c>
    </row>
    <row r="116" spans="1:4" x14ac:dyDescent="0.3">
      <c r="A116" s="17" t="s">
        <v>35</v>
      </c>
      <c r="B116" s="18" t="s">
        <v>322</v>
      </c>
      <c r="C116" s="19">
        <f t="shared" si="4"/>
        <v>108</v>
      </c>
      <c r="D116" s="20" t="s">
        <v>332</v>
      </c>
    </row>
    <row r="117" spans="1:4" x14ac:dyDescent="0.3">
      <c r="A117" s="17" t="s">
        <v>35</v>
      </c>
      <c r="B117" s="18" t="s">
        <v>322</v>
      </c>
      <c r="C117" s="19">
        <f t="shared" si="4"/>
        <v>109</v>
      </c>
      <c r="D117" s="20" t="s">
        <v>331</v>
      </c>
    </row>
    <row r="118" spans="1:4" x14ac:dyDescent="0.3">
      <c r="A118" s="17" t="s">
        <v>35</v>
      </c>
      <c r="B118" s="18" t="s">
        <v>322</v>
      </c>
      <c r="C118" s="19">
        <f t="shared" si="4"/>
        <v>110</v>
      </c>
      <c r="D118" s="20" t="s">
        <v>330</v>
      </c>
    </row>
    <row r="119" spans="1:4" x14ac:dyDescent="0.3">
      <c r="A119" s="17" t="s">
        <v>35</v>
      </c>
      <c r="B119" s="18" t="s">
        <v>322</v>
      </c>
      <c r="C119" s="19">
        <f t="shared" si="4"/>
        <v>111</v>
      </c>
      <c r="D119" s="20" t="s">
        <v>329</v>
      </c>
    </row>
    <row r="120" spans="1:4" x14ac:dyDescent="0.3">
      <c r="A120" s="17" t="s">
        <v>35</v>
      </c>
      <c r="B120" s="18" t="s">
        <v>322</v>
      </c>
      <c r="C120" s="19">
        <f t="shared" si="4"/>
        <v>112</v>
      </c>
      <c r="D120" s="20" t="s">
        <v>328</v>
      </c>
    </row>
    <row r="121" spans="1:4" x14ac:dyDescent="0.3">
      <c r="A121" s="17" t="s">
        <v>35</v>
      </c>
      <c r="B121" s="18" t="s">
        <v>322</v>
      </c>
      <c r="C121" s="19">
        <f t="shared" si="4"/>
        <v>113</v>
      </c>
      <c r="D121" s="20" t="s">
        <v>327</v>
      </c>
    </row>
    <row r="122" spans="1:4" x14ac:dyDescent="0.3">
      <c r="A122" s="17" t="s">
        <v>35</v>
      </c>
      <c r="B122" s="18" t="s">
        <v>322</v>
      </c>
      <c r="C122" s="19">
        <f t="shared" si="4"/>
        <v>114</v>
      </c>
      <c r="D122" s="20" t="s">
        <v>326</v>
      </c>
    </row>
    <row r="123" spans="1:4" x14ac:dyDescent="0.3">
      <c r="A123" s="17" t="s">
        <v>35</v>
      </c>
      <c r="B123" s="18" t="s">
        <v>322</v>
      </c>
      <c r="C123" s="19">
        <f t="shared" si="4"/>
        <v>115</v>
      </c>
      <c r="D123" s="20" t="s">
        <v>325</v>
      </c>
    </row>
    <row r="124" spans="1:4" x14ac:dyDescent="0.3">
      <c r="A124" s="17" t="s">
        <v>35</v>
      </c>
      <c r="B124" s="18" t="s">
        <v>322</v>
      </c>
      <c r="C124" s="19">
        <f t="shared" si="4"/>
        <v>116</v>
      </c>
      <c r="D124" s="20" t="s">
        <v>324</v>
      </c>
    </row>
    <row r="125" spans="1:4" x14ac:dyDescent="0.3">
      <c r="A125" s="17" t="s">
        <v>35</v>
      </c>
      <c r="B125" s="18" t="s">
        <v>322</v>
      </c>
      <c r="C125" s="19">
        <f t="shared" si="4"/>
        <v>117</v>
      </c>
      <c r="D125" s="20" t="s">
        <v>57</v>
      </c>
    </row>
    <row r="126" spans="1:4" x14ac:dyDescent="0.3">
      <c r="A126" s="858" t="s">
        <v>321</v>
      </c>
      <c r="B126" s="864" t="s">
        <v>314</v>
      </c>
      <c r="C126" s="864"/>
      <c r="D126" s="860"/>
    </row>
    <row r="127" spans="1:4" x14ac:dyDescent="0.3">
      <c r="A127" s="17" t="s">
        <v>35</v>
      </c>
      <c r="B127" s="18" t="s">
        <v>314</v>
      </c>
      <c r="C127" s="19">
        <f t="shared" ref="C127:C135" si="5">IF(C126="",C125+1,C126+1)</f>
        <v>118</v>
      </c>
      <c r="D127" s="20" t="s">
        <v>75</v>
      </c>
    </row>
    <row r="128" spans="1:4" x14ac:dyDescent="0.3">
      <c r="A128" s="17" t="s">
        <v>35</v>
      </c>
      <c r="B128" s="18" t="s">
        <v>314</v>
      </c>
      <c r="C128" s="19">
        <f t="shared" si="5"/>
        <v>119</v>
      </c>
      <c r="D128" s="20" t="s">
        <v>320</v>
      </c>
    </row>
    <row r="129" spans="1:4" x14ac:dyDescent="0.3">
      <c r="A129" s="17" t="s">
        <v>35</v>
      </c>
      <c r="B129" s="18" t="s">
        <v>314</v>
      </c>
      <c r="C129" s="19">
        <f t="shared" si="5"/>
        <v>120</v>
      </c>
      <c r="D129" s="20" t="s">
        <v>319</v>
      </c>
    </row>
    <row r="130" spans="1:4" x14ac:dyDescent="0.3">
      <c r="A130" s="17" t="s">
        <v>35</v>
      </c>
      <c r="B130" s="18" t="s">
        <v>314</v>
      </c>
      <c r="C130" s="19">
        <f t="shared" si="5"/>
        <v>121</v>
      </c>
      <c r="D130" s="20" t="s">
        <v>318</v>
      </c>
    </row>
    <row r="131" spans="1:4" x14ac:dyDescent="0.3">
      <c r="A131" s="17" t="s">
        <v>35</v>
      </c>
      <c r="B131" s="18" t="s">
        <v>314</v>
      </c>
      <c r="C131" s="19">
        <f t="shared" si="5"/>
        <v>122</v>
      </c>
      <c r="D131" s="20" t="s">
        <v>317</v>
      </c>
    </row>
    <row r="132" spans="1:4" x14ac:dyDescent="0.3">
      <c r="A132" s="17" t="s">
        <v>35</v>
      </c>
      <c r="B132" s="18" t="s">
        <v>314</v>
      </c>
      <c r="C132" s="19">
        <f t="shared" si="5"/>
        <v>123</v>
      </c>
      <c r="D132" s="20" t="s">
        <v>316</v>
      </c>
    </row>
    <row r="133" spans="1:4" x14ac:dyDescent="0.3">
      <c r="A133" s="17" t="s">
        <v>35</v>
      </c>
      <c r="B133" s="18" t="s">
        <v>314</v>
      </c>
      <c r="C133" s="19">
        <f t="shared" si="5"/>
        <v>124</v>
      </c>
      <c r="D133" s="20" t="s">
        <v>290</v>
      </c>
    </row>
    <row r="134" spans="1:4" x14ac:dyDescent="0.3">
      <c r="A134" s="17" t="s">
        <v>35</v>
      </c>
      <c r="B134" s="18" t="s">
        <v>314</v>
      </c>
      <c r="C134" s="19">
        <f t="shared" si="5"/>
        <v>125</v>
      </c>
      <c r="D134" s="20" t="s">
        <v>315</v>
      </c>
    </row>
    <row r="135" spans="1:4" x14ac:dyDescent="0.3">
      <c r="A135" s="17" t="s">
        <v>35</v>
      </c>
      <c r="B135" s="18" t="s">
        <v>314</v>
      </c>
      <c r="C135" s="19">
        <f t="shared" si="5"/>
        <v>126</v>
      </c>
      <c r="D135" s="20" t="s">
        <v>57</v>
      </c>
    </row>
    <row r="136" spans="1:4" x14ac:dyDescent="0.3">
      <c r="A136" s="858" t="s">
        <v>313</v>
      </c>
      <c r="B136" s="864"/>
      <c r="C136" s="864"/>
      <c r="D136" s="860"/>
    </row>
    <row r="137" spans="1:4" x14ac:dyDescent="0.3">
      <c r="A137" s="17" t="s">
        <v>35</v>
      </c>
      <c r="B137" s="18" t="s">
        <v>296</v>
      </c>
      <c r="C137" s="19">
        <f t="shared" ref="C137:C156" si="6">IF(C136="",C135+1,C136+1)</f>
        <v>127</v>
      </c>
      <c r="D137" s="20" t="s">
        <v>75</v>
      </c>
    </row>
    <row r="138" spans="1:4" x14ac:dyDescent="0.3">
      <c r="A138" s="17" t="s">
        <v>35</v>
      </c>
      <c r="B138" s="18" t="s">
        <v>296</v>
      </c>
      <c r="C138" s="19">
        <f t="shared" si="6"/>
        <v>128</v>
      </c>
      <c r="D138" s="20" t="s">
        <v>312</v>
      </c>
    </row>
    <row r="139" spans="1:4" x14ac:dyDescent="0.3">
      <c r="A139" s="17" t="s">
        <v>35</v>
      </c>
      <c r="B139" s="18" t="s">
        <v>296</v>
      </c>
      <c r="C139" s="19">
        <f t="shared" si="6"/>
        <v>129</v>
      </c>
      <c r="D139" s="20" t="s">
        <v>311</v>
      </c>
    </row>
    <row r="140" spans="1:4" x14ac:dyDescent="0.3">
      <c r="A140" s="17" t="s">
        <v>35</v>
      </c>
      <c r="B140" s="18" t="s">
        <v>296</v>
      </c>
      <c r="C140" s="19">
        <f t="shared" si="6"/>
        <v>130</v>
      </c>
      <c r="D140" s="20" t="s">
        <v>310</v>
      </c>
    </row>
    <row r="141" spans="1:4" x14ac:dyDescent="0.3">
      <c r="A141" s="17" t="s">
        <v>35</v>
      </c>
      <c r="B141" s="18" t="s">
        <v>296</v>
      </c>
      <c r="C141" s="19">
        <f t="shared" si="6"/>
        <v>131</v>
      </c>
      <c r="D141" s="20" t="s">
        <v>286</v>
      </c>
    </row>
    <row r="142" spans="1:4" x14ac:dyDescent="0.3">
      <c r="A142" s="17" t="s">
        <v>35</v>
      </c>
      <c r="B142" s="18" t="s">
        <v>296</v>
      </c>
      <c r="C142" s="19">
        <f t="shared" si="6"/>
        <v>132</v>
      </c>
      <c r="D142" s="20" t="s">
        <v>309</v>
      </c>
    </row>
    <row r="143" spans="1:4" x14ac:dyDescent="0.3">
      <c r="A143" s="17" t="s">
        <v>35</v>
      </c>
      <c r="B143" s="18" t="s">
        <v>296</v>
      </c>
      <c r="C143" s="19">
        <f t="shared" si="6"/>
        <v>133</v>
      </c>
      <c r="D143" s="20" t="s">
        <v>308</v>
      </c>
    </row>
    <row r="144" spans="1:4" x14ac:dyDescent="0.3">
      <c r="A144" s="17" t="s">
        <v>35</v>
      </c>
      <c r="B144" s="18" t="s">
        <v>296</v>
      </c>
      <c r="C144" s="19">
        <f t="shared" si="6"/>
        <v>134</v>
      </c>
      <c r="D144" s="20" t="s">
        <v>307</v>
      </c>
    </row>
    <row r="145" spans="1:4" x14ac:dyDescent="0.3">
      <c r="A145" s="17" t="s">
        <v>35</v>
      </c>
      <c r="B145" s="18" t="s">
        <v>296</v>
      </c>
      <c r="C145" s="19">
        <f t="shared" si="6"/>
        <v>135</v>
      </c>
      <c r="D145" s="20" t="s">
        <v>290</v>
      </c>
    </row>
    <row r="146" spans="1:4" x14ac:dyDescent="0.3">
      <c r="A146" s="17" t="s">
        <v>35</v>
      </c>
      <c r="B146" s="18" t="s">
        <v>296</v>
      </c>
      <c r="C146" s="19">
        <f t="shared" si="6"/>
        <v>136</v>
      </c>
      <c r="D146" s="20" t="s">
        <v>306</v>
      </c>
    </row>
    <row r="147" spans="1:4" x14ac:dyDescent="0.3">
      <c r="A147" s="17" t="s">
        <v>35</v>
      </c>
      <c r="B147" s="18" t="s">
        <v>296</v>
      </c>
      <c r="C147" s="19">
        <f t="shared" si="6"/>
        <v>137</v>
      </c>
      <c r="D147" s="20" t="s">
        <v>305</v>
      </c>
    </row>
    <row r="148" spans="1:4" x14ac:dyDescent="0.3">
      <c r="A148" s="17" t="s">
        <v>35</v>
      </c>
      <c r="B148" s="18" t="s">
        <v>296</v>
      </c>
      <c r="C148" s="19">
        <f t="shared" si="6"/>
        <v>138</v>
      </c>
      <c r="D148" s="20" t="s">
        <v>304</v>
      </c>
    </row>
    <row r="149" spans="1:4" x14ac:dyDescent="0.3">
      <c r="A149" s="17" t="s">
        <v>35</v>
      </c>
      <c r="B149" s="18" t="s">
        <v>296</v>
      </c>
      <c r="C149" s="19">
        <f t="shared" si="6"/>
        <v>139</v>
      </c>
      <c r="D149" s="20" t="s">
        <v>303</v>
      </c>
    </row>
    <row r="150" spans="1:4" x14ac:dyDescent="0.3">
      <c r="A150" s="17" t="s">
        <v>35</v>
      </c>
      <c r="B150" s="18" t="s">
        <v>296</v>
      </c>
      <c r="C150" s="19">
        <f t="shared" si="6"/>
        <v>140</v>
      </c>
      <c r="D150" s="20" t="s">
        <v>302</v>
      </c>
    </row>
    <row r="151" spans="1:4" x14ac:dyDescent="0.3">
      <c r="A151" s="17" t="s">
        <v>35</v>
      </c>
      <c r="B151" s="18" t="s">
        <v>296</v>
      </c>
      <c r="C151" s="19">
        <f t="shared" si="6"/>
        <v>141</v>
      </c>
      <c r="D151" s="20" t="s">
        <v>301</v>
      </c>
    </row>
    <row r="152" spans="1:4" x14ac:dyDescent="0.3">
      <c r="A152" s="17" t="s">
        <v>35</v>
      </c>
      <c r="B152" s="18" t="s">
        <v>296</v>
      </c>
      <c r="C152" s="19">
        <f t="shared" si="6"/>
        <v>142</v>
      </c>
      <c r="D152" s="20" t="s">
        <v>300</v>
      </c>
    </row>
    <row r="153" spans="1:4" x14ac:dyDescent="0.3">
      <c r="A153" s="17" t="s">
        <v>35</v>
      </c>
      <c r="B153" s="18" t="s">
        <v>296</v>
      </c>
      <c r="C153" s="19">
        <f t="shared" si="6"/>
        <v>143</v>
      </c>
      <c r="D153" s="20" t="s">
        <v>299</v>
      </c>
    </row>
    <row r="154" spans="1:4" x14ac:dyDescent="0.3">
      <c r="A154" s="17" t="s">
        <v>35</v>
      </c>
      <c r="B154" s="18" t="s">
        <v>296</v>
      </c>
      <c r="C154" s="19">
        <f t="shared" si="6"/>
        <v>144</v>
      </c>
      <c r="D154" s="20" t="s">
        <v>298</v>
      </c>
    </row>
    <row r="155" spans="1:4" x14ac:dyDescent="0.3">
      <c r="A155" s="17" t="s">
        <v>35</v>
      </c>
      <c r="B155" s="18" t="s">
        <v>296</v>
      </c>
      <c r="C155" s="19">
        <f t="shared" si="6"/>
        <v>145</v>
      </c>
      <c r="D155" s="20" t="s">
        <v>297</v>
      </c>
    </row>
    <row r="156" spans="1:4" x14ac:dyDescent="0.3">
      <c r="A156" s="17" t="s">
        <v>35</v>
      </c>
      <c r="B156" s="18" t="s">
        <v>296</v>
      </c>
      <c r="C156" s="19">
        <f t="shared" si="6"/>
        <v>146</v>
      </c>
      <c r="D156" s="20" t="s">
        <v>57</v>
      </c>
    </row>
    <row r="157" spans="1:4" x14ac:dyDescent="0.3">
      <c r="A157" s="858" t="s">
        <v>295</v>
      </c>
      <c r="B157" s="864" t="s">
        <v>273</v>
      </c>
      <c r="C157" s="864"/>
      <c r="D157" s="860"/>
    </row>
    <row r="158" spans="1:4" x14ac:dyDescent="0.3">
      <c r="A158" s="17" t="s">
        <v>35</v>
      </c>
      <c r="B158" s="18" t="s">
        <v>273</v>
      </c>
      <c r="C158" s="19">
        <f t="shared" ref="C158:C180" si="7">IF(C157="",C156+1,C157+1)</f>
        <v>147</v>
      </c>
      <c r="D158" s="20" t="s">
        <v>75</v>
      </c>
    </row>
    <row r="159" spans="1:4" x14ac:dyDescent="0.3">
      <c r="A159" s="17" t="s">
        <v>35</v>
      </c>
      <c r="B159" s="18" t="s">
        <v>273</v>
      </c>
      <c r="C159" s="19">
        <f t="shared" si="7"/>
        <v>148</v>
      </c>
      <c r="D159" s="20" t="s">
        <v>294</v>
      </c>
    </row>
    <row r="160" spans="1:4" x14ac:dyDescent="0.3">
      <c r="A160" s="17" t="s">
        <v>35</v>
      </c>
      <c r="B160" s="18" t="s">
        <v>273</v>
      </c>
      <c r="C160" s="19">
        <f t="shared" si="7"/>
        <v>149</v>
      </c>
      <c r="D160" s="20" t="s">
        <v>293</v>
      </c>
    </row>
    <row r="161" spans="1:4" x14ac:dyDescent="0.3">
      <c r="A161" s="17" t="s">
        <v>35</v>
      </c>
      <c r="B161" s="18" t="s">
        <v>273</v>
      </c>
      <c r="C161" s="19">
        <f t="shared" si="7"/>
        <v>150</v>
      </c>
      <c r="D161" s="20" t="s">
        <v>292</v>
      </c>
    </row>
    <row r="162" spans="1:4" x14ac:dyDescent="0.3">
      <c r="A162" s="17" t="s">
        <v>35</v>
      </c>
      <c r="B162" s="18" t="s">
        <v>273</v>
      </c>
      <c r="C162" s="19">
        <f t="shared" si="7"/>
        <v>151</v>
      </c>
      <c r="D162" s="20" t="s">
        <v>291</v>
      </c>
    </row>
    <row r="163" spans="1:4" x14ac:dyDescent="0.3">
      <c r="A163" s="17" t="s">
        <v>35</v>
      </c>
      <c r="B163" s="18" t="s">
        <v>273</v>
      </c>
      <c r="C163" s="19">
        <f t="shared" si="7"/>
        <v>152</v>
      </c>
      <c r="D163" s="20" t="s">
        <v>290</v>
      </c>
    </row>
    <row r="164" spans="1:4" x14ac:dyDescent="0.3">
      <c r="A164" s="17" t="s">
        <v>35</v>
      </c>
      <c r="B164" s="18" t="s">
        <v>273</v>
      </c>
      <c r="C164" s="19">
        <f t="shared" si="7"/>
        <v>153</v>
      </c>
      <c r="D164" s="20" t="s">
        <v>289</v>
      </c>
    </row>
    <row r="165" spans="1:4" x14ac:dyDescent="0.3">
      <c r="A165" s="17" t="s">
        <v>35</v>
      </c>
      <c r="B165" s="18" t="s">
        <v>273</v>
      </c>
      <c r="C165" s="19">
        <f t="shared" si="7"/>
        <v>154</v>
      </c>
      <c r="D165" s="20" t="s">
        <v>288</v>
      </c>
    </row>
    <row r="166" spans="1:4" x14ac:dyDescent="0.3">
      <c r="A166" s="17" t="s">
        <v>35</v>
      </c>
      <c r="B166" s="18" t="s">
        <v>273</v>
      </c>
      <c r="C166" s="19">
        <f t="shared" si="7"/>
        <v>155</v>
      </c>
      <c r="D166" s="20" t="s">
        <v>287</v>
      </c>
    </row>
    <row r="167" spans="1:4" x14ac:dyDescent="0.3">
      <c r="A167" s="17" t="s">
        <v>35</v>
      </c>
      <c r="B167" s="18" t="s">
        <v>273</v>
      </c>
      <c r="C167" s="19">
        <f t="shared" si="7"/>
        <v>156</v>
      </c>
      <c r="D167" s="20" t="s">
        <v>286</v>
      </c>
    </row>
    <row r="168" spans="1:4" x14ac:dyDescent="0.3">
      <c r="A168" s="17" t="s">
        <v>35</v>
      </c>
      <c r="B168" s="18" t="s">
        <v>273</v>
      </c>
      <c r="C168" s="19">
        <f t="shared" si="7"/>
        <v>157</v>
      </c>
      <c r="D168" s="20" t="s">
        <v>285</v>
      </c>
    </row>
    <row r="169" spans="1:4" x14ac:dyDescent="0.3">
      <c r="A169" s="17" t="s">
        <v>35</v>
      </c>
      <c r="B169" s="18" t="s">
        <v>273</v>
      </c>
      <c r="C169" s="19">
        <f t="shared" si="7"/>
        <v>158</v>
      </c>
      <c r="D169" s="20" t="s">
        <v>284</v>
      </c>
    </row>
    <row r="170" spans="1:4" x14ac:dyDescent="0.3">
      <c r="A170" s="17" t="s">
        <v>35</v>
      </c>
      <c r="B170" s="18" t="s">
        <v>273</v>
      </c>
      <c r="C170" s="19">
        <f t="shared" si="7"/>
        <v>159</v>
      </c>
      <c r="D170" s="20" t="s">
        <v>283</v>
      </c>
    </row>
    <row r="171" spans="1:4" x14ac:dyDescent="0.3">
      <c r="A171" s="17" t="s">
        <v>35</v>
      </c>
      <c r="B171" s="18" t="s">
        <v>273</v>
      </c>
      <c r="C171" s="19">
        <f t="shared" si="7"/>
        <v>160</v>
      </c>
      <c r="D171" s="20" t="s">
        <v>282</v>
      </c>
    </row>
    <row r="172" spans="1:4" x14ac:dyDescent="0.3">
      <c r="A172" s="17" t="s">
        <v>35</v>
      </c>
      <c r="B172" s="18" t="s">
        <v>273</v>
      </c>
      <c r="C172" s="19">
        <f t="shared" si="7"/>
        <v>161</v>
      </c>
      <c r="D172" s="20" t="s">
        <v>281</v>
      </c>
    </row>
    <row r="173" spans="1:4" x14ac:dyDescent="0.3">
      <c r="A173" s="17" t="s">
        <v>35</v>
      </c>
      <c r="B173" s="18" t="s">
        <v>273</v>
      </c>
      <c r="C173" s="19">
        <f t="shared" si="7"/>
        <v>162</v>
      </c>
      <c r="D173" s="20" t="s">
        <v>280</v>
      </c>
    </row>
    <row r="174" spans="1:4" x14ac:dyDescent="0.3">
      <c r="A174" s="17" t="s">
        <v>35</v>
      </c>
      <c r="B174" s="18" t="s">
        <v>273</v>
      </c>
      <c r="C174" s="19">
        <f t="shared" si="7"/>
        <v>163</v>
      </c>
      <c r="D174" s="20" t="s">
        <v>279</v>
      </c>
    </row>
    <row r="175" spans="1:4" x14ac:dyDescent="0.3">
      <c r="A175" s="17" t="s">
        <v>35</v>
      </c>
      <c r="B175" s="18" t="s">
        <v>273</v>
      </c>
      <c r="C175" s="19">
        <f t="shared" si="7"/>
        <v>164</v>
      </c>
      <c r="D175" s="20" t="s">
        <v>278</v>
      </c>
    </row>
    <row r="176" spans="1:4" x14ac:dyDescent="0.3">
      <c r="A176" s="17" t="s">
        <v>35</v>
      </c>
      <c r="B176" s="18" t="s">
        <v>273</v>
      </c>
      <c r="C176" s="19">
        <f t="shared" si="7"/>
        <v>165</v>
      </c>
      <c r="D176" s="20" t="s">
        <v>277</v>
      </c>
    </row>
    <row r="177" spans="1:4" x14ac:dyDescent="0.3">
      <c r="A177" s="17" t="s">
        <v>35</v>
      </c>
      <c r="B177" s="18" t="s">
        <v>273</v>
      </c>
      <c r="C177" s="19">
        <f t="shared" si="7"/>
        <v>166</v>
      </c>
      <c r="D177" s="20" t="s">
        <v>276</v>
      </c>
    </row>
    <row r="178" spans="1:4" x14ac:dyDescent="0.3">
      <c r="A178" s="17" t="s">
        <v>35</v>
      </c>
      <c r="B178" s="18" t="s">
        <v>273</v>
      </c>
      <c r="C178" s="19">
        <f t="shared" si="7"/>
        <v>167</v>
      </c>
      <c r="D178" s="20" t="s">
        <v>275</v>
      </c>
    </row>
    <row r="179" spans="1:4" x14ac:dyDescent="0.3">
      <c r="A179" s="17" t="s">
        <v>35</v>
      </c>
      <c r="B179" s="18" t="s">
        <v>273</v>
      </c>
      <c r="C179" s="19">
        <f t="shared" si="7"/>
        <v>168</v>
      </c>
      <c r="D179" s="20" t="s">
        <v>274</v>
      </c>
    </row>
    <row r="180" spans="1:4" x14ac:dyDescent="0.3">
      <c r="A180" s="17" t="s">
        <v>35</v>
      </c>
      <c r="B180" s="18" t="s">
        <v>273</v>
      </c>
      <c r="C180" s="19">
        <f t="shared" si="7"/>
        <v>169</v>
      </c>
      <c r="D180" s="20" t="s">
        <v>57</v>
      </c>
    </row>
    <row r="181" spans="1:4" x14ac:dyDescent="0.3">
      <c r="A181" s="858" t="s">
        <v>272</v>
      </c>
      <c r="B181" s="864" t="s">
        <v>266</v>
      </c>
      <c r="C181" s="864"/>
      <c r="D181" s="860"/>
    </row>
    <row r="182" spans="1:4" x14ac:dyDescent="0.3">
      <c r="A182" s="17" t="s">
        <v>35</v>
      </c>
      <c r="B182" s="18" t="s">
        <v>266</v>
      </c>
      <c r="C182" s="19">
        <f t="shared" ref="C182:C189" si="8">IF(C181="",C180+1,C181+1)</f>
        <v>170</v>
      </c>
      <c r="D182" s="20" t="s">
        <v>563</v>
      </c>
    </row>
    <row r="183" spans="1:4" x14ac:dyDescent="0.3">
      <c r="A183" s="17" t="s">
        <v>35</v>
      </c>
      <c r="B183" s="18" t="s">
        <v>266</v>
      </c>
      <c r="C183" s="19">
        <f t="shared" si="8"/>
        <v>171</v>
      </c>
      <c r="D183" s="20" t="s">
        <v>562</v>
      </c>
    </row>
    <row r="184" spans="1:4" x14ac:dyDescent="0.3">
      <c r="A184" s="17" t="s">
        <v>35</v>
      </c>
      <c r="B184" s="18" t="s">
        <v>266</v>
      </c>
      <c r="C184" s="19">
        <f t="shared" si="8"/>
        <v>172</v>
      </c>
      <c r="D184" s="20" t="s">
        <v>270</v>
      </c>
    </row>
    <row r="185" spans="1:4" x14ac:dyDescent="0.3">
      <c r="A185" s="17"/>
      <c r="B185" s="18"/>
      <c r="C185" s="19">
        <f t="shared" si="8"/>
        <v>173</v>
      </c>
      <c r="D185" s="20" t="s">
        <v>269</v>
      </c>
    </row>
    <row r="186" spans="1:4" x14ac:dyDescent="0.3">
      <c r="A186" s="17"/>
      <c r="B186" s="18"/>
      <c r="C186" s="19">
        <f t="shared" si="8"/>
        <v>174</v>
      </c>
      <c r="D186" s="20" t="s">
        <v>268</v>
      </c>
    </row>
    <row r="187" spans="1:4" x14ac:dyDescent="0.3">
      <c r="A187" s="17" t="s">
        <v>35</v>
      </c>
      <c r="B187" s="18" t="s">
        <v>266</v>
      </c>
      <c r="C187" s="19">
        <f t="shared" si="8"/>
        <v>175</v>
      </c>
      <c r="D187" s="20" t="s">
        <v>561</v>
      </c>
    </row>
    <row r="188" spans="1:4" x14ac:dyDescent="0.3">
      <c r="A188" s="17" t="s">
        <v>35</v>
      </c>
      <c r="B188" s="18" t="s">
        <v>266</v>
      </c>
      <c r="C188" s="19">
        <f t="shared" si="8"/>
        <v>176</v>
      </c>
      <c r="D188" s="20" t="s">
        <v>267</v>
      </c>
    </row>
    <row r="189" spans="1:4" x14ac:dyDescent="0.3">
      <c r="A189" s="17" t="s">
        <v>35</v>
      </c>
      <c r="B189" s="18" t="s">
        <v>266</v>
      </c>
      <c r="C189" s="19">
        <f t="shared" si="8"/>
        <v>177</v>
      </c>
      <c r="D189" s="20" t="s">
        <v>57</v>
      </c>
    </row>
    <row r="190" spans="1:4" x14ac:dyDescent="0.3">
      <c r="A190" s="858" t="s">
        <v>77</v>
      </c>
      <c r="B190" s="864"/>
      <c r="C190" s="864"/>
      <c r="D190" s="860" t="s">
        <v>76</v>
      </c>
    </row>
    <row r="191" spans="1:4" x14ac:dyDescent="0.3">
      <c r="A191" s="17" t="s">
        <v>35</v>
      </c>
      <c r="B191" s="18" t="s">
        <v>46</v>
      </c>
      <c r="C191" s="19">
        <f t="shared" ref="C191:C209" si="9">IF(C190="",C189+1,C190+1)</f>
        <v>178</v>
      </c>
      <c r="D191" s="22" t="s">
        <v>75</v>
      </c>
    </row>
    <row r="192" spans="1:4" x14ac:dyDescent="0.3">
      <c r="A192" s="17" t="s">
        <v>35</v>
      </c>
      <c r="B192" s="18" t="s">
        <v>46</v>
      </c>
      <c r="C192" s="19">
        <f t="shared" si="9"/>
        <v>179</v>
      </c>
      <c r="D192" s="22" t="s">
        <v>74</v>
      </c>
    </row>
    <row r="193" spans="1:4" x14ac:dyDescent="0.3">
      <c r="A193" s="17" t="s">
        <v>35</v>
      </c>
      <c r="B193" s="18" t="s">
        <v>46</v>
      </c>
      <c r="C193" s="19">
        <f t="shared" si="9"/>
        <v>180</v>
      </c>
      <c r="D193" s="22" t="s">
        <v>73</v>
      </c>
    </row>
    <row r="194" spans="1:4" x14ac:dyDescent="0.3">
      <c r="A194" s="17" t="s">
        <v>35</v>
      </c>
      <c r="B194" s="18" t="s">
        <v>46</v>
      </c>
      <c r="C194" s="19">
        <f t="shared" si="9"/>
        <v>181</v>
      </c>
      <c r="D194" s="22" t="s">
        <v>72</v>
      </c>
    </row>
    <row r="195" spans="1:4" x14ac:dyDescent="0.3">
      <c r="A195" s="17" t="s">
        <v>35</v>
      </c>
      <c r="B195" s="18" t="s">
        <v>46</v>
      </c>
      <c r="C195" s="19">
        <f t="shared" si="9"/>
        <v>182</v>
      </c>
      <c r="D195" s="20" t="s">
        <v>71</v>
      </c>
    </row>
    <row r="196" spans="1:4" x14ac:dyDescent="0.3">
      <c r="A196" s="17" t="s">
        <v>35</v>
      </c>
      <c r="B196" s="18" t="s">
        <v>46</v>
      </c>
      <c r="C196" s="19">
        <f t="shared" si="9"/>
        <v>183</v>
      </c>
      <c r="D196" s="21" t="s">
        <v>70</v>
      </c>
    </row>
    <row r="197" spans="1:4" ht="28.8" x14ac:dyDescent="0.3">
      <c r="A197" s="17" t="s">
        <v>35</v>
      </c>
      <c r="B197" s="18" t="s">
        <v>46</v>
      </c>
      <c r="C197" s="19">
        <f t="shared" si="9"/>
        <v>184</v>
      </c>
      <c r="D197" s="20" t="s">
        <v>69</v>
      </c>
    </row>
    <row r="198" spans="1:4" x14ac:dyDescent="0.3">
      <c r="A198" s="17" t="s">
        <v>35</v>
      </c>
      <c r="B198" s="18" t="s">
        <v>46</v>
      </c>
      <c r="C198" s="19">
        <f t="shared" si="9"/>
        <v>185</v>
      </c>
      <c r="D198" s="20" t="s">
        <v>68</v>
      </c>
    </row>
    <row r="199" spans="1:4" x14ac:dyDescent="0.3">
      <c r="A199" s="17" t="s">
        <v>35</v>
      </c>
      <c r="B199" s="18" t="s">
        <v>46</v>
      </c>
      <c r="C199" s="19">
        <f t="shared" si="9"/>
        <v>186</v>
      </c>
      <c r="D199" s="20" t="s">
        <v>67</v>
      </c>
    </row>
    <row r="200" spans="1:4" x14ac:dyDescent="0.3">
      <c r="A200" s="17" t="s">
        <v>35</v>
      </c>
      <c r="B200" s="18" t="s">
        <v>46</v>
      </c>
      <c r="C200" s="19">
        <f t="shared" si="9"/>
        <v>187</v>
      </c>
      <c r="D200" s="21" t="s">
        <v>66</v>
      </c>
    </row>
    <row r="201" spans="1:4" x14ac:dyDescent="0.3">
      <c r="A201" s="17" t="s">
        <v>35</v>
      </c>
      <c r="B201" s="18" t="s">
        <v>46</v>
      </c>
      <c r="C201" s="19">
        <f t="shared" si="9"/>
        <v>188</v>
      </c>
      <c r="D201" s="21" t="s">
        <v>65</v>
      </c>
    </row>
    <row r="202" spans="1:4" x14ac:dyDescent="0.3">
      <c r="A202" s="17" t="s">
        <v>35</v>
      </c>
      <c r="B202" s="18" t="s">
        <v>46</v>
      </c>
      <c r="C202" s="19">
        <f t="shared" si="9"/>
        <v>189</v>
      </c>
      <c r="D202" s="20" t="s">
        <v>64</v>
      </c>
    </row>
    <row r="203" spans="1:4" x14ac:dyDescent="0.3">
      <c r="A203" s="17" t="s">
        <v>35</v>
      </c>
      <c r="B203" s="18" t="s">
        <v>46</v>
      </c>
      <c r="C203" s="19">
        <f t="shared" si="9"/>
        <v>190</v>
      </c>
      <c r="D203" s="20" t="s">
        <v>63</v>
      </c>
    </row>
    <row r="204" spans="1:4" x14ac:dyDescent="0.3">
      <c r="A204" s="17" t="s">
        <v>35</v>
      </c>
      <c r="B204" s="18" t="s">
        <v>46</v>
      </c>
      <c r="C204" s="19">
        <f t="shared" si="9"/>
        <v>191</v>
      </c>
      <c r="D204" s="21" t="s">
        <v>62</v>
      </c>
    </row>
    <row r="205" spans="1:4" x14ac:dyDescent="0.3">
      <c r="A205" s="17" t="s">
        <v>35</v>
      </c>
      <c r="B205" s="18" t="s">
        <v>46</v>
      </c>
      <c r="C205" s="19">
        <f t="shared" si="9"/>
        <v>192</v>
      </c>
      <c r="D205" s="20" t="s">
        <v>61</v>
      </c>
    </row>
    <row r="206" spans="1:4" x14ac:dyDescent="0.3">
      <c r="A206" s="17" t="s">
        <v>35</v>
      </c>
      <c r="B206" s="18" t="s">
        <v>46</v>
      </c>
      <c r="C206" s="19">
        <f t="shared" si="9"/>
        <v>193</v>
      </c>
      <c r="D206" s="20" t="s">
        <v>60</v>
      </c>
    </row>
    <row r="207" spans="1:4" x14ac:dyDescent="0.3">
      <c r="A207" s="17" t="s">
        <v>35</v>
      </c>
      <c r="B207" s="18" t="s">
        <v>46</v>
      </c>
      <c r="C207" s="19">
        <f t="shared" si="9"/>
        <v>194</v>
      </c>
      <c r="D207" s="20" t="s">
        <v>59</v>
      </c>
    </row>
    <row r="208" spans="1:4" x14ac:dyDescent="0.3">
      <c r="A208" s="17" t="s">
        <v>35</v>
      </c>
      <c r="B208" s="18" t="s">
        <v>46</v>
      </c>
      <c r="C208" s="19">
        <f t="shared" si="9"/>
        <v>195</v>
      </c>
      <c r="D208" s="20" t="s">
        <v>58</v>
      </c>
    </row>
    <row r="209" spans="1:4" x14ac:dyDescent="0.3">
      <c r="A209" s="17" t="s">
        <v>35</v>
      </c>
      <c r="B209" s="18" t="s">
        <v>46</v>
      </c>
      <c r="C209" s="19">
        <f t="shared" si="9"/>
        <v>196</v>
      </c>
      <c r="D209" s="20" t="s">
        <v>57</v>
      </c>
    </row>
    <row r="210" spans="1:4" x14ac:dyDescent="0.3">
      <c r="A210" s="858" t="s">
        <v>560</v>
      </c>
      <c r="B210" s="864"/>
      <c r="C210" s="864"/>
      <c r="D210" s="860" t="s">
        <v>232</v>
      </c>
    </row>
    <row r="211" spans="1:4" x14ac:dyDescent="0.3">
      <c r="A211" s="17" t="s">
        <v>35</v>
      </c>
      <c r="B211" s="18" t="s">
        <v>78</v>
      </c>
      <c r="C211" s="19">
        <f t="shared" ref="C211:C220" si="10">IF(C210="",C209+1,C210+1)</f>
        <v>197</v>
      </c>
      <c r="D211" s="24" t="s">
        <v>87</v>
      </c>
    </row>
    <row r="212" spans="1:4" x14ac:dyDescent="0.3">
      <c r="A212" s="17" t="s">
        <v>35</v>
      </c>
      <c r="B212" s="18" t="s">
        <v>78</v>
      </c>
      <c r="C212" s="19">
        <f t="shared" si="10"/>
        <v>198</v>
      </c>
      <c r="D212" s="21" t="s">
        <v>86</v>
      </c>
    </row>
    <row r="213" spans="1:4" x14ac:dyDescent="0.3">
      <c r="A213" s="17" t="s">
        <v>35</v>
      </c>
      <c r="B213" s="18" t="s">
        <v>78</v>
      </c>
      <c r="C213" s="19">
        <f t="shared" si="10"/>
        <v>199</v>
      </c>
      <c r="D213" s="20" t="s">
        <v>85</v>
      </c>
    </row>
    <row r="214" spans="1:4" x14ac:dyDescent="0.3">
      <c r="A214" s="17" t="s">
        <v>35</v>
      </c>
      <c r="B214" s="18" t="s">
        <v>78</v>
      </c>
      <c r="C214" s="19">
        <f t="shared" si="10"/>
        <v>200</v>
      </c>
      <c r="D214" s="20" t="s">
        <v>84</v>
      </c>
    </row>
    <row r="215" spans="1:4" ht="28.8" x14ac:dyDescent="0.3">
      <c r="A215" s="17" t="s">
        <v>35</v>
      </c>
      <c r="B215" s="18" t="s">
        <v>78</v>
      </c>
      <c r="C215" s="19">
        <f t="shared" si="10"/>
        <v>201</v>
      </c>
      <c r="D215" s="20" t="s">
        <v>83</v>
      </c>
    </row>
    <row r="216" spans="1:4" x14ac:dyDescent="0.3">
      <c r="A216" s="17" t="s">
        <v>35</v>
      </c>
      <c r="B216" s="18" t="s">
        <v>78</v>
      </c>
      <c r="C216" s="19">
        <f t="shared" si="10"/>
        <v>202</v>
      </c>
      <c r="D216" s="20" t="s">
        <v>82</v>
      </c>
    </row>
    <row r="217" spans="1:4" x14ac:dyDescent="0.3">
      <c r="A217" s="17" t="s">
        <v>35</v>
      </c>
      <c r="B217" s="18" t="s">
        <v>78</v>
      </c>
      <c r="C217" s="19">
        <f t="shared" si="10"/>
        <v>203</v>
      </c>
      <c r="D217" s="20" t="s">
        <v>81</v>
      </c>
    </row>
    <row r="218" spans="1:4" x14ac:dyDescent="0.3">
      <c r="A218" s="17" t="s">
        <v>35</v>
      </c>
      <c r="B218" s="18" t="s">
        <v>78</v>
      </c>
      <c r="C218" s="19">
        <f t="shared" si="10"/>
        <v>204</v>
      </c>
      <c r="D218" s="20" t="s">
        <v>80</v>
      </c>
    </row>
    <row r="219" spans="1:4" x14ac:dyDescent="0.3">
      <c r="A219" s="17" t="s">
        <v>35</v>
      </c>
      <c r="B219" s="18" t="s">
        <v>78</v>
      </c>
      <c r="C219" s="19">
        <f t="shared" si="10"/>
        <v>205</v>
      </c>
      <c r="D219" s="20" t="s">
        <v>79</v>
      </c>
    </row>
    <row r="220" spans="1:4" x14ac:dyDescent="0.3">
      <c r="A220" s="17" t="s">
        <v>35</v>
      </c>
      <c r="B220" s="18" t="s">
        <v>78</v>
      </c>
      <c r="C220" s="19">
        <f t="shared" si="10"/>
        <v>206</v>
      </c>
      <c r="D220" s="20" t="s">
        <v>57</v>
      </c>
    </row>
    <row r="221" spans="1:4" x14ac:dyDescent="0.3">
      <c r="A221" s="858" t="s">
        <v>559</v>
      </c>
      <c r="B221" s="864"/>
      <c r="C221" s="864"/>
      <c r="D221" s="860" t="s">
        <v>232</v>
      </c>
    </row>
    <row r="222" spans="1:4" x14ac:dyDescent="0.3">
      <c r="A222" s="17" t="s">
        <v>35</v>
      </c>
      <c r="B222" s="18" t="s">
        <v>550</v>
      </c>
      <c r="C222" s="19">
        <f t="shared" ref="C222:C230" si="11">IF(C221="",C220+1,C221+1)</f>
        <v>207</v>
      </c>
      <c r="D222" s="24" t="s">
        <v>558</v>
      </c>
    </row>
    <row r="223" spans="1:4" x14ac:dyDescent="0.3">
      <c r="A223" s="17" t="s">
        <v>35</v>
      </c>
      <c r="B223" s="18" t="s">
        <v>550</v>
      </c>
      <c r="C223" s="19">
        <f t="shared" si="11"/>
        <v>208</v>
      </c>
      <c r="D223" s="20" t="s">
        <v>557</v>
      </c>
    </row>
    <row r="224" spans="1:4" x14ac:dyDescent="0.3">
      <c r="A224" s="17" t="s">
        <v>35</v>
      </c>
      <c r="B224" s="18" t="s">
        <v>550</v>
      </c>
      <c r="C224" s="19">
        <f t="shared" si="11"/>
        <v>209</v>
      </c>
      <c r="D224" s="20" t="s">
        <v>556</v>
      </c>
    </row>
    <row r="225" spans="1:4" x14ac:dyDescent="0.3">
      <c r="A225" s="17" t="s">
        <v>35</v>
      </c>
      <c r="B225" s="18" t="s">
        <v>550</v>
      </c>
      <c r="C225" s="19">
        <f t="shared" si="11"/>
        <v>210</v>
      </c>
      <c r="D225" s="20" t="s">
        <v>555</v>
      </c>
    </row>
    <row r="226" spans="1:4" x14ac:dyDescent="0.3">
      <c r="A226" s="17" t="s">
        <v>35</v>
      </c>
      <c r="B226" s="18" t="s">
        <v>550</v>
      </c>
      <c r="C226" s="19">
        <f t="shared" si="11"/>
        <v>211</v>
      </c>
      <c r="D226" s="20" t="s">
        <v>554</v>
      </c>
    </row>
    <row r="227" spans="1:4" x14ac:dyDescent="0.3">
      <c r="A227" s="17" t="s">
        <v>35</v>
      </c>
      <c r="B227" s="18" t="s">
        <v>550</v>
      </c>
      <c r="C227" s="19">
        <f t="shared" si="11"/>
        <v>212</v>
      </c>
      <c r="D227" s="20" t="s">
        <v>553</v>
      </c>
    </row>
    <row r="228" spans="1:4" x14ac:dyDescent="0.3">
      <c r="A228" s="17" t="s">
        <v>35</v>
      </c>
      <c r="B228" s="18" t="s">
        <v>550</v>
      </c>
      <c r="C228" s="19">
        <f t="shared" si="11"/>
        <v>213</v>
      </c>
      <c r="D228" s="20" t="s">
        <v>552</v>
      </c>
    </row>
    <row r="229" spans="1:4" x14ac:dyDescent="0.3">
      <c r="A229" s="17" t="s">
        <v>35</v>
      </c>
      <c r="B229" s="18" t="s">
        <v>550</v>
      </c>
      <c r="C229" s="19">
        <f t="shared" si="11"/>
        <v>214</v>
      </c>
      <c r="D229" s="20" t="s">
        <v>551</v>
      </c>
    </row>
    <row r="230" spans="1:4" x14ac:dyDescent="0.3">
      <c r="A230" s="17" t="s">
        <v>35</v>
      </c>
      <c r="B230" s="18" t="s">
        <v>550</v>
      </c>
      <c r="C230" s="19">
        <f t="shared" si="11"/>
        <v>215</v>
      </c>
      <c r="D230" s="20" t="s">
        <v>57</v>
      </c>
    </row>
    <row r="231" spans="1:4" x14ac:dyDescent="0.3">
      <c r="A231" s="858" t="s">
        <v>549</v>
      </c>
      <c r="B231" s="864"/>
      <c r="C231" s="864"/>
      <c r="D231" s="860" t="s">
        <v>232</v>
      </c>
    </row>
    <row r="232" spans="1:4" x14ac:dyDescent="0.3">
      <c r="A232" s="17" t="s">
        <v>35</v>
      </c>
      <c r="B232" s="18" t="s">
        <v>535</v>
      </c>
      <c r="C232" s="19">
        <f t="shared" ref="C232:C245" si="12">IF(C231="",C230+1,C231+1)</f>
        <v>216</v>
      </c>
      <c r="D232" s="24" t="s">
        <v>548</v>
      </c>
    </row>
    <row r="233" spans="1:4" ht="28.8" x14ac:dyDescent="0.3">
      <c r="A233" s="17" t="s">
        <v>35</v>
      </c>
      <c r="B233" s="18" t="s">
        <v>535</v>
      </c>
      <c r="C233" s="19">
        <f t="shared" si="12"/>
        <v>217</v>
      </c>
      <c r="D233" s="20" t="s">
        <v>547</v>
      </c>
    </row>
    <row r="234" spans="1:4" x14ac:dyDescent="0.3">
      <c r="A234" s="17" t="s">
        <v>35</v>
      </c>
      <c r="B234" s="18" t="s">
        <v>535</v>
      </c>
      <c r="C234" s="19">
        <f t="shared" si="12"/>
        <v>218</v>
      </c>
      <c r="D234" s="20" t="s">
        <v>546</v>
      </c>
    </row>
    <row r="235" spans="1:4" ht="28.8" x14ac:dyDescent="0.3">
      <c r="A235" s="17" t="s">
        <v>35</v>
      </c>
      <c r="B235" s="18" t="s">
        <v>535</v>
      </c>
      <c r="C235" s="19">
        <f t="shared" si="12"/>
        <v>219</v>
      </c>
      <c r="D235" s="20" t="s">
        <v>545</v>
      </c>
    </row>
    <row r="236" spans="1:4" x14ac:dyDescent="0.3">
      <c r="A236" s="17" t="s">
        <v>35</v>
      </c>
      <c r="B236" s="18" t="s">
        <v>535</v>
      </c>
      <c r="C236" s="19">
        <f t="shared" si="12"/>
        <v>220</v>
      </c>
      <c r="D236" s="20" t="s">
        <v>544</v>
      </c>
    </row>
    <row r="237" spans="1:4" x14ac:dyDescent="0.3">
      <c r="A237" s="17" t="s">
        <v>35</v>
      </c>
      <c r="B237" s="18" t="s">
        <v>535</v>
      </c>
      <c r="C237" s="19">
        <f t="shared" si="12"/>
        <v>221</v>
      </c>
      <c r="D237" s="20" t="s">
        <v>543</v>
      </c>
    </row>
    <row r="238" spans="1:4" x14ac:dyDescent="0.3">
      <c r="A238" s="17" t="s">
        <v>35</v>
      </c>
      <c r="B238" s="18" t="s">
        <v>535</v>
      </c>
      <c r="C238" s="19">
        <f t="shared" si="12"/>
        <v>222</v>
      </c>
      <c r="D238" s="20" t="s">
        <v>542</v>
      </c>
    </row>
    <row r="239" spans="1:4" x14ac:dyDescent="0.3">
      <c r="A239" s="17" t="s">
        <v>35</v>
      </c>
      <c r="B239" s="18" t="s">
        <v>535</v>
      </c>
      <c r="C239" s="19">
        <f t="shared" si="12"/>
        <v>223</v>
      </c>
      <c r="D239" s="20" t="s">
        <v>541</v>
      </c>
    </row>
    <row r="240" spans="1:4" x14ac:dyDescent="0.3">
      <c r="A240" s="17" t="s">
        <v>35</v>
      </c>
      <c r="B240" s="18" t="s">
        <v>535</v>
      </c>
      <c r="C240" s="19">
        <f t="shared" si="12"/>
        <v>224</v>
      </c>
      <c r="D240" s="20" t="s">
        <v>540</v>
      </c>
    </row>
    <row r="241" spans="1:4" x14ac:dyDescent="0.3">
      <c r="A241" s="17" t="s">
        <v>35</v>
      </c>
      <c r="B241" s="18" t="s">
        <v>535</v>
      </c>
      <c r="C241" s="19">
        <f t="shared" si="12"/>
        <v>225</v>
      </c>
      <c r="D241" s="20" t="s">
        <v>539</v>
      </c>
    </row>
    <row r="242" spans="1:4" x14ac:dyDescent="0.3">
      <c r="A242" s="17" t="s">
        <v>35</v>
      </c>
      <c r="B242" s="18" t="s">
        <v>535</v>
      </c>
      <c r="C242" s="19">
        <f t="shared" si="12"/>
        <v>226</v>
      </c>
      <c r="D242" s="20" t="s">
        <v>538</v>
      </c>
    </row>
    <row r="243" spans="1:4" x14ac:dyDescent="0.3">
      <c r="A243" s="17" t="s">
        <v>35</v>
      </c>
      <c r="B243" s="18" t="s">
        <v>535</v>
      </c>
      <c r="C243" s="19">
        <f t="shared" si="12"/>
        <v>227</v>
      </c>
      <c r="D243" s="20" t="s">
        <v>537</v>
      </c>
    </row>
    <row r="244" spans="1:4" x14ac:dyDescent="0.3">
      <c r="A244" s="17" t="s">
        <v>35</v>
      </c>
      <c r="B244" s="18" t="s">
        <v>535</v>
      </c>
      <c r="C244" s="19">
        <f t="shared" si="12"/>
        <v>228</v>
      </c>
      <c r="D244" s="20" t="s">
        <v>536</v>
      </c>
    </row>
    <row r="245" spans="1:4" x14ac:dyDescent="0.3">
      <c r="A245" s="17" t="s">
        <v>35</v>
      </c>
      <c r="B245" s="18" t="s">
        <v>535</v>
      </c>
      <c r="C245" s="19">
        <f t="shared" si="12"/>
        <v>229</v>
      </c>
      <c r="D245" s="20" t="s">
        <v>57</v>
      </c>
    </row>
    <row r="246" spans="1:4" x14ac:dyDescent="0.3">
      <c r="A246" s="858" t="s">
        <v>206</v>
      </c>
      <c r="B246" s="864"/>
      <c r="C246" s="864"/>
      <c r="D246" s="860"/>
    </row>
    <row r="247" spans="1:4" x14ac:dyDescent="0.3">
      <c r="A247" s="17" t="s">
        <v>35</v>
      </c>
      <c r="B247" s="18" t="s">
        <v>92</v>
      </c>
      <c r="C247" s="19">
        <f t="shared" ref="C247:C278" si="13">IF(C246="",C245+1,C246+1)</f>
        <v>230</v>
      </c>
      <c r="D247" s="20" t="s">
        <v>151</v>
      </c>
    </row>
    <row r="248" spans="1:4" x14ac:dyDescent="0.3">
      <c r="A248" s="17" t="s">
        <v>35</v>
      </c>
      <c r="B248" s="18" t="s">
        <v>92</v>
      </c>
      <c r="C248" s="19">
        <f t="shared" si="13"/>
        <v>231</v>
      </c>
      <c r="D248" s="20" t="s">
        <v>150</v>
      </c>
    </row>
    <row r="249" spans="1:4" x14ac:dyDescent="0.3">
      <c r="A249" s="17" t="s">
        <v>35</v>
      </c>
      <c r="B249" s="18" t="s">
        <v>92</v>
      </c>
      <c r="C249" s="19">
        <f t="shared" si="13"/>
        <v>232</v>
      </c>
      <c r="D249" s="20" t="s">
        <v>149</v>
      </c>
    </row>
    <row r="250" spans="1:4" x14ac:dyDescent="0.3">
      <c r="A250" s="17" t="s">
        <v>35</v>
      </c>
      <c r="B250" s="18" t="s">
        <v>92</v>
      </c>
      <c r="C250" s="19">
        <f t="shared" si="13"/>
        <v>233</v>
      </c>
      <c r="D250" s="20" t="s">
        <v>148</v>
      </c>
    </row>
    <row r="251" spans="1:4" x14ac:dyDescent="0.3">
      <c r="A251" s="17" t="s">
        <v>35</v>
      </c>
      <c r="B251" s="18" t="s">
        <v>92</v>
      </c>
      <c r="C251" s="19">
        <f t="shared" si="13"/>
        <v>234</v>
      </c>
      <c r="D251" s="20" t="s">
        <v>147</v>
      </c>
    </row>
    <row r="252" spans="1:4" x14ac:dyDescent="0.3">
      <c r="A252" s="17" t="s">
        <v>35</v>
      </c>
      <c r="B252" s="18" t="s">
        <v>92</v>
      </c>
      <c r="C252" s="19">
        <f t="shared" si="13"/>
        <v>235</v>
      </c>
      <c r="D252" s="20" t="s">
        <v>534</v>
      </c>
    </row>
    <row r="253" spans="1:4" x14ac:dyDescent="0.3">
      <c r="A253" s="17" t="s">
        <v>35</v>
      </c>
      <c r="B253" s="18" t="s">
        <v>199</v>
      </c>
      <c r="C253" s="19">
        <f t="shared" si="13"/>
        <v>236</v>
      </c>
      <c r="D253" s="20" t="s">
        <v>533</v>
      </c>
    </row>
    <row r="254" spans="1:4" x14ac:dyDescent="0.3">
      <c r="A254" s="17" t="s">
        <v>35</v>
      </c>
      <c r="B254" s="18" t="s">
        <v>92</v>
      </c>
      <c r="C254" s="19">
        <f t="shared" si="13"/>
        <v>237</v>
      </c>
      <c r="D254" s="20" t="s">
        <v>146</v>
      </c>
    </row>
    <row r="255" spans="1:4" x14ac:dyDescent="0.3">
      <c r="A255" s="17" t="s">
        <v>35</v>
      </c>
      <c r="B255" s="18" t="s">
        <v>92</v>
      </c>
      <c r="C255" s="19">
        <f t="shared" si="13"/>
        <v>238</v>
      </c>
      <c r="D255" s="20" t="s">
        <v>532</v>
      </c>
    </row>
    <row r="256" spans="1:4" x14ac:dyDescent="0.3">
      <c r="A256" s="17" t="s">
        <v>35</v>
      </c>
      <c r="B256" s="18" t="s">
        <v>92</v>
      </c>
      <c r="C256" s="19">
        <f t="shared" si="13"/>
        <v>239</v>
      </c>
      <c r="D256" s="20" t="s">
        <v>531</v>
      </c>
    </row>
    <row r="257" spans="1:4" x14ac:dyDescent="0.3">
      <c r="A257" s="17" t="s">
        <v>35</v>
      </c>
      <c r="B257" s="18" t="s">
        <v>92</v>
      </c>
      <c r="C257" s="19">
        <f t="shared" si="13"/>
        <v>240</v>
      </c>
      <c r="D257" s="20" t="s">
        <v>145</v>
      </c>
    </row>
    <row r="258" spans="1:4" x14ac:dyDescent="0.3">
      <c r="A258" s="17" t="s">
        <v>35</v>
      </c>
      <c r="B258" s="18" t="s">
        <v>92</v>
      </c>
      <c r="C258" s="19">
        <f t="shared" si="13"/>
        <v>241</v>
      </c>
      <c r="D258" s="20" t="s">
        <v>144</v>
      </c>
    </row>
    <row r="259" spans="1:4" x14ac:dyDescent="0.3">
      <c r="A259" s="17" t="s">
        <v>35</v>
      </c>
      <c r="B259" s="18" t="s">
        <v>92</v>
      </c>
      <c r="C259" s="19">
        <f t="shared" si="13"/>
        <v>242</v>
      </c>
      <c r="D259" s="20" t="s">
        <v>143</v>
      </c>
    </row>
    <row r="260" spans="1:4" x14ac:dyDescent="0.3">
      <c r="A260" s="17" t="s">
        <v>35</v>
      </c>
      <c r="B260" s="18" t="s">
        <v>92</v>
      </c>
      <c r="C260" s="19">
        <f t="shared" si="13"/>
        <v>243</v>
      </c>
      <c r="D260" s="20" t="s">
        <v>142</v>
      </c>
    </row>
    <row r="261" spans="1:4" x14ac:dyDescent="0.3">
      <c r="A261" s="17" t="s">
        <v>35</v>
      </c>
      <c r="B261" s="18" t="s">
        <v>92</v>
      </c>
      <c r="C261" s="19">
        <f t="shared" si="13"/>
        <v>244</v>
      </c>
      <c r="D261" s="20" t="s">
        <v>141</v>
      </c>
    </row>
    <row r="262" spans="1:4" x14ac:dyDescent="0.3">
      <c r="A262" s="17" t="s">
        <v>35</v>
      </c>
      <c r="B262" s="18" t="s">
        <v>92</v>
      </c>
      <c r="C262" s="19">
        <f t="shared" si="13"/>
        <v>245</v>
      </c>
      <c r="D262" s="20" t="s">
        <v>140</v>
      </c>
    </row>
    <row r="263" spans="1:4" x14ac:dyDescent="0.3">
      <c r="A263" s="17" t="s">
        <v>35</v>
      </c>
      <c r="B263" s="18" t="s">
        <v>92</v>
      </c>
      <c r="C263" s="19">
        <f t="shared" si="13"/>
        <v>246</v>
      </c>
      <c r="D263" s="20" t="s">
        <v>139</v>
      </c>
    </row>
    <row r="264" spans="1:4" x14ac:dyDescent="0.3">
      <c r="A264" s="17" t="s">
        <v>35</v>
      </c>
      <c r="B264" s="18" t="s">
        <v>92</v>
      </c>
      <c r="C264" s="19">
        <f t="shared" si="13"/>
        <v>247</v>
      </c>
      <c r="D264" s="20" t="s">
        <v>530</v>
      </c>
    </row>
    <row r="265" spans="1:4" x14ac:dyDescent="0.3">
      <c r="A265" s="17" t="s">
        <v>35</v>
      </c>
      <c r="B265" s="18" t="s">
        <v>92</v>
      </c>
      <c r="C265" s="19">
        <f t="shared" si="13"/>
        <v>248</v>
      </c>
      <c r="D265" s="20" t="s">
        <v>529</v>
      </c>
    </row>
    <row r="266" spans="1:4" x14ac:dyDescent="0.3">
      <c r="A266" s="17" t="s">
        <v>35</v>
      </c>
      <c r="B266" s="18" t="s">
        <v>92</v>
      </c>
      <c r="C266" s="19">
        <f t="shared" si="13"/>
        <v>249</v>
      </c>
      <c r="D266" s="20" t="s">
        <v>138</v>
      </c>
    </row>
    <row r="267" spans="1:4" x14ac:dyDescent="0.3">
      <c r="A267" s="17" t="s">
        <v>35</v>
      </c>
      <c r="B267" s="18" t="s">
        <v>92</v>
      </c>
      <c r="C267" s="19">
        <f t="shared" si="13"/>
        <v>250</v>
      </c>
      <c r="D267" s="20" t="s">
        <v>137</v>
      </c>
    </row>
    <row r="268" spans="1:4" x14ac:dyDescent="0.3">
      <c r="A268" s="17" t="s">
        <v>35</v>
      </c>
      <c r="B268" s="18" t="s">
        <v>92</v>
      </c>
      <c r="C268" s="19">
        <f t="shared" si="13"/>
        <v>251</v>
      </c>
      <c r="D268" s="20" t="s">
        <v>136</v>
      </c>
    </row>
    <row r="269" spans="1:4" x14ac:dyDescent="0.3">
      <c r="A269" s="17" t="s">
        <v>35</v>
      </c>
      <c r="B269" s="18" t="s">
        <v>92</v>
      </c>
      <c r="C269" s="19">
        <f t="shared" si="13"/>
        <v>252</v>
      </c>
      <c r="D269" s="20" t="s">
        <v>135</v>
      </c>
    </row>
    <row r="270" spans="1:4" x14ac:dyDescent="0.3">
      <c r="A270" s="17" t="s">
        <v>35</v>
      </c>
      <c r="B270" s="18" t="s">
        <v>92</v>
      </c>
      <c r="C270" s="19">
        <f t="shared" si="13"/>
        <v>253</v>
      </c>
      <c r="D270" s="20" t="s">
        <v>134</v>
      </c>
    </row>
    <row r="271" spans="1:4" x14ac:dyDescent="0.3">
      <c r="A271" s="17" t="s">
        <v>35</v>
      </c>
      <c r="B271" s="18" t="s">
        <v>92</v>
      </c>
      <c r="C271" s="19">
        <f t="shared" si="13"/>
        <v>254</v>
      </c>
      <c r="D271" s="20" t="s">
        <v>133</v>
      </c>
    </row>
    <row r="272" spans="1:4" x14ac:dyDescent="0.3">
      <c r="A272" s="17" t="s">
        <v>35</v>
      </c>
      <c r="B272" s="18" t="s">
        <v>92</v>
      </c>
      <c r="C272" s="19">
        <f t="shared" si="13"/>
        <v>255</v>
      </c>
      <c r="D272" s="20" t="s">
        <v>132</v>
      </c>
    </row>
    <row r="273" spans="1:4" x14ac:dyDescent="0.3">
      <c r="A273" s="17" t="s">
        <v>35</v>
      </c>
      <c r="B273" s="18" t="s">
        <v>92</v>
      </c>
      <c r="C273" s="19">
        <f t="shared" si="13"/>
        <v>256</v>
      </c>
      <c r="D273" s="21" t="s">
        <v>528</v>
      </c>
    </row>
    <row r="274" spans="1:4" x14ac:dyDescent="0.3">
      <c r="A274" s="17" t="s">
        <v>35</v>
      </c>
      <c r="B274" s="18" t="s">
        <v>92</v>
      </c>
      <c r="C274" s="19">
        <f t="shared" si="13"/>
        <v>257</v>
      </c>
      <c r="D274" s="21" t="s">
        <v>527</v>
      </c>
    </row>
    <row r="275" spans="1:4" x14ac:dyDescent="0.3">
      <c r="A275" s="17" t="s">
        <v>35</v>
      </c>
      <c r="B275" s="18" t="s">
        <v>92</v>
      </c>
      <c r="C275" s="19">
        <f t="shared" si="13"/>
        <v>258</v>
      </c>
      <c r="D275" s="21" t="s">
        <v>526</v>
      </c>
    </row>
    <row r="276" spans="1:4" x14ac:dyDescent="0.3">
      <c r="A276" s="17" t="s">
        <v>35</v>
      </c>
      <c r="B276" s="18" t="s">
        <v>92</v>
      </c>
      <c r="C276" s="19">
        <f t="shared" si="13"/>
        <v>259</v>
      </c>
      <c r="D276" s="21" t="s">
        <v>525</v>
      </c>
    </row>
    <row r="277" spans="1:4" x14ac:dyDescent="0.3">
      <c r="A277" s="17" t="s">
        <v>35</v>
      </c>
      <c r="B277" s="18" t="s">
        <v>92</v>
      </c>
      <c r="C277" s="19">
        <f t="shared" si="13"/>
        <v>260</v>
      </c>
      <c r="D277" s="21" t="s">
        <v>524</v>
      </c>
    </row>
    <row r="278" spans="1:4" x14ac:dyDescent="0.3">
      <c r="A278" s="17" t="s">
        <v>35</v>
      </c>
      <c r="B278" s="18" t="s">
        <v>92</v>
      </c>
      <c r="C278" s="19">
        <f t="shared" si="13"/>
        <v>261</v>
      </c>
      <c r="D278" s="21" t="s">
        <v>523</v>
      </c>
    </row>
    <row r="279" spans="1:4" x14ac:dyDescent="0.3">
      <c r="A279" s="17" t="s">
        <v>35</v>
      </c>
      <c r="B279" s="18" t="s">
        <v>92</v>
      </c>
      <c r="C279" s="19">
        <f t="shared" ref="C279:C303" si="14">IF(C278="",C277+1,C278+1)</f>
        <v>262</v>
      </c>
      <c r="D279" s="21" t="s">
        <v>522</v>
      </c>
    </row>
    <row r="280" spans="1:4" x14ac:dyDescent="0.3">
      <c r="A280" s="17" t="s">
        <v>35</v>
      </c>
      <c r="B280" s="18" t="s">
        <v>92</v>
      </c>
      <c r="C280" s="19">
        <f t="shared" si="14"/>
        <v>263</v>
      </c>
      <c r="D280" s="21" t="s">
        <v>521</v>
      </c>
    </row>
    <row r="281" spans="1:4" x14ac:dyDescent="0.3">
      <c r="A281" s="17" t="s">
        <v>35</v>
      </c>
      <c r="B281" s="18" t="s">
        <v>92</v>
      </c>
      <c r="C281" s="19">
        <f t="shared" si="14"/>
        <v>264</v>
      </c>
      <c r="D281" s="21" t="s">
        <v>520</v>
      </c>
    </row>
    <row r="282" spans="1:4" x14ac:dyDescent="0.3">
      <c r="A282" s="17" t="s">
        <v>35</v>
      </c>
      <c r="B282" s="18" t="s">
        <v>92</v>
      </c>
      <c r="C282" s="19">
        <f t="shared" si="14"/>
        <v>265</v>
      </c>
      <c r="D282" s="20" t="s">
        <v>122</v>
      </c>
    </row>
    <row r="283" spans="1:4" x14ac:dyDescent="0.3">
      <c r="A283" s="17" t="s">
        <v>35</v>
      </c>
      <c r="B283" s="18" t="s">
        <v>92</v>
      </c>
      <c r="C283" s="19">
        <f t="shared" si="14"/>
        <v>266</v>
      </c>
      <c r="D283" s="20" t="s">
        <v>519</v>
      </c>
    </row>
    <row r="284" spans="1:4" x14ac:dyDescent="0.3">
      <c r="A284" s="17" t="s">
        <v>35</v>
      </c>
      <c r="B284" s="18" t="s">
        <v>92</v>
      </c>
      <c r="C284" s="19">
        <f t="shared" si="14"/>
        <v>267</v>
      </c>
      <c r="D284" s="20" t="s">
        <v>518</v>
      </c>
    </row>
    <row r="285" spans="1:4" x14ac:dyDescent="0.3">
      <c r="A285" s="17" t="s">
        <v>35</v>
      </c>
      <c r="B285" s="18" t="s">
        <v>92</v>
      </c>
      <c r="C285" s="19">
        <f t="shared" si="14"/>
        <v>268</v>
      </c>
      <c r="D285" s="20" t="s">
        <v>517</v>
      </c>
    </row>
    <row r="286" spans="1:4" x14ac:dyDescent="0.3">
      <c r="A286" s="17" t="s">
        <v>35</v>
      </c>
      <c r="B286" s="18" t="s">
        <v>92</v>
      </c>
      <c r="C286" s="19">
        <f t="shared" si="14"/>
        <v>269</v>
      </c>
      <c r="D286" s="20" t="s">
        <v>516</v>
      </c>
    </row>
    <row r="287" spans="1:4" ht="43.2" x14ac:dyDescent="0.3">
      <c r="A287" s="17" t="s">
        <v>35</v>
      </c>
      <c r="B287" s="18" t="s">
        <v>92</v>
      </c>
      <c r="C287" s="19">
        <f t="shared" si="14"/>
        <v>270</v>
      </c>
      <c r="D287" s="20" t="s">
        <v>515</v>
      </c>
    </row>
    <row r="288" spans="1:4" x14ac:dyDescent="0.3">
      <c r="A288" s="17" t="s">
        <v>35</v>
      </c>
      <c r="B288" s="18" t="s">
        <v>92</v>
      </c>
      <c r="C288" s="19">
        <f t="shared" si="14"/>
        <v>271</v>
      </c>
      <c r="D288" s="20" t="s">
        <v>514</v>
      </c>
    </row>
    <row r="289" spans="1:4" x14ac:dyDescent="0.3">
      <c r="A289" s="17" t="s">
        <v>35</v>
      </c>
      <c r="B289" s="18" t="s">
        <v>92</v>
      </c>
      <c r="C289" s="19">
        <f t="shared" si="14"/>
        <v>272</v>
      </c>
      <c r="D289" s="20" t="s">
        <v>513</v>
      </c>
    </row>
    <row r="290" spans="1:4" x14ac:dyDescent="0.3">
      <c r="A290" s="17" t="s">
        <v>35</v>
      </c>
      <c r="B290" s="18" t="s">
        <v>92</v>
      </c>
      <c r="C290" s="19">
        <f t="shared" si="14"/>
        <v>273</v>
      </c>
      <c r="D290" s="20" t="s">
        <v>512</v>
      </c>
    </row>
    <row r="291" spans="1:4" x14ac:dyDescent="0.3">
      <c r="A291" s="17" t="s">
        <v>35</v>
      </c>
      <c r="B291" s="18" t="s">
        <v>92</v>
      </c>
      <c r="C291" s="19">
        <f t="shared" si="14"/>
        <v>274</v>
      </c>
      <c r="D291" s="20" t="s">
        <v>511</v>
      </c>
    </row>
    <row r="292" spans="1:4" x14ac:dyDescent="0.3">
      <c r="A292" s="17" t="s">
        <v>35</v>
      </c>
      <c r="B292" s="18" t="s">
        <v>92</v>
      </c>
      <c r="C292" s="19">
        <f t="shared" si="14"/>
        <v>275</v>
      </c>
      <c r="D292" s="20" t="s">
        <v>510</v>
      </c>
    </row>
    <row r="293" spans="1:4" x14ac:dyDescent="0.3">
      <c r="A293" s="17" t="s">
        <v>35</v>
      </c>
      <c r="B293" s="18" t="s">
        <v>92</v>
      </c>
      <c r="C293" s="19">
        <f t="shared" si="14"/>
        <v>276</v>
      </c>
      <c r="D293" s="20" t="s">
        <v>121</v>
      </c>
    </row>
    <row r="294" spans="1:4" x14ac:dyDescent="0.3">
      <c r="A294" s="17" t="s">
        <v>35</v>
      </c>
      <c r="B294" s="18" t="s">
        <v>92</v>
      </c>
      <c r="C294" s="19">
        <f t="shared" si="14"/>
        <v>277</v>
      </c>
      <c r="D294" s="21" t="s">
        <v>241</v>
      </c>
    </row>
    <row r="295" spans="1:4" x14ac:dyDescent="0.3">
      <c r="A295" s="17" t="s">
        <v>35</v>
      </c>
      <c r="B295" s="18" t="s">
        <v>92</v>
      </c>
      <c r="C295" s="19">
        <f t="shared" si="14"/>
        <v>278</v>
      </c>
      <c r="D295" s="21" t="s">
        <v>240</v>
      </c>
    </row>
    <row r="296" spans="1:4" x14ac:dyDescent="0.3">
      <c r="A296" s="17" t="s">
        <v>35</v>
      </c>
      <c r="B296" s="18" t="s">
        <v>92</v>
      </c>
      <c r="C296" s="19">
        <f t="shared" si="14"/>
        <v>279</v>
      </c>
      <c r="D296" s="21" t="s">
        <v>239</v>
      </c>
    </row>
    <row r="297" spans="1:4" x14ac:dyDescent="0.3">
      <c r="A297" s="17" t="s">
        <v>35</v>
      </c>
      <c r="B297" s="18" t="s">
        <v>92</v>
      </c>
      <c r="C297" s="19">
        <f t="shared" si="14"/>
        <v>280</v>
      </c>
      <c r="D297" s="21" t="s">
        <v>238</v>
      </c>
    </row>
    <row r="298" spans="1:4" x14ac:dyDescent="0.3">
      <c r="A298" s="17" t="s">
        <v>35</v>
      </c>
      <c r="B298" s="18" t="s">
        <v>92</v>
      </c>
      <c r="C298" s="19">
        <f t="shared" si="14"/>
        <v>281</v>
      </c>
      <c r="D298" s="21" t="s">
        <v>237</v>
      </c>
    </row>
    <row r="299" spans="1:4" x14ac:dyDescent="0.3">
      <c r="A299" s="17" t="s">
        <v>35</v>
      </c>
      <c r="B299" s="18" t="s">
        <v>92</v>
      </c>
      <c r="C299" s="19">
        <f t="shared" si="14"/>
        <v>282</v>
      </c>
      <c r="D299" s="20" t="s">
        <v>115</v>
      </c>
    </row>
    <row r="300" spans="1:4" x14ac:dyDescent="0.3">
      <c r="A300" s="17" t="s">
        <v>35</v>
      </c>
      <c r="B300" s="18" t="s">
        <v>92</v>
      </c>
      <c r="C300" s="19">
        <f t="shared" si="14"/>
        <v>283</v>
      </c>
      <c r="D300" s="20" t="s">
        <v>114</v>
      </c>
    </row>
    <row r="301" spans="1:4" x14ac:dyDescent="0.3">
      <c r="A301" s="17" t="s">
        <v>35</v>
      </c>
      <c r="B301" s="18" t="s">
        <v>92</v>
      </c>
      <c r="C301" s="19">
        <f t="shared" si="14"/>
        <v>284</v>
      </c>
      <c r="D301" s="20" t="s">
        <v>113</v>
      </c>
    </row>
    <row r="302" spans="1:4" x14ac:dyDescent="0.3">
      <c r="A302" s="17" t="s">
        <v>35</v>
      </c>
      <c r="B302" s="18" t="s">
        <v>92</v>
      </c>
      <c r="C302" s="19">
        <f t="shared" si="14"/>
        <v>285</v>
      </c>
      <c r="D302" s="20" t="s">
        <v>112</v>
      </c>
    </row>
    <row r="303" spans="1:4" x14ac:dyDescent="0.3">
      <c r="A303" s="17" t="s">
        <v>35</v>
      </c>
      <c r="B303" s="18" t="s">
        <v>92</v>
      </c>
      <c r="C303" s="19">
        <f t="shared" si="14"/>
        <v>286</v>
      </c>
      <c r="D303" s="20" t="s">
        <v>57</v>
      </c>
    </row>
    <row r="304" spans="1:4" x14ac:dyDescent="0.3">
      <c r="A304" s="858" t="s">
        <v>265</v>
      </c>
      <c r="B304" s="864" t="s">
        <v>217</v>
      </c>
      <c r="C304" s="864"/>
      <c r="D304" s="860"/>
    </row>
    <row r="305" spans="1:4" ht="28.8" x14ac:dyDescent="0.3">
      <c r="A305" s="17" t="s">
        <v>35</v>
      </c>
      <c r="B305" s="18" t="s">
        <v>217</v>
      </c>
      <c r="C305" s="19">
        <f t="shared" ref="C305:C346" si="15">IF(C304="",C303+1,C304+1)</f>
        <v>287</v>
      </c>
      <c r="D305" s="20" t="s">
        <v>509</v>
      </c>
    </row>
    <row r="306" spans="1:4" x14ac:dyDescent="0.3">
      <c r="A306" s="17" t="s">
        <v>35</v>
      </c>
      <c r="B306" s="18" t="s">
        <v>217</v>
      </c>
      <c r="C306" s="19">
        <f t="shared" si="15"/>
        <v>288</v>
      </c>
      <c r="D306" s="20" t="s">
        <v>508</v>
      </c>
    </row>
    <row r="307" spans="1:4" x14ac:dyDescent="0.3">
      <c r="A307" s="17" t="s">
        <v>35</v>
      </c>
      <c r="B307" s="18" t="s">
        <v>217</v>
      </c>
      <c r="C307" s="19">
        <f t="shared" si="15"/>
        <v>289</v>
      </c>
      <c r="D307" s="20" t="s">
        <v>507</v>
      </c>
    </row>
    <row r="308" spans="1:4" x14ac:dyDescent="0.3">
      <c r="A308" s="17" t="s">
        <v>35</v>
      </c>
      <c r="B308" s="18" t="s">
        <v>217</v>
      </c>
      <c r="C308" s="19">
        <f t="shared" si="15"/>
        <v>290</v>
      </c>
      <c r="D308" s="20" t="s">
        <v>264</v>
      </c>
    </row>
    <row r="309" spans="1:4" x14ac:dyDescent="0.3">
      <c r="A309" s="17" t="s">
        <v>35</v>
      </c>
      <c r="B309" s="18" t="s">
        <v>217</v>
      </c>
      <c r="C309" s="19">
        <f t="shared" si="15"/>
        <v>291</v>
      </c>
      <c r="D309" s="20" t="s">
        <v>506</v>
      </c>
    </row>
    <row r="310" spans="1:4" x14ac:dyDescent="0.3">
      <c r="A310" s="17" t="s">
        <v>35</v>
      </c>
      <c r="B310" s="18" t="s">
        <v>217</v>
      </c>
      <c r="C310" s="19">
        <f t="shared" si="15"/>
        <v>292</v>
      </c>
      <c r="D310" s="20" t="s">
        <v>505</v>
      </c>
    </row>
    <row r="311" spans="1:4" x14ac:dyDescent="0.3">
      <c r="A311" s="17" t="s">
        <v>35</v>
      </c>
      <c r="B311" s="18" t="s">
        <v>217</v>
      </c>
      <c r="C311" s="19">
        <f t="shared" si="15"/>
        <v>293</v>
      </c>
      <c r="D311" s="20" t="s">
        <v>263</v>
      </c>
    </row>
    <row r="312" spans="1:4" x14ac:dyDescent="0.3">
      <c r="A312" s="17" t="s">
        <v>35</v>
      </c>
      <c r="B312" s="18" t="s">
        <v>217</v>
      </c>
      <c r="C312" s="19">
        <f t="shared" si="15"/>
        <v>294</v>
      </c>
      <c r="D312" s="20" t="s">
        <v>262</v>
      </c>
    </row>
    <row r="313" spans="1:4" x14ac:dyDescent="0.3">
      <c r="A313" s="17" t="s">
        <v>35</v>
      </c>
      <c r="B313" s="18" t="s">
        <v>217</v>
      </c>
      <c r="C313" s="19">
        <f t="shared" si="15"/>
        <v>295</v>
      </c>
      <c r="D313" s="20" t="s">
        <v>261</v>
      </c>
    </row>
    <row r="314" spans="1:4" x14ac:dyDescent="0.3">
      <c r="A314" s="17" t="s">
        <v>35</v>
      </c>
      <c r="B314" s="18" t="s">
        <v>217</v>
      </c>
      <c r="C314" s="19">
        <f t="shared" si="15"/>
        <v>296</v>
      </c>
      <c r="D314" s="20" t="s">
        <v>260</v>
      </c>
    </row>
    <row r="315" spans="1:4" x14ac:dyDescent="0.3">
      <c r="A315" s="17" t="s">
        <v>35</v>
      </c>
      <c r="B315" s="18" t="s">
        <v>217</v>
      </c>
      <c r="C315" s="19">
        <f t="shared" si="15"/>
        <v>297</v>
      </c>
      <c r="D315" s="20" t="s">
        <v>259</v>
      </c>
    </row>
    <row r="316" spans="1:4" x14ac:dyDescent="0.3">
      <c r="A316" s="17" t="s">
        <v>35</v>
      </c>
      <c r="B316" s="18" t="s">
        <v>217</v>
      </c>
      <c r="C316" s="19">
        <f t="shared" si="15"/>
        <v>298</v>
      </c>
      <c r="D316" s="20" t="s">
        <v>258</v>
      </c>
    </row>
    <row r="317" spans="1:4" x14ac:dyDescent="0.3">
      <c r="A317" s="17" t="s">
        <v>35</v>
      </c>
      <c r="B317" s="18" t="s">
        <v>217</v>
      </c>
      <c r="C317" s="19">
        <f t="shared" si="15"/>
        <v>299</v>
      </c>
      <c r="D317" s="20" t="s">
        <v>257</v>
      </c>
    </row>
    <row r="318" spans="1:4" x14ac:dyDescent="0.3">
      <c r="A318" s="17" t="s">
        <v>35</v>
      </c>
      <c r="B318" s="18" t="s">
        <v>217</v>
      </c>
      <c r="C318" s="19">
        <f t="shared" si="15"/>
        <v>300</v>
      </c>
      <c r="D318" s="20" t="s">
        <v>504</v>
      </c>
    </row>
    <row r="319" spans="1:4" x14ac:dyDescent="0.3">
      <c r="A319" s="17" t="s">
        <v>35</v>
      </c>
      <c r="B319" s="18" t="s">
        <v>217</v>
      </c>
      <c r="C319" s="19">
        <f t="shared" si="15"/>
        <v>301</v>
      </c>
      <c r="D319" s="20" t="s">
        <v>256</v>
      </c>
    </row>
    <row r="320" spans="1:4" x14ac:dyDescent="0.3">
      <c r="A320" s="17" t="s">
        <v>35</v>
      </c>
      <c r="B320" s="18" t="s">
        <v>217</v>
      </c>
      <c r="C320" s="19">
        <f t="shared" si="15"/>
        <v>302</v>
      </c>
      <c r="D320" s="20" t="s">
        <v>255</v>
      </c>
    </row>
    <row r="321" spans="1:4" x14ac:dyDescent="0.3">
      <c r="A321" s="17" t="s">
        <v>35</v>
      </c>
      <c r="B321" s="18" t="s">
        <v>217</v>
      </c>
      <c r="C321" s="19">
        <f t="shared" si="15"/>
        <v>303</v>
      </c>
      <c r="D321" s="20" t="s">
        <v>254</v>
      </c>
    </row>
    <row r="322" spans="1:4" x14ac:dyDescent="0.3">
      <c r="A322" s="17" t="s">
        <v>35</v>
      </c>
      <c r="B322" s="18" t="s">
        <v>217</v>
      </c>
      <c r="C322" s="19">
        <f t="shared" si="15"/>
        <v>304</v>
      </c>
      <c r="D322" s="20" t="s">
        <v>253</v>
      </c>
    </row>
    <row r="323" spans="1:4" x14ac:dyDescent="0.3">
      <c r="A323" s="17" t="s">
        <v>35</v>
      </c>
      <c r="B323" s="18" t="s">
        <v>217</v>
      </c>
      <c r="C323" s="19">
        <f t="shared" si="15"/>
        <v>305</v>
      </c>
      <c r="D323" s="20" t="s">
        <v>252</v>
      </c>
    </row>
    <row r="324" spans="1:4" x14ac:dyDescent="0.3">
      <c r="A324" s="17" t="s">
        <v>35</v>
      </c>
      <c r="B324" s="18" t="s">
        <v>217</v>
      </c>
      <c r="C324" s="19">
        <f t="shared" si="15"/>
        <v>306</v>
      </c>
      <c r="D324" s="20" t="s">
        <v>251</v>
      </c>
    </row>
    <row r="325" spans="1:4" x14ac:dyDescent="0.3">
      <c r="A325" s="17" t="s">
        <v>35</v>
      </c>
      <c r="B325" s="18" t="s">
        <v>217</v>
      </c>
      <c r="C325" s="19">
        <f t="shared" si="15"/>
        <v>307</v>
      </c>
      <c r="D325" s="20" t="s">
        <v>250</v>
      </c>
    </row>
    <row r="326" spans="1:4" x14ac:dyDescent="0.3">
      <c r="A326" s="17" t="s">
        <v>35</v>
      </c>
      <c r="B326" s="18" t="s">
        <v>217</v>
      </c>
      <c r="C326" s="19">
        <f t="shared" si="15"/>
        <v>308</v>
      </c>
      <c r="D326" s="20" t="s">
        <v>249</v>
      </c>
    </row>
    <row r="327" spans="1:4" x14ac:dyDescent="0.3">
      <c r="A327" s="17" t="s">
        <v>35</v>
      </c>
      <c r="B327" s="18" t="s">
        <v>217</v>
      </c>
      <c r="C327" s="19">
        <f t="shared" si="15"/>
        <v>309</v>
      </c>
      <c r="D327" s="20" t="s">
        <v>248</v>
      </c>
    </row>
    <row r="328" spans="1:4" x14ac:dyDescent="0.3">
      <c r="A328" s="17" t="s">
        <v>35</v>
      </c>
      <c r="B328" s="18" t="s">
        <v>217</v>
      </c>
      <c r="C328" s="19">
        <f t="shared" si="15"/>
        <v>310</v>
      </c>
      <c r="D328" s="20" t="s">
        <v>247</v>
      </c>
    </row>
    <row r="329" spans="1:4" x14ac:dyDescent="0.3">
      <c r="A329" s="17" t="s">
        <v>35</v>
      </c>
      <c r="B329" s="18" t="s">
        <v>217</v>
      </c>
      <c r="C329" s="19">
        <f t="shared" si="15"/>
        <v>311</v>
      </c>
      <c r="D329" s="20" t="s">
        <v>503</v>
      </c>
    </row>
    <row r="330" spans="1:4" x14ac:dyDescent="0.3">
      <c r="A330" s="17" t="s">
        <v>35</v>
      </c>
      <c r="B330" s="18" t="s">
        <v>217</v>
      </c>
      <c r="C330" s="19">
        <f t="shared" si="15"/>
        <v>312</v>
      </c>
      <c r="D330" s="20" t="s">
        <v>246</v>
      </c>
    </row>
    <row r="331" spans="1:4" x14ac:dyDescent="0.3">
      <c r="A331" s="17" t="s">
        <v>35</v>
      </c>
      <c r="B331" s="18" t="s">
        <v>217</v>
      </c>
      <c r="C331" s="19">
        <f t="shared" si="15"/>
        <v>313</v>
      </c>
      <c r="D331" s="20" t="s">
        <v>502</v>
      </c>
    </row>
    <row r="332" spans="1:4" x14ac:dyDescent="0.3">
      <c r="A332" s="17" t="s">
        <v>35</v>
      </c>
      <c r="B332" s="18" t="s">
        <v>217</v>
      </c>
      <c r="C332" s="19">
        <f t="shared" si="15"/>
        <v>314</v>
      </c>
      <c r="D332" s="20" t="s">
        <v>245</v>
      </c>
    </row>
    <row r="333" spans="1:4" x14ac:dyDescent="0.3">
      <c r="A333" s="17" t="s">
        <v>35</v>
      </c>
      <c r="B333" s="18" t="s">
        <v>217</v>
      </c>
      <c r="C333" s="19">
        <f t="shared" si="15"/>
        <v>315</v>
      </c>
      <c r="D333" s="20" t="s">
        <v>244</v>
      </c>
    </row>
    <row r="334" spans="1:4" x14ac:dyDescent="0.3">
      <c r="A334" s="17" t="s">
        <v>35</v>
      </c>
      <c r="B334" s="18" t="s">
        <v>217</v>
      </c>
      <c r="C334" s="19">
        <f t="shared" si="15"/>
        <v>316</v>
      </c>
      <c r="D334" s="20" t="s">
        <v>243</v>
      </c>
    </row>
    <row r="335" spans="1:4" x14ac:dyDescent="0.3">
      <c r="A335" s="17" t="s">
        <v>35</v>
      </c>
      <c r="B335" s="18" t="s">
        <v>217</v>
      </c>
      <c r="C335" s="19">
        <f t="shared" si="15"/>
        <v>317</v>
      </c>
      <c r="D335" s="20" t="s">
        <v>501</v>
      </c>
    </row>
    <row r="336" spans="1:4" x14ac:dyDescent="0.3">
      <c r="A336" s="17" t="s">
        <v>35</v>
      </c>
      <c r="B336" s="18" t="s">
        <v>217</v>
      </c>
      <c r="C336" s="19">
        <f t="shared" si="15"/>
        <v>318</v>
      </c>
      <c r="D336" s="20" t="s">
        <v>500</v>
      </c>
    </row>
    <row r="337" spans="1:4" x14ac:dyDescent="0.3">
      <c r="A337" s="17" t="s">
        <v>35</v>
      </c>
      <c r="B337" s="18" t="s">
        <v>217</v>
      </c>
      <c r="C337" s="19">
        <f t="shared" si="15"/>
        <v>319</v>
      </c>
      <c r="D337" s="20" t="s">
        <v>242</v>
      </c>
    </row>
    <row r="338" spans="1:4" x14ac:dyDescent="0.3">
      <c r="A338" s="17" t="s">
        <v>35</v>
      </c>
      <c r="B338" s="18" t="s">
        <v>217</v>
      </c>
      <c r="C338" s="19">
        <f t="shared" si="15"/>
        <v>320</v>
      </c>
      <c r="D338" s="20" t="s">
        <v>499</v>
      </c>
    </row>
    <row r="339" spans="1:4" x14ac:dyDescent="0.3">
      <c r="A339" s="17" t="s">
        <v>35</v>
      </c>
      <c r="B339" s="18" t="s">
        <v>217</v>
      </c>
      <c r="C339" s="19">
        <f t="shared" si="15"/>
        <v>321</v>
      </c>
      <c r="D339" s="20" t="s">
        <v>121</v>
      </c>
    </row>
    <row r="340" spans="1:4" x14ac:dyDescent="0.3">
      <c r="A340" s="17" t="s">
        <v>35</v>
      </c>
      <c r="B340" s="18" t="s">
        <v>217</v>
      </c>
      <c r="C340" s="19">
        <f t="shared" si="15"/>
        <v>322</v>
      </c>
      <c r="D340" s="21" t="s">
        <v>241</v>
      </c>
    </row>
    <row r="341" spans="1:4" x14ac:dyDescent="0.3">
      <c r="A341" s="17" t="s">
        <v>35</v>
      </c>
      <c r="B341" s="18" t="s">
        <v>217</v>
      </c>
      <c r="C341" s="19">
        <f t="shared" si="15"/>
        <v>323</v>
      </c>
      <c r="D341" s="21" t="s">
        <v>240</v>
      </c>
    </row>
    <row r="342" spans="1:4" x14ac:dyDescent="0.3">
      <c r="A342" s="17" t="s">
        <v>35</v>
      </c>
      <c r="B342" s="18" t="s">
        <v>217</v>
      </c>
      <c r="C342" s="19">
        <f t="shared" si="15"/>
        <v>324</v>
      </c>
      <c r="D342" s="21" t="s">
        <v>239</v>
      </c>
    </row>
    <row r="343" spans="1:4" x14ac:dyDescent="0.3">
      <c r="A343" s="17" t="s">
        <v>35</v>
      </c>
      <c r="B343" s="18" t="s">
        <v>217</v>
      </c>
      <c r="C343" s="19">
        <f t="shared" si="15"/>
        <v>325</v>
      </c>
      <c r="D343" s="21" t="s">
        <v>238</v>
      </c>
    </row>
    <row r="344" spans="1:4" x14ac:dyDescent="0.3">
      <c r="A344" s="17" t="s">
        <v>35</v>
      </c>
      <c r="B344" s="18" t="s">
        <v>217</v>
      </c>
      <c r="C344" s="19">
        <f t="shared" si="15"/>
        <v>326</v>
      </c>
      <c r="D344" s="21" t="s">
        <v>237</v>
      </c>
    </row>
    <row r="345" spans="1:4" x14ac:dyDescent="0.3">
      <c r="A345" s="17" t="s">
        <v>35</v>
      </c>
      <c r="B345" s="18" t="s">
        <v>217</v>
      </c>
      <c r="C345" s="19">
        <f t="shared" si="15"/>
        <v>327</v>
      </c>
      <c r="D345" s="21" t="s">
        <v>236</v>
      </c>
    </row>
    <row r="346" spans="1:4" x14ac:dyDescent="0.3">
      <c r="A346" s="17" t="s">
        <v>35</v>
      </c>
      <c r="B346" s="18" t="s">
        <v>217</v>
      </c>
      <c r="C346" s="19">
        <f t="shared" si="15"/>
        <v>328</v>
      </c>
      <c r="D346" s="20" t="s">
        <v>498</v>
      </c>
    </row>
    <row r="347" spans="1:4" x14ac:dyDescent="0.3">
      <c r="A347" s="858" t="s">
        <v>465</v>
      </c>
      <c r="B347" s="864"/>
      <c r="C347" s="864"/>
      <c r="D347" s="860" t="s">
        <v>232</v>
      </c>
    </row>
    <row r="348" spans="1:4" x14ac:dyDescent="0.3">
      <c r="A348" s="17" t="s">
        <v>35</v>
      </c>
      <c r="B348" s="18" t="s">
        <v>452</v>
      </c>
      <c r="C348" s="19">
        <f t="shared" ref="C348:C367" si="16">IF(C347="",C346+1,C347+1)</f>
        <v>329</v>
      </c>
      <c r="D348" s="24" t="s">
        <v>497</v>
      </c>
    </row>
    <row r="349" spans="1:4" x14ac:dyDescent="0.3">
      <c r="A349" s="17" t="s">
        <v>35</v>
      </c>
      <c r="B349" s="18" t="s">
        <v>452</v>
      </c>
      <c r="C349" s="19">
        <f t="shared" si="16"/>
        <v>330</v>
      </c>
      <c r="D349" s="20" t="s">
        <v>462</v>
      </c>
    </row>
    <row r="350" spans="1:4" x14ac:dyDescent="0.3">
      <c r="A350" s="17" t="s">
        <v>35</v>
      </c>
      <c r="B350" s="18" t="s">
        <v>452</v>
      </c>
      <c r="C350" s="19">
        <f t="shared" si="16"/>
        <v>331</v>
      </c>
      <c r="D350" s="20" t="s">
        <v>496</v>
      </c>
    </row>
    <row r="351" spans="1:4" x14ac:dyDescent="0.3">
      <c r="A351" s="17" t="s">
        <v>35</v>
      </c>
      <c r="B351" s="18" t="s">
        <v>452</v>
      </c>
      <c r="C351" s="19">
        <f t="shared" si="16"/>
        <v>332</v>
      </c>
      <c r="D351" s="20" t="s">
        <v>461</v>
      </c>
    </row>
    <row r="352" spans="1:4" x14ac:dyDescent="0.3">
      <c r="A352" s="17" t="s">
        <v>35</v>
      </c>
      <c r="B352" s="18" t="s">
        <v>452</v>
      </c>
      <c r="C352" s="19">
        <f t="shared" si="16"/>
        <v>333</v>
      </c>
      <c r="D352" s="21" t="s">
        <v>495</v>
      </c>
    </row>
    <row r="353" spans="1:4" x14ac:dyDescent="0.3">
      <c r="A353" s="17" t="s">
        <v>35</v>
      </c>
      <c r="B353" s="18" t="s">
        <v>452</v>
      </c>
      <c r="C353" s="19">
        <f t="shared" si="16"/>
        <v>334</v>
      </c>
      <c r="D353" s="21" t="s">
        <v>494</v>
      </c>
    </row>
    <row r="354" spans="1:4" x14ac:dyDescent="0.3">
      <c r="A354" s="17" t="s">
        <v>35</v>
      </c>
      <c r="B354" s="18" t="s">
        <v>452</v>
      </c>
      <c r="C354" s="19">
        <f t="shared" si="16"/>
        <v>335</v>
      </c>
      <c r="D354" s="21" t="s">
        <v>493</v>
      </c>
    </row>
    <row r="355" spans="1:4" x14ac:dyDescent="0.3">
      <c r="A355" s="17" t="s">
        <v>35</v>
      </c>
      <c r="B355" s="18" t="s">
        <v>452</v>
      </c>
      <c r="C355" s="19">
        <f t="shared" si="16"/>
        <v>336</v>
      </c>
      <c r="D355" s="20" t="s">
        <v>457</v>
      </c>
    </row>
    <row r="356" spans="1:4" x14ac:dyDescent="0.3">
      <c r="A356" s="17" t="s">
        <v>35</v>
      </c>
      <c r="B356" s="18" t="s">
        <v>452</v>
      </c>
      <c r="C356" s="19">
        <f t="shared" si="16"/>
        <v>337</v>
      </c>
      <c r="D356" s="20" t="s">
        <v>492</v>
      </c>
    </row>
    <row r="357" spans="1:4" x14ac:dyDescent="0.3">
      <c r="A357" s="17" t="s">
        <v>35</v>
      </c>
      <c r="B357" s="18" t="s">
        <v>452</v>
      </c>
      <c r="C357" s="19">
        <f t="shared" si="16"/>
        <v>338</v>
      </c>
      <c r="D357" s="20" t="s">
        <v>491</v>
      </c>
    </row>
    <row r="358" spans="1:4" x14ac:dyDescent="0.3">
      <c r="A358" s="17" t="s">
        <v>35</v>
      </c>
      <c r="B358" s="18" t="s">
        <v>452</v>
      </c>
      <c r="C358" s="19">
        <f t="shared" si="16"/>
        <v>339</v>
      </c>
      <c r="D358" s="20" t="s">
        <v>490</v>
      </c>
    </row>
    <row r="359" spans="1:4" x14ac:dyDescent="0.3">
      <c r="A359" s="17" t="s">
        <v>35</v>
      </c>
      <c r="B359" s="18" t="s">
        <v>452</v>
      </c>
      <c r="C359" s="19">
        <f t="shared" si="16"/>
        <v>340</v>
      </c>
      <c r="D359" s="20" t="s">
        <v>489</v>
      </c>
    </row>
    <row r="360" spans="1:4" x14ac:dyDescent="0.3">
      <c r="A360" s="17" t="s">
        <v>35</v>
      </c>
      <c r="B360" s="18" t="s">
        <v>452</v>
      </c>
      <c r="C360" s="19">
        <f t="shared" si="16"/>
        <v>341</v>
      </c>
      <c r="D360" s="20" t="s">
        <v>488</v>
      </c>
    </row>
    <row r="361" spans="1:4" x14ac:dyDescent="0.3">
      <c r="A361" s="17" t="s">
        <v>35</v>
      </c>
      <c r="B361" s="18" t="s">
        <v>452</v>
      </c>
      <c r="C361" s="19">
        <f t="shared" si="16"/>
        <v>342</v>
      </c>
      <c r="D361" s="20" t="s">
        <v>456</v>
      </c>
    </row>
    <row r="362" spans="1:4" x14ac:dyDescent="0.3">
      <c r="A362" s="17" t="s">
        <v>35</v>
      </c>
      <c r="B362" s="18" t="s">
        <v>452</v>
      </c>
      <c r="C362" s="19">
        <f t="shared" si="16"/>
        <v>343</v>
      </c>
      <c r="D362" s="20" t="s">
        <v>234</v>
      </c>
    </row>
    <row r="363" spans="1:4" x14ac:dyDescent="0.3">
      <c r="A363" s="17" t="s">
        <v>35</v>
      </c>
      <c r="B363" s="18" t="s">
        <v>452</v>
      </c>
      <c r="C363" s="19">
        <f t="shared" si="16"/>
        <v>344</v>
      </c>
      <c r="D363" s="20" t="s">
        <v>487</v>
      </c>
    </row>
    <row r="364" spans="1:4" x14ac:dyDescent="0.3">
      <c r="A364" s="17" t="s">
        <v>35</v>
      </c>
      <c r="B364" s="18" t="s">
        <v>452</v>
      </c>
      <c r="C364" s="19">
        <f t="shared" si="16"/>
        <v>345</v>
      </c>
      <c r="D364" s="20" t="s">
        <v>486</v>
      </c>
    </row>
    <row r="365" spans="1:4" x14ac:dyDescent="0.3">
      <c r="A365" s="17" t="s">
        <v>35</v>
      </c>
      <c r="B365" s="18" t="s">
        <v>452</v>
      </c>
      <c r="C365" s="19">
        <f t="shared" si="16"/>
        <v>346</v>
      </c>
      <c r="D365" s="20" t="s">
        <v>455</v>
      </c>
    </row>
    <row r="366" spans="1:4" x14ac:dyDescent="0.3">
      <c r="A366" s="17" t="s">
        <v>35</v>
      </c>
      <c r="B366" s="18" t="s">
        <v>452</v>
      </c>
      <c r="C366" s="19">
        <f t="shared" si="16"/>
        <v>347</v>
      </c>
      <c r="D366" s="20" t="s">
        <v>454</v>
      </c>
    </row>
    <row r="367" spans="1:4" x14ac:dyDescent="0.3">
      <c r="A367" s="17" t="s">
        <v>35</v>
      </c>
      <c r="B367" s="18" t="s">
        <v>452</v>
      </c>
      <c r="C367" s="19">
        <f t="shared" si="16"/>
        <v>348</v>
      </c>
      <c r="D367" s="20" t="s">
        <v>57</v>
      </c>
    </row>
  </sheetData>
  <autoFilter ref="A3:D367" xr:uid="{00000000-0009-0000-0000-000007000000}"/>
  <mergeCells count="17">
    <mergeCell ref="A347:D347"/>
    <mergeCell ref="A246:D246"/>
    <mergeCell ref="A190:D190"/>
    <mergeCell ref="A111:D111"/>
    <mergeCell ref="A126:D126"/>
    <mergeCell ref="A136:D136"/>
    <mergeCell ref="A157:D157"/>
    <mergeCell ref="A181:D181"/>
    <mergeCell ref="A304:D304"/>
    <mergeCell ref="B1:D1"/>
    <mergeCell ref="A56:D56"/>
    <mergeCell ref="A37:D37"/>
    <mergeCell ref="A231:D231"/>
    <mergeCell ref="A221:D221"/>
    <mergeCell ref="A210:D210"/>
    <mergeCell ref="A86:D86"/>
    <mergeCell ref="A4:D4"/>
  </mergeCells>
  <dataValidations disablePrompts="1" count="3">
    <dataValidation type="list" allowBlank="1" showInputMessage="1" showErrorMessage="1" prompt="Include Risk Event for evaluation?" sqref="A5:A36 A127:A135 A137:A156 A158:A180 A112:A125 A87:A110 A57:A85 A38:A55 A305:A346 A232:A303 A182:A209 A211:A220 A222:A230 A348:A367" xr:uid="{00000000-0002-0000-0700-000000000000}">
      <formula1>Include</formula1>
    </dataValidation>
    <dataValidation type="list" allowBlank="1" showInputMessage="1" showErrorMessage="1" sqref="B112:B125 B5:B36 B305:B346 B57:B85 B137:B156 B158:B180 B87:B110 B127:B135 B38:B55 B232:B303 B182:B209 B222:B230 B211:B220 B348:B367" xr:uid="{00000000-0002-0000-0700-000001000000}">
      <formula1>RTA</formula1>
    </dataValidation>
    <dataValidation type="list" allowBlank="1" showInputMessage="1" showErrorMessage="1" sqref="C246 C56" xr:uid="{00000000-0002-0000-0700-000002000000}">
      <formula1>RT</formula1>
    </dataValidation>
  </dataValidations>
  <pageMargins left="0.25" right="0.25" top="0.25" bottom="0.5" header="0.25" footer="0.25"/>
  <pageSetup scale="84" fitToHeight="0" orientation="portrait" horizontalDpi="1200" verticalDpi="1200" r:id="rId1"/>
  <headerFooter>
    <oddFooter>&amp;CPage &amp;P of &amp;N</oddFooter>
  </headerFooter>
  <rowBreaks count="2" manualBreakCount="2">
    <brk id="55" min="1" max="3" man="1"/>
    <brk id="156" min="1" max="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17"/>
  <sheetViews>
    <sheetView showGridLines="0" zoomScaleNormal="100" workbookViewId="0">
      <pane ySplit="3" topLeftCell="A4" activePane="bottomLeft" state="frozen"/>
      <selection pane="bottomLeft" activeCell="A4" sqref="A4"/>
    </sheetView>
  </sheetViews>
  <sheetFormatPr defaultRowHeight="14.4" x14ac:dyDescent="0.3"/>
  <cols>
    <col min="1" max="1" width="1.5546875" style="8" customWidth="1"/>
    <col min="2" max="2" width="24.109375" style="8" bestFit="1" customWidth="1"/>
    <col min="3" max="3" width="75.88671875" style="8" customWidth="1"/>
    <col min="4" max="4" width="8.88671875" style="8"/>
  </cols>
  <sheetData>
    <row r="1" spans="1:4" x14ac:dyDescent="0.3">
      <c r="A1" s="29"/>
      <c r="B1" s="29"/>
      <c r="C1" s="29"/>
      <c r="D1" s="29"/>
    </row>
    <row r="2" spans="1:4" s="39" customFormat="1" ht="21.6" thickBot="1" x14ac:dyDescent="0.45">
      <c r="A2" s="36"/>
      <c r="B2" s="37" t="s">
        <v>646</v>
      </c>
      <c r="C2" s="38"/>
      <c r="D2" s="38"/>
    </row>
    <row r="3" spans="1:4" ht="15" thickTop="1" x14ac:dyDescent="0.3">
      <c r="A3" s="29"/>
      <c r="B3" s="29"/>
      <c r="C3" s="29"/>
      <c r="D3" s="29"/>
    </row>
    <row r="4" spans="1:4" x14ac:dyDescent="0.3">
      <c r="A4" s="29"/>
      <c r="B4" s="30" t="s">
        <v>647</v>
      </c>
      <c r="C4" s="766" t="s">
        <v>1101</v>
      </c>
      <c r="D4" s="29"/>
    </row>
    <row r="5" spans="1:4" x14ac:dyDescent="0.3">
      <c r="A5" s="29"/>
      <c r="B5" s="33" t="s">
        <v>1372</v>
      </c>
      <c r="C5" s="767" t="s">
        <v>931</v>
      </c>
      <c r="D5" s="29"/>
    </row>
    <row r="6" spans="1:4" x14ac:dyDescent="0.3">
      <c r="A6" s="29"/>
      <c r="B6" s="30" t="s">
        <v>1037</v>
      </c>
      <c r="C6" s="768">
        <v>0.8</v>
      </c>
      <c r="D6" s="29"/>
    </row>
    <row r="7" spans="1:4" x14ac:dyDescent="0.3">
      <c r="A7" s="29"/>
      <c r="B7" s="29"/>
      <c r="C7" s="29"/>
      <c r="D7" s="29"/>
    </row>
    <row r="8" spans="1:4" x14ac:dyDescent="0.3">
      <c r="A8" s="29"/>
      <c r="B8" s="33" t="s">
        <v>645</v>
      </c>
      <c r="C8" s="34" t="s">
        <v>1227</v>
      </c>
      <c r="D8" s="29"/>
    </row>
    <row r="9" spans="1:4" x14ac:dyDescent="0.3">
      <c r="A9" s="29"/>
      <c r="B9" s="33" t="s">
        <v>643</v>
      </c>
      <c r="C9" s="34" t="s">
        <v>1246</v>
      </c>
      <c r="D9" s="29"/>
    </row>
    <row r="10" spans="1:4" x14ac:dyDescent="0.3">
      <c r="A10" s="29"/>
      <c r="B10" s="33" t="s">
        <v>642</v>
      </c>
      <c r="C10" s="34" t="s">
        <v>1247</v>
      </c>
      <c r="D10" s="29"/>
    </row>
    <row r="11" spans="1:4" x14ac:dyDescent="0.3">
      <c r="A11" s="29"/>
      <c r="B11" s="33" t="s">
        <v>1068</v>
      </c>
      <c r="C11" s="34" t="s">
        <v>1100</v>
      </c>
      <c r="D11" s="29"/>
    </row>
    <row r="12" spans="1:4" x14ac:dyDescent="0.3">
      <c r="A12" s="29"/>
      <c r="B12" s="33" t="s">
        <v>676</v>
      </c>
      <c r="C12" s="34" t="s">
        <v>675</v>
      </c>
      <c r="D12" s="29"/>
    </row>
    <row r="13" spans="1:4" x14ac:dyDescent="0.3">
      <c r="A13" s="29"/>
      <c r="B13" s="33" t="s">
        <v>640</v>
      </c>
      <c r="C13" s="34" t="s">
        <v>1402</v>
      </c>
      <c r="D13" s="29"/>
    </row>
    <row r="14" spans="1:4" x14ac:dyDescent="0.3">
      <c r="A14" s="29"/>
      <c r="B14" s="33" t="s">
        <v>639</v>
      </c>
      <c r="C14" s="32">
        <v>44867</v>
      </c>
      <c r="D14" s="29"/>
    </row>
    <row r="15" spans="1:4" x14ac:dyDescent="0.3">
      <c r="A15" s="29"/>
      <c r="B15" s="29"/>
      <c r="C15" s="29"/>
      <c r="D15" s="29"/>
    </row>
    <row r="16" spans="1:4" ht="399.9" customHeight="1" x14ac:dyDescent="0.3">
      <c r="A16" s="29"/>
      <c r="B16" s="450" t="s">
        <v>638</v>
      </c>
      <c r="C16" s="31" t="s">
        <v>1248</v>
      </c>
      <c r="D16" s="29"/>
    </row>
    <row r="17" spans="1:4" x14ac:dyDescent="0.3">
      <c r="A17" s="29"/>
      <c r="B17" s="29"/>
      <c r="C17" s="29"/>
      <c r="D17" s="29"/>
    </row>
  </sheetData>
  <dataValidations count="3">
    <dataValidation type="list" allowBlank="1" showInputMessage="1" showErrorMessage="1" sqref="C11" xr:uid="{00000000-0002-0000-0800-000000000000}">
      <formula1>PD</formula1>
    </dataValidation>
    <dataValidation type="list" allowBlank="1" showInputMessage="1" showErrorMessage="1" sqref="C12" xr:uid="{00000000-0002-0000-0800-000001000000}">
      <formula1>RR</formula1>
    </dataValidation>
    <dataValidation type="list" allowBlank="1" showInputMessage="1" showErrorMessage="1" sqref="C5" xr:uid="{00000000-0002-0000-0800-000002000000}">
      <formula1>"Civil Works,MILCON"</formula1>
    </dataValidation>
  </dataValidations>
  <pageMargins left="0.25" right="0.25" top="0.25" bottom="0.5" header="0.25" footer="0.25"/>
  <pageSetup scale="92" fitToHeight="0"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3000000}">
          <x14:formula1>
            <xm:f>'I-Project Contingency'!$C$23:$C$33</xm:f>
          </x14:formula1>
          <xm:sqref>C6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52</vt:i4>
      </vt:variant>
    </vt:vector>
  </HeadingPairs>
  <TitlesOfParts>
    <vt:vector size="79" baseType="lpstr">
      <vt:lpstr>0-Change Control Log</vt:lpstr>
      <vt:lpstr>1-Drop Down List</vt:lpstr>
      <vt:lpstr>2-Risk Register Legend</vt:lpstr>
      <vt:lpstr>&lt;---Reference Info</vt:lpstr>
      <vt:lpstr>A-Quick instructions</vt:lpstr>
      <vt:lpstr>B-Meeting Agenda</vt:lpstr>
      <vt:lpstr>C1-Risk Checklist (MILCON)</vt:lpstr>
      <vt:lpstr>C2-Risk Checklist (Civil Works)</vt:lpstr>
      <vt:lpstr>D-Project Data</vt:lpstr>
      <vt:lpstr>E-Cost &amp; Schedule Summary</vt:lpstr>
      <vt:lpstr>E-Cost &amp; Sched Summary (v2)</vt:lpstr>
      <vt:lpstr>H-Risk Register-Model</vt:lpstr>
      <vt:lpstr>F-Meeting Attendance</vt:lpstr>
      <vt:lpstr>G-Assumptions</vt:lpstr>
      <vt:lpstr>I-Project Contingency</vt:lpstr>
      <vt:lpstr>J-Sensitivity Charts</vt:lpstr>
      <vt:lpstr>K1-Risk Dashboard (Cost)</vt:lpstr>
      <vt:lpstr>K2-Risk Dashboard (Schedule)</vt:lpstr>
      <vt:lpstr>L-CHARTS FOR REPORT</vt:lpstr>
      <vt:lpstr>Optional Sheets--&gt;</vt:lpstr>
      <vt:lpstr>E1-Estimate Summary</vt:lpstr>
      <vt:lpstr>E2-Schedule Summary</vt:lpstr>
      <vt:lpstr>Model Assumptions</vt:lpstr>
      <vt:lpstr>Common Risk-Escalation</vt:lpstr>
      <vt:lpstr>Common Risk-Markups</vt:lpstr>
      <vt:lpstr>REF Risk Detail Template</vt:lpstr>
      <vt:lpstr>1</vt:lpstr>
      <vt:lpstr>APC</vt:lpstr>
      <vt:lpstr>CM_MO</vt:lpstr>
      <vt:lpstr>CW_WBS</vt:lpstr>
      <vt:lpstr>Distri</vt:lpstr>
      <vt:lpstr>EDC_MO</vt:lpstr>
      <vt:lpstr>FOOH_MO</vt:lpstr>
      <vt:lpstr>Impact</vt:lpstr>
      <vt:lpstr>Include</vt:lpstr>
      <vt:lpstr>LikeH</vt:lpstr>
      <vt:lpstr>MILCON_WBS</vt:lpstr>
      <vt:lpstr>PD</vt:lpstr>
      <vt:lpstr>PED_MO</vt:lpstr>
      <vt:lpstr>POC</vt:lpstr>
      <vt:lpstr>'0-Change Control Log'!Print_Area</vt:lpstr>
      <vt:lpstr>'1'!Print_Area</vt:lpstr>
      <vt:lpstr>'1-Drop Down List'!Print_Area</vt:lpstr>
      <vt:lpstr>'2-Risk Register Legend'!Print_Area</vt:lpstr>
      <vt:lpstr>'A-Quick instructions'!Print_Area</vt:lpstr>
      <vt:lpstr>'C1-Risk Checklist (MILCON)'!Print_Area</vt:lpstr>
      <vt:lpstr>'C2-Risk Checklist (Civil Works)'!Print_Area</vt:lpstr>
      <vt:lpstr>'E1-Estimate Summary'!Print_Area</vt:lpstr>
      <vt:lpstr>'E2-Schedule Summary'!Print_Area</vt:lpstr>
      <vt:lpstr>'E-Cost &amp; Schedule Summary'!Print_Area</vt:lpstr>
      <vt:lpstr>'G-Assumptions'!Print_Area</vt:lpstr>
      <vt:lpstr>'H-Risk Register-Model'!Print_Area</vt:lpstr>
      <vt:lpstr>'I-Project Contingency'!Print_Area</vt:lpstr>
      <vt:lpstr>'J-Sensitivity Charts'!Print_Area</vt:lpstr>
      <vt:lpstr>'K1-Risk Dashboard (Cost)'!Print_Area</vt:lpstr>
      <vt:lpstr>'K2-Risk Dashboard (Schedule)'!Print_Area</vt:lpstr>
      <vt:lpstr>'0-Change Control Log'!Print_Titles</vt:lpstr>
      <vt:lpstr>'1'!Print_Titles</vt:lpstr>
      <vt:lpstr>'1-Drop Down List'!Print_Titles</vt:lpstr>
      <vt:lpstr>'2-Risk Register Legend'!Print_Titles</vt:lpstr>
      <vt:lpstr>'A-Quick instructions'!Print_Titles</vt:lpstr>
      <vt:lpstr>'B-Meeting Agenda'!Print_Titles</vt:lpstr>
      <vt:lpstr>'C1-Risk Checklist (MILCON)'!Print_Titles</vt:lpstr>
      <vt:lpstr>'C2-Risk Checklist (Civil Works)'!Print_Titles</vt:lpstr>
      <vt:lpstr>'E1-Estimate Summary'!Print_Titles</vt:lpstr>
      <vt:lpstr>'E2-Schedule Summary'!Print_Titles</vt:lpstr>
      <vt:lpstr>'E-Cost &amp; Sched Summary (v2)'!Print_Titles</vt:lpstr>
      <vt:lpstr>'E-Cost &amp; Schedule Summary'!Print_Titles</vt:lpstr>
      <vt:lpstr>'F-Meeting Attendance'!Print_Titles</vt:lpstr>
      <vt:lpstr>'H-Risk Register-Model'!Print_Titles</vt:lpstr>
      <vt:lpstr>'I-Project Contingency'!Print_Titles</vt:lpstr>
      <vt:lpstr>'J-Sensitivity Charts'!Print_Titles</vt:lpstr>
      <vt:lpstr>'K1-Risk Dashboard (Cost)'!Print_Titles</vt:lpstr>
      <vt:lpstr>'K2-Risk Dashboard (Schedule)'!Print_Titles</vt:lpstr>
      <vt:lpstr>'L-CHARTS FOR REPORT'!Print_Titles</vt:lpstr>
      <vt:lpstr>'REF Risk Detail Template'!Print_Titles</vt:lpstr>
      <vt:lpstr>PROGRAM</vt:lpstr>
      <vt:lpstr>RT</vt:lpstr>
      <vt:lpstr>WBS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Dustin Sawyers</dc:creator>
  <cp:lastModifiedBy>Dustin Sawyers</cp:lastModifiedBy>
  <cp:lastPrinted>2022-11-06T22:46:13Z</cp:lastPrinted>
  <dcterms:created xsi:type="dcterms:W3CDTF">2022-03-30T12:48:30Z</dcterms:created>
  <dcterms:modified xsi:type="dcterms:W3CDTF">2022-11-08T14:14:27Z</dcterms:modified>
</cp:coreProperties>
</file>