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2.xml" ContentType="application/vnd.openxmlformats-officedocument.spreadsheetml.comments+xml"/>
  <Override PartName="/xl/customProperty4.bin" ContentType="application/vnd.openxmlformats-officedocument.spreadsheetml.customProperty"/>
  <Override PartName="/xl/comments3.xml" ContentType="application/vnd.openxmlformats-officedocument.spreadsheetml.comments+xml"/>
  <Override PartName="/xl/customProperty5.bin" ContentType="application/vnd.openxmlformats-officedocument.spreadsheetml.customProperty"/>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4.xml" ContentType="application/vnd.openxmlformats-officedocument.spreadsheetml.comments+xml"/>
  <Override PartName="/xl/customProperty6.bin" ContentType="application/vnd.openxmlformats-officedocument.spreadsheetml.customProperty"/>
  <Override PartName="/xl/drawings/drawing3.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7.bin" ContentType="application/vnd.openxmlformats-officedocument.spreadsheetml.customProperty"/>
  <Override PartName="/xl/drawings/drawing4.xml" ContentType="application/vnd.openxmlformats-officedocument.drawing+xml"/>
  <Override PartName="/xl/comments6.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ustomProperty8.bin" ContentType="application/vnd.openxmlformats-officedocument.spreadsheetml.customProperty"/>
  <Override PartName="/xl/comments7.xml" ContentType="application/vnd.openxmlformats-officedocument.spreadsheetml.comments+xml"/>
  <Override PartName="/xl/customProperty9.bin" ContentType="application/vnd.openxmlformats-officedocument.spreadsheetml.customProperty"/>
  <Override PartName="/xl/customProperty10.bin" ContentType="application/vnd.openxmlformats-officedocument.spreadsheetml.customProperty"/>
  <Override PartName="/xl/comments8.xml" ContentType="application/vnd.openxmlformats-officedocument.spreadsheetml.comments+xml"/>
  <Override PartName="/xl/customProperty11.bin" ContentType="application/vnd.openxmlformats-officedocument.spreadsheetml.customProperty"/>
  <Override PartName="/xl/drawings/drawing5.xml" ContentType="application/vnd.openxmlformats-officedocument.drawing+xml"/>
  <Override PartName="/xl/comments9.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ustomProperty12.bin" ContentType="application/vnd.openxmlformats-officedocument.spreadsheetml.customProperty"/>
  <Override PartName="/xl/customProperty13.bin" ContentType="application/vnd.openxmlformats-officedocument.spreadsheetml.customProperty"/>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NAEANRFKFS101v\bulk_cs011$\NAVFAC_LRNX_N62470_AG\DC\DCENG\MULTI-DISCIPLINE\Special Projects\Admin &amp; BFR Generator\"/>
    </mc:Choice>
  </mc:AlternateContent>
  <bookViews>
    <workbookView xWindow="0" yWindow="336" windowWidth="20844" windowHeight="11364" tabRatio="912"/>
  </bookViews>
  <sheets>
    <sheet name="Intro" sheetId="4" r:id="rId1"/>
    <sheet name="Activity" sheetId="5" r:id="rId2"/>
    <sheet name="Space_Table" sheetId="6" r:id="rId3"/>
    <sheet name="Justification" sheetId="7" r:id="rId4"/>
    <sheet name="Net_To_Gross" sheetId="9" r:id="rId5"/>
    <sheet name="Summary" sheetId="10" r:id="rId6"/>
    <sheet name="Distributed" sheetId="11" r:id="rId7"/>
    <sheet name="Detailed_Analysis" sheetId="12" state="hidden" r:id="rId8"/>
    <sheet name="Bathrooms" sheetId="17" r:id="rId9"/>
    <sheet name="Circulation" sheetId="14" r:id="rId10"/>
    <sheet name="Conference_Rooms" sheetId="16" r:id="rId11"/>
    <sheet name="Floors" sheetId="1" r:id="rId12"/>
    <sheet name="NTG_Spaces" sheetId="18" r:id="rId13"/>
    <sheet name="_SSC" sheetId="19" state="veryHidden" r:id="rId14"/>
    <sheet name="_Options" sheetId="20" state="veryHidden" r:id="rId15"/>
  </sheets>
  <externalReferences>
    <externalReference r:id="rId16"/>
    <externalReference r:id="rId17"/>
  </externalReferences>
  <definedNames>
    <definedName name="_Ctrl_1" hidden="1">Summary!$C$36</definedName>
    <definedName name="_Ctrl_10" hidden="1">Activity!$D$5</definedName>
    <definedName name="_Ctrl_101" localSheetId="1" hidden="1">Justification!#REF!</definedName>
    <definedName name="_Ctrl_101" localSheetId="8" hidden="1">Justification!#REF!</definedName>
    <definedName name="_Ctrl_101" localSheetId="9" hidden="1">[1]Justification!#REF!</definedName>
    <definedName name="_Ctrl_101" localSheetId="10" hidden="1">Justification!#REF!</definedName>
    <definedName name="_Ctrl_101" localSheetId="3" hidden="1">Justification!#REF!</definedName>
    <definedName name="_Ctrl_101" localSheetId="4" hidden="1">Justification!#REF!</definedName>
    <definedName name="_Ctrl_101" localSheetId="12" hidden="1">Justification!#REF!</definedName>
    <definedName name="_Ctrl_101" localSheetId="2" hidden="1">Justification!#REF!</definedName>
    <definedName name="_Ctrl_101" hidden="1">#REF!</definedName>
    <definedName name="_Ctrl_104" hidden="1">#REF!</definedName>
    <definedName name="_Ctrl_105" localSheetId="1" hidden="1">Justification!#REF!</definedName>
    <definedName name="_Ctrl_105" localSheetId="8" hidden="1">Justification!#REF!</definedName>
    <definedName name="_Ctrl_105" localSheetId="9" hidden="1">[1]Justification!#REF!</definedName>
    <definedName name="_Ctrl_105" localSheetId="10" hidden="1">Justification!#REF!</definedName>
    <definedName name="_Ctrl_105" localSheetId="3" hidden="1">Justification!#REF!</definedName>
    <definedName name="_Ctrl_105" localSheetId="4" hidden="1">Justification!#REF!</definedName>
    <definedName name="_Ctrl_105" localSheetId="12" hidden="1">Justification!#REF!</definedName>
    <definedName name="_Ctrl_105" localSheetId="2" hidden="1">Justification!#REF!</definedName>
    <definedName name="_Ctrl_105" hidden="1">#REF!</definedName>
    <definedName name="_Ctrl_107" hidden="1">#REF!</definedName>
    <definedName name="_Ctrl_108" localSheetId="1" hidden="1">Activity!#REF!</definedName>
    <definedName name="_Ctrl_108" localSheetId="8" hidden="1">Justification!#REF!</definedName>
    <definedName name="_Ctrl_108" localSheetId="9" hidden="1">[1]Justification!#REF!</definedName>
    <definedName name="_Ctrl_108" localSheetId="10" hidden="1">Justification!#REF!</definedName>
    <definedName name="_Ctrl_108" localSheetId="3" hidden="1">Justification!#REF!</definedName>
    <definedName name="_Ctrl_108" localSheetId="4" hidden="1">Justification!#REF!</definedName>
    <definedName name="_Ctrl_108" localSheetId="12" hidden="1">Justification!#REF!</definedName>
    <definedName name="_Ctrl_108" localSheetId="2" hidden="1">Justification!#REF!</definedName>
    <definedName name="_Ctrl_108" hidden="1">#REF!</definedName>
    <definedName name="_Ctrl_11" hidden="1">Activity!$C$6</definedName>
    <definedName name="_Ctrl_110" localSheetId="1" hidden="1">Activity!$H$28</definedName>
    <definedName name="_Ctrl_110" localSheetId="8" hidden="1">Justification!#REF!</definedName>
    <definedName name="_Ctrl_110" localSheetId="9" hidden="1">[1]Justification!#REF!</definedName>
    <definedName name="_Ctrl_110" localSheetId="10" hidden="1">Justification!#REF!</definedName>
    <definedName name="_Ctrl_110" localSheetId="3" hidden="1">Justification!#REF!</definedName>
    <definedName name="_Ctrl_110" localSheetId="4" hidden="1">Justification!#REF!</definedName>
    <definedName name="_Ctrl_110" localSheetId="12" hidden="1">Justification!#REF!</definedName>
    <definedName name="_Ctrl_110" localSheetId="2" hidden="1">Justification!#REF!</definedName>
    <definedName name="_Ctrl_110" hidden="1">#REF!</definedName>
    <definedName name="_Ctrl_12" hidden="1">Activity!$C$7</definedName>
    <definedName name="_Ctrl_120" localSheetId="1" hidden="1">Justification!#REF!</definedName>
    <definedName name="_Ctrl_120" localSheetId="8" hidden="1">Justification!#REF!</definedName>
    <definedName name="_Ctrl_120" localSheetId="9" hidden="1">[1]Justification!#REF!</definedName>
    <definedName name="_Ctrl_120" localSheetId="10" hidden="1">Justification!#REF!</definedName>
    <definedName name="_Ctrl_120" localSheetId="3" hidden="1">Justification!#REF!</definedName>
    <definedName name="_Ctrl_120" localSheetId="4" hidden="1">Justification!#REF!</definedName>
    <definedName name="_Ctrl_120" localSheetId="12" hidden="1">Justification!#REF!</definedName>
    <definedName name="_Ctrl_120" localSheetId="2" hidden="1">Justification!#REF!</definedName>
    <definedName name="_Ctrl_120" hidden="1">#REF!</definedName>
    <definedName name="_Ctrl_121" hidden="1">#REF!</definedName>
    <definedName name="_Ctrl_122" hidden="1">#REF!</definedName>
    <definedName name="_Ctrl_123" hidden="1">#REF!</definedName>
    <definedName name="_Ctrl_128" hidden="1">Justification!#REF!</definedName>
    <definedName name="_Ctrl_13" hidden="1">Activity!$C$11</definedName>
    <definedName name="_Ctrl_130" hidden="1">Justification!#REF!</definedName>
    <definedName name="_Ctrl_132" hidden="1">Justification!#REF!</definedName>
    <definedName name="_Ctrl_134" hidden="1">Justification!#REF!</definedName>
    <definedName name="_Ctrl_136" hidden="1">Justification!#REF!</definedName>
    <definedName name="_Ctrl_139" hidden="1">Justification!#REF!</definedName>
    <definedName name="_Ctrl_14" localSheetId="1" hidden="1">Activity!$D$21</definedName>
    <definedName name="_Ctrl_14" localSheetId="8" hidden="1">#REF!</definedName>
    <definedName name="_Ctrl_14" localSheetId="9" hidden="1">'[1]General Admin'!#REF!</definedName>
    <definedName name="_Ctrl_14" localSheetId="10" hidden="1">#REF!</definedName>
    <definedName name="_Ctrl_14" localSheetId="3" hidden="1">Justification!#REF!</definedName>
    <definedName name="_Ctrl_14" localSheetId="4" hidden="1">#REF!</definedName>
    <definedName name="_Ctrl_14" localSheetId="12" hidden="1">#REF!</definedName>
    <definedName name="_Ctrl_14" localSheetId="2" hidden="1">#REF!</definedName>
    <definedName name="_Ctrl_14" hidden="1">#REF!</definedName>
    <definedName name="_Ctrl_140" hidden="1">Justification!#REF!</definedName>
    <definedName name="_Ctrl_141" hidden="1">Justification!#REF!</definedName>
    <definedName name="_Ctrl_143" hidden="1">Justification!#REF!</definedName>
    <definedName name="_Ctrl_144" hidden="1">Justification!#REF!</definedName>
    <definedName name="_Ctrl_15" localSheetId="1" hidden="1">Activity!$D$21</definedName>
    <definedName name="_Ctrl_15" localSheetId="8" hidden="1">#REF!</definedName>
    <definedName name="_Ctrl_15" localSheetId="9" hidden="1">'[1]General Admin'!#REF!</definedName>
    <definedName name="_Ctrl_15" localSheetId="10" hidden="1">#REF!</definedName>
    <definedName name="_Ctrl_15" localSheetId="3" hidden="1">Justification!#REF!</definedName>
    <definedName name="_Ctrl_15" localSheetId="4" hidden="1">#REF!</definedName>
    <definedName name="_Ctrl_15" localSheetId="12" hidden="1">#REF!</definedName>
    <definedName name="_Ctrl_15" localSheetId="2" hidden="1">#REF!</definedName>
    <definedName name="_Ctrl_15" hidden="1">#REF!</definedName>
    <definedName name="_Ctrl_152" localSheetId="1" hidden="1">Space_Table!#REF!</definedName>
    <definedName name="_Ctrl_152" localSheetId="8" hidden="1">Space_Table!#REF!</definedName>
    <definedName name="_Ctrl_152" localSheetId="9" hidden="1">'[1]Special Purpose'!#REF!</definedName>
    <definedName name="_Ctrl_152" localSheetId="10" hidden="1">Space_Table!#REF!</definedName>
    <definedName name="_Ctrl_152" localSheetId="3" hidden="1">Justification!#REF!</definedName>
    <definedName name="_Ctrl_152" localSheetId="4" hidden="1">Space_Table!#REF!</definedName>
    <definedName name="_Ctrl_152" localSheetId="12" hidden="1">Space_Table!#REF!</definedName>
    <definedName name="_Ctrl_152" localSheetId="2" hidden="1">Space_Table!#REF!</definedName>
    <definedName name="_Ctrl_152" hidden="1">#REF!</definedName>
    <definedName name="_Ctrl_153" hidden="1">Justification!#REF!</definedName>
    <definedName name="_Ctrl_154" localSheetId="3" hidden="1">Justification!#REF!</definedName>
    <definedName name="_Ctrl_154" hidden="1">#REF!</definedName>
    <definedName name="_Ctrl_156" localSheetId="3" hidden="1">Justification!#REF!</definedName>
    <definedName name="_Ctrl_156" hidden="1">#REF!</definedName>
    <definedName name="_Ctrl_158" localSheetId="3" hidden="1">Justification!#REF!</definedName>
    <definedName name="_Ctrl_158" hidden="1">#REF!</definedName>
    <definedName name="_Ctrl_159" localSheetId="1" hidden="1">Justification!#REF!</definedName>
    <definedName name="_Ctrl_159" localSheetId="8" hidden="1">Justification!#REF!</definedName>
    <definedName name="_Ctrl_159" localSheetId="9" hidden="1">[1]Justification!#REF!</definedName>
    <definedName name="_Ctrl_159" localSheetId="10" hidden="1">Justification!#REF!</definedName>
    <definedName name="_Ctrl_159" localSheetId="3" hidden="1">Justification!#REF!</definedName>
    <definedName name="_Ctrl_159" localSheetId="4" hidden="1">Net_To_Gross!$D$112</definedName>
    <definedName name="_Ctrl_159" localSheetId="12" hidden="1">Justification!#REF!</definedName>
    <definedName name="_Ctrl_159" localSheetId="2" hidden="1">Justification!#REF!</definedName>
    <definedName name="_Ctrl_159" hidden="1">#REF!</definedName>
    <definedName name="_Ctrl_166" localSheetId="1" hidden="1">Justification!#REF!</definedName>
    <definedName name="_Ctrl_166" localSheetId="8" hidden="1">Justification!#REF!</definedName>
    <definedName name="_Ctrl_166" localSheetId="9" hidden="1">[1]Justification!#REF!</definedName>
    <definedName name="_Ctrl_166" localSheetId="10" hidden="1">Justification!#REF!</definedName>
    <definedName name="_Ctrl_166" localSheetId="3" hidden="1">Justification!#REF!</definedName>
    <definedName name="_Ctrl_166" localSheetId="4" hidden="1">Justification!#REF!</definedName>
    <definedName name="_Ctrl_166" localSheetId="12" hidden="1">Justification!#REF!</definedName>
    <definedName name="_Ctrl_166" localSheetId="2" hidden="1">Justification!#REF!</definedName>
    <definedName name="_Ctrl_166" hidden="1">#REF!</definedName>
    <definedName name="_Ctrl_167" localSheetId="3" hidden="1">Justification!#REF!</definedName>
    <definedName name="_Ctrl_167" hidden="1">Activity!#REF!</definedName>
    <definedName name="_Ctrl_168" localSheetId="1" hidden="1">Activity!#REF!</definedName>
    <definedName name="_Ctrl_168" localSheetId="8" hidden="1">Justification!#REF!</definedName>
    <definedName name="_Ctrl_168" localSheetId="9" hidden="1">[1]Justification!#REF!</definedName>
    <definedName name="_Ctrl_168" localSheetId="10" hidden="1">Justification!#REF!</definedName>
    <definedName name="_Ctrl_168" localSheetId="3" hidden="1">Justification!#REF!</definedName>
    <definedName name="_Ctrl_168" localSheetId="4" hidden="1">Justification!#REF!</definedName>
    <definedName name="_Ctrl_168" localSheetId="12" hidden="1">Justification!#REF!</definedName>
    <definedName name="_Ctrl_168" localSheetId="2" hidden="1">Justification!#REF!</definedName>
    <definedName name="_Ctrl_168" hidden="1">#REF!</definedName>
    <definedName name="_Ctrl_17" hidden="1">Summary!$C$34</definedName>
    <definedName name="_Ctrl_171" localSheetId="3" hidden="1">Justification!#REF!</definedName>
    <definedName name="_Ctrl_171" hidden="1">#REF!</definedName>
    <definedName name="_Ctrl_172" localSheetId="3" hidden="1">Justification!#REF!</definedName>
    <definedName name="_Ctrl_172" hidden="1">#REF!</definedName>
    <definedName name="_Ctrl_173" localSheetId="3" hidden="1">Justification!$D$45</definedName>
    <definedName name="_Ctrl_173" hidden="1">#REF!</definedName>
    <definedName name="_Ctrl_174" localSheetId="3" hidden="1">Justification!$D$48</definedName>
    <definedName name="_Ctrl_174" hidden="1">#REF!</definedName>
    <definedName name="_Ctrl_175" localSheetId="3" hidden="1">Justification!$D$49</definedName>
    <definedName name="_Ctrl_175" hidden="1">#REF!</definedName>
    <definedName name="_Ctrl_176" localSheetId="3" hidden="1">Justification!#REF!</definedName>
    <definedName name="_Ctrl_176" hidden="1">#REF!</definedName>
    <definedName name="_Ctrl_177" localSheetId="3" hidden="1">Justification!#REF!</definedName>
    <definedName name="_Ctrl_177" hidden="1">#REF!</definedName>
    <definedName name="_Ctrl_178" localSheetId="3" hidden="1">Justification!#REF!</definedName>
    <definedName name="_Ctrl_178" hidden="1">#REF!</definedName>
    <definedName name="_Ctrl_179" localSheetId="3" hidden="1">Justification!#REF!</definedName>
    <definedName name="_Ctrl_179" hidden="1">#REF!</definedName>
    <definedName name="_Ctrl_18" hidden="1">Summary!$H$33</definedName>
    <definedName name="_Ctrl_185" localSheetId="1" hidden="1">Activity!$H$28</definedName>
    <definedName name="_Ctrl_185" localSheetId="8" hidden="1">#REF!</definedName>
    <definedName name="_Ctrl_185" localSheetId="9" hidden="1">'[1]General Admin'!#REF!</definedName>
    <definedName name="_Ctrl_185" localSheetId="10" hidden="1">#REF!</definedName>
    <definedName name="_Ctrl_185" localSheetId="3" hidden="1">#REF!</definedName>
    <definedName name="_Ctrl_185" localSheetId="4" hidden="1">#REF!</definedName>
    <definedName name="_Ctrl_185" localSheetId="12" hidden="1">#REF!</definedName>
    <definedName name="_Ctrl_185" localSheetId="2" hidden="1">#REF!</definedName>
    <definedName name="_Ctrl_185" hidden="1">#REF!</definedName>
    <definedName name="_Ctrl_189" localSheetId="3" hidden="1">Justification!$D$65</definedName>
    <definedName name="_Ctrl_189" hidden="1">#REF!</definedName>
    <definedName name="_Ctrl_19" hidden="1">Summary!$H$34</definedName>
    <definedName name="_Ctrl_190" localSheetId="3" hidden="1">Justification!$D$66</definedName>
    <definedName name="_Ctrl_190" hidden="1">#REF!</definedName>
    <definedName name="_Ctrl_191" localSheetId="3" hidden="1">Justification!$D$65</definedName>
    <definedName name="_Ctrl_191" hidden="1">#REF!</definedName>
    <definedName name="_Ctrl_192" hidden="1">#REF!</definedName>
    <definedName name="_Ctrl_193" localSheetId="3" hidden="1">Justification!$D$65</definedName>
    <definedName name="_Ctrl_193" hidden="1">#REF!</definedName>
    <definedName name="_Ctrl_194" localSheetId="1" hidden="1">Justification!#REF!</definedName>
    <definedName name="_Ctrl_194" localSheetId="8" hidden="1">Justification!#REF!</definedName>
    <definedName name="_Ctrl_194" localSheetId="9" hidden="1">[1]Justification!#REF!</definedName>
    <definedName name="_Ctrl_194" localSheetId="10" hidden="1">Justification!#REF!</definedName>
    <definedName name="_Ctrl_194" localSheetId="3" hidden="1">Justification!$D$63</definedName>
    <definedName name="_Ctrl_194" localSheetId="4" hidden="1">Justification!#REF!</definedName>
    <definedName name="_Ctrl_194" localSheetId="12" hidden="1">Justification!#REF!</definedName>
    <definedName name="_Ctrl_194" localSheetId="2" hidden="1">Justification!#REF!</definedName>
    <definedName name="_Ctrl_194" hidden="1">#REF!</definedName>
    <definedName name="_Ctrl_195" hidden="1">#REF!</definedName>
    <definedName name="_Ctrl_196" localSheetId="3" hidden="1">Justification!$D$63</definedName>
    <definedName name="_Ctrl_196" hidden="1">#REF!</definedName>
    <definedName name="_Ctrl_197" localSheetId="3" hidden="1">Justification!$D$63</definedName>
    <definedName name="_Ctrl_197" hidden="1">#REF!</definedName>
    <definedName name="_Ctrl_198" localSheetId="1" hidden="1">Justification!#REF!</definedName>
    <definedName name="_Ctrl_198" localSheetId="8" hidden="1">Justification!#REF!</definedName>
    <definedName name="_Ctrl_198" localSheetId="9" hidden="1">[1]Justification!#REF!</definedName>
    <definedName name="_Ctrl_198" localSheetId="10" hidden="1">Justification!#REF!</definedName>
    <definedName name="_Ctrl_198" localSheetId="3" hidden="1">Justification!$D$64</definedName>
    <definedName name="_Ctrl_198" localSheetId="4" hidden="1">Justification!#REF!</definedName>
    <definedName name="_Ctrl_198" localSheetId="12" hidden="1">Justification!#REF!</definedName>
    <definedName name="_Ctrl_198" localSheetId="2" hidden="1">Justification!#REF!</definedName>
    <definedName name="_Ctrl_198" hidden="1">#REF!</definedName>
    <definedName name="_Ctrl_199" localSheetId="3" hidden="1">Justification!$D$70</definedName>
    <definedName name="_Ctrl_199" hidden="1">#REF!</definedName>
    <definedName name="_Ctrl_2" hidden="1">Activity!$C$21</definedName>
    <definedName name="_Ctrl_20" hidden="1">Summary!$C$33</definedName>
    <definedName name="_Ctrl_200" localSheetId="3" hidden="1">Justification!$D$63</definedName>
    <definedName name="_Ctrl_200" hidden="1">#REF!</definedName>
    <definedName name="_Ctrl_201" localSheetId="1" hidden="1">Justification!#REF!</definedName>
    <definedName name="_Ctrl_201" localSheetId="8" hidden="1">Justification!#REF!</definedName>
    <definedName name="_Ctrl_201" localSheetId="9" hidden="1">[1]Justification!#REF!</definedName>
    <definedName name="_Ctrl_201" localSheetId="10" hidden="1">Justification!#REF!</definedName>
    <definedName name="_Ctrl_201" localSheetId="3" hidden="1">Justification!$D$63</definedName>
    <definedName name="_Ctrl_201" localSheetId="4" hidden="1">Justification!#REF!</definedName>
    <definedName name="_Ctrl_201" localSheetId="12" hidden="1">Justification!#REF!</definedName>
    <definedName name="_Ctrl_201" localSheetId="2" hidden="1">Justification!#REF!</definedName>
    <definedName name="_Ctrl_201" hidden="1">#REF!</definedName>
    <definedName name="_Ctrl_202" localSheetId="3" hidden="1">Justification!$D$63</definedName>
    <definedName name="_Ctrl_202" hidden="1">#REF!</definedName>
    <definedName name="_Ctrl_203" localSheetId="1" hidden="1">Justification!#REF!</definedName>
    <definedName name="_Ctrl_203" localSheetId="8" hidden="1">Justification!#REF!</definedName>
    <definedName name="_Ctrl_203" localSheetId="9" hidden="1">[1]Justification!#REF!</definedName>
    <definedName name="_Ctrl_203" localSheetId="10" hidden="1">Justification!#REF!</definedName>
    <definedName name="_Ctrl_203" localSheetId="3" hidden="1">Justification!$D$63</definedName>
    <definedName name="_Ctrl_203" localSheetId="4" hidden="1">Justification!#REF!</definedName>
    <definedName name="_Ctrl_203" localSheetId="12" hidden="1">Justification!#REF!</definedName>
    <definedName name="_Ctrl_203" localSheetId="2" hidden="1">Justification!#REF!</definedName>
    <definedName name="_Ctrl_203" hidden="1">#REF!</definedName>
    <definedName name="_Ctrl_204" localSheetId="3" hidden="1">Justification!$D$64</definedName>
    <definedName name="_Ctrl_204" hidden="1">#REF!</definedName>
    <definedName name="_Ctrl_205" localSheetId="1" hidden="1">Justification!#REF!</definedName>
    <definedName name="_Ctrl_205" localSheetId="8" hidden="1">Justification!#REF!</definedName>
    <definedName name="_Ctrl_205" localSheetId="9" hidden="1">[1]Justification!#REF!</definedName>
    <definedName name="_Ctrl_205" localSheetId="10" hidden="1">Justification!#REF!</definedName>
    <definedName name="_Ctrl_205" localSheetId="3" hidden="1">Justification!$D$65</definedName>
    <definedName name="_Ctrl_205" localSheetId="4" hidden="1">Justification!#REF!</definedName>
    <definedName name="_Ctrl_205" localSheetId="12" hidden="1">Justification!#REF!</definedName>
    <definedName name="_Ctrl_205" localSheetId="2" hidden="1">Justification!#REF!</definedName>
    <definedName name="_Ctrl_205" hidden="1">#REF!</definedName>
    <definedName name="_Ctrl_206" localSheetId="1" hidden="1">Justification!#REF!</definedName>
    <definedName name="_Ctrl_206" localSheetId="8" hidden="1">Justification!#REF!</definedName>
    <definedName name="_Ctrl_206" localSheetId="9" hidden="1">[1]Justification!#REF!</definedName>
    <definedName name="_Ctrl_206" localSheetId="10" hidden="1">Justification!#REF!</definedName>
    <definedName name="_Ctrl_206" localSheetId="3" hidden="1">Justification!$D$66</definedName>
    <definedName name="_Ctrl_206" localSheetId="4" hidden="1">Justification!#REF!</definedName>
    <definedName name="_Ctrl_206" localSheetId="12" hidden="1">Justification!#REF!</definedName>
    <definedName name="_Ctrl_206" localSheetId="2" hidden="1">Justification!#REF!</definedName>
    <definedName name="_Ctrl_206" hidden="1">#REF!</definedName>
    <definedName name="_Ctrl_207" localSheetId="1" hidden="1">Justification!#REF!</definedName>
    <definedName name="_Ctrl_207" localSheetId="8" hidden="1">Justification!#REF!</definedName>
    <definedName name="_Ctrl_207" localSheetId="9" hidden="1">[1]Justification!#REF!</definedName>
    <definedName name="_Ctrl_207" localSheetId="10" hidden="1">Justification!#REF!</definedName>
    <definedName name="_Ctrl_207" localSheetId="3" hidden="1">Justification!$D$67</definedName>
    <definedName name="_Ctrl_207" localSheetId="4" hidden="1">Justification!#REF!</definedName>
    <definedName name="_Ctrl_207" localSheetId="12" hidden="1">Justification!#REF!</definedName>
    <definedName name="_Ctrl_207" localSheetId="2" hidden="1">Justification!#REF!</definedName>
    <definedName name="_Ctrl_207" hidden="1">#REF!</definedName>
    <definedName name="_Ctrl_208" localSheetId="3" hidden="1">Justification!$D$68</definedName>
    <definedName name="_Ctrl_208" hidden="1">#REF!</definedName>
    <definedName name="_Ctrl_209" hidden="1">Justification!$D$69</definedName>
    <definedName name="_Ctrl_21" hidden="1">Activity!$D$21</definedName>
    <definedName name="_Ctrl_210" hidden="1">Justification!$D$70</definedName>
    <definedName name="_Ctrl_211" hidden="1">Justification!$D$63</definedName>
    <definedName name="_Ctrl_212" hidden="1">Justification!$D$64</definedName>
    <definedName name="_Ctrl_213" hidden="1">Justification!$D$65</definedName>
    <definedName name="_Ctrl_214" hidden="1">Justification!$D$66</definedName>
    <definedName name="_Ctrl_215" hidden="1">Justification!$D$67</definedName>
    <definedName name="_Ctrl_216" hidden="1">Justification!$D$68</definedName>
    <definedName name="_Ctrl_22" hidden="1">Activity!$E$21</definedName>
    <definedName name="_Ctrl_220" hidden="1">Summary!#REF!</definedName>
    <definedName name="_Ctrl_23" hidden="1">Activity!$C$5</definedName>
    <definedName name="_Ctrl_239" hidden="1">Activity!#REF!</definedName>
    <definedName name="_Ctrl_24" hidden="1">Activity!$C$2</definedName>
    <definedName name="_Ctrl_247" hidden="1">Space_Table!#REF!</definedName>
    <definedName name="_Ctrl_256" hidden="1">Summary!#REF!</definedName>
    <definedName name="_Ctrl_269" hidden="1">#REF!</definedName>
    <definedName name="_Ctrl_270" localSheetId="1" hidden="1">Justification!#REF!</definedName>
    <definedName name="_Ctrl_270" localSheetId="8" hidden="1">Justification!#REF!</definedName>
    <definedName name="_Ctrl_270" localSheetId="9" hidden="1">[1]Justification!#REF!</definedName>
    <definedName name="_Ctrl_270" localSheetId="10" hidden="1">Justification!#REF!</definedName>
    <definedName name="_Ctrl_270" localSheetId="3" hidden="1">Justification!#REF!</definedName>
    <definedName name="_Ctrl_270" localSheetId="4" hidden="1">Justification!#REF!</definedName>
    <definedName name="_Ctrl_270" localSheetId="12" hidden="1">Justification!#REF!</definedName>
    <definedName name="_Ctrl_270" localSheetId="2" hidden="1">Justification!#REF!</definedName>
    <definedName name="_Ctrl_270" hidden="1">Summary!#REF!</definedName>
    <definedName name="_Ctrl_271" localSheetId="1" hidden="1">Justification!#REF!</definedName>
    <definedName name="_Ctrl_271" localSheetId="8" hidden="1">Justification!#REF!</definedName>
    <definedName name="_Ctrl_271" localSheetId="9" hidden="1">[1]Justification!#REF!</definedName>
    <definedName name="_Ctrl_271" localSheetId="10" hidden="1">Justification!#REF!</definedName>
    <definedName name="_Ctrl_271" localSheetId="3" hidden="1">Justification!#REF!</definedName>
    <definedName name="_Ctrl_271" localSheetId="4" hidden="1">Justification!#REF!</definedName>
    <definedName name="_Ctrl_271" localSheetId="12" hidden="1">Justification!#REF!</definedName>
    <definedName name="_Ctrl_271" localSheetId="2" hidden="1">Justification!#REF!</definedName>
    <definedName name="_Ctrl_271" hidden="1">#REF!</definedName>
    <definedName name="_Ctrl_273" hidden="1">Justification!#REF!</definedName>
    <definedName name="_Ctrl_274" localSheetId="1" hidden="1">Activity!#REF!</definedName>
    <definedName name="_Ctrl_274" hidden="1">Justification!#REF!</definedName>
    <definedName name="_Ctrl_275" hidden="1">Justification!#REF!</definedName>
    <definedName name="_Ctrl_276" localSheetId="1" hidden="1">Activity!#REF!</definedName>
    <definedName name="_Ctrl_276" localSheetId="8" hidden="1">Activity!#REF!</definedName>
    <definedName name="_Ctrl_276" localSheetId="9" hidden="1">[1]Activity!#REF!</definedName>
    <definedName name="_Ctrl_276" localSheetId="10" hidden="1">Activity!#REF!</definedName>
    <definedName name="_Ctrl_276" localSheetId="3" hidden="1">Justification!#REF!</definedName>
    <definedName name="_Ctrl_276" localSheetId="4" hidden="1">Activity!#REF!</definedName>
    <definedName name="_Ctrl_276" localSheetId="12" hidden="1">Activity!#REF!</definedName>
    <definedName name="_Ctrl_276" localSheetId="2" hidden="1">Activity!#REF!</definedName>
    <definedName name="_Ctrl_276" hidden="1">#REF!</definedName>
    <definedName name="_Ctrl_277" localSheetId="1" hidden="1">Activity!#REF!</definedName>
    <definedName name="_Ctrl_277" hidden="1">Justification!#REF!</definedName>
    <definedName name="_Ctrl_280" hidden="1">Summary!#REF!</definedName>
    <definedName name="_Ctrl_281" hidden="1">Summary!#REF!</definedName>
    <definedName name="_Ctrl_284" localSheetId="1" hidden="1">Activity!#REF!</definedName>
    <definedName name="_Ctrl_284" localSheetId="8" hidden="1">Activity!#REF!</definedName>
    <definedName name="_Ctrl_284" localSheetId="9" hidden="1">[1]Activity!#REF!</definedName>
    <definedName name="_Ctrl_284" localSheetId="10" hidden="1">Activity!#REF!</definedName>
    <definedName name="_Ctrl_284" localSheetId="3" hidden="1">Justification!#REF!</definedName>
    <definedName name="_Ctrl_284" localSheetId="4" hidden="1">Activity!#REF!</definedName>
    <definedName name="_Ctrl_284" localSheetId="12" hidden="1">Activity!#REF!</definedName>
    <definedName name="_Ctrl_284" localSheetId="2" hidden="1">Activity!#REF!</definedName>
    <definedName name="_Ctrl_284" hidden="1">#REF!</definedName>
    <definedName name="_Ctrl_285" hidden="1">Justification!#REF!</definedName>
    <definedName name="_Ctrl_286" localSheetId="1" hidden="1">Activity!#REF!</definedName>
    <definedName name="_Ctrl_286" localSheetId="8" hidden="1">Activity!#REF!</definedName>
    <definedName name="_Ctrl_286" localSheetId="9" hidden="1">[1]Activity!#REF!</definedName>
    <definedName name="_Ctrl_286" localSheetId="10" hidden="1">Activity!#REF!</definedName>
    <definedName name="_Ctrl_286" localSheetId="3" hidden="1">Justification!#REF!</definedName>
    <definedName name="_Ctrl_286" localSheetId="4" hidden="1">Activity!#REF!</definedName>
    <definedName name="_Ctrl_286" localSheetId="12" hidden="1">Activity!#REF!</definedName>
    <definedName name="_Ctrl_286" localSheetId="2" hidden="1">Activity!#REF!</definedName>
    <definedName name="_Ctrl_286" hidden="1">#REF!</definedName>
    <definedName name="_Ctrl_287" hidden="1">Summary!#REF!</definedName>
    <definedName name="_Ctrl_291" hidden="1">#REF!</definedName>
    <definedName name="_Ctrl_298" localSheetId="1" hidden="1">#REF!</definedName>
    <definedName name="_Ctrl_298" localSheetId="8" hidden="1">#REF!</definedName>
    <definedName name="_Ctrl_298" localSheetId="9" hidden="1">#REF!</definedName>
    <definedName name="_Ctrl_298" localSheetId="10" hidden="1">#REF!</definedName>
    <definedName name="_Ctrl_298" localSheetId="3" hidden="1">#REF!</definedName>
    <definedName name="_Ctrl_298" localSheetId="4" hidden="1">#REF!</definedName>
    <definedName name="_Ctrl_298" localSheetId="12" hidden="1">#REF!</definedName>
    <definedName name="_Ctrl_298" localSheetId="2" hidden="1">#REF!</definedName>
    <definedName name="_Ctrl_298" hidden="1">#REF!</definedName>
    <definedName name="_Ctrl_299" localSheetId="1" hidden="1">#REF!</definedName>
    <definedName name="_Ctrl_299" localSheetId="8" hidden="1">#REF!</definedName>
    <definedName name="_Ctrl_299" localSheetId="9" hidden="1">#REF!</definedName>
    <definedName name="_Ctrl_299" localSheetId="10" hidden="1">#REF!</definedName>
    <definedName name="_Ctrl_299" localSheetId="3" hidden="1">#REF!</definedName>
    <definedName name="_Ctrl_299" localSheetId="4" hidden="1">#REF!</definedName>
    <definedName name="_Ctrl_299" localSheetId="12" hidden="1">#REF!</definedName>
    <definedName name="_Ctrl_299" localSheetId="2" hidden="1">#REF!</definedName>
    <definedName name="_Ctrl_299" hidden="1">#REF!</definedName>
    <definedName name="_Ctrl_3" localSheetId="1" hidden="1">Activity!$D$21</definedName>
    <definedName name="_Ctrl_3" localSheetId="8" hidden="1">Activity!#REF!</definedName>
    <definedName name="_Ctrl_3" localSheetId="9" hidden="1">[1]Activity!#REF!</definedName>
    <definedName name="_Ctrl_3" localSheetId="10" hidden="1">Activity!#REF!</definedName>
    <definedName name="_Ctrl_3" localSheetId="3" hidden="1">Activity!#REF!</definedName>
    <definedName name="_Ctrl_3" localSheetId="4" hidden="1">Activity!#REF!</definedName>
    <definedName name="_Ctrl_3" localSheetId="12" hidden="1">Activity!#REF!</definedName>
    <definedName name="_Ctrl_3" localSheetId="2" hidden="1">Activity!#REF!</definedName>
    <definedName name="_Ctrl_3" hidden="1">#REF!</definedName>
    <definedName name="_Ctrl_301" hidden="1">#REF!</definedName>
    <definedName name="_Ctrl_302" hidden="1">#REF!</definedName>
    <definedName name="_Ctrl_303" hidden="1">#REF!</definedName>
    <definedName name="_Ctrl_304" localSheetId="1" hidden="1">Activity!#REF!</definedName>
    <definedName name="_Ctrl_304" localSheetId="8" hidden="1">Activity!#REF!</definedName>
    <definedName name="_Ctrl_304" localSheetId="9" hidden="1">[1]Activity!#REF!</definedName>
    <definedName name="_Ctrl_304" localSheetId="10" hidden="1">Activity!#REF!</definedName>
    <definedName name="_Ctrl_304" localSheetId="3" hidden="1">Activity!#REF!</definedName>
    <definedName name="_Ctrl_304" localSheetId="4" hidden="1">Activity!#REF!</definedName>
    <definedName name="_Ctrl_304" localSheetId="12" hidden="1">Activity!#REF!</definedName>
    <definedName name="_Ctrl_304" localSheetId="2" hidden="1">Activity!#REF!</definedName>
    <definedName name="_Ctrl_304" hidden="1">#REF!</definedName>
    <definedName name="_Ctrl_305" hidden="1">#REF!</definedName>
    <definedName name="_Ctrl_307" hidden="1">#REF!</definedName>
    <definedName name="_Ctrl_308" hidden="1">Activity!#REF!</definedName>
    <definedName name="_Ctrl_309" localSheetId="1" hidden="1">Activity!#REF!</definedName>
    <definedName name="_Ctrl_309" localSheetId="8" hidden="1">#REF!</definedName>
    <definedName name="_Ctrl_309" localSheetId="9" hidden="1">[1]Summary!#REF!</definedName>
    <definedName name="_Ctrl_309" localSheetId="10" hidden="1">#REF!</definedName>
    <definedName name="_Ctrl_309" localSheetId="3" hidden="1">#REF!</definedName>
    <definedName name="_Ctrl_309" localSheetId="4" hidden="1">#REF!</definedName>
    <definedName name="_Ctrl_309" localSheetId="12" hidden="1">#REF!</definedName>
    <definedName name="_Ctrl_309" localSheetId="2" hidden="1">#REF!</definedName>
    <definedName name="_Ctrl_309" hidden="1">#REF!</definedName>
    <definedName name="_Ctrl_310" hidden="1">Summary!#REF!</definedName>
    <definedName name="_Ctrl_311" hidden="1">Summary!#REF!</definedName>
    <definedName name="_Ctrl_313" hidden="1">#REF!</definedName>
    <definedName name="_Ctrl_314" hidden="1">Activity!#REF!</definedName>
    <definedName name="_Ctrl_315" hidden="1">Activity!#REF!</definedName>
    <definedName name="_Ctrl_316" hidden="1">Summary!#REF!</definedName>
    <definedName name="_Ctrl_317" localSheetId="1" hidden="1">Detailed_Analysis!#REF!</definedName>
    <definedName name="_Ctrl_317" localSheetId="8" hidden="1">Activity!#REF!</definedName>
    <definedName name="_Ctrl_317" localSheetId="9" hidden="1">[1]Activity!#REF!</definedName>
    <definedName name="_Ctrl_317" localSheetId="10" hidden="1">Activity!#REF!</definedName>
    <definedName name="_Ctrl_317" localSheetId="3" hidden="1">Activity!#REF!</definedName>
    <definedName name="_Ctrl_317" localSheetId="4" hidden="1">Activity!#REF!</definedName>
    <definedName name="_Ctrl_317" localSheetId="12" hidden="1">Activity!#REF!</definedName>
    <definedName name="_Ctrl_317" localSheetId="2" hidden="1">Activity!#REF!</definedName>
    <definedName name="_Ctrl_317" hidden="1">#REF!</definedName>
    <definedName name="_Ctrl_320" localSheetId="1" hidden="1">Activity!$C$7</definedName>
    <definedName name="_Ctrl_320" hidden="1">#REF!</definedName>
    <definedName name="_Ctrl_323" hidden="1">Summary!#REF!</definedName>
    <definedName name="_Ctrl_324" localSheetId="3" hidden="1">Justification!#REF!</definedName>
    <definedName name="_Ctrl_324" hidden="1">Summary!#REF!</definedName>
    <definedName name="_Ctrl_328" localSheetId="8" hidden="1">Net_To_Gross!$D$112</definedName>
    <definedName name="_Ctrl_328" localSheetId="9" hidden="1">Net_To_Gross!$D$112</definedName>
    <definedName name="_Ctrl_328" localSheetId="10" hidden="1">Net_To_Gross!$D$112</definedName>
    <definedName name="_Ctrl_328" localSheetId="7" hidden="1">Net_To_Gross!$D$112</definedName>
    <definedName name="_Ctrl_328" localSheetId="6" hidden="1">Net_To_Gross!$D$112</definedName>
    <definedName name="_Ctrl_328" localSheetId="4" hidden="1">Net_To_Gross!$D$112</definedName>
    <definedName name="_Ctrl_328" localSheetId="12" hidden="1">Net_To_Gross!$D$112</definedName>
    <definedName name="_Ctrl_328" localSheetId="5" hidden="1">Net_To_Gross!$D$112</definedName>
    <definedName name="_Ctrl_328" hidden="1">#REF!</definedName>
    <definedName name="_Ctrl_331" localSheetId="1" hidden="1">Activity!$D$25</definedName>
    <definedName name="_Ctrl_331" hidden="1">#REF!</definedName>
    <definedName name="_Ctrl_332" localSheetId="1" hidden="1">Activity!$E$25</definedName>
    <definedName name="_Ctrl_332" hidden="1">#REF!</definedName>
    <definedName name="_Ctrl_333" localSheetId="1" hidden="1">Activity!$D$25</definedName>
    <definedName name="_Ctrl_333" hidden="1">#REF!</definedName>
    <definedName name="_Ctrl_340" localSheetId="4" hidden="1">Net_To_Gross!$D$107</definedName>
    <definedName name="_Ctrl_340" hidden="1">#REF!</definedName>
    <definedName name="_Ctrl_341" localSheetId="4" hidden="1">Net_To_Gross!$D$107</definedName>
    <definedName name="_Ctrl_341" hidden="1">#REF!</definedName>
    <definedName name="_Ctrl_344" hidden="1">Distributed!#REF!</definedName>
    <definedName name="_Ctrl_346" hidden="1">Distributed!#REF!</definedName>
    <definedName name="_Ctrl_347" hidden="1">Distributed!#REF!</definedName>
    <definedName name="_Ctrl_351" hidden="1">Distributed!#REF!</definedName>
    <definedName name="_Ctrl_352" localSheetId="1" hidden="1">Activity!$C$6</definedName>
    <definedName name="_Ctrl_352" hidden="1">Distributed!#REF!</definedName>
    <definedName name="_Ctrl_353" hidden="1">Distributed!#REF!</definedName>
    <definedName name="_Ctrl_363" hidden="1">Distributed!#REF!</definedName>
    <definedName name="_Ctrl_364" localSheetId="1" hidden="1">Activity!#REF!</definedName>
    <definedName name="_Ctrl_364" localSheetId="8" hidden="1">Activity!#REF!</definedName>
    <definedName name="_Ctrl_364" localSheetId="9" hidden="1">[1]Activity!#REF!</definedName>
    <definedName name="_Ctrl_364" localSheetId="10" hidden="1">Activity!#REF!</definedName>
    <definedName name="_Ctrl_364" localSheetId="3" hidden="1">Activity!#REF!</definedName>
    <definedName name="_Ctrl_364" localSheetId="4" hidden="1">Activity!#REF!</definedName>
    <definedName name="_Ctrl_364" localSheetId="12" hidden="1">Activity!#REF!</definedName>
    <definedName name="_Ctrl_364" localSheetId="2" hidden="1">Activity!#REF!</definedName>
    <definedName name="_Ctrl_364" hidden="1">Distributed!#REF!</definedName>
    <definedName name="_Ctrl_365" hidden="1">Distributed!#REF!</definedName>
    <definedName name="_Ctrl_366" hidden="1">Distributed!#REF!</definedName>
    <definedName name="_Ctrl_367" hidden="1">Distributed!#REF!</definedName>
    <definedName name="_Ctrl_368" hidden="1">Distributed!#REF!</definedName>
    <definedName name="_Ctrl_369" hidden="1">Distributed!#REF!</definedName>
    <definedName name="_Ctrl_375" hidden="1">Distributed!#REF!</definedName>
    <definedName name="_Ctrl_38" hidden="1">Justification!#REF!</definedName>
    <definedName name="_Ctrl_380" hidden="1">Activity!#REF!</definedName>
    <definedName name="_Ctrl_381" hidden="1">Activity!#REF!</definedName>
    <definedName name="_Ctrl_382" hidden="1">Activity!$D$5</definedName>
    <definedName name="_Ctrl_383" hidden="1">Activity!$C$7</definedName>
    <definedName name="_Ctrl_384" hidden="1">Activity!$C$2</definedName>
    <definedName name="_Ctrl_386" hidden="1">Activity!#REF!</definedName>
    <definedName name="_Ctrl_387" hidden="1">Activity!#REF!</definedName>
    <definedName name="_Ctrl_388" hidden="1">Activity!#REF!</definedName>
    <definedName name="_Ctrl_389" hidden="1">Activity!#REF!</definedName>
    <definedName name="_Ctrl_39" hidden="1">Justification!#REF!</definedName>
    <definedName name="_Ctrl_390" hidden="1">Activity!$C$21</definedName>
    <definedName name="_Ctrl_391" hidden="1">Activity!$D$21</definedName>
    <definedName name="_Ctrl_392" hidden="1">Activity!#REF!</definedName>
    <definedName name="_Ctrl_4" hidden="1">Activity!#REF!</definedName>
    <definedName name="_Ctrl_41" hidden="1">Justification!#REF!</definedName>
    <definedName name="_Ctrl_46" hidden="1">Justification!#REF!</definedName>
    <definedName name="_Ctrl_47" hidden="1">Justification!#REF!</definedName>
    <definedName name="_Ctrl_49" hidden="1">Justification!#REF!</definedName>
    <definedName name="_Ctrl_5" hidden="1">Activity!$C$3</definedName>
    <definedName name="_Ctrl_6" hidden="1">Activity!$D$3</definedName>
    <definedName name="_Ctrl_67" localSheetId="1" hidden="1">Justification!#REF!</definedName>
    <definedName name="_Ctrl_67" localSheetId="8" hidden="1">Justification!#REF!</definedName>
    <definedName name="_Ctrl_67" localSheetId="9" hidden="1">[1]Justification!#REF!</definedName>
    <definedName name="_Ctrl_67" localSheetId="10" hidden="1">Justification!#REF!</definedName>
    <definedName name="_Ctrl_67" localSheetId="3" hidden="1">Justification!#REF!</definedName>
    <definedName name="_Ctrl_67" localSheetId="4" hidden="1">Justification!#REF!</definedName>
    <definedName name="_Ctrl_67" localSheetId="12" hidden="1">Justification!#REF!</definedName>
    <definedName name="_Ctrl_67" localSheetId="2" hidden="1">Justification!#REF!</definedName>
    <definedName name="_Ctrl_67" hidden="1">#REF!</definedName>
    <definedName name="_Ctrl_68" localSheetId="1" hidden="1">Activity!$C$21</definedName>
    <definedName name="_Ctrl_68" hidden="1">#REF!</definedName>
    <definedName name="_Ctrl_69" localSheetId="1" hidden="1">Activity!$D$21</definedName>
    <definedName name="_Ctrl_69" hidden="1">#REF!</definedName>
    <definedName name="_Ctrl_7" hidden="1">Activity!$C$4</definedName>
    <definedName name="_Ctrl_70" localSheetId="2" hidden="1">Space_Table!$A$49</definedName>
    <definedName name="_Ctrl_70" hidden="1">#REF!</definedName>
    <definedName name="_Ctrl_73" hidden="1">Activity!$C$7</definedName>
    <definedName name="_Ctrl_74" hidden="1">Justification!#REF!</definedName>
    <definedName name="_Ctrl_75" hidden="1">Justification!#REF!</definedName>
    <definedName name="_Ctrl_77" hidden="1">Justification!#REF!</definedName>
    <definedName name="_Ctrl_78" hidden="1">Justification!#REF!</definedName>
    <definedName name="_Ctrl_79" hidden="1">Justification!#REF!</definedName>
    <definedName name="_Ctrl_8" hidden="1">Activity!$D$4</definedName>
    <definedName name="_Ctrl_80" hidden="1">Justification!#REF!</definedName>
    <definedName name="_Ctrl_81" hidden="1">Justification!#REF!</definedName>
    <definedName name="_Ctrl_82" hidden="1">Justification!#REF!</definedName>
    <definedName name="_Ctrl_83" hidden="1">Justification!#REF!</definedName>
    <definedName name="_Ctrl_84" hidden="1">Justification!#REF!</definedName>
    <definedName name="_Ctrl_86" hidden="1">Justification!#REF!</definedName>
    <definedName name="_Ctrl_87" hidden="1">Justification!#REF!</definedName>
    <definedName name="_Ctrl_9" hidden="1">Activity!#REF!</definedName>
    <definedName name="_ctrl_ram_10" hidden="1">Detailed_Analysis!#REF!</definedName>
    <definedName name="_ctrl_ram_100" hidden="1">Detailed_Analysis!#REF!</definedName>
    <definedName name="_ctrl_ram_101" hidden="1">#REF!</definedName>
    <definedName name="_ctrl_ram_102" hidden="1">#REF!</definedName>
    <definedName name="_ctrl_ram_11" hidden="1">Detailed_Analysis!#REF!</definedName>
    <definedName name="_ctrl_ram_12" hidden="1">#REF!</definedName>
    <definedName name="_ctrl_ram_129" hidden="1">#REF!</definedName>
    <definedName name="_ctrl_ram_13" hidden="1">#REF!</definedName>
    <definedName name="_ctrl_ram_131" hidden="1">#REF!</definedName>
    <definedName name="_ctrl_ram_133" hidden="1">#REF!</definedName>
    <definedName name="_ctrl_ram_135" hidden="1">#REF!</definedName>
    <definedName name="_ctrl_ram_137" hidden="1">#REF!</definedName>
    <definedName name="_ctrl_ram_138" hidden="1">#REF!</definedName>
    <definedName name="_ctrl_ram_142" hidden="1">#REF!</definedName>
    <definedName name="_ctrl_ram_145" hidden="1">#REF!</definedName>
    <definedName name="_ctrl_ram_146" hidden="1">#REF!</definedName>
    <definedName name="_ctrl_ram_147" hidden="1">#REF!</definedName>
    <definedName name="_ctrl_ram_148" hidden="1">#REF!</definedName>
    <definedName name="_ctrl_ram_149" hidden="1">#REF!</definedName>
    <definedName name="_ctrl_ram_151" hidden="1">Detailed_Analysis!#REF!</definedName>
    <definedName name="_ctrl_ram_154" hidden="1">#REF!</definedName>
    <definedName name="_ctrl_ram_156" hidden="1">Detailed_Analysis!#REF!</definedName>
    <definedName name="_ctrl_ram_166" hidden="1">#REF!</definedName>
    <definedName name="_ctrl_ram_167" hidden="1">Activity!#REF!</definedName>
    <definedName name="_ctrl_ram_169" hidden="1">Detailed_Analysis!#REF!</definedName>
    <definedName name="_ctrl_ram_170" hidden="1">Detailed_Analysis!#REF!</definedName>
    <definedName name="_ctrl_ram_171" hidden="1">Detailed_Analysis!#REF!</definedName>
    <definedName name="_ctrl_ram_172" hidden="1">Detailed_Analysis!#REF!</definedName>
    <definedName name="_ctrl_ram_173" hidden="1">Detailed_Analysis!#REF!</definedName>
    <definedName name="_ctrl_ram_174" hidden="1">Detailed_Analysis!#REF!</definedName>
    <definedName name="_ctrl_ram_175" hidden="1">Detailed_Analysis!#REF!</definedName>
    <definedName name="_ctrl_ram_176" hidden="1">Detailed_Analysis!#REF!</definedName>
    <definedName name="_ctrl_ram_177" hidden="1">Detailed_Analysis!#REF!</definedName>
    <definedName name="_ctrl_ram_178" hidden="1">Detailed_Analysis!#REF!</definedName>
    <definedName name="_ctrl_ram_179" hidden="1">Detailed_Analysis!#REF!</definedName>
    <definedName name="_ctrl_ram_189" hidden="1">Activity!#REF!</definedName>
    <definedName name="_ctrl_ram_2" hidden="1">Detailed_Analysis!#REF!</definedName>
    <definedName name="_ctrl_ram_240" hidden="1">Detailed_Analysis!#REF!</definedName>
    <definedName name="_ctrl_ram_242" hidden="1">Detailed_Analysis!#REF!</definedName>
    <definedName name="_ctrl_ram_243" hidden="1">Detailed_Analysis!#REF!</definedName>
    <definedName name="_ctrl_ram_244" hidden="1">Detailed_Analysis!#REF!</definedName>
    <definedName name="_ctrl_ram_245" hidden="1">Detailed_Analysis!#REF!</definedName>
    <definedName name="_ctrl_ram_246" hidden="1">Detailed_Analysis!#REF!</definedName>
    <definedName name="_ctrl_ram_251" hidden="1">Detailed_Analysis!#REF!</definedName>
    <definedName name="_ctrl_ram_252" hidden="1">Detailed_Analysis!#REF!</definedName>
    <definedName name="_ctrl_ram_26" hidden="1">Detailed_Analysis!#REF!</definedName>
    <definedName name="_ctrl_ram_27" hidden="1">Detailed_Analysis!#REF!</definedName>
    <definedName name="_ctrl_ram_271" hidden="1">Detailed_Analysis!#REF!</definedName>
    <definedName name="_ctrl_ram_28" hidden="1">#REF!</definedName>
    <definedName name="_ctrl_ram_288" hidden="1">Detailed_Analysis!#REF!</definedName>
    <definedName name="_ctrl_ram_289" hidden="1">Detailed_Analysis!#REF!</definedName>
    <definedName name="_ctrl_ram_29" hidden="1">Detailed_Analysis!#REF!</definedName>
    <definedName name="_ctrl_ram_290" hidden="1">Detailed_Analysis!#REF!</definedName>
    <definedName name="_ctrl_ram_294" hidden="1">Detailed_Analysis!#REF!</definedName>
    <definedName name="_ctrl_ram_295" hidden="1">Detailed_Analysis!#REF!</definedName>
    <definedName name="_ctrl_ram_296" hidden="1">Detailed_Analysis!#REF!</definedName>
    <definedName name="_ctrl_ram_297" hidden="1">Detailed_Analysis!#REF!</definedName>
    <definedName name="_ctrl_ram_298" hidden="1">Detailed_Analysis!#REF!</definedName>
    <definedName name="_ctrl_ram_299" hidden="1">Detailed_Analysis!#REF!</definedName>
    <definedName name="_ctrl_ram_3" hidden="1">Detailed_Analysis!#REF!</definedName>
    <definedName name="_ctrl_ram_30" hidden="1">Detailed_Analysis!#REF!</definedName>
    <definedName name="_ctrl_ram_300" hidden="1">Detailed_Analysis!#REF!</definedName>
    <definedName name="_ctrl_ram_31" hidden="1">#REF!</definedName>
    <definedName name="_ctrl_ram_317" hidden="1">Detailed_Analysis!#REF!</definedName>
    <definedName name="_ctrl_ram_32" hidden="1">Detailed_Analysis!#REF!</definedName>
    <definedName name="_ctrl_ram_323" hidden="1">#REF!</definedName>
    <definedName name="_ctrl_ram_326" hidden="1">#REF!</definedName>
    <definedName name="_ctrl_ram_327" hidden="1">#REF!</definedName>
    <definedName name="_ctrl_ram_328" hidden="1">#REF!</definedName>
    <definedName name="_ctrl_ram_329" hidden="1">Detailed_Analysis!#REF!</definedName>
    <definedName name="_ctrl_ram_33" hidden="1">Detailed_Analysis!#REF!</definedName>
    <definedName name="_ctrl_ram_330" hidden="1">Detailed_Analysis!#REF!</definedName>
    <definedName name="_ctrl_ram_34" hidden="1">Detailed_Analysis!#REF!</definedName>
    <definedName name="_ctrl_ram_35" hidden="1">Detailed_Analysis!#REF!</definedName>
    <definedName name="_ctrl_ram_36" hidden="1">Detailed_Analysis!#REF!</definedName>
    <definedName name="_ctrl_ram_371" hidden="1">Detailed_Analysis!#REF!</definedName>
    <definedName name="_ctrl_ram_374" hidden="1">Detailed_Analysis!#REF!</definedName>
    <definedName name="_ctrl_ram_375" hidden="1">Detailed_Analysis!#REF!</definedName>
    <definedName name="_ctrl_ram_377" hidden="1">#REF!</definedName>
    <definedName name="_ctrl_ram_380" hidden="1">Detailed_Analysis!#REF!</definedName>
    <definedName name="_ctrl_ram_381" hidden="1">Detailed_Analysis!#REF!</definedName>
    <definedName name="_ctrl_ram_382" hidden="1">Detailed_Analysis!#REF!</definedName>
    <definedName name="_ctrl_ram_383" hidden="1">Detailed_Analysis!#REF!</definedName>
    <definedName name="_ctrl_ram_393" hidden="1">#REF!</definedName>
    <definedName name="_ctrl_ram_55" hidden="1">Detailed_Analysis!#REF!</definedName>
    <definedName name="_ctrl_ram_56" hidden="1">#REF!</definedName>
    <definedName name="_ctrl_ram_57" hidden="1">#REF!</definedName>
    <definedName name="_ctrl_ram_58" hidden="1">Detailed_Analysis!#REF!</definedName>
    <definedName name="_ctrl_ram_59" hidden="1">#REF!</definedName>
    <definedName name="_ctrl_ram_6" hidden="1">Detailed_Analysis!#REF!</definedName>
    <definedName name="_ctrl_ram_60" hidden="1">Detailed_Analysis!#REF!</definedName>
    <definedName name="_ctrl_ram_61" hidden="1">Detailed_Analysis!#REF!</definedName>
    <definedName name="_ctrl_ram_62" hidden="1">Detailed_Analysis!#REF!</definedName>
    <definedName name="_ctrl_ram_63" hidden="1">Detailed_Analysis!#REF!</definedName>
    <definedName name="_ctrl_ram_64" hidden="1">#REF!</definedName>
    <definedName name="_ctrl_ram_65" hidden="1">#REF!</definedName>
    <definedName name="_ctrl_ram_66" hidden="1">Detailed_Analysis!#REF!</definedName>
    <definedName name="_ctrl_ram_67" hidden="1">#REF!</definedName>
    <definedName name="_ctrl_ram_68" hidden="1">Detailed_Analysis!#REF!</definedName>
    <definedName name="_ctrl_ram_69" hidden="1">Detailed_Analysis!#REF!</definedName>
    <definedName name="_ctrl_ram_7" hidden="1">Detailed_Analysis!#REF!</definedName>
    <definedName name="_ctrl_ram_70" hidden="1">Detailed_Analysis!#REF!</definedName>
    <definedName name="_ctrl_ram_71" hidden="1">Detailed_Analysis!#REF!</definedName>
    <definedName name="_ctrl_ram_72" hidden="1">Detailed_Analysis!#REF!</definedName>
    <definedName name="_ctrl_ram_8" hidden="1">Detailed_Analysis!#REF!</definedName>
    <definedName name="_ctrl_ram_88" hidden="1">#REF!</definedName>
    <definedName name="_ctrl_ram_89" hidden="1">#REF!</definedName>
    <definedName name="_ctrl_ram_9" hidden="1">Detailed_Analysis!#REF!</definedName>
    <definedName name="_ctrl_ram_90" hidden="1">#REF!</definedName>
    <definedName name="_ctrl_ram_91" hidden="1">Detailed_Analysis!#REF!</definedName>
    <definedName name="_ctrl_ram_92" hidden="1">#REF!</definedName>
    <definedName name="_ctrl_ram_93" hidden="1">#REF!</definedName>
    <definedName name="_ctrl_ram_94" hidden="1">#REF!</definedName>
    <definedName name="_ctrl_ram_95" hidden="1">#REF!</definedName>
    <definedName name="_ctrl_ram_96" hidden="1">#REF!</definedName>
    <definedName name="_ctrl_ram_97" hidden="1">#REF!</definedName>
    <definedName name="_ctrl_ram_98" hidden="1">#REF!</definedName>
    <definedName name="_ctrl_ram_99" hidden="1">#REF!</definedName>
    <definedName name="_ddd_ctr_Ctrl_260" localSheetId="1" hidden="1">Activity!$C$3</definedName>
    <definedName name="_ddd_ctr_Ctrl_260" hidden="1">#REF!</definedName>
    <definedName name="_ddd_ctr_Ctrl_263" localSheetId="1" hidden="1">Activity!$C$3</definedName>
    <definedName name="_ddd_ctr_Ctrl_263" hidden="1">#REF!</definedName>
    <definedName name="_ddd_ctr_Ctrl_267" hidden="1">#REF!</definedName>
    <definedName name="_ddd_ctr_Ctrl_290" localSheetId="1" hidden="1">#REF!</definedName>
    <definedName name="_ddd_ctr_Ctrl_290" localSheetId="8" hidden="1">#REF!</definedName>
    <definedName name="_ddd_ctr_Ctrl_290" localSheetId="9" hidden="1">#REF!</definedName>
    <definedName name="_ddd_ctr_Ctrl_290" localSheetId="10" hidden="1">#REF!</definedName>
    <definedName name="_ddd_ctr_Ctrl_290" localSheetId="3" hidden="1">#REF!</definedName>
    <definedName name="_ddd_ctr_Ctrl_290" localSheetId="4" hidden="1">#REF!</definedName>
    <definedName name="_ddd_ctr_Ctrl_290" localSheetId="12" hidden="1">#REF!</definedName>
    <definedName name="_ddd_ctr_Ctrl_290" localSheetId="2" hidden="1">#REF!</definedName>
    <definedName name="_ddd_ctr_Ctrl_290" hidden="1">#REF!</definedName>
    <definedName name="_ddd_ctr_Ctrl_293" localSheetId="1" hidden="1">#REF!</definedName>
    <definedName name="_ddd_ctr_Ctrl_293" localSheetId="8" hidden="1">#REF!</definedName>
    <definedName name="_ddd_ctr_Ctrl_293" localSheetId="9" hidden="1">#REF!</definedName>
    <definedName name="_ddd_ctr_Ctrl_293" localSheetId="10" hidden="1">#REF!</definedName>
    <definedName name="_ddd_ctr_Ctrl_293" localSheetId="3" hidden="1">#REF!</definedName>
    <definedName name="_ddd_ctr_Ctrl_293" localSheetId="4" hidden="1">#REF!</definedName>
    <definedName name="_ddd_ctr_Ctrl_293" localSheetId="12" hidden="1">#REF!</definedName>
    <definedName name="_ddd_ctr_Ctrl_293" localSheetId="2" hidden="1">#REF!</definedName>
    <definedName name="_ddd_ctr_Ctrl_293" hidden="1">#REF!</definedName>
    <definedName name="_ddd_ctr_Ctrl_294" localSheetId="1" hidden="1">Activity!$C$3</definedName>
    <definedName name="_ddd_ctr_Ctrl_294" hidden="1">#REF!</definedName>
    <definedName name="_ddd_ctr_Ctrl_295" localSheetId="1" hidden="1">Activity!$C$3</definedName>
    <definedName name="_ddd_ctr_Ctrl_295" hidden="1">#REF!</definedName>
    <definedName name="_ddd_ctr_Ctrl_300" localSheetId="1" hidden="1">#REF!</definedName>
    <definedName name="_ddd_ctr_Ctrl_300" localSheetId="8" hidden="1">#REF!</definedName>
    <definedName name="_ddd_ctr_Ctrl_300" localSheetId="9" hidden="1">#REF!</definedName>
    <definedName name="_ddd_ctr_Ctrl_300" localSheetId="10" hidden="1">#REF!</definedName>
    <definedName name="_ddd_ctr_Ctrl_300" localSheetId="3" hidden="1">#REF!</definedName>
    <definedName name="_ddd_ctr_Ctrl_300" localSheetId="4" hidden="1">#REF!</definedName>
    <definedName name="_ddd_ctr_Ctrl_300" localSheetId="12" hidden="1">#REF!</definedName>
    <definedName name="_ddd_ctr_Ctrl_300" localSheetId="2" hidden="1">#REF!</definedName>
    <definedName name="_ddd_ctr_Ctrl_300" hidden="1">#REF!</definedName>
    <definedName name="_ddd_ctr_Ctrl_301" localSheetId="1" hidden="1">#REF!</definedName>
    <definedName name="_ddd_ctr_Ctrl_301" localSheetId="8" hidden="1">#REF!</definedName>
    <definedName name="_ddd_ctr_Ctrl_301" localSheetId="9" hidden="1">#REF!</definedName>
    <definedName name="_ddd_ctr_Ctrl_301" localSheetId="10" hidden="1">#REF!</definedName>
    <definedName name="_ddd_ctr_Ctrl_301" localSheetId="3" hidden="1">#REF!</definedName>
    <definedName name="_ddd_ctr_Ctrl_301" localSheetId="4" hidden="1">#REF!</definedName>
    <definedName name="_ddd_ctr_Ctrl_301" localSheetId="12" hidden="1">#REF!</definedName>
    <definedName name="_ddd_ctr_Ctrl_301" localSheetId="2" hidden="1">#REF!</definedName>
    <definedName name="_ddd_ctr_Ctrl_301" hidden="1">#REF!</definedName>
    <definedName name="_ddd_dr_Ctrl_259" localSheetId="1" hidden="1">#REF!</definedName>
    <definedName name="_ddd_dr_Ctrl_259" localSheetId="8" hidden="1">#REF!</definedName>
    <definedName name="_ddd_dr_Ctrl_259" localSheetId="9" hidden="1">#REF!</definedName>
    <definedName name="_ddd_dr_Ctrl_259" localSheetId="10" hidden="1">#REF!</definedName>
    <definedName name="_ddd_dr_Ctrl_259" localSheetId="3" hidden="1">#REF!</definedName>
    <definedName name="_ddd_dr_Ctrl_259" localSheetId="4" hidden="1">#REF!</definedName>
    <definedName name="_ddd_dr_Ctrl_259" localSheetId="12" hidden="1">#REF!</definedName>
    <definedName name="_ddd_dr_Ctrl_259" localSheetId="2" hidden="1">#REF!</definedName>
    <definedName name="_ddd_dr_Ctrl_259" hidden="1">#REF!</definedName>
    <definedName name="_ddd_dr_Ctrl_260" localSheetId="1" hidden="1">#REF!</definedName>
    <definedName name="_ddd_dr_Ctrl_260" localSheetId="8" hidden="1">#REF!</definedName>
    <definedName name="_ddd_dr_Ctrl_260" localSheetId="9" hidden="1">#REF!</definedName>
    <definedName name="_ddd_dr_Ctrl_260" localSheetId="10" hidden="1">#REF!</definedName>
    <definedName name="_ddd_dr_Ctrl_260" localSheetId="3" hidden="1">#REF!</definedName>
    <definedName name="_ddd_dr_Ctrl_260" localSheetId="4" hidden="1">#REF!</definedName>
    <definedName name="_ddd_dr_Ctrl_260" localSheetId="12" hidden="1">#REF!</definedName>
    <definedName name="_ddd_dr_Ctrl_260" localSheetId="2" hidden="1">#REF!</definedName>
    <definedName name="_ddd_dr_Ctrl_260" hidden="1">#REF!</definedName>
    <definedName name="_ddd_dr_Ctrl_261" localSheetId="1" hidden="1">#REF!</definedName>
    <definedName name="_ddd_dr_Ctrl_261" localSheetId="8" hidden="1">#REF!</definedName>
    <definedName name="_ddd_dr_Ctrl_261" localSheetId="9" hidden="1">#REF!</definedName>
    <definedName name="_ddd_dr_Ctrl_261" localSheetId="10" hidden="1">#REF!</definedName>
    <definedName name="_ddd_dr_Ctrl_261" localSheetId="3" hidden="1">#REF!</definedName>
    <definedName name="_ddd_dr_Ctrl_261" localSheetId="4" hidden="1">#REF!</definedName>
    <definedName name="_ddd_dr_Ctrl_261" localSheetId="12" hidden="1">#REF!</definedName>
    <definedName name="_ddd_dr_Ctrl_261" localSheetId="2" hidden="1">#REF!</definedName>
    <definedName name="_ddd_dr_Ctrl_261" hidden="1">#REF!</definedName>
    <definedName name="_ddd_dr_Ctrl_262" hidden="1">#REF!</definedName>
    <definedName name="_ddd_dr_Ctrl_263" localSheetId="1" hidden="1">#REF!</definedName>
    <definedName name="_ddd_dr_Ctrl_263" localSheetId="8" hidden="1">#REF!</definedName>
    <definedName name="_ddd_dr_Ctrl_263" localSheetId="9" hidden="1">#REF!</definedName>
    <definedName name="_ddd_dr_Ctrl_263" localSheetId="10" hidden="1">#REF!</definedName>
    <definedName name="_ddd_dr_Ctrl_263" localSheetId="3" hidden="1">#REF!</definedName>
    <definedName name="_ddd_dr_Ctrl_263" localSheetId="4" hidden="1">#REF!</definedName>
    <definedName name="_ddd_dr_Ctrl_263" localSheetId="12" hidden="1">#REF!</definedName>
    <definedName name="_ddd_dr_Ctrl_263" localSheetId="2" hidden="1">#REF!</definedName>
    <definedName name="_ddd_dr_Ctrl_263" hidden="1">#REF!</definedName>
    <definedName name="_ddd_dr_Ctrl_265" localSheetId="1" hidden="1">#REF!</definedName>
    <definedName name="_ddd_dr_Ctrl_265" localSheetId="8" hidden="1">#REF!</definedName>
    <definedName name="_ddd_dr_Ctrl_265" localSheetId="9" hidden="1">#REF!</definedName>
    <definedName name="_ddd_dr_Ctrl_265" localSheetId="10" hidden="1">#REF!</definedName>
    <definedName name="_ddd_dr_Ctrl_265" localSheetId="3" hidden="1">#REF!</definedName>
    <definedName name="_ddd_dr_Ctrl_265" localSheetId="4" hidden="1">#REF!</definedName>
    <definedName name="_ddd_dr_Ctrl_265" localSheetId="12" hidden="1">#REF!</definedName>
    <definedName name="_ddd_dr_Ctrl_265" localSheetId="2" hidden="1">#REF!</definedName>
    <definedName name="_ddd_dr_Ctrl_265" hidden="1">#REF!</definedName>
    <definedName name="_ddd_dr_Ctrl_266" localSheetId="1" hidden="1">#REF!</definedName>
    <definedName name="_ddd_dr_Ctrl_266" localSheetId="8" hidden="1">#REF!</definedName>
    <definedName name="_ddd_dr_Ctrl_266" localSheetId="9" hidden="1">#REF!</definedName>
    <definedName name="_ddd_dr_Ctrl_266" localSheetId="10" hidden="1">#REF!</definedName>
    <definedName name="_ddd_dr_Ctrl_266" localSheetId="3" hidden="1">#REF!</definedName>
    <definedName name="_ddd_dr_Ctrl_266" localSheetId="4" hidden="1">#REF!</definedName>
    <definedName name="_ddd_dr_Ctrl_266" localSheetId="12" hidden="1">#REF!</definedName>
    <definedName name="_ddd_dr_Ctrl_266" localSheetId="2" hidden="1">#REF!</definedName>
    <definedName name="_ddd_dr_Ctrl_266" hidden="1">#REF!</definedName>
    <definedName name="_ddd_dr_Ctrl_267" localSheetId="1" hidden="1">#REF!</definedName>
    <definedName name="_ddd_dr_Ctrl_267" localSheetId="8" hidden="1">#REF!</definedName>
    <definedName name="_ddd_dr_Ctrl_267" localSheetId="9" hidden="1">#REF!</definedName>
    <definedName name="_ddd_dr_Ctrl_267" localSheetId="10" hidden="1">#REF!</definedName>
    <definedName name="_ddd_dr_Ctrl_267" localSheetId="3" hidden="1">#REF!</definedName>
    <definedName name="_ddd_dr_Ctrl_267" localSheetId="4" hidden="1">#REF!</definedName>
    <definedName name="_ddd_dr_Ctrl_267" localSheetId="12" hidden="1">#REF!</definedName>
    <definedName name="_ddd_dr_Ctrl_267" localSheetId="2" hidden="1">#REF!</definedName>
    <definedName name="_ddd_dr_Ctrl_267" hidden="1">#REF!</definedName>
    <definedName name="_ddd_dr_Ctrl_289" localSheetId="1" hidden="1">#REF!</definedName>
    <definedName name="_ddd_dr_Ctrl_289" localSheetId="8" hidden="1">#REF!</definedName>
    <definedName name="_ddd_dr_Ctrl_289" localSheetId="9" hidden="1">#REF!</definedName>
    <definedName name="_ddd_dr_Ctrl_289" localSheetId="10" hidden="1">#REF!</definedName>
    <definedName name="_ddd_dr_Ctrl_289" localSheetId="3" hidden="1">#REF!</definedName>
    <definedName name="_ddd_dr_Ctrl_289" localSheetId="4" hidden="1">#REF!</definedName>
    <definedName name="_ddd_dr_Ctrl_289" localSheetId="12" hidden="1">#REF!</definedName>
    <definedName name="_ddd_dr_Ctrl_289" localSheetId="2" hidden="1">#REF!</definedName>
    <definedName name="_ddd_dr_Ctrl_289" hidden="1">#REF!</definedName>
    <definedName name="_ddd_dr_Ctrl_290" localSheetId="1" hidden="1">#REF!</definedName>
    <definedName name="_ddd_dr_Ctrl_290" localSheetId="8" hidden="1">#REF!</definedName>
    <definedName name="_ddd_dr_Ctrl_290" localSheetId="9" hidden="1">#REF!</definedName>
    <definedName name="_ddd_dr_Ctrl_290" localSheetId="10" hidden="1">#REF!</definedName>
    <definedName name="_ddd_dr_Ctrl_290" localSheetId="3" hidden="1">#REF!</definedName>
    <definedName name="_ddd_dr_Ctrl_290" localSheetId="4" hidden="1">#REF!</definedName>
    <definedName name="_ddd_dr_Ctrl_290" localSheetId="12" hidden="1">#REF!</definedName>
    <definedName name="_ddd_dr_Ctrl_290" localSheetId="2" hidden="1">#REF!</definedName>
    <definedName name="_ddd_dr_Ctrl_290" hidden="1">#REF!</definedName>
    <definedName name="_ddd_dr_Ctrl_292" localSheetId="1" hidden="1">#REF!</definedName>
    <definedName name="_ddd_dr_Ctrl_292" localSheetId="8" hidden="1">#REF!</definedName>
    <definedName name="_ddd_dr_Ctrl_292" localSheetId="9" hidden="1">#REF!</definedName>
    <definedName name="_ddd_dr_Ctrl_292" localSheetId="10" hidden="1">#REF!</definedName>
    <definedName name="_ddd_dr_Ctrl_292" localSheetId="3" hidden="1">#REF!</definedName>
    <definedName name="_ddd_dr_Ctrl_292" localSheetId="4" hidden="1">#REF!</definedName>
    <definedName name="_ddd_dr_Ctrl_292" localSheetId="12" hidden="1">#REF!</definedName>
    <definedName name="_ddd_dr_Ctrl_292" localSheetId="2" hidden="1">#REF!</definedName>
    <definedName name="_ddd_dr_Ctrl_292" hidden="1">#REF!</definedName>
    <definedName name="_ddd_dr_Ctrl_293" localSheetId="1" hidden="1">#REF!</definedName>
    <definedName name="_ddd_dr_Ctrl_293" localSheetId="8" hidden="1">#REF!</definedName>
    <definedName name="_ddd_dr_Ctrl_293" localSheetId="9" hidden="1">#REF!</definedName>
    <definedName name="_ddd_dr_Ctrl_293" localSheetId="10" hidden="1">#REF!</definedName>
    <definedName name="_ddd_dr_Ctrl_293" localSheetId="3" hidden="1">#REF!</definedName>
    <definedName name="_ddd_dr_Ctrl_293" localSheetId="4" hidden="1">#REF!</definedName>
    <definedName name="_ddd_dr_Ctrl_293" localSheetId="12" hidden="1">#REF!</definedName>
    <definedName name="_ddd_dr_Ctrl_293" localSheetId="2" hidden="1">#REF!</definedName>
    <definedName name="_ddd_dr_Ctrl_293" hidden="1">#REF!</definedName>
    <definedName name="_ddd_dr_Ctrl_294" localSheetId="1" hidden="1">#REF!</definedName>
    <definedName name="_ddd_dr_Ctrl_294" localSheetId="8" hidden="1">#REF!</definedName>
    <definedName name="_ddd_dr_Ctrl_294" localSheetId="9" hidden="1">#REF!</definedName>
    <definedName name="_ddd_dr_Ctrl_294" localSheetId="10" hidden="1">#REF!</definedName>
    <definedName name="_ddd_dr_Ctrl_294" localSheetId="3" hidden="1">#REF!</definedName>
    <definedName name="_ddd_dr_Ctrl_294" localSheetId="4" hidden="1">#REF!</definedName>
    <definedName name="_ddd_dr_Ctrl_294" localSheetId="12" hidden="1">#REF!</definedName>
    <definedName name="_ddd_dr_Ctrl_294" localSheetId="2" hidden="1">#REF!</definedName>
    <definedName name="_ddd_dr_Ctrl_294" hidden="1">#REF!</definedName>
    <definedName name="_ddd_dr_Ctrl_295" localSheetId="1" hidden="1">#REF!</definedName>
    <definedName name="_ddd_dr_Ctrl_295" localSheetId="8" hidden="1">#REF!</definedName>
    <definedName name="_ddd_dr_Ctrl_295" localSheetId="9" hidden="1">#REF!</definedName>
    <definedName name="_ddd_dr_Ctrl_295" localSheetId="10" hidden="1">#REF!</definedName>
    <definedName name="_ddd_dr_Ctrl_295" localSheetId="3" hidden="1">#REF!</definedName>
    <definedName name="_ddd_dr_Ctrl_295" localSheetId="4" hidden="1">#REF!</definedName>
    <definedName name="_ddd_dr_Ctrl_295" localSheetId="12" hidden="1">#REF!</definedName>
    <definedName name="_ddd_dr_Ctrl_295" localSheetId="2" hidden="1">#REF!</definedName>
    <definedName name="_ddd_dr_Ctrl_295" hidden="1">#REF!</definedName>
    <definedName name="_ddd_dr_Ctrl_296" hidden="1">#REF!</definedName>
    <definedName name="_ddd_dr_Ctrl_299" localSheetId="1" hidden="1">#REF!</definedName>
    <definedName name="_ddd_dr_Ctrl_299" localSheetId="8" hidden="1">#REF!</definedName>
    <definedName name="_ddd_dr_Ctrl_299" localSheetId="9" hidden="1">#REF!</definedName>
    <definedName name="_ddd_dr_Ctrl_299" localSheetId="10" hidden="1">#REF!</definedName>
    <definedName name="_ddd_dr_Ctrl_299" localSheetId="3" hidden="1">#REF!</definedName>
    <definedName name="_ddd_dr_Ctrl_299" localSheetId="4" hidden="1">#REF!</definedName>
    <definedName name="_ddd_dr_Ctrl_299" localSheetId="12" hidden="1">#REF!</definedName>
    <definedName name="_ddd_dr_Ctrl_299" localSheetId="2" hidden="1">#REF!</definedName>
    <definedName name="_ddd_dr_Ctrl_299" hidden="1">#REF!</definedName>
    <definedName name="_ddd_dr_Ctrl_300" localSheetId="1" hidden="1">#REF!</definedName>
    <definedName name="_ddd_dr_Ctrl_300" localSheetId="8" hidden="1">#REF!</definedName>
    <definedName name="_ddd_dr_Ctrl_300" localSheetId="9" hidden="1">#REF!</definedName>
    <definedName name="_ddd_dr_Ctrl_300" localSheetId="10" hidden="1">#REF!</definedName>
    <definedName name="_ddd_dr_Ctrl_300" localSheetId="3" hidden="1">#REF!</definedName>
    <definedName name="_ddd_dr_Ctrl_300" localSheetId="4" hidden="1">#REF!</definedName>
    <definedName name="_ddd_dr_Ctrl_300" localSheetId="12" hidden="1">#REF!</definedName>
    <definedName name="_ddd_dr_Ctrl_300" localSheetId="2" hidden="1">#REF!</definedName>
    <definedName name="_ddd_dr_Ctrl_300" hidden="1">#REF!</definedName>
    <definedName name="_ddd_dr_Ctrl_301" localSheetId="1" hidden="1">#REF!</definedName>
    <definedName name="_ddd_dr_Ctrl_301" localSheetId="8" hidden="1">#REF!</definedName>
    <definedName name="_ddd_dr_Ctrl_301" localSheetId="9" hidden="1">#REF!</definedName>
    <definedName name="_ddd_dr_Ctrl_301" localSheetId="10" hidden="1">#REF!</definedName>
    <definedName name="_ddd_dr_Ctrl_301" localSheetId="3" hidden="1">#REF!</definedName>
    <definedName name="_ddd_dr_Ctrl_301" localSheetId="4" hidden="1">#REF!</definedName>
    <definedName name="_ddd_dr_Ctrl_301" localSheetId="12" hidden="1">#REF!</definedName>
    <definedName name="_ddd_dr_Ctrl_301" localSheetId="2" hidden="1">#REF!</definedName>
    <definedName name="_ddd_dr_Ctrl_301" hidden="1">#REF!</definedName>
    <definedName name="_dep_ram_10" hidden="1">Justification!#REF!</definedName>
    <definedName name="_dep_ram_100" hidden="1">Justification!#REF!</definedName>
    <definedName name="_dep_ram_101" hidden="1">Justification!#REF!</definedName>
    <definedName name="_dep_ram_102" hidden="1">Justification!#REF!</definedName>
    <definedName name="_dep_ram_11" hidden="1">Justification!$37:$37</definedName>
    <definedName name="_dep_ram_12" hidden="1">Justification!#REF!</definedName>
    <definedName name="_dep_ram_129" hidden="1">Justification!#REF!</definedName>
    <definedName name="_dep_ram_13" hidden="1">Justification!#REF!</definedName>
    <definedName name="_dep_ram_131" hidden="1">Justification!#REF!</definedName>
    <definedName name="_dep_ram_133" hidden="1">Justification!#REF!</definedName>
    <definedName name="_dep_ram_135" hidden="1">Justification!#REF!</definedName>
    <definedName name="_dep_ram_137" hidden="1">Justification!#REF!</definedName>
    <definedName name="_dep_ram_138" hidden="1">Justification!#REF!</definedName>
    <definedName name="_dep_ram_142" hidden="1">Justification!#REF!</definedName>
    <definedName name="_dep_ram_145" hidden="1">Justification!#REF!</definedName>
    <definedName name="_dep_ram_146" hidden="1">Justification!#REF!</definedName>
    <definedName name="_dep_ram_147" hidden="1">Justification!#REF!</definedName>
    <definedName name="_dep_ram_148" hidden="1">Justification!#REF!</definedName>
    <definedName name="_dep_ram_149" hidden="1">Justification!#REF!</definedName>
    <definedName name="_dep_ram_151" hidden="1">Justification!$59:$59</definedName>
    <definedName name="_dep_ram_154" hidden="1">Justification!#REF!</definedName>
    <definedName name="_dep_ram_156" hidden="1">Justification!$55:$55,Justification!$61:$61</definedName>
    <definedName name="_dep_ram_169" hidden="1">Justification!$31:$31</definedName>
    <definedName name="_dep_ram_170" hidden="1">Justification!#REF!</definedName>
    <definedName name="_dep_ram_171" hidden="1">Justification!$63:$63</definedName>
    <definedName name="_dep_ram_172" hidden="1">Justification!$64:$64</definedName>
    <definedName name="_dep_ram_173" hidden="1">Justification!$65:$65</definedName>
    <definedName name="_dep_ram_174" hidden="1">Justification!$66:$66</definedName>
    <definedName name="_dep_ram_175" hidden="1">Justification!$67:$67</definedName>
    <definedName name="_dep_ram_176" hidden="1">Justification!$68:$68</definedName>
    <definedName name="_dep_ram_177" hidden="1">Justification!$69:$69</definedName>
    <definedName name="_dep_ram_178" hidden="1">Justification!$70:$70</definedName>
    <definedName name="_dep_ram_179" hidden="1">Justification!$62:$62,Justification!$83:$83</definedName>
    <definedName name="_dep_ram_2" hidden="1">Justification!$27:$27,Justification!$32:$33</definedName>
    <definedName name="_dep_ram_240" hidden="1">Activity!#REF!</definedName>
    <definedName name="_dep_ram_242" hidden="1">Activity!#REF!</definedName>
    <definedName name="_dep_ram_243" hidden="1">Space_Table!#REF!</definedName>
    <definedName name="_dep_ram_244" hidden="1">Justification!#REF!</definedName>
    <definedName name="_dep_ram_245" localSheetId="8" hidden="1">Net_To_Gross!#REF!</definedName>
    <definedName name="_dep_ram_245" localSheetId="9" hidden="1">Net_To_Gross!#REF!</definedName>
    <definedName name="_dep_ram_245" localSheetId="10" hidden="1">Net_To_Gross!#REF!</definedName>
    <definedName name="_dep_ram_245" localSheetId="7" hidden="1">Net_To_Gross!#REF!</definedName>
    <definedName name="_dep_ram_245" localSheetId="6" hidden="1">Net_To_Gross!#REF!</definedName>
    <definedName name="_dep_ram_245" localSheetId="4" hidden="1">Net_To_Gross!#REF!</definedName>
    <definedName name="_dep_ram_245" localSheetId="12" hidden="1">Net_To_Gross!#REF!</definedName>
    <definedName name="_dep_ram_245" localSheetId="5" hidden="1">Net_To_Gross!#REF!</definedName>
    <definedName name="_dep_ram_245" hidden="1">#REF!</definedName>
    <definedName name="_dep_ram_246" hidden="1">Summary!#REF!</definedName>
    <definedName name="_dep_ram_251" hidden="1">Space_Table!#REF!</definedName>
    <definedName name="_dep_ram_252" hidden="1">Justification!#REF!</definedName>
    <definedName name="_dep_ram_26" hidden="1">Justification!$39:$39,Justification!$84:$84</definedName>
    <definedName name="_dep_ram_27" hidden="1">Justification!$42:$42,Justification!$50:$50</definedName>
    <definedName name="_dep_ram_271" localSheetId="8" hidden="1">Net_To_Gross!$104:$107</definedName>
    <definedName name="_dep_ram_271" localSheetId="9" hidden="1">Net_To_Gross!$104:$107</definedName>
    <definedName name="_dep_ram_271" localSheetId="10" hidden="1">Net_To_Gross!$104:$107</definedName>
    <definedName name="_dep_ram_271" localSheetId="7" hidden="1">Net_To_Gross!$104:$107</definedName>
    <definedName name="_dep_ram_271" localSheetId="6" hidden="1">Net_To_Gross!$104:$107</definedName>
    <definedName name="_dep_ram_271" localSheetId="4" hidden="1">Net_To_Gross!$104:$107</definedName>
    <definedName name="_dep_ram_271" localSheetId="12" hidden="1">Net_To_Gross!$104:$107</definedName>
    <definedName name="_dep_ram_271" localSheetId="5" hidden="1">Net_To_Gross!$104:$107</definedName>
    <definedName name="_dep_ram_271" hidden="1">#REF!</definedName>
    <definedName name="_dep_ram_28" hidden="1">Justification!#REF!</definedName>
    <definedName name="_dep_ram_288" localSheetId="8" hidden="1">Net_To_Gross!$94:$105,Net_To_Gross!$109:$111</definedName>
    <definedName name="_dep_ram_288" localSheetId="9" hidden="1">Net_To_Gross!$94:$105,Net_To_Gross!$109:$111</definedName>
    <definedName name="_dep_ram_288" localSheetId="10" hidden="1">Net_To_Gross!$94:$105,Net_To_Gross!$109:$111</definedName>
    <definedName name="_dep_ram_288" localSheetId="7" hidden="1">Net_To_Gross!$94:$105,Net_To_Gross!$109:$111</definedName>
    <definedName name="_dep_ram_288" localSheetId="6" hidden="1">Net_To_Gross!$94:$105,Net_To_Gross!$109:$111</definedName>
    <definedName name="_dep_ram_288" localSheetId="4" hidden="1">Net_To_Gross!$94:$105,Net_To_Gross!$109:$111</definedName>
    <definedName name="_dep_ram_288" localSheetId="12" hidden="1">Net_To_Gross!$94:$105,Net_To_Gross!$109:$111</definedName>
    <definedName name="_dep_ram_288" localSheetId="5" hidden="1">Net_To_Gross!$94:$105,Net_To_Gross!$109:$111</definedName>
    <definedName name="_dep_ram_288" hidden="1">#REF!,#REF!</definedName>
    <definedName name="_dep_ram_289" localSheetId="8" hidden="1">Net_To_Gross!$104:$107,Detailed_Analysis!$112:$112</definedName>
    <definedName name="_dep_ram_289" localSheetId="9" hidden="1">Net_To_Gross!$104:$107,Detailed_Analysis!$112:$112</definedName>
    <definedName name="_dep_ram_289" localSheetId="10" hidden="1">Net_To_Gross!$104:$107,Detailed_Analysis!$112:$112</definedName>
    <definedName name="_dep_ram_289" localSheetId="7" hidden="1">Net_To_Gross!$104:$107,Detailed_Analysis!$112:$112</definedName>
    <definedName name="_dep_ram_289" localSheetId="6" hidden="1">Net_To_Gross!$104:$107,Detailed_Analysis!$112:$112</definedName>
    <definedName name="_dep_ram_289" localSheetId="4" hidden="1">Net_To_Gross!$104:$107,Detailed_Analysis!$112:$112</definedName>
    <definedName name="_dep_ram_289" localSheetId="12" hidden="1">Net_To_Gross!$104:$107,Detailed_Analysis!$112:$112</definedName>
    <definedName name="_dep_ram_289" localSheetId="5" hidden="1">Net_To_Gross!$104:$107,Detailed_Analysis!$112:$112</definedName>
    <definedName name="_dep_ram_289" hidden="1">#REF!,Detailed_Analysis!$112:$112</definedName>
    <definedName name="_dep_ram_29" hidden="1">Justification!#REF!</definedName>
    <definedName name="_dep_ram_290" localSheetId="8" hidden="1">Net_To_Gross!$94:$105,Net_To_Gross!$109:$109,Net_To_Gross!#REF!</definedName>
    <definedName name="_dep_ram_290" localSheetId="9" hidden="1">Net_To_Gross!$94:$105,Net_To_Gross!$109:$109,Net_To_Gross!#REF!</definedName>
    <definedName name="_dep_ram_290" localSheetId="10" hidden="1">Net_To_Gross!$94:$105,Net_To_Gross!$109:$109,Net_To_Gross!#REF!</definedName>
    <definedName name="_dep_ram_290" localSheetId="7" hidden="1">Net_To_Gross!$94:$105,Net_To_Gross!$109:$109,Net_To_Gross!#REF!</definedName>
    <definedName name="_dep_ram_290" localSheetId="6" hidden="1">Net_To_Gross!$94:$105,Net_To_Gross!$109:$109,Net_To_Gross!#REF!</definedName>
    <definedName name="_dep_ram_290" localSheetId="4" hidden="1">Net_To_Gross!$94:$105,Net_To_Gross!$109:$109,Net_To_Gross!#REF!</definedName>
    <definedName name="_dep_ram_290" localSheetId="12" hidden="1">Net_To_Gross!$94:$105,Net_To_Gross!$109:$109,Net_To_Gross!#REF!</definedName>
    <definedName name="_dep_ram_290" localSheetId="5" hidden="1">Net_To_Gross!$94:$105,Net_To_Gross!$109:$109,Net_To_Gross!#REF!</definedName>
    <definedName name="_dep_ram_290" hidden="1">#REF!,#REF!,#REF!</definedName>
    <definedName name="_dep_ram_294" localSheetId="8" hidden="1">Net_To_Gross!$94:$109</definedName>
    <definedName name="_dep_ram_294" localSheetId="9" hidden="1">Net_To_Gross!$94:$109</definedName>
    <definedName name="_dep_ram_294" localSheetId="10" hidden="1">Net_To_Gross!$94:$109</definedName>
    <definedName name="_dep_ram_294" localSheetId="7" hidden="1">Net_To_Gross!$94:$109</definedName>
    <definedName name="_dep_ram_294" localSheetId="6" hidden="1">Net_To_Gross!$94:$109</definedName>
    <definedName name="_dep_ram_294" localSheetId="4" hidden="1">Net_To_Gross!$94:$109</definedName>
    <definedName name="_dep_ram_294" localSheetId="12" hidden="1">Net_To_Gross!$94:$109</definedName>
    <definedName name="_dep_ram_294" localSheetId="5" hidden="1">Net_To_Gross!$94:$109</definedName>
    <definedName name="_dep_ram_294" hidden="1">#REF!</definedName>
    <definedName name="_dep_ram_295" hidden="1">Activity!$25:$25</definedName>
    <definedName name="_dep_ram_296" hidden="1">Space_Table!$39:$81</definedName>
    <definedName name="_dep_ram_297" localSheetId="8" hidden="1">Net_To_Gross!$94:$109</definedName>
    <definedName name="_dep_ram_297" localSheetId="9" hidden="1">Net_To_Gross!$94:$109</definedName>
    <definedName name="_dep_ram_297" localSheetId="10" hidden="1">Net_To_Gross!$94:$109</definedName>
    <definedName name="_dep_ram_297" localSheetId="7" hidden="1">Net_To_Gross!$94:$109</definedName>
    <definedName name="_dep_ram_297" localSheetId="6" hidden="1">Net_To_Gross!$94:$109</definedName>
    <definedName name="_dep_ram_297" localSheetId="4" hidden="1">Net_To_Gross!$94:$109</definedName>
    <definedName name="_dep_ram_297" localSheetId="12" hidden="1">Net_To_Gross!$94:$109</definedName>
    <definedName name="_dep_ram_297" localSheetId="5" hidden="1">Net_To_Gross!$94:$109</definedName>
    <definedName name="_dep_ram_297" hidden="1">#REF!</definedName>
    <definedName name="_dep_ram_298" hidden="1">Justification!$39:$84</definedName>
    <definedName name="_dep_ram_299" hidden="1">Justification!$30:$30</definedName>
    <definedName name="_dep_ram_3" hidden="1">Justification!$34:$34,Justification!#REF!</definedName>
    <definedName name="_dep_ram_30" hidden="1">Justification!#REF!</definedName>
    <definedName name="_dep_ram_300" localSheetId="8" hidden="1">Net_To_Gross!$92:$109,Net_To_Gross!#REF!</definedName>
    <definedName name="_dep_ram_300" localSheetId="9" hidden="1">Net_To_Gross!$92:$109,Net_To_Gross!#REF!</definedName>
    <definedName name="_dep_ram_300" localSheetId="10" hidden="1">Net_To_Gross!$92:$109,Net_To_Gross!#REF!</definedName>
    <definedName name="_dep_ram_300" localSheetId="7" hidden="1">Net_To_Gross!$92:$109,Net_To_Gross!#REF!</definedName>
    <definedName name="_dep_ram_300" localSheetId="6" hidden="1">Net_To_Gross!$92:$109,Net_To_Gross!#REF!</definedName>
    <definedName name="_dep_ram_300" localSheetId="4" hidden="1">Net_To_Gross!$92:$109,Net_To_Gross!#REF!</definedName>
    <definedName name="_dep_ram_300" localSheetId="12" hidden="1">Net_To_Gross!$92:$109,Net_To_Gross!#REF!</definedName>
    <definedName name="_dep_ram_300" localSheetId="5" hidden="1">Net_To_Gross!$92:$109,Net_To_Gross!#REF!</definedName>
    <definedName name="_dep_ram_300" hidden="1">#REF!,#REF!</definedName>
    <definedName name="_dep_ram_31" hidden="1">Justification!#REF!</definedName>
    <definedName name="_dep_ram_317" localSheetId="8" hidden="1">Net_To_Gross!$104:$107</definedName>
    <definedName name="_dep_ram_317" localSheetId="9" hidden="1">Net_To_Gross!$104:$107</definedName>
    <definedName name="_dep_ram_317" localSheetId="10" hidden="1">Net_To_Gross!$104:$107</definedName>
    <definedName name="_dep_ram_317" localSheetId="7" hidden="1">Net_To_Gross!$104:$107</definedName>
    <definedName name="_dep_ram_317" localSheetId="6" hidden="1">Net_To_Gross!$104:$107</definedName>
    <definedName name="_dep_ram_317" localSheetId="4" hidden="1">Net_To_Gross!$104:$107</definedName>
    <definedName name="_dep_ram_317" localSheetId="12" hidden="1">Net_To_Gross!$104:$107</definedName>
    <definedName name="_dep_ram_317" localSheetId="5" hidden="1">Net_To_Gross!$104:$107</definedName>
    <definedName name="_dep_ram_317" hidden="1">#REF!</definedName>
    <definedName name="_dep_ram_32" hidden="1">Justification!#REF!</definedName>
    <definedName name="_dep_ram_323" localSheetId="3" hidden="1">Justification!#REF!</definedName>
    <definedName name="_dep_ram_323" hidden="1">#REF!</definedName>
    <definedName name="_dep_ram_326" localSheetId="3" hidden="1">Justification!#REF!</definedName>
    <definedName name="_dep_ram_326" hidden="1">#REF!</definedName>
    <definedName name="_dep_ram_327" localSheetId="3" hidden="1">Justification!#REF!</definedName>
    <definedName name="_dep_ram_327" hidden="1">#REF!</definedName>
    <definedName name="_dep_ram_328" localSheetId="3" hidden="1">Justification!#REF!</definedName>
    <definedName name="_dep_ram_328" hidden="1">#REF!</definedName>
    <definedName name="_dep_ram_329" localSheetId="3" hidden="1">Justification!#REF!</definedName>
    <definedName name="_dep_ram_329" hidden="1">Activity!#REF!</definedName>
    <definedName name="_dep_ram_33" hidden="1">Justification!$57:$57</definedName>
    <definedName name="_dep_ram_330" localSheetId="3" hidden="1">Justification!#REF!</definedName>
    <definedName name="_dep_ram_330" hidden="1">#REF!</definedName>
    <definedName name="_dep_ram_34" hidden="1">Justification!$60:$60</definedName>
    <definedName name="_dep_ram_35" hidden="1">Justification!#REF!</definedName>
    <definedName name="_dep_ram_36" hidden="1">Justification!$34:$35,Justification!$39:$39</definedName>
    <definedName name="_dep_ram_371" localSheetId="3" hidden="1">Justification!$56:$56</definedName>
    <definedName name="_dep_ram_371" hidden="1">#REF!</definedName>
    <definedName name="_dep_ram_374" hidden="1">Distributed!#REF!,Distributed!#REF!</definedName>
    <definedName name="_dep_ram_375" hidden="1">Distributed!$35:$58</definedName>
    <definedName name="_dep_ram_377" hidden="1">Justification!$27:$27,Justification!$31:$31,Justification!$32:$32,Justification!#REF!,Justification!$33:$33,Justification!#REF!</definedName>
    <definedName name="_dep_ram_380" hidden="1">Distributed!$20:$31</definedName>
    <definedName name="_dep_ram_381" hidden="1">Distributed!$35:$58</definedName>
    <definedName name="_dep_ram_382" hidden="1">Distributed!#REF!</definedName>
    <definedName name="_dep_ram_383" hidden="1">Distributed!#REF!</definedName>
    <definedName name="_dep_ram_393" hidden="1">Justification!$27:$27,Activity!#REF!</definedName>
    <definedName name="_dep_ram_55" hidden="1">Justification!$43:$43</definedName>
    <definedName name="_dep_ram_56" hidden="1">Justification!#REF!</definedName>
    <definedName name="_dep_ram_57" hidden="1">Justification!#REF!</definedName>
    <definedName name="_dep_ram_58" hidden="1">Justification!$44:$44</definedName>
    <definedName name="_dep_ram_59" hidden="1">Justification!#REF!</definedName>
    <definedName name="_dep_ram_6" hidden="1">Justification!$28:$28</definedName>
    <definedName name="_dep_ram_60" hidden="1">Justification!#REF!</definedName>
    <definedName name="_dep_ram_61" hidden="1">Justification!#REF!</definedName>
    <definedName name="_dep_ram_62" hidden="1">Justification!$45:$45</definedName>
    <definedName name="_dep_ram_63" hidden="1">Justification!$46:$46</definedName>
    <definedName name="_dep_ram_64" hidden="1">Justification!#REF!</definedName>
    <definedName name="_dep_ram_65" hidden="1">Justification!#REF!</definedName>
    <definedName name="_dep_ram_66" hidden="1">Justification!$58:$58</definedName>
    <definedName name="_dep_ram_67" hidden="1">Justification!#REF!</definedName>
    <definedName name="_dep_ram_68" hidden="1">Justification!$47:$47</definedName>
    <definedName name="_dep_ram_69" hidden="1">Justification!$48:$48</definedName>
    <definedName name="_dep_ram_7" hidden="1">Justification!$29:$29</definedName>
    <definedName name="_dep_ram_70" hidden="1">Justification!#REF!</definedName>
    <definedName name="_dep_ram_71" hidden="1">Justification!#REF!</definedName>
    <definedName name="_dep_ram_72" hidden="1">Justification!#REF!</definedName>
    <definedName name="_dep_ram_8" hidden="1">Justification!$36:$36</definedName>
    <definedName name="_dep_ram_88" hidden="1">Justification!#REF!,Justification!#REF!</definedName>
    <definedName name="_dep_ram_89" hidden="1">Justification!#REF!</definedName>
    <definedName name="_dep_ram_9" hidden="1">Justification!#REF!</definedName>
    <definedName name="_dep_ram_90" hidden="1">Justification!#REF!</definedName>
    <definedName name="_dep_ram_91" hidden="1">Justification!$56:$56</definedName>
    <definedName name="_dep_ram_92" hidden="1">Justification!#REF!</definedName>
    <definedName name="_dep_ram_93" hidden="1">Justification!#REF!</definedName>
    <definedName name="_dep_ram_94" hidden="1">Justification!#REF!</definedName>
    <definedName name="_dep_ram_95" hidden="1">Justification!#REF!</definedName>
    <definedName name="_dep_ram_96" hidden="1">Justification!#REF!</definedName>
    <definedName name="_dep_ram_97" hidden="1">Justification!#REF!</definedName>
    <definedName name="_dep_ram_98" hidden="1">Justification!#REF!</definedName>
    <definedName name="_dep_ram_99" hidden="1">Justification!#REF!</definedName>
    <definedName name="_inputcolorcell" localSheetId="1" hidden="1">Activity!#REF!</definedName>
    <definedName name="_inputcolorcell" hidden="1">#REF!</definedName>
    <definedName name="_map_cL_Ctrl_282" localSheetId="1" hidden="1">#REF!</definedName>
    <definedName name="_map_cL_Ctrl_282" localSheetId="8" hidden="1">#REF!</definedName>
    <definedName name="_map_cL_Ctrl_282" localSheetId="9" hidden="1">#REF!</definedName>
    <definedName name="_map_cL_Ctrl_282" localSheetId="10" hidden="1">#REF!</definedName>
    <definedName name="_map_cL_Ctrl_282" localSheetId="3" hidden="1">#REF!</definedName>
    <definedName name="_map_cL_Ctrl_282" localSheetId="4" hidden="1">#REF!</definedName>
    <definedName name="_map_cL_Ctrl_282" localSheetId="12" hidden="1">#REF!</definedName>
    <definedName name="_map_cL_Ctrl_282" localSheetId="2" hidden="1">#REF!</definedName>
    <definedName name="_map_cL_Ctrl_282" hidden="1">#REF!</definedName>
    <definedName name="_map_cL_Ctrl_283" localSheetId="1" hidden="1">Activity!#REF!</definedName>
    <definedName name="_map_cL_Ctrl_283" localSheetId="8" hidden="1">Activity!#REF!</definedName>
    <definedName name="_map_cL_Ctrl_283" localSheetId="9" hidden="1">[1]Activity!#REF!</definedName>
    <definedName name="_map_cL_Ctrl_283" localSheetId="10" hidden="1">Activity!#REF!</definedName>
    <definedName name="_map_cL_Ctrl_283" localSheetId="3" hidden="1">Activity!#REF!</definedName>
    <definedName name="_map_cL_Ctrl_283" localSheetId="4" hidden="1">Activity!#REF!</definedName>
    <definedName name="_map_cL_Ctrl_283" localSheetId="12" hidden="1">Activity!#REF!</definedName>
    <definedName name="_map_cL_Ctrl_283" localSheetId="2" hidden="1">Activity!#REF!</definedName>
    <definedName name="_map_cL_Ctrl_283" hidden="1">#REF!</definedName>
    <definedName name="_map_cL_Ctrl_365" localSheetId="1" hidden="1">#REF!</definedName>
    <definedName name="_map_cL_Ctrl_365" localSheetId="8" hidden="1">#REF!</definedName>
    <definedName name="_map_cL_Ctrl_365" localSheetId="9" hidden="1">#REF!</definedName>
    <definedName name="_map_cL_Ctrl_365" localSheetId="10" hidden="1">#REF!</definedName>
    <definedName name="_map_cL_Ctrl_365" localSheetId="3" hidden="1">#REF!</definedName>
    <definedName name="_map_cL_Ctrl_365" localSheetId="4" hidden="1">#REF!</definedName>
    <definedName name="_map_cL_Ctrl_365" localSheetId="12" hidden="1">#REF!</definedName>
    <definedName name="_map_cL_Ctrl_365" localSheetId="2" hidden="1">#REF!</definedName>
    <definedName name="_map_cL_Ctrl_365" hidden="1">#REF!</definedName>
    <definedName name="_map_cT_Ctrl_283" localSheetId="1" hidden="1">Activity!#REF!</definedName>
    <definedName name="_map_cT_Ctrl_283" localSheetId="8" hidden="1">Activity!#REF!</definedName>
    <definedName name="_map_cT_Ctrl_283" localSheetId="9" hidden="1">[1]Activity!#REF!</definedName>
    <definedName name="_map_cT_Ctrl_283" localSheetId="10" hidden="1">Activity!#REF!</definedName>
    <definedName name="_map_cT_Ctrl_283" localSheetId="3" hidden="1">Activity!#REF!</definedName>
    <definedName name="_map_cT_Ctrl_283" localSheetId="4" hidden="1">Activity!#REF!</definedName>
    <definedName name="_map_cT_Ctrl_283" localSheetId="12" hidden="1">Activity!#REF!</definedName>
    <definedName name="_map_cT_Ctrl_283" localSheetId="2" hidden="1">Activity!#REF!</definedName>
    <definedName name="_map_cT_Ctrl_283" hidden="1">#REF!</definedName>
    <definedName name="_map_mL_Ctrl_282" localSheetId="1" hidden="1">#REF!</definedName>
    <definedName name="_map_mL_Ctrl_282" localSheetId="8" hidden="1">#REF!</definedName>
    <definedName name="_map_mL_Ctrl_282" localSheetId="9" hidden="1">#REF!</definedName>
    <definedName name="_map_mL_Ctrl_282" localSheetId="10" hidden="1">#REF!</definedName>
    <definedName name="_map_mL_Ctrl_282" localSheetId="3" hidden="1">#REF!</definedName>
    <definedName name="_map_mL_Ctrl_282" localSheetId="4" hidden="1">#REF!</definedName>
    <definedName name="_map_mL_Ctrl_282" localSheetId="12" hidden="1">#REF!</definedName>
    <definedName name="_map_mL_Ctrl_282" localSheetId="2" hidden="1">#REF!</definedName>
    <definedName name="_map_mL_Ctrl_282" hidden="1">#REF!</definedName>
    <definedName name="_map_mL_Ctrl_283" localSheetId="1" hidden="1">#REF!</definedName>
    <definedName name="_map_mL_Ctrl_283" localSheetId="8" hidden="1">#REF!</definedName>
    <definedName name="_map_mL_Ctrl_283" localSheetId="9" hidden="1">#REF!</definedName>
    <definedName name="_map_mL_Ctrl_283" localSheetId="10" hidden="1">#REF!</definedName>
    <definedName name="_map_mL_Ctrl_283" localSheetId="3" hidden="1">#REF!</definedName>
    <definedName name="_map_mL_Ctrl_283" localSheetId="4" hidden="1">#REF!</definedName>
    <definedName name="_map_mL_Ctrl_283" localSheetId="12" hidden="1">#REF!</definedName>
    <definedName name="_map_mL_Ctrl_283" localSheetId="2" hidden="1">#REF!</definedName>
    <definedName name="_map_mL_Ctrl_283" hidden="1">#REF!</definedName>
    <definedName name="_map_mL_Ctrl_288" localSheetId="1" hidden="1">#REF!</definedName>
    <definedName name="_map_mL_Ctrl_288" localSheetId="8" hidden="1">#REF!</definedName>
    <definedName name="_map_mL_Ctrl_288" localSheetId="9" hidden="1">#REF!</definedName>
    <definedName name="_map_mL_Ctrl_288" localSheetId="10" hidden="1">#REF!</definedName>
    <definedName name="_map_mL_Ctrl_288" localSheetId="3" hidden="1">#REF!</definedName>
    <definedName name="_map_mL_Ctrl_288" localSheetId="4" hidden="1">#REF!</definedName>
    <definedName name="_map_mL_Ctrl_288" localSheetId="12" hidden="1">#REF!</definedName>
    <definedName name="_map_mL_Ctrl_288" localSheetId="2" hidden="1">#REF!</definedName>
    <definedName name="_map_mL_Ctrl_288" hidden="1">#REF!</definedName>
    <definedName name="_map_mL_Ctrl_365" localSheetId="1" hidden="1">#REF!</definedName>
    <definedName name="_map_mL_Ctrl_365" localSheetId="8" hidden="1">#REF!</definedName>
    <definedName name="_map_mL_Ctrl_365" localSheetId="9" hidden="1">#REF!</definedName>
    <definedName name="_map_mL_Ctrl_365" localSheetId="10" hidden="1">#REF!</definedName>
    <definedName name="_map_mL_Ctrl_365" localSheetId="3" hidden="1">#REF!</definedName>
    <definedName name="_map_mL_Ctrl_365" localSheetId="4" hidden="1">#REF!</definedName>
    <definedName name="_map_mL_Ctrl_365" localSheetId="12" hidden="1">#REF!</definedName>
    <definedName name="_map_mL_Ctrl_365" localSheetId="2" hidden="1">#REF!</definedName>
    <definedName name="_map_mL_Ctrl_365" hidden="1">#REF!</definedName>
    <definedName name="_map_mT_Ctrl_283" localSheetId="1" hidden="1">#REF!</definedName>
    <definedName name="_map_mT_Ctrl_283" localSheetId="8" hidden="1">#REF!</definedName>
    <definedName name="_map_mT_Ctrl_283" localSheetId="9" hidden="1">#REF!</definedName>
    <definedName name="_map_mT_Ctrl_283" localSheetId="10" hidden="1">#REF!</definedName>
    <definedName name="_map_mT_Ctrl_283" localSheetId="3" hidden="1">#REF!</definedName>
    <definedName name="_map_mT_Ctrl_283" localSheetId="4" hidden="1">#REF!</definedName>
    <definedName name="_map_mT_Ctrl_283" localSheetId="12" hidden="1">#REF!</definedName>
    <definedName name="_map_mT_Ctrl_283" localSheetId="2" hidden="1">#REF!</definedName>
    <definedName name="_map_mT_Ctrl_283" hidden="1">#REF!</definedName>
    <definedName name="_map_mT_Ctrl_288" localSheetId="1" hidden="1">#REF!</definedName>
    <definedName name="_map_mT_Ctrl_288" localSheetId="8" hidden="1">#REF!</definedName>
    <definedName name="_map_mT_Ctrl_288" localSheetId="9" hidden="1">#REF!</definedName>
    <definedName name="_map_mT_Ctrl_288" localSheetId="10" hidden="1">#REF!</definedName>
    <definedName name="_map_mT_Ctrl_288" localSheetId="3" hidden="1">#REF!</definedName>
    <definedName name="_map_mT_Ctrl_288" localSheetId="4" hidden="1">#REF!</definedName>
    <definedName name="_map_mT_Ctrl_288" localSheetId="12" hidden="1">#REF!</definedName>
    <definedName name="_map_mT_Ctrl_288" localSheetId="2" hidden="1">#REF!</definedName>
    <definedName name="_map_mT_Ctrl_288" hidden="1">#REF!</definedName>
    <definedName name="_map_mT_Ctrl_295" localSheetId="1" hidden="1">#REF!</definedName>
    <definedName name="_map_mT_Ctrl_295" localSheetId="8" hidden="1">#REF!</definedName>
    <definedName name="_map_mT_Ctrl_295" localSheetId="9" hidden="1">#REF!</definedName>
    <definedName name="_map_mT_Ctrl_295" localSheetId="10" hidden="1">#REF!</definedName>
    <definedName name="_map_mT_Ctrl_295" localSheetId="3" hidden="1">#REF!</definedName>
    <definedName name="_map_mT_Ctrl_295" localSheetId="4" hidden="1">#REF!</definedName>
    <definedName name="_map_mT_Ctrl_295" localSheetId="12" hidden="1">#REF!</definedName>
    <definedName name="_map_mT_Ctrl_295" localSheetId="2" hidden="1">#REF!</definedName>
    <definedName name="_map_mT_Ctrl_295" hidden="1">#REF!</definedName>
    <definedName name="_map_mT_Ctrl_297" localSheetId="1" hidden="1">#REF!</definedName>
    <definedName name="_map_mT_Ctrl_297" localSheetId="8" hidden="1">#REF!</definedName>
    <definedName name="_map_mT_Ctrl_297" localSheetId="9" hidden="1">#REF!</definedName>
    <definedName name="_map_mT_Ctrl_297" localSheetId="10" hidden="1">#REF!</definedName>
    <definedName name="_map_mT_Ctrl_297" localSheetId="3" hidden="1">#REF!</definedName>
    <definedName name="_map_mT_Ctrl_297" localSheetId="4" hidden="1">#REF!</definedName>
    <definedName name="_map_mT_Ctrl_297" localSheetId="12" hidden="1">#REF!</definedName>
    <definedName name="_map_mT_Ctrl_297" localSheetId="2" hidden="1">#REF!</definedName>
    <definedName name="_map_mT_Ctrl_297" hidden="1">#REF!</definedName>
    <definedName name="_map_mT_Ctrl_365" localSheetId="1" hidden="1">#REF!</definedName>
    <definedName name="_map_mT_Ctrl_365" localSheetId="8" hidden="1">#REF!</definedName>
    <definedName name="_map_mT_Ctrl_365" localSheetId="9" hidden="1">#REF!</definedName>
    <definedName name="_map_mT_Ctrl_365" localSheetId="10" hidden="1">#REF!</definedName>
    <definedName name="_map_mT_Ctrl_365" localSheetId="3" hidden="1">#REF!</definedName>
    <definedName name="_map_mT_Ctrl_365" localSheetId="4" hidden="1">#REF!</definedName>
    <definedName name="_map_mT_Ctrl_365" localSheetId="12" hidden="1">#REF!</definedName>
    <definedName name="_map_mT_Ctrl_365" localSheetId="2" hidden="1">#REF!</definedName>
    <definedName name="_map_mT_Ctrl_365" hidden="1">#REF!</definedName>
    <definedName name="_options1">_Options!$A$1:$A$2</definedName>
    <definedName name="_options2">_Options!$B$1:$B$2</definedName>
    <definedName name="_options3">_Options!$C$1:$C$2</definedName>
    <definedName name="_sh_ctr_ram_209" hidden="1">Detailed_Analysis!#REF!</definedName>
    <definedName name="_sh_ctr_ram_210" hidden="1">Detailed_Analysis!#REF!</definedName>
    <definedName name="_sh_ctr_ram_211" hidden="1">Detailed_Analysis!#REF!</definedName>
    <definedName name="_sh_ctr_ram_212" hidden="1">#REF!</definedName>
    <definedName name="_sh_ctr_ram_213" hidden="1">#REF!</definedName>
    <definedName name="_sh_ctr_ram_214" hidden="1">#REF!</definedName>
    <definedName name="_sh_ctr_ram_215" hidden="1">#REF!</definedName>
    <definedName name="_sh_ctr_ram_216" hidden="1">Detailed_Analysis!#REF!</definedName>
    <definedName name="_sh_ctr_ram_217" hidden="1">Detailed_Analysis!#REF!</definedName>
    <definedName name="_sh_ctr_ram_218" hidden="1">#REF!</definedName>
    <definedName name="_sh_ctr_ram_219" hidden="1">#REF!</definedName>
    <definedName name="_sh_ctr_ram_220" hidden="1">Detailed_Analysis!#REF!</definedName>
    <definedName name="_sh_ctr_ram_221" hidden="1">Detailed_Analysis!#REF!</definedName>
    <definedName name="_sh_ctr_ram_222" hidden="1">#REF!</definedName>
    <definedName name="_sh_ctr_ram_223" hidden="1">Detailed_Analysis!#REF!</definedName>
    <definedName name="_sh_ctr_ram_224" hidden="1">Detailed_Analysis!#REF!</definedName>
    <definedName name="_sh_ctr_ram_225" hidden="1">Detailed_Analysis!#REF!</definedName>
    <definedName name="_sh_ctr_ram_226" hidden="1">#REF!</definedName>
    <definedName name="_sh_ctr_ram_227" hidden="1">Detailed_Analysis!#REF!</definedName>
    <definedName name="_sh_ctr_ram_228" hidden="1">Detailed_Analysis!#REF!</definedName>
    <definedName name="_sh_ctr_ram_229" hidden="1">#REF!</definedName>
    <definedName name="_sh_ctr_ram_230" hidden="1">#REF!</definedName>
    <definedName name="_sh_ctr_ram_231" hidden="1">Detailed_Analysis!#REF!</definedName>
    <definedName name="_sh_ctr_ram_232" hidden="1">Detailed_Analysis!#REF!</definedName>
    <definedName name="_sh_ctr_ram_233" hidden="1">Detailed_Analysis!#REF!</definedName>
    <definedName name="_sh_ctr_ram_234" hidden="1">Detailed_Analysis!#REF!</definedName>
    <definedName name="_sh_ctr_ram_235" hidden="1">#REF!</definedName>
    <definedName name="_sh_ctr_ram_236" hidden="1">#REF!</definedName>
    <definedName name="_sh_ctr_ram_237" hidden="1">Detailed_Analysis!#REF!</definedName>
    <definedName name="_sh_ctr_ram_238" hidden="1">Detailed_Analysis!#REF!</definedName>
    <definedName name="_sh_ctr_ram_239" hidden="1">#REF!</definedName>
    <definedName name="_sh_ctr_ram_240" hidden="1">Detailed_Analysis!#REF!</definedName>
    <definedName name="_sh_ctr_ram_241" hidden="1">Detailed_Analysis!#REF!</definedName>
    <definedName name="_sh_ctr_ram_242" hidden="1">Detailed_Analysis!#REF!</definedName>
    <definedName name="_sh_ctr_ram_243" hidden="1">Detailed_Analysis!#REF!</definedName>
    <definedName name="_sh_ctr_ram_244" hidden="1">Detailed_Analysis!#REF!</definedName>
    <definedName name="_sh_ctr_ram_245" hidden="1">#REF!</definedName>
    <definedName name="_sh_ctr_ram_246" hidden="1">#REF!</definedName>
    <definedName name="_sh_ctr_ram_247" hidden="1">#REF!</definedName>
    <definedName name="_sh_ctr_ram_248" hidden="1">#REF!</definedName>
    <definedName name="_sh_ctr_ram_249" hidden="1">#REF!</definedName>
    <definedName name="_sh_ctr_ram_250" hidden="1">#REF!</definedName>
    <definedName name="_sh_ctr_ram_251" hidden="1">#REF!</definedName>
    <definedName name="_sh_ctr_ram_252" hidden="1">#REF!</definedName>
    <definedName name="_sh_ctr_ram_253" hidden="1">#REF!</definedName>
    <definedName name="_sh_ctr_ram_254" hidden="1">#REF!</definedName>
    <definedName name="_sh_ctr_ram_255" hidden="1">#REF!</definedName>
    <definedName name="_sh_ctr_ram_258" hidden="1">Detailed_Analysis!#REF!</definedName>
    <definedName name="_sh_dep_ram_209" localSheetId="3" hidden="1">Justification!$28:$28</definedName>
    <definedName name="_sh_dep_ram_209" hidden="1">#REF!</definedName>
    <definedName name="_sh_dep_ram_210" localSheetId="3" hidden="1">Justification!#REF!</definedName>
    <definedName name="_sh_dep_ram_210" hidden="1">#REF!</definedName>
    <definedName name="_sh_dep_ram_211" localSheetId="3" hidden="1">Justification!$37:$37</definedName>
    <definedName name="_sh_dep_ram_211" hidden="1">#REF!</definedName>
    <definedName name="_sh_dep_ram_212" localSheetId="3" hidden="1">Justification!#REF!</definedName>
    <definedName name="_sh_dep_ram_212" hidden="1">#REF!</definedName>
    <definedName name="_sh_dep_ram_213" localSheetId="3" hidden="1">Justification!#REF!</definedName>
    <definedName name="_sh_dep_ram_213" hidden="1">#REF!</definedName>
    <definedName name="_sh_dep_ram_214" localSheetId="3" hidden="1">Justification!#REF!</definedName>
    <definedName name="_sh_dep_ram_214" hidden="1">#REF!</definedName>
    <definedName name="_sh_dep_ram_215" localSheetId="3" hidden="1">Justification!#REF!</definedName>
    <definedName name="_sh_dep_ram_215" hidden="1">#REF!</definedName>
    <definedName name="_sh_dep_ram_216" localSheetId="3" hidden="1">Justification!$29:$29</definedName>
    <definedName name="_sh_dep_ram_216" hidden="1">#REF!</definedName>
    <definedName name="_sh_dep_ram_217" localSheetId="3" hidden="1">Justification!$36:$36</definedName>
    <definedName name="_sh_dep_ram_217" hidden="1">#REF!</definedName>
    <definedName name="_sh_dep_ram_218" localSheetId="3" hidden="1">Justification!#REF!</definedName>
    <definedName name="_sh_dep_ram_218" hidden="1">#REF!</definedName>
    <definedName name="_sh_dep_ram_219" localSheetId="3" hidden="1">Justification!#REF!</definedName>
    <definedName name="_sh_dep_ram_219" hidden="1">#REF!</definedName>
    <definedName name="_sh_dep_ram_220" localSheetId="3" hidden="1">Justification!#REF!</definedName>
    <definedName name="_sh_dep_ram_220" hidden="1">#REF!</definedName>
    <definedName name="_sh_dep_ram_221" localSheetId="3" hidden="1">Justification!#REF!</definedName>
    <definedName name="_sh_dep_ram_221" hidden="1">#REF!</definedName>
    <definedName name="_sh_dep_ram_222" localSheetId="3" hidden="1">Justification!#REF!</definedName>
    <definedName name="_sh_dep_ram_222" hidden="1">#REF!</definedName>
    <definedName name="_sh_dep_ram_223" localSheetId="3" hidden="1">Justification!#REF!</definedName>
    <definedName name="_sh_dep_ram_223" hidden="1">#REF!</definedName>
    <definedName name="_sh_dep_ram_224" localSheetId="3" hidden="1">Justification!$57:$57</definedName>
    <definedName name="_sh_dep_ram_224" hidden="1">#REF!</definedName>
    <definedName name="_sh_dep_ram_225" localSheetId="3" hidden="1">Justification!$60:$60</definedName>
    <definedName name="_sh_dep_ram_225" hidden="1">#REF!</definedName>
    <definedName name="_sh_dep_ram_226" localSheetId="3" hidden="1">Justification!#REF!</definedName>
    <definedName name="_sh_dep_ram_226" hidden="1">#REF!</definedName>
    <definedName name="_sh_dep_ram_227" localSheetId="1" hidden="1">Justification!$42:$42,Justification!$50:$50</definedName>
    <definedName name="_sh_dep_ram_227" localSheetId="8" hidden="1">Justification!$42:$42,Justification!$50:$50</definedName>
    <definedName name="_sh_dep_ram_227" localSheetId="9" hidden="1">[1]Justification!$44:$44,[1]Justification!$53:$53</definedName>
    <definedName name="_sh_dep_ram_227" localSheetId="10" hidden="1">Justification!$42:$42,Justification!$50:$50</definedName>
    <definedName name="_sh_dep_ram_227" localSheetId="3" hidden="1">Justification!$42:$42,Justification!$50:$50</definedName>
    <definedName name="_sh_dep_ram_227" localSheetId="4" hidden="1">Justification!$42:$42,Justification!$50:$50</definedName>
    <definedName name="_sh_dep_ram_227" localSheetId="12" hidden="1">Justification!$42:$42,Justification!$50:$50</definedName>
    <definedName name="_sh_dep_ram_227" localSheetId="2" hidden="1">Justification!$42:$42,Justification!$50:$50</definedName>
    <definedName name="_sh_dep_ram_227" hidden="1">#REF!,#REF!</definedName>
    <definedName name="_sh_dep_ram_228" localSheetId="3" hidden="1">Justification!$43:$43</definedName>
    <definedName name="_sh_dep_ram_228" hidden="1">#REF!</definedName>
    <definedName name="_sh_dep_ram_229" localSheetId="3" hidden="1">Justification!#REF!</definedName>
    <definedName name="_sh_dep_ram_229" hidden="1">#REF!</definedName>
    <definedName name="_sh_dep_ram_230" localSheetId="3" hidden="1">Justification!#REF!</definedName>
    <definedName name="_sh_dep_ram_230" hidden="1">#REF!</definedName>
    <definedName name="_sh_dep_ram_231" localSheetId="3" hidden="1">Justification!#REF!</definedName>
    <definedName name="_sh_dep_ram_231" hidden="1">#REF!</definedName>
    <definedName name="_sh_dep_ram_232" localSheetId="3" hidden="1">Justification!#REF!</definedName>
    <definedName name="_sh_dep_ram_232" hidden="1">#REF!</definedName>
    <definedName name="_sh_dep_ram_233" localSheetId="3" hidden="1">Justification!$45:$45</definedName>
    <definedName name="_sh_dep_ram_233" hidden="1">#REF!</definedName>
    <definedName name="_sh_dep_ram_234" localSheetId="3" hidden="1">Justification!$46:$46</definedName>
    <definedName name="_sh_dep_ram_234" hidden="1">#REF!</definedName>
    <definedName name="_sh_dep_ram_235" localSheetId="3" hidden="1">Justification!#REF!</definedName>
    <definedName name="_sh_dep_ram_235" hidden="1">#REF!</definedName>
    <definedName name="_sh_dep_ram_236" localSheetId="3" hidden="1">Justification!#REF!</definedName>
    <definedName name="_sh_dep_ram_236" hidden="1">#REF!</definedName>
    <definedName name="_sh_dep_ram_237" localSheetId="3" hidden="1">Justification!$44:$44</definedName>
    <definedName name="_sh_dep_ram_237" hidden="1">#REF!</definedName>
    <definedName name="_sh_dep_ram_238" localSheetId="3" hidden="1">Justification!$58:$58</definedName>
    <definedName name="_sh_dep_ram_238" hidden="1">#REF!</definedName>
    <definedName name="_sh_dep_ram_239" localSheetId="3" hidden="1">Justification!#REF!</definedName>
    <definedName name="_sh_dep_ram_239" hidden="1">#REF!</definedName>
    <definedName name="_sh_dep_ram_240" localSheetId="3" hidden="1">Justification!$47:$47</definedName>
    <definedName name="_sh_dep_ram_240" hidden="1">#REF!</definedName>
    <definedName name="_sh_dep_ram_241" localSheetId="3" hidden="1">Justification!$48:$48</definedName>
    <definedName name="_sh_dep_ram_241" hidden="1">#REF!</definedName>
    <definedName name="_sh_dep_ram_242" localSheetId="3" hidden="1">Justification!#REF!</definedName>
    <definedName name="_sh_dep_ram_242" hidden="1">#REF!</definedName>
    <definedName name="_sh_dep_ram_243" localSheetId="3" hidden="1">Justification!#REF!</definedName>
    <definedName name="_sh_dep_ram_243" hidden="1">#REF!</definedName>
    <definedName name="_sh_dep_ram_244" localSheetId="3" hidden="1">Justification!#REF!</definedName>
    <definedName name="_sh_dep_ram_244" hidden="1">#REF!</definedName>
    <definedName name="_sh_dep_ram_245" localSheetId="1" hidden="1">Justification!#REF!,Activity!#REF!</definedName>
    <definedName name="_sh_dep_ram_245" localSheetId="8" hidden="1">Justification!#REF!,Justification!#REF!</definedName>
    <definedName name="_sh_dep_ram_245" localSheetId="9" hidden="1">[1]Justification!$54:$54,[1]Justification!$73:$73</definedName>
    <definedName name="_sh_dep_ram_245" localSheetId="10" hidden="1">Justification!#REF!,Justification!#REF!</definedName>
    <definedName name="_sh_dep_ram_245" localSheetId="3" hidden="1">Justification!#REF!,Justification!#REF!</definedName>
    <definedName name="_sh_dep_ram_245" localSheetId="4" hidden="1">Justification!#REF!,Justification!#REF!</definedName>
    <definedName name="_sh_dep_ram_245" localSheetId="12" hidden="1">Justification!#REF!,Justification!#REF!</definedName>
    <definedName name="_sh_dep_ram_245" localSheetId="2" hidden="1">Justification!#REF!,Justification!#REF!</definedName>
    <definedName name="_sh_dep_ram_245" hidden="1">#REF!,#REF!</definedName>
    <definedName name="_sh_dep_ram_246" localSheetId="3" hidden="1">Justification!#REF!</definedName>
    <definedName name="_sh_dep_ram_246" hidden="1">#REF!</definedName>
    <definedName name="_sh_dep_ram_247" localSheetId="3" hidden="1">Justification!#REF!</definedName>
    <definedName name="_sh_dep_ram_247" hidden="1">#REF!</definedName>
    <definedName name="_sh_dep_ram_248" localSheetId="3" hidden="1">Justification!#REF!</definedName>
    <definedName name="_sh_dep_ram_248" hidden="1">#REF!</definedName>
    <definedName name="_sh_dep_ram_249" localSheetId="3" hidden="1">Justification!#REF!</definedName>
    <definedName name="_sh_dep_ram_249" hidden="1">#REF!</definedName>
    <definedName name="_sh_dep_ram_250" localSheetId="3" hidden="1">Justification!#REF!</definedName>
    <definedName name="_sh_dep_ram_250" hidden="1">#REF!</definedName>
    <definedName name="_sh_dep_ram_251" localSheetId="3" hidden="1">Justification!#REF!</definedName>
    <definedName name="_sh_dep_ram_251" hidden="1">#REF!</definedName>
    <definedName name="_sh_dep_ram_252" localSheetId="3" hidden="1">Justification!#REF!</definedName>
    <definedName name="_sh_dep_ram_252" hidden="1">#REF!</definedName>
    <definedName name="_sh_dep_ram_253" localSheetId="3" hidden="1">Justification!#REF!</definedName>
    <definedName name="_sh_dep_ram_253" hidden="1">#REF!</definedName>
    <definedName name="_sh_dep_ram_254" localSheetId="3" hidden="1">Justification!#REF!</definedName>
    <definedName name="_sh_dep_ram_254" hidden="1">#REF!</definedName>
    <definedName name="_sh_dep_ram_255" localSheetId="1" hidden="1">Justification!#REF!,Justification!#REF!</definedName>
    <definedName name="_sh_dep_ram_255" localSheetId="8" hidden="1">Justification!#REF!,Justification!#REF!</definedName>
    <definedName name="_sh_dep_ram_255" localSheetId="9" hidden="1">[1]Justification!$74:$74,[1]Justification!$90:$90</definedName>
    <definedName name="_sh_dep_ram_255" localSheetId="10" hidden="1">Justification!#REF!,Justification!#REF!</definedName>
    <definedName name="_sh_dep_ram_255" localSheetId="3" hidden="1">Justification!#REF!,Justification!#REF!</definedName>
    <definedName name="_sh_dep_ram_255" localSheetId="4" hidden="1">Justification!#REF!,Justification!#REF!</definedName>
    <definedName name="_sh_dep_ram_255" localSheetId="12" hidden="1">Justification!#REF!,Justification!#REF!</definedName>
    <definedName name="_sh_dep_ram_255" localSheetId="2" hidden="1">Justification!#REF!,Justification!#REF!</definedName>
    <definedName name="_sh_dep_ram_255" hidden="1">#REF!,#REF!</definedName>
    <definedName name="_sh_dep_ram_258" localSheetId="1" hidden="1">Justification!$34:$34,Justification!$84:$84</definedName>
    <definedName name="_sh_dep_ram_258" localSheetId="8" hidden="1">Justification!$34:$34,Justification!$84:$84</definedName>
    <definedName name="_sh_dep_ram_258" localSheetId="9" hidden="1">[1]Justification!$43:$43,[1]Justification!$91:$95</definedName>
    <definedName name="_sh_dep_ram_258" localSheetId="10" hidden="1">Justification!$34:$34,Justification!$84:$84</definedName>
    <definedName name="_sh_dep_ram_258" localSheetId="3" hidden="1">Justification!$34:$34,Justification!#REF!</definedName>
    <definedName name="_sh_dep_ram_258" localSheetId="4" hidden="1">Justification!$34:$34,Justification!$84:$84</definedName>
    <definedName name="_sh_dep_ram_258" localSheetId="12" hidden="1">Justification!$34:$34,Justification!$84:$84</definedName>
    <definedName name="_sh_dep_ram_258" localSheetId="2" hidden="1">Justification!$34:$34,Justification!$84:$84</definedName>
    <definedName name="_sh_dep_ram_258" hidden="1">#REF!,#REF!</definedName>
    <definedName name="_sh_ram_166_1" hidden="1">#REF!</definedName>
    <definedName name="_sh_ram_167_1" hidden="1">#REF!</definedName>
    <definedName name="_sh_ram_189_1" hidden="1">Conference_Rooms!$A$1</definedName>
    <definedName name="_sh_ram_240_1" localSheetId="8" hidden="1">Net_To_Gross!#REF!</definedName>
    <definedName name="_sh_ram_240_1" localSheetId="9" hidden="1">Net_To_Gross!#REF!</definedName>
    <definedName name="_sh_ram_240_1" localSheetId="10" hidden="1">Net_To_Gross!#REF!</definedName>
    <definedName name="_sh_ram_240_1" localSheetId="7" hidden="1">Net_To_Gross!#REF!</definedName>
    <definedName name="_sh_ram_240_1" localSheetId="6" hidden="1">Net_To_Gross!#REF!</definedName>
    <definedName name="_sh_ram_240_1" localSheetId="4" hidden="1">Net_To_Gross!#REF!</definedName>
    <definedName name="_sh_ram_240_1" localSheetId="12" hidden="1">Net_To_Gross!#REF!</definedName>
    <definedName name="_sh_ram_240_1" localSheetId="5" hidden="1">Net_To_Gross!#REF!</definedName>
    <definedName name="_sh_ram_240_1" hidden="1">#REF!</definedName>
    <definedName name="_sh_ram_240_2" localSheetId="8" hidden="1">Net_To_Gross!$A$1</definedName>
    <definedName name="_sh_ram_240_2" localSheetId="9" hidden="1">Net_To_Gross!$A$1</definedName>
    <definedName name="_sh_ram_240_2" localSheetId="10" hidden="1">Net_To_Gross!$A$1</definedName>
    <definedName name="_sh_ram_240_2" localSheetId="7" hidden="1">Net_To_Gross!$A$1</definedName>
    <definedName name="_sh_ram_240_2" localSheetId="6" hidden="1">Net_To_Gross!$A$1</definedName>
    <definedName name="_sh_ram_240_2" localSheetId="4" hidden="1">Net_To_Gross!$A$1</definedName>
    <definedName name="_sh_ram_240_2" localSheetId="12" hidden="1">Net_To_Gross!$A$1</definedName>
    <definedName name="_sh_ram_240_2" localSheetId="5" hidden="1">Net_To_Gross!$A$1</definedName>
    <definedName name="_sh_ram_240_2" hidden="1">#REF!</definedName>
    <definedName name="_sh_ram_288_1" localSheetId="8" hidden="1">Net_To_Gross!#REF!</definedName>
    <definedName name="_sh_ram_288_1" localSheetId="9" hidden="1">Net_To_Gross!#REF!</definedName>
    <definedName name="_sh_ram_288_1" localSheetId="10" hidden="1">Net_To_Gross!#REF!</definedName>
    <definedName name="_sh_ram_288_1" localSheetId="7" hidden="1">Net_To_Gross!#REF!</definedName>
    <definedName name="_sh_ram_288_1" localSheetId="6" hidden="1">Net_To_Gross!#REF!</definedName>
    <definedName name="_sh_ram_288_1" localSheetId="4" hidden="1">Net_To_Gross!#REF!</definedName>
    <definedName name="_sh_ram_288_1" localSheetId="12" hidden="1">Net_To_Gross!#REF!</definedName>
    <definedName name="_sh_ram_288_1" localSheetId="5" hidden="1">Net_To_Gross!#REF!</definedName>
    <definedName name="_sh_ram_288_1" hidden="1">#REF!</definedName>
    <definedName name="_sh_ram_288_2" localSheetId="8" hidden="1">Net_To_Gross!$A$1</definedName>
    <definedName name="_sh_ram_288_2" localSheetId="9" hidden="1">Net_To_Gross!$A$1</definedName>
    <definedName name="_sh_ram_288_2" localSheetId="10" hidden="1">Net_To_Gross!$A$1</definedName>
    <definedName name="_sh_ram_288_2" localSheetId="7" hidden="1">Net_To_Gross!$A$1</definedName>
    <definedName name="_sh_ram_288_2" localSheetId="6" hidden="1">Net_To_Gross!$A$1</definedName>
    <definedName name="_sh_ram_288_2" localSheetId="4" hidden="1">Net_To_Gross!$A$1</definedName>
    <definedName name="_sh_ram_288_2" localSheetId="12" hidden="1">Net_To_Gross!$A$1</definedName>
    <definedName name="_sh_ram_288_2" localSheetId="5" hidden="1">Net_To_Gross!$A$1</definedName>
    <definedName name="_sh_ram_288_2" hidden="1">#REF!</definedName>
    <definedName name="_sh_ram_289_1" hidden="1">#REF!</definedName>
    <definedName name="_sh_ram_295_1" hidden="1">[2]_sh_ram_295_1!$A$1</definedName>
    <definedName name="Activity">Activity!$A$2</definedName>
    <definedName name="Conference_Room_Table">Conference_Rooms!$A$7:$O$40</definedName>
    <definedName name="Distributed">Distributed!$A$2</definedName>
    <definedName name="email">Summary!$C$36</definedName>
    <definedName name="Justification">Justification!$A$2</definedName>
    <definedName name="Net_To_Gross" localSheetId="8">Net_To_Gross!$A$2</definedName>
    <definedName name="Net_To_Gross" localSheetId="9">Net_To_Gross!$A$2</definedName>
    <definedName name="Net_To_Gross" localSheetId="10">Net_To_Gross!$A$2</definedName>
    <definedName name="Net_To_Gross" localSheetId="7">Net_To_Gross!$A$2</definedName>
    <definedName name="Net_To_Gross" localSheetId="6">Net_To_Gross!$A$2</definedName>
    <definedName name="Net_To_Gross" localSheetId="4">Net_To_Gross!$A$2</definedName>
    <definedName name="Net_To_Gross" localSheetId="12">Net_To_Gross!$A$2</definedName>
    <definedName name="Net_To_Gross" localSheetId="5">Net_To_Gross!$A$2</definedName>
    <definedName name="Net_To_Gross">Net_To_Gross!$A$2</definedName>
    <definedName name="NTG_Space_Table">NTG_Spaces!$A$20:$M$61</definedName>
    <definedName name="_xlnm.Print_Area" localSheetId="1">Activity!$A$1:$H$28</definedName>
    <definedName name="_xlnm.Print_Area" localSheetId="8">Bathrooms!$A$1:$K$53</definedName>
    <definedName name="_xlnm.Print_Area" localSheetId="10">Conference_Rooms!$A$1:$O$40</definedName>
    <definedName name="_xlnm.Print_Area" localSheetId="6">Distributed!$A$1:$H$87</definedName>
    <definedName name="_xlnm.Print_Area" localSheetId="0">Intro!$A$1:$H$48</definedName>
    <definedName name="_xlnm.Print_Area" localSheetId="3">Justification!$A$1:$H$84</definedName>
    <definedName name="_xlnm.Print_Area" localSheetId="4">Net_To_Gross!$A$1:$H$117</definedName>
    <definedName name="_xlnm.Print_Area" localSheetId="12">NTG_Spaces!$A$1:$M$61</definedName>
    <definedName name="_xlnm.Print_Area" localSheetId="2">Space_Table!$A$1:$H$89</definedName>
    <definedName name="_xlnm.Print_Area" localSheetId="5">Summary!$A$1:$H$37</definedName>
    <definedName name="Space_Table">Space_Table!$A$2</definedName>
    <definedName name="Summary">Summary!$A$2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7" i="16" l="1"/>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46" i="16"/>
  <c r="C2" i="5" l="1"/>
  <c r="C5" i="12" l="1"/>
  <c r="H30" i="5" l="1"/>
  <c r="E14" i="11" l="1"/>
  <c r="E22" i="12"/>
  <c r="D100" i="12" l="1"/>
  <c r="D52" i="12" l="1"/>
  <c r="C14" i="11" l="1"/>
  <c r="D103" i="12"/>
  <c r="D102" i="12"/>
  <c r="D101" i="12"/>
  <c r="D98" i="12"/>
  <c r="C26" i="11" l="1"/>
  <c r="A36" i="10" l="1"/>
  <c r="A36" i="6"/>
  <c r="A38" i="6"/>
  <c r="H2" i="12" l="1"/>
  <c r="C1" i="12" l="1"/>
  <c r="C1" i="5" s="1"/>
  <c r="D36" i="12" l="1"/>
  <c r="G2" i="11" l="1"/>
  <c r="G2" i="10"/>
  <c r="H2" i="10"/>
  <c r="G13" i="12"/>
  <c r="G14" i="12"/>
  <c r="G15" i="12"/>
  <c r="G30" i="12"/>
  <c r="G29" i="12"/>
  <c r="G28" i="12"/>
  <c r="D49" i="12"/>
  <c r="H2" i="11" l="1"/>
  <c r="D30" i="10"/>
  <c r="H50" i="4" l="1"/>
  <c r="B23" i="12" l="1"/>
  <c r="B22" i="12"/>
  <c r="H71" i="12" l="1"/>
  <c r="H72" i="12"/>
  <c r="H73" i="12"/>
  <c r="H74" i="12"/>
  <c r="H75" i="12"/>
  <c r="H76" i="12"/>
  <c r="H77" i="12"/>
  <c r="H78" i="12"/>
  <c r="G71" i="12"/>
  <c r="G72" i="12"/>
  <c r="G73" i="12"/>
  <c r="G74" i="12"/>
  <c r="G75" i="12"/>
  <c r="G76" i="12"/>
  <c r="G77" i="12"/>
  <c r="G78" i="12"/>
  <c r="C71" i="12"/>
  <c r="C72" i="12"/>
  <c r="C73" i="12"/>
  <c r="C74" i="12"/>
  <c r="C75" i="12"/>
  <c r="C76" i="12"/>
  <c r="C77" i="12"/>
  <c r="C78" i="12"/>
  <c r="B69" i="12"/>
  <c r="B70" i="12"/>
  <c r="B71" i="12"/>
  <c r="B72" i="12"/>
  <c r="B73" i="12"/>
  <c r="B74" i="12"/>
  <c r="B75" i="12"/>
  <c r="B76" i="12"/>
  <c r="B77" i="12"/>
  <c r="B78" i="12"/>
  <c r="D54" i="12" l="1"/>
  <c r="D56" i="12"/>
  <c r="A116" i="9" l="1"/>
  <c r="D116" i="9"/>
  <c r="G17" i="12"/>
  <c r="G17" i="11" l="1"/>
  <c r="G17" i="10"/>
  <c r="D115" i="9"/>
  <c r="A115" i="9" l="1"/>
  <c r="D82" i="12" l="1"/>
  <c r="D38" i="12"/>
  <c r="D31" i="12"/>
  <c r="D53" i="12" l="1"/>
  <c r="D20" i="11" l="1"/>
  <c r="B62" i="1" l="1"/>
  <c r="L29" i="1" l="1"/>
  <c r="C5" i="1" l="1"/>
  <c r="Q7" i="16" l="1"/>
  <c r="B90" i="9" l="1"/>
  <c r="H41" i="7"/>
  <c r="G41" i="7"/>
  <c r="C41" i="7"/>
  <c r="B41" i="7"/>
  <c r="C82" i="6"/>
  <c r="C7" i="1" l="1"/>
  <c r="C9" i="1"/>
  <c r="C8" i="1"/>
  <c r="C6" i="1"/>
  <c r="B8" i="17"/>
  <c r="F7" i="16"/>
  <c r="O7" i="16" s="1"/>
  <c r="R7" i="16"/>
  <c r="X7" i="16"/>
  <c r="F8" i="16"/>
  <c r="O8" i="16" s="1"/>
  <c r="Q8" i="16"/>
  <c r="R8" i="16"/>
  <c r="W8" i="16"/>
  <c r="F9" i="16"/>
  <c r="O9" i="16" s="1"/>
  <c r="J9" i="16"/>
  <c r="Q9" i="16"/>
  <c r="R9" i="16"/>
  <c r="W9" i="16"/>
  <c r="F10" i="16"/>
  <c r="O10" i="16" s="1"/>
  <c r="J10" i="16"/>
  <c r="Q10" i="16"/>
  <c r="R10" i="16"/>
  <c r="W10" i="16"/>
  <c r="F11" i="16"/>
  <c r="J11" i="16"/>
  <c r="O11" i="16"/>
  <c r="T11" i="16" s="1"/>
  <c r="X11" i="16" s="1"/>
  <c r="Q11" i="16"/>
  <c r="R11" i="16"/>
  <c r="W11" i="16"/>
  <c r="F12" i="16"/>
  <c r="O12" i="16" s="1"/>
  <c r="J12" i="16"/>
  <c r="Q12" i="16"/>
  <c r="R12" i="16"/>
  <c r="W12" i="16"/>
  <c r="F13" i="16"/>
  <c r="O13" i="16" s="1"/>
  <c r="J13" i="16"/>
  <c r="Q13" i="16"/>
  <c r="R13" i="16"/>
  <c r="W13" i="16"/>
  <c r="F14" i="16"/>
  <c r="O14" i="16" s="1"/>
  <c r="S14" i="16" s="1"/>
  <c r="J14" i="16"/>
  <c r="N14" i="16"/>
  <c r="Q14" i="16"/>
  <c r="R14" i="16"/>
  <c r="W14" i="16"/>
  <c r="F15" i="16"/>
  <c r="O15" i="16" s="1"/>
  <c r="J15" i="16"/>
  <c r="N15" i="16"/>
  <c r="Q15" i="16"/>
  <c r="R15" i="16"/>
  <c r="W15" i="16"/>
  <c r="F16" i="16"/>
  <c r="J16" i="16"/>
  <c r="N16" i="16"/>
  <c r="Q16" i="16"/>
  <c r="R16" i="16"/>
  <c r="W16" i="16"/>
  <c r="F17" i="16"/>
  <c r="J17" i="16"/>
  <c r="N17" i="16"/>
  <c r="O17" i="16"/>
  <c r="S17" i="16" s="1"/>
  <c r="Q17" i="16"/>
  <c r="R17" i="16"/>
  <c r="W17" i="16"/>
  <c r="F18" i="16"/>
  <c r="J18" i="16"/>
  <c r="N18" i="16"/>
  <c r="Q18" i="16"/>
  <c r="R18" i="16"/>
  <c r="W18" i="16"/>
  <c r="F19" i="16"/>
  <c r="J19" i="16"/>
  <c r="O19" i="16" s="1"/>
  <c r="N19" i="16"/>
  <c r="Q19" i="16"/>
  <c r="R19" i="16"/>
  <c r="W19" i="16"/>
  <c r="F20" i="16"/>
  <c r="O20" i="16" s="1"/>
  <c r="S20" i="16" s="1"/>
  <c r="J20" i="16"/>
  <c r="N20" i="16"/>
  <c r="Q20" i="16"/>
  <c r="R20" i="16"/>
  <c r="W20" i="16"/>
  <c r="F21" i="16"/>
  <c r="J21" i="16"/>
  <c r="N21" i="16"/>
  <c r="Q21" i="16"/>
  <c r="R21" i="16"/>
  <c r="W21" i="16"/>
  <c r="F22" i="16"/>
  <c r="J22" i="16"/>
  <c r="N22" i="16"/>
  <c r="O22" i="16"/>
  <c r="S22" i="16" s="1"/>
  <c r="Q22" i="16"/>
  <c r="R22" i="16"/>
  <c r="W22" i="16"/>
  <c r="F23" i="16"/>
  <c r="J23" i="16"/>
  <c r="N23" i="16"/>
  <c r="Q23" i="16"/>
  <c r="R23" i="16"/>
  <c r="W23" i="16"/>
  <c r="F24" i="16"/>
  <c r="J24" i="16"/>
  <c r="N24" i="16"/>
  <c r="Q24" i="16"/>
  <c r="R24" i="16"/>
  <c r="W24" i="16"/>
  <c r="F25" i="16"/>
  <c r="O25" i="16" s="1"/>
  <c r="S25" i="16" s="1"/>
  <c r="J25" i="16"/>
  <c r="N25" i="16"/>
  <c r="Q25" i="16"/>
  <c r="R25" i="16"/>
  <c r="W25" i="16"/>
  <c r="F26" i="16"/>
  <c r="J26" i="16"/>
  <c r="N26" i="16"/>
  <c r="Q26" i="16"/>
  <c r="R26" i="16"/>
  <c r="W26" i="16"/>
  <c r="F27" i="16"/>
  <c r="J27" i="16"/>
  <c r="O27" i="16" s="1"/>
  <c r="N27" i="16"/>
  <c r="Q27" i="16"/>
  <c r="R27" i="16"/>
  <c r="W27" i="16"/>
  <c r="F28" i="16"/>
  <c r="O28" i="16" s="1"/>
  <c r="S28" i="16" s="1"/>
  <c r="J28" i="16"/>
  <c r="N28" i="16"/>
  <c r="Q28" i="16"/>
  <c r="R28" i="16"/>
  <c r="W28" i="16"/>
  <c r="F29" i="16"/>
  <c r="J29" i="16"/>
  <c r="N29" i="16"/>
  <c r="Q29" i="16"/>
  <c r="R29" i="16"/>
  <c r="W29" i="16"/>
  <c r="F30" i="16"/>
  <c r="O30" i="16" s="1"/>
  <c r="S30" i="16" s="1"/>
  <c r="J30" i="16"/>
  <c r="N30" i="16"/>
  <c r="Q30" i="16"/>
  <c r="R30" i="16"/>
  <c r="W30" i="16"/>
  <c r="F31" i="16"/>
  <c r="J31" i="16"/>
  <c r="N31" i="16"/>
  <c r="Q31" i="16"/>
  <c r="R31" i="16"/>
  <c r="W31" i="16"/>
  <c r="F32" i="16"/>
  <c r="J32" i="16"/>
  <c r="N32" i="16"/>
  <c r="Q32" i="16"/>
  <c r="R32" i="16"/>
  <c r="W32" i="16"/>
  <c r="F33" i="16"/>
  <c r="O33" i="16" s="1"/>
  <c r="T33" i="16" s="1"/>
  <c r="X33" i="16" s="1"/>
  <c r="J33" i="16"/>
  <c r="N33" i="16"/>
  <c r="Q33" i="16"/>
  <c r="R33" i="16"/>
  <c r="W33" i="16"/>
  <c r="F34" i="16"/>
  <c r="J34" i="16"/>
  <c r="N34" i="16"/>
  <c r="Q34" i="16"/>
  <c r="R34" i="16"/>
  <c r="W34" i="16"/>
  <c r="F35" i="16"/>
  <c r="J35" i="16"/>
  <c r="O35" i="16" s="1"/>
  <c r="N35" i="16"/>
  <c r="Q35" i="16"/>
  <c r="R35" i="16"/>
  <c r="W35" i="16"/>
  <c r="F36" i="16"/>
  <c r="J36" i="16"/>
  <c r="N36" i="16"/>
  <c r="O36" i="16"/>
  <c r="S36" i="16" s="1"/>
  <c r="Q36" i="16"/>
  <c r="R36" i="16"/>
  <c r="W36" i="16"/>
  <c r="F37" i="16"/>
  <c r="J37" i="16"/>
  <c r="N37" i="16"/>
  <c r="Q37" i="16"/>
  <c r="R37" i="16"/>
  <c r="W37" i="16"/>
  <c r="F38" i="16"/>
  <c r="O38" i="16" s="1"/>
  <c r="S38" i="16" s="1"/>
  <c r="J38" i="16"/>
  <c r="N38" i="16"/>
  <c r="Q38" i="16"/>
  <c r="R38" i="16"/>
  <c r="W38" i="16"/>
  <c r="F39" i="16"/>
  <c r="J39" i="16"/>
  <c r="N39" i="16"/>
  <c r="Q39" i="16"/>
  <c r="R39" i="16"/>
  <c r="W39" i="16"/>
  <c r="F40" i="16"/>
  <c r="J40" i="16"/>
  <c r="N40" i="16"/>
  <c r="Q40" i="16"/>
  <c r="R40" i="16"/>
  <c r="W40" i="16"/>
  <c r="K32" i="14"/>
  <c r="K33" i="14" s="1"/>
  <c r="G3" i="12"/>
  <c r="G3" i="11" s="1"/>
  <c r="C3" i="12"/>
  <c r="C3" i="7" s="1"/>
  <c r="G4" i="12"/>
  <c r="G4" i="11" s="1"/>
  <c r="C4" i="12"/>
  <c r="C4" i="11" s="1"/>
  <c r="G5" i="12"/>
  <c r="G5" i="10" s="1"/>
  <c r="G6" i="12"/>
  <c r="G2" i="9" s="1"/>
  <c r="C6" i="12"/>
  <c r="C6" i="11" s="1"/>
  <c r="G7" i="12"/>
  <c r="G7" i="10" s="1"/>
  <c r="C7" i="12"/>
  <c r="C7" i="10" s="1"/>
  <c r="G8" i="12"/>
  <c r="G8" i="10" s="1"/>
  <c r="G9" i="12"/>
  <c r="G5" i="9" s="1"/>
  <c r="C11" i="12"/>
  <c r="C11" i="10" s="1"/>
  <c r="G13" i="11"/>
  <c r="G14" i="11"/>
  <c r="G15" i="10"/>
  <c r="G18" i="12"/>
  <c r="C22" i="12"/>
  <c r="D22" i="12"/>
  <c r="B28" i="12"/>
  <c r="D28" i="12"/>
  <c r="B29" i="12"/>
  <c r="D29" i="12"/>
  <c r="B30" i="12"/>
  <c r="D30" i="12"/>
  <c r="B31" i="12"/>
  <c r="D31" i="6"/>
  <c r="B36" i="12"/>
  <c r="D36" i="6"/>
  <c r="B37" i="12"/>
  <c r="B38" i="12"/>
  <c r="C38" i="12"/>
  <c r="D38" i="6"/>
  <c r="B43" i="12"/>
  <c r="D43" i="12"/>
  <c r="D43" i="6" s="1"/>
  <c r="G43" i="12"/>
  <c r="B44" i="12"/>
  <c r="C44" i="12"/>
  <c r="C44" i="7" s="1"/>
  <c r="D44" i="12"/>
  <c r="D44" i="6" s="1"/>
  <c r="B45" i="12"/>
  <c r="C45" i="12"/>
  <c r="C45" i="7" s="1"/>
  <c r="D45" i="12"/>
  <c r="D45" i="6" s="1"/>
  <c r="H45" i="12"/>
  <c r="H45" i="7" s="1"/>
  <c r="B46" i="12"/>
  <c r="C46" i="12"/>
  <c r="D46" i="12"/>
  <c r="B47" i="12"/>
  <c r="C47" i="12"/>
  <c r="C47" i="7" s="1"/>
  <c r="D47" i="12"/>
  <c r="D47" i="6" s="1"/>
  <c r="B48" i="12"/>
  <c r="C48" i="12"/>
  <c r="C48" i="7" s="1"/>
  <c r="D48" i="12"/>
  <c r="D48" i="6" s="1"/>
  <c r="H48" i="12"/>
  <c r="H48" i="7" s="1"/>
  <c r="B49" i="12"/>
  <c r="D49" i="6"/>
  <c r="B52" i="12"/>
  <c r="C52" i="12"/>
  <c r="C56" i="7" s="1"/>
  <c r="B53" i="12"/>
  <c r="C53" i="12"/>
  <c r="C57" i="7" s="1"/>
  <c r="B54" i="12"/>
  <c r="C54" i="12"/>
  <c r="C58" i="7" s="1"/>
  <c r="D54" i="6"/>
  <c r="G54" i="12"/>
  <c r="H54" i="12"/>
  <c r="H54" i="6" s="1"/>
  <c r="B55" i="12"/>
  <c r="C55" i="12"/>
  <c r="C59" i="7" s="1"/>
  <c r="D55" i="12"/>
  <c r="D55" i="6" s="1"/>
  <c r="G55" i="12"/>
  <c r="H55" i="12"/>
  <c r="H59" i="7" s="1"/>
  <c r="B56" i="12"/>
  <c r="C56" i="12"/>
  <c r="C60" i="7" s="1"/>
  <c r="D56" i="6"/>
  <c r="H56" i="12"/>
  <c r="H60" i="7" s="1"/>
  <c r="A59" i="12"/>
  <c r="A63" i="7" s="1"/>
  <c r="B59" i="12"/>
  <c r="C59" i="12"/>
  <c r="C63" i="7" s="1"/>
  <c r="D59" i="12"/>
  <c r="D59" i="6" s="1"/>
  <c r="G59" i="12"/>
  <c r="H59" i="12"/>
  <c r="H63" i="7" s="1"/>
  <c r="A60" i="12"/>
  <c r="A64" i="7" s="1"/>
  <c r="B60" i="12"/>
  <c r="C60" i="12"/>
  <c r="C64" i="7" s="1"/>
  <c r="D60" i="12"/>
  <c r="D60" i="6" s="1"/>
  <c r="G60" i="12"/>
  <c r="H60" i="12"/>
  <c r="H64" i="7" s="1"/>
  <c r="A61" i="12"/>
  <c r="A65" i="7" s="1"/>
  <c r="B61" i="12"/>
  <c r="C61" i="12"/>
  <c r="C65" i="7" s="1"/>
  <c r="D61" i="12"/>
  <c r="D61" i="6" s="1"/>
  <c r="G61" i="12"/>
  <c r="A62" i="12"/>
  <c r="A66" i="7" s="1"/>
  <c r="B62" i="12"/>
  <c r="C62" i="12"/>
  <c r="C66" i="7" s="1"/>
  <c r="D62" i="12"/>
  <c r="D62" i="6" s="1"/>
  <c r="G62" i="12"/>
  <c r="A63" i="12"/>
  <c r="A67" i="7" s="1"/>
  <c r="B63" i="12"/>
  <c r="C63" i="12"/>
  <c r="C67" i="7" s="1"/>
  <c r="D63" i="12"/>
  <c r="D63" i="6" s="1"/>
  <c r="G63" i="12"/>
  <c r="H63" i="12"/>
  <c r="H67" i="7" s="1"/>
  <c r="A64" i="12"/>
  <c r="A68" i="7" s="1"/>
  <c r="B64" i="12"/>
  <c r="C64" i="12"/>
  <c r="C64" i="6" s="1"/>
  <c r="D64" i="12"/>
  <c r="D64" i="6" s="1"/>
  <c r="G64" i="12"/>
  <c r="A65" i="12"/>
  <c r="A69" i="7" s="1"/>
  <c r="B65" i="12"/>
  <c r="C65" i="12"/>
  <c r="C69" i="7" s="1"/>
  <c r="D65" i="12"/>
  <c r="D65" i="6" s="1"/>
  <c r="G65" i="12"/>
  <c r="H65" i="12"/>
  <c r="H69" i="7" s="1"/>
  <c r="A66" i="12"/>
  <c r="A70" i="7" s="1"/>
  <c r="B66" i="12"/>
  <c r="C66" i="12"/>
  <c r="C70" i="7" s="1"/>
  <c r="D66" i="12"/>
  <c r="D66" i="6" s="1"/>
  <c r="G66" i="12"/>
  <c r="H66" i="12"/>
  <c r="H70" i="7" s="1"/>
  <c r="A67" i="12"/>
  <c r="A71" i="7" s="1"/>
  <c r="B67" i="12"/>
  <c r="C67" i="12"/>
  <c r="C71" i="7" s="1"/>
  <c r="D67" i="12"/>
  <c r="D67" i="6" s="1"/>
  <c r="G67" i="12"/>
  <c r="H67" i="12"/>
  <c r="H71" i="7" s="1"/>
  <c r="A68" i="12"/>
  <c r="A72" i="7" s="1"/>
  <c r="B68" i="12"/>
  <c r="C68" i="12"/>
  <c r="C72" i="7" s="1"/>
  <c r="D68" i="12"/>
  <c r="D68" i="6" s="1"/>
  <c r="G68" i="12"/>
  <c r="H68" i="12"/>
  <c r="H72" i="7" s="1"/>
  <c r="A69" i="12"/>
  <c r="A73" i="7" s="1"/>
  <c r="C69" i="12"/>
  <c r="C73" i="7" s="1"/>
  <c r="D69" i="12"/>
  <c r="D69" i="6" s="1"/>
  <c r="G69" i="12"/>
  <c r="A70" i="12"/>
  <c r="A74" i="7" s="1"/>
  <c r="C70" i="12"/>
  <c r="C74" i="7" s="1"/>
  <c r="D70" i="12"/>
  <c r="D70" i="6" s="1"/>
  <c r="G70" i="12"/>
  <c r="H70" i="12"/>
  <c r="H74" i="7" s="1"/>
  <c r="A71" i="12"/>
  <c r="A75" i="7" s="1"/>
  <c r="C75" i="7"/>
  <c r="D71" i="12"/>
  <c r="D71" i="6" s="1"/>
  <c r="H75" i="7"/>
  <c r="A72" i="12"/>
  <c r="A76" i="7" s="1"/>
  <c r="C76" i="7"/>
  <c r="D72" i="12"/>
  <c r="D72" i="6" s="1"/>
  <c r="H76" i="7"/>
  <c r="A73" i="12"/>
  <c r="A77" i="7" s="1"/>
  <c r="C77" i="7"/>
  <c r="D73" i="12"/>
  <c r="D73" i="6" s="1"/>
  <c r="H77" i="7"/>
  <c r="A74" i="12"/>
  <c r="A78" i="7" s="1"/>
  <c r="C78" i="7"/>
  <c r="D74" i="12"/>
  <c r="D74" i="6" s="1"/>
  <c r="H78" i="7"/>
  <c r="A75" i="12"/>
  <c r="A79" i="7" s="1"/>
  <c r="C79" i="7"/>
  <c r="D75" i="12"/>
  <c r="D75" i="6" s="1"/>
  <c r="H79" i="7"/>
  <c r="A76" i="12"/>
  <c r="A80" i="7" s="1"/>
  <c r="C80" i="7"/>
  <c r="D76" i="12"/>
  <c r="D76" i="6" s="1"/>
  <c r="H80" i="7"/>
  <c r="A77" i="12"/>
  <c r="A81" i="7" s="1"/>
  <c r="C81" i="7"/>
  <c r="D77" i="12"/>
  <c r="D77" i="6" s="1"/>
  <c r="A78" i="12"/>
  <c r="A82" i="7" s="1"/>
  <c r="C82" i="7"/>
  <c r="D78" i="12"/>
  <c r="D78" i="6" s="1"/>
  <c r="H82" i="7"/>
  <c r="D79" i="12"/>
  <c r="C79" i="6" s="1"/>
  <c r="B82" i="12"/>
  <c r="C82" i="12"/>
  <c r="B92" i="12"/>
  <c r="D92" i="12"/>
  <c r="E92" i="12"/>
  <c r="E92" i="9" s="1"/>
  <c r="B94" i="12"/>
  <c r="C94" i="12"/>
  <c r="D94" i="12"/>
  <c r="B95" i="12"/>
  <c r="C95" i="12"/>
  <c r="D95" i="12"/>
  <c r="B96" i="12"/>
  <c r="B97" i="12"/>
  <c r="B98" i="12"/>
  <c r="C98" i="12"/>
  <c r="B99" i="12"/>
  <c r="C99" i="12"/>
  <c r="D99" i="12"/>
  <c r="B100" i="12"/>
  <c r="B101" i="12"/>
  <c r="B102" i="12"/>
  <c r="C102" i="12"/>
  <c r="B103" i="12"/>
  <c r="C103" i="12"/>
  <c r="A104" i="12"/>
  <c r="B104" i="12"/>
  <c r="C104" i="12"/>
  <c r="D104" i="12"/>
  <c r="G104" i="12"/>
  <c r="H104" i="12"/>
  <c r="A105" i="12"/>
  <c r="B105" i="12"/>
  <c r="C105" i="12"/>
  <c r="D105" i="12"/>
  <c r="G105" i="12"/>
  <c r="H105" i="12"/>
  <c r="B107" i="12"/>
  <c r="D107" i="12"/>
  <c r="E107" i="12"/>
  <c r="E107" i="9" s="1"/>
  <c r="B109" i="12"/>
  <c r="C109" i="12"/>
  <c r="D109" i="12"/>
  <c r="B112" i="12"/>
  <c r="C112" i="12"/>
  <c r="D112" i="12"/>
  <c r="A2" i="11"/>
  <c r="A3" i="11"/>
  <c r="A4" i="11"/>
  <c r="A5" i="11"/>
  <c r="A6" i="11"/>
  <c r="G10" i="11"/>
  <c r="G11" i="11"/>
  <c r="G12" i="11"/>
  <c r="C13" i="11"/>
  <c r="D13" i="11"/>
  <c r="E13" i="11"/>
  <c r="F13" i="11"/>
  <c r="A14" i="11"/>
  <c r="D14" i="11"/>
  <c r="G16" i="11"/>
  <c r="G18" i="11"/>
  <c r="A20" i="11"/>
  <c r="C20" i="11"/>
  <c r="E20" i="11"/>
  <c r="F20" i="11"/>
  <c r="F21" i="11"/>
  <c r="F22" i="11"/>
  <c r="C23" i="11"/>
  <c r="D23" i="11"/>
  <c r="E23" i="11"/>
  <c r="C28" i="11"/>
  <c r="C32" i="11" s="1"/>
  <c r="D26" i="11"/>
  <c r="D28" i="11" s="1"/>
  <c r="E26" i="11"/>
  <c r="C31" i="11"/>
  <c r="D31" i="11"/>
  <c r="E31" i="11"/>
  <c r="C35" i="11"/>
  <c r="D35" i="11"/>
  <c r="E35" i="11"/>
  <c r="F35" i="11"/>
  <c r="H48" i="11"/>
  <c r="G56" i="11"/>
  <c r="G89" i="11"/>
  <c r="A2" i="10"/>
  <c r="A3" i="10"/>
  <c r="A4" i="10"/>
  <c r="A5" i="10"/>
  <c r="A6" i="10"/>
  <c r="A7" i="10"/>
  <c r="G10" i="10"/>
  <c r="A11" i="10"/>
  <c r="G11" i="10"/>
  <c r="G12" i="10"/>
  <c r="G13" i="10"/>
  <c r="G16" i="10"/>
  <c r="G18" i="10"/>
  <c r="A20" i="10"/>
  <c r="A22" i="10"/>
  <c r="A23" i="10"/>
  <c r="A24" i="10"/>
  <c r="A30" i="10"/>
  <c r="A32" i="10"/>
  <c r="A33" i="10"/>
  <c r="G33" i="10"/>
  <c r="A34" i="10"/>
  <c r="G34" i="10"/>
  <c r="G39" i="10"/>
  <c r="H39" i="10"/>
  <c r="H1" i="9"/>
  <c r="A2" i="9"/>
  <c r="A3" i="9"/>
  <c r="A4" i="9"/>
  <c r="A5" i="9"/>
  <c r="A6" i="9"/>
  <c r="A90" i="9"/>
  <c r="C90" i="9"/>
  <c r="D90" i="9"/>
  <c r="G90" i="9"/>
  <c r="H90" i="9"/>
  <c r="A92" i="9"/>
  <c r="A94" i="9"/>
  <c r="A95" i="9"/>
  <c r="A96" i="9"/>
  <c r="A97" i="9"/>
  <c r="A98" i="9"/>
  <c r="A99" i="9"/>
  <c r="A100" i="9"/>
  <c r="A101" i="9"/>
  <c r="A102" i="9"/>
  <c r="A103" i="9"/>
  <c r="A107" i="9"/>
  <c r="A109" i="9"/>
  <c r="G111" i="9"/>
  <c r="A112" i="9"/>
  <c r="G112" i="9"/>
  <c r="D113" i="9"/>
  <c r="G119" i="9"/>
  <c r="H119" i="9"/>
  <c r="H1" i="7"/>
  <c r="A2" i="7"/>
  <c r="A3" i="7"/>
  <c r="A4" i="7"/>
  <c r="A5" i="7"/>
  <c r="A6" i="7"/>
  <c r="A41" i="7"/>
  <c r="A42" i="7"/>
  <c r="A43" i="7"/>
  <c r="B43" i="7"/>
  <c r="G43" i="7"/>
  <c r="A44" i="7"/>
  <c r="B44" i="7"/>
  <c r="G44" i="7"/>
  <c r="A45" i="7"/>
  <c r="B45" i="7"/>
  <c r="G45" i="7"/>
  <c r="A46" i="7"/>
  <c r="B46" i="7"/>
  <c r="A47" i="7"/>
  <c r="B47" i="7"/>
  <c r="A48" i="7"/>
  <c r="B48" i="7"/>
  <c r="G48" i="7"/>
  <c r="A49" i="7"/>
  <c r="B49" i="7"/>
  <c r="G49" i="7"/>
  <c r="A55" i="7"/>
  <c r="A56" i="7"/>
  <c r="B56" i="7"/>
  <c r="A57" i="7"/>
  <c r="B57" i="7"/>
  <c r="G57" i="7"/>
  <c r="A58" i="7"/>
  <c r="B58" i="7"/>
  <c r="G58" i="7"/>
  <c r="A59" i="7"/>
  <c r="B59" i="7"/>
  <c r="G59" i="7"/>
  <c r="A60" i="7"/>
  <c r="B60" i="7"/>
  <c r="G60" i="7"/>
  <c r="A62" i="7"/>
  <c r="B63" i="7"/>
  <c r="G63" i="7"/>
  <c r="B64" i="7"/>
  <c r="G64" i="7"/>
  <c r="B65" i="7"/>
  <c r="G65" i="7"/>
  <c r="B66" i="7"/>
  <c r="G66" i="7"/>
  <c r="B67" i="7"/>
  <c r="G67" i="7"/>
  <c r="B68" i="7"/>
  <c r="G68" i="7"/>
  <c r="B69" i="7"/>
  <c r="G69" i="7"/>
  <c r="B70" i="7"/>
  <c r="G70" i="7"/>
  <c r="B71" i="7"/>
  <c r="G71" i="7"/>
  <c r="B72" i="7"/>
  <c r="G72" i="7"/>
  <c r="B73" i="7"/>
  <c r="G73" i="7"/>
  <c r="B74" i="7"/>
  <c r="G74" i="7"/>
  <c r="B75" i="7"/>
  <c r="G75" i="7"/>
  <c r="B76" i="7"/>
  <c r="G76" i="7"/>
  <c r="B77" i="7"/>
  <c r="G77" i="7"/>
  <c r="B78" i="7"/>
  <c r="G78" i="7"/>
  <c r="B79" i="7"/>
  <c r="G79" i="7"/>
  <c r="B80" i="7"/>
  <c r="G80" i="7"/>
  <c r="B81" i="7"/>
  <c r="G81" i="7"/>
  <c r="H81" i="7"/>
  <c r="B82" i="7"/>
  <c r="G82" i="7"/>
  <c r="G86" i="7"/>
  <c r="H86" i="7"/>
  <c r="H1" i="6"/>
  <c r="A2" i="6"/>
  <c r="A3" i="6"/>
  <c r="A4" i="6"/>
  <c r="A5" i="6"/>
  <c r="A6" i="6"/>
  <c r="A27" i="6"/>
  <c r="C27" i="6"/>
  <c r="D27" i="6"/>
  <c r="G27" i="6"/>
  <c r="H10" i="6"/>
  <c r="A28" i="6"/>
  <c r="A29" i="6"/>
  <c r="A30" i="6"/>
  <c r="A31" i="6"/>
  <c r="C32" i="6"/>
  <c r="A34" i="6"/>
  <c r="C34" i="6"/>
  <c r="D34" i="6"/>
  <c r="G34" i="6"/>
  <c r="H34" i="6"/>
  <c r="A35" i="6"/>
  <c r="C38" i="6"/>
  <c r="C39" i="6"/>
  <c r="A41" i="6"/>
  <c r="C41" i="6"/>
  <c r="D41" i="6"/>
  <c r="G41" i="6"/>
  <c r="H41" i="6"/>
  <c r="A42" i="6"/>
  <c r="A43" i="6"/>
  <c r="C43" i="6"/>
  <c r="C43" i="12" s="1"/>
  <c r="A44" i="6"/>
  <c r="G44" i="6"/>
  <c r="A45" i="6"/>
  <c r="G45" i="6"/>
  <c r="A46" i="6"/>
  <c r="D46" i="6"/>
  <c r="A47" i="6"/>
  <c r="A48" i="6"/>
  <c r="G48" i="6"/>
  <c r="A49" i="6"/>
  <c r="C50" i="6"/>
  <c r="A51" i="6"/>
  <c r="A52" i="6"/>
  <c r="D52" i="6"/>
  <c r="A53" i="6"/>
  <c r="C53" i="6"/>
  <c r="D53" i="6"/>
  <c r="G53" i="6"/>
  <c r="A54" i="6"/>
  <c r="C54" i="6"/>
  <c r="A55" i="6"/>
  <c r="C55" i="6"/>
  <c r="H55" i="6"/>
  <c r="A56" i="6"/>
  <c r="G56" i="6"/>
  <c r="H56" i="6"/>
  <c r="C57" i="6"/>
  <c r="A58" i="6"/>
  <c r="C59" i="6"/>
  <c r="H59" i="6"/>
  <c r="C60" i="6"/>
  <c r="H60" i="6"/>
  <c r="C63" i="6"/>
  <c r="H63" i="6"/>
  <c r="C65" i="6"/>
  <c r="H65" i="6"/>
  <c r="C66" i="6"/>
  <c r="H66" i="6"/>
  <c r="C67" i="6"/>
  <c r="H67" i="6"/>
  <c r="C68" i="6"/>
  <c r="H68" i="6"/>
  <c r="C70" i="6"/>
  <c r="H70" i="6"/>
  <c r="C71" i="6"/>
  <c r="H71" i="6"/>
  <c r="C72" i="6"/>
  <c r="H72" i="6"/>
  <c r="C73" i="6"/>
  <c r="H73" i="6"/>
  <c r="C74" i="6"/>
  <c r="H74" i="6"/>
  <c r="C75" i="6"/>
  <c r="H75" i="6"/>
  <c r="C76" i="6"/>
  <c r="H76" i="6"/>
  <c r="C77" i="6"/>
  <c r="H77" i="6"/>
  <c r="C78" i="6"/>
  <c r="H78" i="6"/>
  <c r="C81" i="6"/>
  <c r="D82" i="6"/>
  <c r="C83" i="6"/>
  <c r="A85" i="6"/>
  <c r="H85" i="6"/>
  <c r="C86" i="6"/>
  <c r="C87" i="6"/>
  <c r="C88" i="6"/>
  <c r="G91" i="6"/>
  <c r="H91" i="6"/>
  <c r="H1" i="5"/>
  <c r="A2" i="5"/>
  <c r="H2" i="5"/>
  <c r="A3" i="5"/>
  <c r="H3" i="5"/>
  <c r="A4" i="5"/>
  <c r="H4" i="5"/>
  <c r="A5" i="5"/>
  <c r="A6" i="5"/>
  <c r="A7" i="5"/>
  <c r="A11" i="5"/>
  <c r="A20" i="5"/>
  <c r="C20" i="5"/>
  <c r="D20" i="5"/>
  <c r="E20" i="5"/>
  <c r="F20" i="5"/>
  <c r="A21" i="5"/>
  <c r="A25" i="5"/>
  <c r="G1" i="4"/>
  <c r="H1" i="4"/>
  <c r="H2" i="4"/>
  <c r="H3" i="4"/>
  <c r="H4" i="4"/>
  <c r="D16" i="1"/>
  <c r="D17" i="1"/>
  <c r="D18" i="1"/>
  <c r="D19" i="1"/>
  <c r="D20" i="1"/>
  <c r="D21" i="1"/>
  <c r="D22" i="1"/>
  <c r="D23" i="1"/>
  <c r="D24" i="1"/>
  <c r="D15" i="1"/>
  <c r="S9" i="16" l="1"/>
  <c r="T9" i="16"/>
  <c r="X9" i="16" s="1"/>
  <c r="U9" i="16"/>
  <c r="S13" i="16"/>
  <c r="T13" i="16"/>
  <c r="X13" i="16" s="1"/>
  <c r="U13" i="16"/>
  <c r="O39" i="16"/>
  <c r="O34" i="16"/>
  <c r="S34" i="16" s="1"/>
  <c r="O29" i="16"/>
  <c r="O31" i="16"/>
  <c r="O26" i="16"/>
  <c r="O21" i="16"/>
  <c r="O16" i="16"/>
  <c r="U16" i="16" s="1"/>
  <c r="O40" i="16"/>
  <c r="U40" i="16" s="1"/>
  <c r="O37" i="16"/>
  <c r="S37" i="16" s="1"/>
  <c r="O32" i="16"/>
  <c r="U32" i="16" s="1"/>
  <c r="O24" i="16"/>
  <c r="O23" i="16"/>
  <c r="S23" i="16" s="1"/>
  <c r="O18" i="16"/>
  <c r="S18" i="16" s="1"/>
  <c r="G5" i="6"/>
  <c r="G8" i="11"/>
  <c r="G3" i="6"/>
  <c r="G6" i="11"/>
  <c r="E28" i="11"/>
  <c r="E32" i="11" s="1"/>
  <c r="E33" i="11" s="1"/>
  <c r="G5" i="7"/>
  <c r="C5" i="7"/>
  <c r="G3" i="10"/>
  <c r="G2" i="6"/>
  <c r="D28" i="6"/>
  <c r="D37" i="6"/>
  <c r="C3" i="9"/>
  <c r="G2" i="7"/>
  <c r="G6" i="10"/>
  <c r="C3" i="11"/>
  <c r="G4" i="9"/>
  <c r="C4" i="9"/>
  <c r="G9" i="11"/>
  <c r="H69" i="12"/>
  <c r="C69" i="6"/>
  <c r="G4" i="7"/>
  <c r="C4" i="6"/>
  <c r="C5" i="9"/>
  <c r="G9" i="10"/>
  <c r="D29" i="6"/>
  <c r="G4" i="10"/>
  <c r="C4" i="7"/>
  <c r="C5" i="10"/>
  <c r="C5" i="6"/>
  <c r="G4" i="6"/>
  <c r="G3" i="7"/>
  <c r="C3" i="10"/>
  <c r="C5" i="11"/>
  <c r="C6" i="6"/>
  <c r="C6" i="7"/>
  <c r="C6" i="9"/>
  <c r="C6" i="10"/>
  <c r="C3" i="6"/>
  <c r="F23" i="11"/>
  <c r="C33" i="11"/>
  <c r="C68" i="7"/>
  <c r="H64" i="12"/>
  <c r="H62" i="12"/>
  <c r="H62" i="6" s="1"/>
  <c r="C62" i="6"/>
  <c r="C61" i="6"/>
  <c r="H61" i="12"/>
  <c r="F22" i="12"/>
  <c r="H53" i="12"/>
  <c r="C52" i="6"/>
  <c r="C36" i="11"/>
  <c r="C23" i="12" s="1"/>
  <c r="C21" i="12" s="1"/>
  <c r="F12" i="14" s="1"/>
  <c r="F14" i="11"/>
  <c r="H58" i="7"/>
  <c r="U37" i="16"/>
  <c r="T32" i="16"/>
  <c r="X32" i="16" s="1"/>
  <c r="U24" i="16"/>
  <c r="S24" i="16"/>
  <c r="T24" i="16"/>
  <c r="X24" i="16" s="1"/>
  <c r="T23" i="16"/>
  <c r="X23" i="16" s="1"/>
  <c r="U23" i="16"/>
  <c r="T18" i="16"/>
  <c r="X18" i="16" s="1"/>
  <c r="U18" i="16"/>
  <c r="S12" i="16"/>
  <c r="T12" i="16"/>
  <c r="X12" i="16" s="1"/>
  <c r="U12" i="16"/>
  <c r="S8" i="16"/>
  <c r="U8" i="16"/>
  <c r="T8" i="16"/>
  <c r="X8" i="16" s="1"/>
  <c r="T27" i="16"/>
  <c r="X27" i="16" s="1"/>
  <c r="U27" i="16"/>
  <c r="S27" i="16"/>
  <c r="T19" i="16"/>
  <c r="X19" i="16" s="1"/>
  <c r="S19" i="16"/>
  <c r="U19" i="16"/>
  <c r="S39" i="16"/>
  <c r="T39" i="16"/>
  <c r="X39" i="16" s="1"/>
  <c r="U39" i="16"/>
  <c r="U34" i="16"/>
  <c r="T34" i="16"/>
  <c r="X34" i="16" s="1"/>
  <c r="T29" i="16"/>
  <c r="X29" i="16" s="1"/>
  <c r="U29" i="16"/>
  <c r="S29" i="16"/>
  <c r="T35" i="16"/>
  <c r="X35" i="16" s="1"/>
  <c r="U35" i="16"/>
  <c r="S35" i="16"/>
  <c r="S15" i="16"/>
  <c r="T15" i="16"/>
  <c r="X15" i="16" s="1"/>
  <c r="U15" i="16"/>
  <c r="T10" i="16"/>
  <c r="X10" i="16" s="1"/>
  <c r="S10" i="16"/>
  <c r="U10" i="16"/>
  <c r="T40" i="16"/>
  <c r="X40" i="16" s="1"/>
  <c r="S31" i="16"/>
  <c r="T31" i="16"/>
  <c r="X31" i="16" s="1"/>
  <c r="U31" i="16"/>
  <c r="U26" i="16"/>
  <c r="S26" i="16"/>
  <c r="T26" i="16"/>
  <c r="X26" i="16" s="1"/>
  <c r="U21" i="16"/>
  <c r="S21" i="16"/>
  <c r="T21" i="16"/>
  <c r="X21" i="16" s="1"/>
  <c r="U36" i="16"/>
  <c r="U28" i="16"/>
  <c r="U20" i="16"/>
  <c r="T36" i="16"/>
  <c r="X36" i="16" s="1"/>
  <c r="U33" i="16"/>
  <c r="T28" i="16"/>
  <c r="X28" i="16" s="1"/>
  <c r="U25" i="16"/>
  <c r="T20" i="16"/>
  <c r="X20" i="16" s="1"/>
  <c r="U17" i="16"/>
  <c r="U11" i="16"/>
  <c r="T25" i="16"/>
  <c r="X25" i="16" s="1"/>
  <c r="T17" i="16"/>
  <c r="X17" i="16" s="1"/>
  <c r="U14" i="16"/>
  <c r="T38" i="16"/>
  <c r="X38" i="16" s="1"/>
  <c r="S33" i="16"/>
  <c r="T30" i="16"/>
  <c r="X30" i="16" s="1"/>
  <c r="T22" i="16"/>
  <c r="X22" i="16" s="1"/>
  <c r="T14" i="16"/>
  <c r="X14" i="16" s="1"/>
  <c r="S11" i="16"/>
  <c r="U38" i="16"/>
  <c r="U30" i="16"/>
  <c r="U22" i="16"/>
  <c r="C43" i="7"/>
  <c r="H43" i="12"/>
  <c r="C46" i="7"/>
  <c r="G3" i="9"/>
  <c r="G14" i="10"/>
  <c r="G15" i="11"/>
  <c r="G5" i="11"/>
  <c r="C4" i="10"/>
  <c r="G7" i="11"/>
  <c r="H44" i="12"/>
  <c r="H44" i="7" s="1"/>
  <c r="D30" i="6"/>
  <c r="D32" i="11"/>
  <c r="D33" i="11" s="1"/>
  <c r="E16" i="1"/>
  <c r="E17" i="1"/>
  <c r="E18" i="1"/>
  <c r="E19" i="1"/>
  <c r="E20" i="1"/>
  <c r="E21" i="1"/>
  <c r="E22" i="1"/>
  <c r="E23" i="1"/>
  <c r="E24" i="1"/>
  <c r="E15" i="1"/>
  <c r="S40" i="16" l="1"/>
  <c r="S32" i="16"/>
  <c r="T16" i="16"/>
  <c r="X16" i="16" s="1"/>
  <c r="T37" i="16"/>
  <c r="X37" i="16" s="1"/>
  <c r="S16" i="16"/>
  <c r="E36" i="11"/>
  <c r="E23" i="12" s="1"/>
  <c r="H79" i="12"/>
  <c r="H66" i="7"/>
  <c r="H69" i="6"/>
  <c r="H73" i="7"/>
  <c r="C24" i="11"/>
  <c r="H21" i="11"/>
  <c r="H41" i="11"/>
  <c r="D36" i="11"/>
  <c r="D23" i="12" s="1"/>
  <c r="D21" i="12" s="1"/>
  <c r="H68" i="7"/>
  <c r="H64" i="6"/>
  <c r="H65" i="7"/>
  <c r="H61" i="6"/>
  <c r="H53" i="6"/>
  <c r="H57" i="7"/>
  <c r="C28" i="12"/>
  <c r="H22" i="11"/>
  <c r="H43" i="7"/>
  <c r="E21" i="12" l="1"/>
  <c r="F14" i="14" s="1"/>
  <c r="H3" i="12"/>
  <c r="C29" i="12"/>
  <c r="H4" i="12" s="1"/>
  <c r="F23" i="12"/>
  <c r="F13" i="14"/>
  <c r="F36" i="11"/>
  <c r="C30" i="12" l="1"/>
  <c r="H5" i="12" s="1"/>
  <c r="H6" i="12" s="1"/>
  <c r="F21" i="12"/>
  <c r="G37" i="12" s="1"/>
  <c r="C25" i="12"/>
  <c r="C49" i="12"/>
  <c r="H49" i="12" s="1"/>
  <c r="H42" i="11"/>
  <c r="H43" i="11" s="1"/>
  <c r="H44" i="11" s="1"/>
  <c r="H52" i="12"/>
  <c r="G56" i="7"/>
  <c r="F15" i="14" l="1"/>
  <c r="G18" i="14" s="1"/>
  <c r="D3" i="16"/>
  <c r="N45" i="16" s="1"/>
  <c r="G46" i="12"/>
  <c r="H46" i="12" s="1"/>
  <c r="E25" i="12"/>
  <c r="D25" i="12"/>
  <c r="C36" i="12"/>
  <c r="H36" i="12" s="1"/>
  <c r="G115" i="12"/>
  <c r="G115" i="9" s="1"/>
  <c r="G52" i="12"/>
  <c r="G52" i="6" s="1"/>
  <c r="G116" i="12"/>
  <c r="G116" i="9" s="1"/>
  <c r="A4" i="17"/>
  <c r="D111" i="12"/>
  <c r="D111" i="9" s="1"/>
  <c r="G47" i="12"/>
  <c r="H47" i="12" s="1"/>
  <c r="H50" i="12" s="1"/>
  <c r="C37" i="12"/>
  <c r="H37" i="12" s="1"/>
  <c r="H28" i="12"/>
  <c r="F23" i="14"/>
  <c r="F32" i="14" s="1"/>
  <c r="F33" i="14" s="1"/>
  <c r="F18" i="14"/>
  <c r="H30" i="12"/>
  <c r="H29" i="12"/>
  <c r="H52" i="6"/>
  <c r="H57" i="12"/>
  <c r="C105" i="9"/>
  <c r="C104" i="9"/>
  <c r="N3" i="16" l="1"/>
  <c r="G38" i="12"/>
  <c r="H38" i="12" s="1"/>
  <c r="H39" i="12" s="1"/>
  <c r="G6" i="7"/>
  <c r="G6" i="6"/>
  <c r="G6" i="9"/>
  <c r="G25" i="5"/>
  <c r="G31" i="12"/>
  <c r="F22" i="14" s="1"/>
  <c r="F31" i="14" s="1"/>
  <c r="E60" i="14" s="1"/>
  <c r="E64" i="14" s="1"/>
  <c r="C94" i="9"/>
  <c r="C109" i="9"/>
  <c r="C95" i="9"/>
  <c r="C98" i="9"/>
  <c r="C99" i="9"/>
  <c r="C102" i="9"/>
  <c r="C103" i="9"/>
  <c r="H81" i="12" l="1"/>
  <c r="G82" i="12" s="1"/>
  <c r="H82" i="12" s="1"/>
  <c r="H83" i="12" s="1"/>
  <c r="H87" i="12" s="1"/>
  <c r="C120" i="12" s="1"/>
  <c r="F37" i="14"/>
  <c r="F34" i="14"/>
  <c r="F36" i="14" s="1"/>
  <c r="F41" i="14" s="1"/>
  <c r="D94" i="9"/>
  <c r="H8" i="12" l="1"/>
  <c r="K22" i="14"/>
  <c r="P22" i="14" s="1"/>
  <c r="G100" i="12"/>
  <c r="F38" i="14"/>
  <c r="F40" i="14" s="1"/>
  <c r="G52" i="14" s="1"/>
  <c r="K31" i="14"/>
  <c r="J60" i="14" s="1"/>
  <c r="P31" i="14"/>
  <c r="P68" i="14"/>
  <c r="K68" i="14"/>
  <c r="F42" i="14" l="1"/>
  <c r="G53" i="14" s="1"/>
  <c r="F53" i="14" s="1"/>
  <c r="G46" i="14"/>
  <c r="K34" i="14"/>
  <c r="K36" i="14" s="1"/>
  <c r="K37" i="14"/>
  <c r="J64" i="14"/>
  <c r="O60" i="14"/>
  <c r="P37" i="14"/>
  <c r="C1" i="11"/>
  <c r="C1" i="9"/>
  <c r="C1" i="6"/>
  <c r="C1" i="10"/>
  <c r="C1" i="7"/>
  <c r="P34" i="14" l="1"/>
  <c r="P36" i="14" s="1"/>
  <c r="P41" i="14" s="1"/>
  <c r="G47" i="14"/>
  <c r="G49" i="14" s="1"/>
  <c r="E59" i="14" s="1"/>
  <c r="G59" i="14" s="1"/>
  <c r="G55" i="14"/>
  <c r="E63" i="14" s="1"/>
  <c r="G63" i="14" s="1"/>
  <c r="F27" i="14" s="1"/>
  <c r="O64" i="14"/>
  <c r="K41" i="14"/>
  <c r="K38" i="14"/>
  <c r="K40" i="14" s="1"/>
  <c r="D103" i="9"/>
  <c r="D102" i="9"/>
  <c r="D101" i="9"/>
  <c r="D100" i="9"/>
  <c r="D98" i="9"/>
  <c r="P38" i="14" l="1"/>
  <c r="P40" i="14" s="1"/>
  <c r="P42" i="14" s="1"/>
  <c r="Q18" i="14" s="1"/>
  <c r="P33" i="14"/>
  <c r="P18" i="14" s="1"/>
  <c r="K42" i="14"/>
  <c r="L53" i="14" s="1"/>
  <c r="L46" i="14"/>
  <c r="L52" i="14"/>
  <c r="C49" i="7"/>
  <c r="K69" i="14" l="1"/>
  <c r="K70" i="14" s="1"/>
  <c r="L47" i="14"/>
  <c r="L49" i="14" s="1"/>
  <c r="K53" i="14"/>
  <c r="L55" i="14" s="1"/>
  <c r="G49" i="6"/>
  <c r="C49" i="6"/>
  <c r="J63" i="14" l="1"/>
  <c r="L63" i="14" s="1"/>
  <c r="P55" i="14"/>
  <c r="J59" i="14"/>
  <c r="P49" i="14"/>
  <c r="H5" i="10"/>
  <c r="H5" i="11"/>
  <c r="G30" i="6"/>
  <c r="C30" i="6"/>
  <c r="P69" i="14" l="1"/>
  <c r="P70" i="14" s="1"/>
  <c r="L59" i="14"/>
  <c r="O59" i="14"/>
  <c r="K27" i="14"/>
  <c r="O63" i="14"/>
  <c r="Q63" i="14" s="1"/>
  <c r="Q49" i="14" l="1"/>
  <c r="Q59" i="14"/>
  <c r="P27" i="14" s="1"/>
  <c r="D109" i="9"/>
  <c r="D99" i="9"/>
  <c r="D95" i="9"/>
  <c r="C46" i="6" l="1"/>
  <c r="C47" i="6"/>
  <c r="H44" i="6" l="1"/>
  <c r="H105" i="9"/>
  <c r="H104" i="9"/>
  <c r="H45" i="6" l="1"/>
  <c r="H48" i="6"/>
  <c r="H79" i="6"/>
  <c r="H4" i="6" l="1"/>
  <c r="H4" i="7"/>
  <c r="H4" i="11" l="1"/>
  <c r="H4" i="10"/>
  <c r="C29" i="6"/>
  <c r="H3" i="6" l="1"/>
  <c r="H3" i="7"/>
  <c r="F21" i="5"/>
  <c r="H6" i="11" l="1"/>
  <c r="H3" i="10"/>
  <c r="H6" i="10"/>
  <c r="H3" i="11"/>
  <c r="C28" i="6"/>
  <c r="H2" i="6" l="1"/>
  <c r="H2" i="7"/>
  <c r="C72" i="11"/>
  <c r="C71" i="11" l="1"/>
  <c r="G29" i="6"/>
  <c r="G47" i="6"/>
  <c r="G47" i="7"/>
  <c r="G46" i="6"/>
  <c r="G46" i="7"/>
  <c r="C70" i="11"/>
  <c r="G28" i="6"/>
  <c r="H5" i="6"/>
  <c r="H5" i="7"/>
  <c r="H2" i="9"/>
  <c r="C36" i="6"/>
  <c r="G36" i="6"/>
  <c r="C37" i="6"/>
  <c r="G37" i="6"/>
  <c r="H56" i="7" l="1"/>
  <c r="H29" i="6"/>
  <c r="H47" i="6"/>
  <c r="H47" i="7"/>
  <c r="H46" i="6"/>
  <c r="H46" i="7"/>
  <c r="H36" i="6"/>
  <c r="H28" i="6"/>
  <c r="H30" i="6"/>
  <c r="H37" i="6"/>
  <c r="H57" i="6" l="1"/>
  <c r="G38" i="6"/>
  <c r="C31" i="12" l="1"/>
  <c r="H31" i="12" s="1"/>
  <c r="H32" i="12" s="1"/>
  <c r="H114" i="12" l="1"/>
  <c r="H86" i="12"/>
  <c r="H7" i="12"/>
  <c r="C31" i="6"/>
  <c r="G31" i="6"/>
  <c r="C119" i="12" l="1"/>
  <c r="H88" i="12"/>
  <c r="H31" i="6"/>
  <c r="C28" i="1" l="1"/>
  <c r="L28" i="1"/>
  <c r="L30" i="1" s="1"/>
  <c r="A7" i="18"/>
  <c r="C4" i="1"/>
  <c r="G95" i="12"/>
  <c r="H95" i="12" s="1"/>
  <c r="G99" i="12"/>
  <c r="H99" i="12" s="1"/>
  <c r="H9" i="12"/>
  <c r="H32" i="6"/>
  <c r="B22" i="1" l="1"/>
  <c r="C22" i="1" s="1"/>
  <c r="J22" i="1" s="1"/>
  <c r="B23" i="1"/>
  <c r="C23" i="1" s="1"/>
  <c r="J23" i="1" s="1"/>
  <c r="B15" i="1"/>
  <c r="C15" i="1" s="1"/>
  <c r="J15" i="1" s="1"/>
  <c r="B21" i="1"/>
  <c r="C21" i="1" s="1"/>
  <c r="J21" i="1" s="1"/>
  <c r="B17" i="1"/>
  <c r="C17" i="1" s="1"/>
  <c r="J17" i="1" s="1"/>
  <c r="B19" i="1"/>
  <c r="C19" i="1" s="1"/>
  <c r="J19" i="1" s="1"/>
  <c r="B20" i="1"/>
  <c r="C20" i="1" s="1"/>
  <c r="J20" i="1" s="1"/>
  <c r="B18" i="1"/>
  <c r="C18" i="1" s="1"/>
  <c r="J18" i="1" s="1"/>
  <c r="B16" i="1"/>
  <c r="C16" i="1" s="1"/>
  <c r="J16" i="1" s="1"/>
  <c r="B24" i="1"/>
  <c r="C24" i="1" s="1"/>
  <c r="J24" i="1" s="1"/>
  <c r="C22" i="10"/>
  <c r="H7" i="10"/>
  <c r="H3" i="9"/>
  <c r="H7" i="11"/>
  <c r="H86" i="6"/>
  <c r="H49" i="6" l="1"/>
  <c r="C73" i="11" s="1"/>
  <c r="H49" i="7"/>
  <c r="H38" i="6" l="1"/>
  <c r="H39" i="6" l="1"/>
  <c r="H43" i="6" l="1"/>
  <c r="H81" i="6" l="1"/>
  <c r="H50" i="6"/>
  <c r="G82" i="6" l="1"/>
  <c r="H82" i="6" l="1"/>
  <c r="H83" i="6" l="1"/>
  <c r="C23" i="10" l="1"/>
  <c r="H4" i="9"/>
  <c r="H8" i="10"/>
  <c r="H8" i="11"/>
  <c r="H87" i="6"/>
  <c r="H88" i="6" l="1"/>
  <c r="G95" i="9"/>
  <c r="G99" i="9"/>
  <c r="H9" i="11" l="1"/>
  <c r="H5" i="9"/>
  <c r="H9" i="10"/>
  <c r="H99" i="9"/>
  <c r="H95" i="9"/>
  <c r="C100" i="12" l="1"/>
  <c r="H100" i="12" s="1"/>
  <c r="G100" i="9" l="1"/>
  <c r="C100" i="9"/>
  <c r="H100" i="9"/>
  <c r="G19" i="1" l="1"/>
  <c r="I19" i="1" s="1"/>
  <c r="G23" i="1"/>
  <c r="I23" i="1" s="1"/>
  <c r="F20" i="1"/>
  <c r="H20" i="1" s="1"/>
  <c r="F24" i="1"/>
  <c r="H24" i="1" s="1"/>
  <c r="G20" i="1"/>
  <c r="I20" i="1" s="1"/>
  <c r="G24" i="1"/>
  <c r="I24" i="1" s="1"/>
  <c r="F19" i="1"/>
  <c r="H19" i="1" s="1"/>
  <c r="F17" i="1"/>
  <c r="H17" i="1" s="1"/>
  <c r="F21" i="1"/>
  <c r="H21" i="1" s="1"/>
  <c r="G16" i="1"/>
  <c r="I16" i="1" s="1"/>
  <c r="F22" i="1"/>
  <c r="H22" i="1" s="1"/>
  <c r="F15" i="1"/>
  <c r="G22" i="1"/>
  <c r="I22" i="1" s="1"/>
  <c r="F23" i="1"/>
  <c r="H23" i="1" s="1"/>
  <c r="G17" i="1"/>
  <c r="I17" i="1" s="1"/>
  <c r="G21" i="1"/>
  <c r="I21" i="1" s="1"/>
  <c r="F16" i="1"/>
  <c r="H16" i="1" s="1"/>
  <c r="F18" i="1"/>
  <c r="H18" i="1" s="1"/>
  <c r="G18" i="1"/>
  <c r="I18" i="1" s="1"/>
  <c r="G15" i="1"/>
  <c r="I15" i="1" s="1"/>
  <c r="K23" i="1" l="1"/>
  <c r="L23" i="1" s="1"/>
  <c r="K20" i="1"/>
  <c r="L20" i="1" s="1"/>
  <c r="K16" i="1"/>
  <c r="L16" i="1" s="1"/>
  <c r="K24" i="1"/>
  <c r="L24" i="1" s="1"/>
  <c r="K22" i="1"/>
  <c r="L22" i="1" s="1"/>
  <c r="K18" i="1"/>
  <c r="L18" i="1" s="1"/>
  <c r="K21" i="1"/>
  <c r="L21" i="1" s="1"/>
  <c r="K17" i="1"/>
  <c r="L17" i="1" s="1"/>
  <c r="K19" i="1"/>
  <c r="L19" i="1" s="1"/>
  <c r="H15" i="1" l="1"/>
  <c r="K15" i="1" s="1"/>
  <c r="L15" i="1" s="1"/>
  <c r="L4" i="1" l="1"/>
  <c r="B7" i="18" s="1"/>
  <c r="C31" i="1"/>
  <c r="L31" i="1"/>
  <c r="L32" i="1" s="1"/>
  <c r="C29" i="1"/>
  <c r="C30" i="1"/>
  <c r="C92" i="12" l="1"/>
  <c r="J13" i="18"/>
  <c r="G29" i="18"/>
  <c r="E61" i="18"/>
  <c r="E50" i="18"/>
  <c r="G31" i="18"/>
  <c r="G22" i="18"/>
  <c r="G26" i="18"/>
  <c r="G42" i="18"/>
  <c r="E46" i="18"/>
  <c r="E26" i="18"/>
  <c r="E54" i="18"/>
  <c r="E33" i="18"/>
  <c r="G38" i="18"/>
  <c r="G47" i="18"/>
  <c r="E52" i="18"/>
  <c r="G60" i="18"/>
  <c r="G32" i="18"/>
  <c r="E35" i="18"/>
  <c r="G23" i="18"/>
  <c r="E47" i="18"/>
  <c r="E30" i="18"/>
  <c r="E41" i="18"/>
  <c r="E48" i="18"/>
  <c r="G36" i="18"/>
  <c r="G33" i="18"/>
  <c r="G61" i="18"/>
  <c r="G49" i="18"/>
  <c r="E39" i="18"/>
  <c r="G57" i="18"/>
  <c r="E51" i="18"/>
  <c r="E21" i="18"/>
  <c r="G21" i="18"/>
  <c r="E60" i="18"/>
  <c r="G39" i="18"/>
  <c r="E42" i="18"/>
  <c r="E28" i="18"/>
  <c r="G51" i="18"/>
  <c r="G45" i="18"/>
  <c r="G24" i="18"/>
  <c r="E34" i="18"/>
  <c r="E23" i="18"/>
  <c r="G43" i="18"/>
  <c r="G40" i="18"/>
  <c r="G30" i="18"/>
  <c r="E53" i="18"/>
  <c r="G35" i="18"/>
  <c r="E55" i="18"/>
  <c r="G54" i="18"/>
  <c r="E25" i="18"/>
  <c r="E45" i="18"/>
  <c r="E44" i="18"/>
  <c r="E37" i="18"/>
  <c r="E59" i="18"/>
  <c r="C7" i="18"/>
  <c r="F13" i="18" s="1"/>
  <c r="G58" i="18"/>
  <c r="G41" i="18"/>
  <c r="E32" i="18"/>
  <c r="E57" i="18"/>
  <c r="G53" i="18"/>
  <c r="E27" i="18"/>
  <c r="G59" i="18"/>
  <c r="E58" i="18"/>
  <c r="G50" i="18"/>
  <c r="G34" i="18"/>
  <c r="E36" i="18"/>
  <c r="E22" i="18"/>
  <c r="E49" i="18"/>
  <c r="E40" i="18"/>
  <c r="G27" i="18"/>
  <c r="G37" i="18"/>
  <c r="E29" i="18"/>
  <c r="G25" i="18"/>
  <c r="G52" i="18"/>
  <c r="G28" i="18"/>
  <c r="E24" i="18"/>
  <c r="G48" i="18"/>
  <c r="E38" i="18"/>
  <c r="G46" i="18"/>
  <c r="E43" i="18"/>
  <c r="G44" i="18"/>
  <c r="E56" i="18"/>
  <c r="G56" i="18"/>
  <c r="G55" i="18"/>
  <c r="E31" i="18"/>
  <c r="L5" i="1"/>
  <c r="L33" i="1"/>
  <c r="L34" i="1" s="1"/>
  <c r="C32" i="1"/>
  <c r="D97" i="12" l="1"/>
  <c r="D97" i="9" s="1"/>
  <c r="D96" i="12"/>
  <c r="D96" i="9" s="1"/>
  <c r="H10" i="12"/>
  <c r="C4" i="17"/>
  <c r="K4" i="17" s="1"/>
  <c r="G94" i="12" s="1"/>
  <c r="H94" i="12" s="1"/>
  <c r="H94" i="9" s="1"/>
  <c r="C101" i="12"/>
  <c r="C101" i="9" s="1"/>
  <c r="C96" i="12"/>
  <c r="C96" i="9" s="1"/>
  <c r="C92" i="9"/>
  <c r="G92" i="12"/>
  <c r="G92" i="9" s="1"/>
  <c r="I13" i="18"/>
  <c r="G101" i="12" s="1"/>
  <c r="E13" i="18"/>
  <c r="G96" i="12" s="1"/>
  <c r="H13" i="18"/>
  <c r="G13" i="18"/>
  <c r="G97" i="12" s="1"/>
  <c r="L13" i="18"/>
  <c r="B13" i="18"/>
  <c r="C13" i="18"/>
  <c r="G102" i="12" s="1"/>
  <c r="M13" i="18"/>
  <c r="G103" i="12" s="1"/>
  <c r="K13" i="18"/>
  <c r="G98" i="12" s="1"/>
  <c r="D13" i="18"/>
  <c r="C33" i="1"/>
  <c r="C34" i="1" s="1"/>
  <c r="H10" i="10" l="1"/>
  <c r="H10" i="11"/>
  <c r="C97" i="12"/>
  <c r="C97" i="9" s="1"/>
  <c r="G96" i="9"/>
  <c r="H101" i="12"/>
  <c r="H101" i="9" s="1"/>
  <c r="G94" i="9"/>
  <c r="G101" i="9"/>
  <c r="H96" i="12"/>
  <c r="H96" i="9" s="1"/>
  <c r="H98" i="12"/>
  <c r="H98" i="9" s="1"/>
  <c r="G98" i="9"/>
  <c r="H103" i="12"/>
  <c r="H103" i="9" s="1"/>
  <c r="G103" i="9"/>
  <c r="H102" i="12"/>
  <c r="H102" i="9" s="1"/>
  <c r="G102" i="9"/>
  <c r="G97" i="9" l="1"/>
  <c r="H97" i="12"/>
  <c r="H97" i="9" s="1"/>
  <c r="C35" i="1" l="1"/>
  <c r="C36" i="1" s="1"/>
  <c r="C37" i="1" s="1"/>
  <c r="C39" i="1" s="1"/>
  <c r="C38" i="1" l="1"/>
  <c r="C40" i="1" s="1"/>
  <c r="C41" i="1" s="1"/>
  <c r="C42" i="1"/>
  <c r="L9" i="1" l="1"/>
  <c r="C43" i="1"/>
  <c r="C45" i="1" s="1"/>
  <c r="C46" i="1" s="1"/>
  <c r="C44" i="1" l="1"/>
  <c r="L11" i="1" s="1"/>
  <c r="G109" i="12" s="1"/>
  <c r="C107" i="12"/>
  <c r="L6" i="1"/>
  <c r="L7" i="1"/>
  <c r="L8" i="1" s="1"/>
  <c r="L10" i="1"/>
  <c r="C107" i="9" l="1"/>
  <c r="H11" i="12"/>
  <c r="G107" i="12"/>
  <c r="H12" i="12" s="1"/>
  <c r="H109" i="12"/>
  <c r="G109" i="9"/>
  <c r="G107" i="9" l="1"/>
  <c r="H11" i="10"/>
  <c r="H11" i="11"/>
  <c r="H12" i="10"/>
  <c r="H12" i="11"/>
  <c r="H109" i="9"/>
  <c r="H111" i="12"/>
  <c r="H13" i="12" s="1"/>
  <c r="H111" i="9" l="1"/>
  <c r="H112" i="12"/>
  <c r="H14" i="12" l="1"/>
  <c r="C115" i="12"/>
  <c r="H115" i="12" s="1"/>
  <c r="H17" i="12" s="1"/>
  <c r="C116" i="12"/>
  <c r="C24" i="10"/>
  <c r="H13" i="11"/>
  <c r="H13" i="10"/>
  <c r="H113" i="12"/>
  <c r="H15" i="12" s="1"/>
  <c r="H112" i="9"/>
  <c r="C121" i="12" l="1"/>
  <c r="C122" i="12" s="1"/>
  <c r="G120" i="12" s="1"/>
  <c r="F25" i="12"/>
  <c r="F25" i="5" s="1"/>
  <c r="H14" i="10"/>
  <c r="H14" i="11"/>
  <c r="H113" i="9"/>
  <c r="H16" i="12"/>
  <c r="C116" i="9" l="1"/>
  <c r="H116" i="12"/>
  <c r="H18" i="12" s="1"/>
  <c r="H18" i="11" s="1"/>
  <c r="G124" i="12"/>
  <c r="H30" i="10" s="1"/>
  <c r="G119" i="12"/>
  <c r="G121" i="12"/>
  <c r="G122" i="12"/>
  <c r="C115" i="9"/>
  <c r="H115" i="9"/>
  <c r="H17" i="11"/>
  <c r="H15" i="10"/>
  <c r="C30" i="10"/>
  <c r="H15" i="11"/>
  <c r="F37" i="11" s="1"/>
  <c r="H16" i="11"/>
  <c r="H16" i="10"/>
  <c r="H116" i="9" l="1"/>
  <c r="H124" i="12"/>
  <c r="H18" i="10"/>
  <c r="H25" i="5"/>
  <c r="H6" i="6"/>
  <c r="H6" i="9"/>
  <c r="H17" i="10"/>
  <c r="H6" i="7"/>
  <c r="H49" i="11"/>
  <c r="H50" i="11" s="1"/>
  <c r="H51" i="11" s="1"/>
</calcChain>
</file>

<file path=xl/comments1.xml><?xml version="1.0" encoding="utf-8"?>
<comments xmlns="http://schemas.openxmlformats.org/spreadsheetml/2006/main">
  <authors>
    <author>Desktop</author>
  </authors>
  <commentList>
    <comment ref="A3" authorId="0" shapeId="0">
      <text>
        <r>
          <rPr>
            <sz val="11"/>
            <color indexed="81"/>
            <rFont val="Calibri"/>
            <family val="2"/>
            <scheme val="minor"/>
          </rPr>
          <t>Enter Installation UIC : Enter Installation Name</t>
        </r>
      </text>
    </comment>
    <comment ref="A4" authorId="0" shapeId="0">
      <text>
        <r>
          <rPr>
            <b/>
            <sz val="11"/>
            <color indexed="81"/>
            <rFont val="Calibri"/>
            <family val="2"/>
          </rPr>
          <t>Enter Planning Area Code : Enter Planning Area Name</t>
        </r>
      </text>
    </comment>
    <comment ref="A5" authorId="0" shapeId="0">
      <text>
        <r>
          <rPr>
            <b/>
            <sz val="11"/>
            <color indexed="81"/>
            <rFont val="Calibri"/>
            <family val="2"/>
          </rPr>
          <t>Enter Activity UIC : Enter Activity Name</t>
        </r>
        <r>
          <rPr>
            <sz val="11"/>
            <color indexed="81"/>
            <rFont val="Calibri"/>
            <family val="2"/>
          </rPr>
          <t xml:space="preserve">
</t>
        </r>
      </text>
    </comment>
    <comment ref="A6" authorId="0" shapeId="0">
      <text>
        <r>
          <rPr>
            <b/>
            <sz val="11"/>
            <color indexed="81"/>
            <rFont val="Calibri"/>
            <family val="2"/>
          </rPr>
          <t>Enter: Category Code Number and Category Code Name Example: 61010 - ADMINISTRATIVE OFFICE
Note: The Admin BFR Generator is intended for Category Code Number (CCN) 61010 - Admin Office Building,  but can also address other CCNs where administrative office space is required.</t>
        </r>
      </text>
    </comment>
    <comment ref="A7" authorId="0" shapeId="0">
      <text>
        <r>
          <rPr>
            <sz val="11"/>
            <color indexed="8"/>
            <rFont val="Calibri"/>
            <family val="2"/>
            <scheme val="minor"/>
          </rPr>
          <t>Enter brief mission description for organization or component  (up to 4 lines).</t>
        </r>
      </text>
    </comment>
    <comment ref="A11" authorId="0" shapeId="0">
      <text>
        <r>
          <rPr>
            <sz val="11"/>
            <color indexed="8"/>
            <rFont val="Calibri"/>
            <family val="2"/>
            <scheme val="minor"/>
          </rPr>
          <t>Enter BFR description for organization or component (up to 8 lines).   Indicate if BFR is for entire organization or a specific component.   
For Baseline scenarios without detailed private office vs workstation counts, assume ratio of 20% private office and 80% WST1 workstations. 
Required:  Develop a 'Baseline' BFR.
Optional follow-on step:  Develop a 'Distributed' BFR.  The 'Baseline BFR' must be developed first, before developing a 'Distributed BFR'.  Use the Distributed tab to compare two BFR types:  a Baseline BFR (w/o telework and space sharing) versus a Distributed BFR (with telework and space sharing). 
For project BFRs, include project year, number, title.</t>
        </r>
      </text>
    </comment>
    <comment ref="C20" authorId="0" shapeId="0">
      <text>
        <r>
          <rPr>
            <sz val="11"/>
            <color indexed="8"/>
            <rFont val="Calibri"/>
            <family val="2"/>
            <scheme val="minor"/>
          </rPr>
          <t xml:space="preserve">Private Offices.  A private office provides an enclosed space, typically occupied by supervisory personnel or for those
personnel whose job duties require privacy. Depending on an organization's telework and workspace sharing policies, this space type may be dedicated or shared. Private office space allocations typically range from 100-120
NSF/PN.
Planning factor: Allocate 120 NSF/PN requiring Private Office space.  
Justification: Private offices are justified for supervisory personnel or for those positions whose job duties require privacy. 
</t>
        </r>
      </text>
    </comment>
    <comment ref="D20" authorId="0" shapeId="0">
      <text>
        <r>
          <rPr>
            <sz val="11"/>
            <color indexed="8"/>
            <rFont val="Calibri"/>
            <family val="2"/>
            <scheme val="minor"/>
          </rPr>
          <t>A WST1 (Work Station Type 1) is a modular workstation, typically occupied by general administrative staff. Depending on an organization's telework and workspace sharing policies, this space type may be dedicated or shared. WST1 space allocations typically range from 48-64 NSF/PN.
Planning factor: Allocate 64 NSF/PN requiring a WST1.
Justification: This space type does not require further justification.</t>
        </r>
      </text>
    </comment>
    <comment ref="E20" authorId="0" shapeId="0">
      <text>
        <r>
          <rPr>
            <sz val="11"/>
            <color indexed="8"/>
            <rFont val="Calibri"/>
            <family val="2"/>
            <scheme val="minor"/>
          </rPr>
          <t>A WST2 (Work Station Type 2) is an optional space type, similar to WST1 modular workstation, but provides an alternate (usually smaller) size. It may serve as contractor space, or swing space during renovation projects. Depending on an organization's telework and workspace sharing policies, this space type may be dedicated or shared. WST2 space allocations typically range from 36-48 NSF/PN.
Planning factor: Allocate 48 NSF/PN requiring WST2 Space.
Justification: This space type does not require further justification.</t>
        </r>
        <r>
          <rPr>
            <sz val="11"/>
            <color indexed="8"/>
            <rFont val="Calibri"/>
            <family val="2"/>
          </rPr>
          <t xml:space="preserve">
</t>
        </r>
      </text>
    </comment>
    <comment ref="A21" authorId="0" shapeId="0">
      <text>
        <r>
          <rPr>
            <sz val="11"/>
            <color indexed="81"/>
            <rFont val="Calibri"/>
            <family val="2"/>
            <scheme val="minor"/>
          </rPr>
          <t xml:space="preserve">Establish a 'Baseline BFR' consisting of total personnel occupying private office space, WST1 or WS Type 2 space.  Assume spaces are dedicated, not shared.  </t>
        </r>
      </text>
    </comment>
    <comment ref="A25" authorId="0" shapeId="0">
      <text>
        <r>
          <rPr>
            <sz val="11"/>
            <color indexed="81"/>
            <rFont val="Calibri"/>
            <family val="2"/>
            <scheme val="minor"/>
          </rPr>
          <t>"Workspace Sizes” picklists allow users some flexibility in estimating office sizes.  The Admin GSF/PN factor shall not exceed 162.5 GSF/PN.</t>
        </r>
      </text>
    </comment>
  </commentList>
</comments>
</file>

<file path=xl/comments10.xml><?xml version="1.0" encoding="utf-8"?>
<comments xmlns="http://schemas.openxmlformats.org/spreadsheetml/2006/main">
  <authors>
    <author>Desktop</author>
  </authors>
  <commentList>
    <comment ref="G9" authorId="0" shapeId="0">
      <text>
        <r>
          <rPr>
            <b/>
            <sz val="11"/>
            <color indexed="81"/>
            <rFont val="Calibri"/>
            <family val="2"/>
          </rPr>
          <t>Elevator machine rooms only apply to the ground floor and are not multiplied by the number of floors.</t>
        </r>
        <r>
          <rPr>
            <sz val="11"/>
            <color indexed="81"/>
            <rFont val="Calibri"/>
            <family val="2"/>
          </rPr>
          <t xml:space="preserve">
</t>
        </r>
      </text>
    </comment>
    <comment ref="M9" authorId="0" shapeId="0">
      <text>
        <r>
          <rPr>
            <b/>
            <sz val="11"/>
            <color indexed="81"/>
            <rFont val="Calibri"/>
            <family val="2"/>
          </rPr>
          <t>Vestibules only apply to the ground floor and are not multiplied by the number of floors.</t>
        </r>
        <r>
          <rPr>
            <sz val="11"/>
            <color indexed="81"/>
            <rFont val="Calibri"/>
            <family val="2"/>
          </rPr>
          <t xml:space="preserve">
</t>
        </r>
      </text>
    </comment>
    <comment ref="A22" authorId="0" shapeId="0">
      <text>
        <r>
          <rPr>
            <b/>
            <sz val="11"/>
            <color indexed="81"/>
            <rFont val="Calibri"/>
            <family val="2"/>
          </rPr>
          <t>Added this row to ensure two stairwells when there are two floors with 50 (or more) persons per floor per IBC.  Under most circumstances, this scenario should not arise.
Not included but this scenario might require 2 janitor closets and 2 telecom rooms.</t>
        </r>
      </text>
    </comment>
  </commentList>
</comments>
</file>

<file path=xl/comments2.xml><?xml version="1.0" encoding="utf-8"?>
<comments xmlns="http://schemas.openxmlformats.org/spreadsheetml/2006/main">
  <authors>
    <author>Desktop</author>
    <author>Watkins, Charles C CIV NAVFAC LANT, AM</author>
  </authors>
  <commentList>
    <comment ref="A27" authorId="0" shapeId="0">
      <text>
        <r>
          <rPr>
            <sz val="11"/>
            <color indexed="81"/>
            <rFont val="Calibri"/>
            <family val="2"/>
            <scheme val="minor"/>
          </rPr>
          <t xml:space="preserve">General Administrative Space.  General Administrative Space types are justified to support administrative or similar functions and includes private and open office spaces as well as (secondary) circulation space.  For planning purposes, use a 1:4 or higher (e.g. 1:5) ratio of private offices to open offices.  </t>
        </r>
      </text>
    </comment>
    <comment ref="A28" authorId="0" shapeId="0">
      <text>
        <r>
          <rPr>
            <sz val="11"/>
            <color indexed="8"/>
            <rFont val="Calibri"/>
            <family val="2"/>
            <scheme val="minor"/>
          </rPr>
          <t xml:space="preserve">Private Offices.  A private office provides an enclosed space, typically occupied by supervisory personnel or for those
personnel whose job duties require privacy. Depending on an organization's telework and workspace sharing policies, this space type may be dedicated or shared. Private office space allocations typically range from 100-120
NSF/PN.
Planning factor: Allocate 120 NSF/PN requiring Private Office space.  
Justification: Private offices are justified for supervisory personnel or for those positions whose job duties require privacy. 
</t>
        </r>
      </text>
    </comment>
    <comment ref="A29" authorId="0" shapeId="0">
      <text>
        <r>
          <rPr>
            <sz val="11"/>
            <color indexed="8"/>
            <rFont val="Calibri"/>
            <family val="2"/>
            <scheme val="minor"/>
          </rPr>
          <t>A WST1 is a modular workstation, typically occupied by general administrative or support staff. Depending on an organization's telework and workspace sharing policies, this space type may bededicated or shared. WST1 space allocations typicallyrange from 48-64 NSF/PN.
Planning factor: Allocate 64 NSF/PN requiring Open Office space.
Justification: This space type does not require further justification.</t>
        </r>
      </text>
    </comment>
    <comment ref="A30" authorId="0" shapeId="0">
      <text>
        <r>
          <rPr>
            <sz val="11"/>
            <color indexed="8"/>
            <rFont val="Calibri"/>
            <family val="2"/>
            <scheme val="minor"/>
          </rPr>
          <t>A WST2 is an optional space type, similar to WST1 modular workstation, but provides an alternate (usually smaller) size. It may serve as contractor space, or swing space during renovation projects. Depending on an organization's telework and workspace sharing policies, this space type may be dedicated or shared. WST2 space allocations typically range from 36-48 NSF/PN.
Planning factor: Allocate 48 NSF/PN requiring WST2 Space.
Justification: This space type does not require further justification.</t>
        </r>
        <r>
          <rPr>
            <sz val="11"/>
            <color indexed="8"/>
            <rFont val="Calibri"/>
            <family val="2"/>
          </rPr>
          <t xml:space="preserve">
</t>
        </r>
      </text>
    </comment>
    <comment ref="A31" authorId="1" shapeId="0">
      <text>
        <r>
          <rPr>
            <sz val="11"/>
            <color indexed="81"/>
            <rFont val="Calibri"/>
            <family val="2"/>
            <scheme val="minor"/>
          </rPr>
          <t xml:space="preserve">Circulation Multiplier. General administrative space secondary circulation includes the aisles between individual spaces.  An open vs enclosed ratio, based on open offices divided by total offices, is used to lookup a circulation multiplier in the "Circulation" tab.  
Planning factor: This factor may range from 0.12 for all private office space to 0.28 for all open office space.
Justification: This space type does not require further justification.
</t>
        </r>
        <r>
          <rPr>
            <sz val="11"/>
            <color indexed="81"/>
            <rFont val="Calibri"/>
            <family val="2"/>
          </rPr>
          <t xml:space="preserve">
</t>
        </r>
      </text>
    </comment>
    <comment ref="A34" authorId="0" shapeId="0">
      <text>
        <r>
          <rPr>
            <sz val="11"/>
            <color indexed="81"/>
            <rFont val="Calibri"/>
            <family val="2"/>
          </rPr>
          <t xml:space="preserve">Special Purpose Space – These space types may apply to various category codes for manned facilities.
</t>
        </r>
      </text>
    </comment>
    <comment ref="A35" authorId="0" shapeId="0">
      <text>
        <r>
          <rPr>
            <sz val="11"/>
            <color indexed="8"/>
            <rFont val="Calibri"/>
            <family val="2"/>
          </rPr>
          <t xml:space="preserve">Special Purpose Space. Special purpose space requirements for the Basic Allowance Group are included with general administrative space requirements and factored into the overall administrative space allowance of 162.5 GSF/PN.
</t>
        </r>
      </text>
    </comment>
    <comment ref="A36" authorId="0" shapeId="0">
      <text>
        <r>
          <rPr>
            <sz val="11"/>
            <color indexed="81"/>
            <rFont val="Calibri"/>
            <family val="2"/>
            <scheme val="minor"/>
          </rPr>
          <t>Administrative Support Space.  Admin Support Space includes: 
• Group file storage (as opposed to individual file storage provided within modular furniture)
• Conference room equipment storage (AV equipment, chairs, lecterns, tables)
• Day lockers (for depositing personal items, phones or other electronics not permitted in a secure area)
• Kitchenette(s) includes coffee bar, minimal food preparation appliances and MWR drink/snack space.  Does not include stove or seating area.
• Lactation room(s)
• Office equipment and supply storage
• Reception area(s)
• Recycling bins
Planning factor:  Allocate 10 NSF/PN
Justification:  Justification: As part of the Basic Allowance Group, this space type does not require further justification.
Note:  It is assumed smaller groups, say 40 persons, would not justify all space types listed above, however, larger 
groups, say 120 persons, could  justify all space types listed above.  This is a minimal allowance for administrative 
functions.</t>
        </r>
        <r>
          <rPr>
            <sz val="11"/>
            <color indexed="81"/>
            <rFont val="Calibri"/>
            <family val="2"/>
          </rPr>
          <t xml:space="preserve">
</t>
        </r>
      </text>
    </comment>
    <comment ref="A37" authorId="0" shapeId="0">
      <text>
        <r>
          <rPr>
            <sz val="11"/>
            <color indexed="8"/>
            <rFont val="Calibri"/>
            <family val="2"/>
            <scheme val="minor"/>
          </rPr>
          <t>Conference/Training Rooms.  Conference/Training Rooms provide space for staff meetings, briefings and training 
sessions.  The total allocation may be adjusted in terms of number and size of conference rooms to suit organizational 
needs. A minimum of ten persons are required to be included in Conference/Training Rooms allocations. 
Planning factor: Allocate total NSF space requirement based on the Conference Room Table in FC 2-000-05N, CCN 61010.
Justification: As part of the Basic Allowance Group, this space type does not require further justification.</t>
        </r>
      </text>
    </comment>
    <comment ref="A38" authorId="1" shapeId="0">
      <text>
        <r>
          <rPr>
            <sz val="11"/>
            <color indexed="81"/>
            <rFont val="Calibri"/>
            <family val="2"/>
          </rPr>
          <t>Circulation Multiplier.  In addition to each Special Purpose Space allocation, space for circulation must be provided to facilitate personnel movement between those spaces. This is referred to as secondary circulation.  Since circulation multipliers are based on an open vs enclosed space, it is assumed all special purpose space types space types are enclosed and already account for internal circulation, however, to account for interior walls and small alcoves a minimal secondary circulation factor of 0.12 is applied.
Planning Factor: Allocate NSF based on a circulation multiplier of 0.12.
Justification: This space type does not require further justification.</t>
        </r>
      </text>
    </comment>
    <comment ref="A41" authorId="0" shapeId="0">
      <text>
        <r>
          <rPr>
            <sz val="11"/>
            <color indexed="81"/>
            <rFont val="Calibri"/>
            <family val="2"/>
          </rPr>
          <t xml:space="preserve">Special Purpose Space – These space types may apply to various category codes for manned facilities.
</t>
        </r>
      </text>
    </comment>
    <comment ref="A42" authorId="0" shapeId="0">
      <text>
        <r>
          <rPr>
            <sz val="11"/>
            <color indexed="8"/>
            <rFont val="Calibri"/>
            <family val="2"/>
            <scheme val="minor"/>
          </rPr>
          <t>Special Purpose Space - Functional Support Group.  These space types may apply to various category codes.  These spaces, with justification, can exceed 162.5 NSF/PN.</t>
        </r>
      </text>
    </comment>
    <comment ref="A43" authorId="0" shapeId="0">
      <text>
        <r>
          <rPr>
            <sz val="11"/>
            <color indexed="8"/>
            <rFont val="Calibri"/>
            <family val="2"/>
          </rPr>
          <t>Archive Storage Room.  An Archive Storage Room is space for long-term storage of hardcopy files per record retention requirements of SECNAV M-5210.1, typically five or more years.  Storage space may include regular file cabinets, legal file cabinets, map/flat file cabinets, high density filing systems, etc.
Note 1: Archive storage is different from central file storage included within the administrative support space allocations for group working files.  
Note 2: Archive storage is different from distributed file storage included within private and open office space allocations for individual working files.
Note 3: No standardized planning factors exist for this space type. Perform space analysis to determine net storage area and minimal circulation area. 
Note 4: For project level BFRs, assume a 50% reduction to existing requirement to allow for future conversion to electronic media.
Planning factor: Allocate NSF requirement based on specific archive storage needs.
Justification: An Archive Storage Room may be justified for storage of printed records.  Justification should address some or all of the following 
factors as appropriate:
• Mission or functions performed.
• Type(s) of records requiring archive storage (e.g. legal, personnel, real estate, other records)
• Records retention requirements per SECNAV M-5210.1
• Feasibility of converting records to digital format
• Other justification</t>
        </r>
      </text>
    </comment>
    <comment ref="A44" authorId="0" shapeId="0">
      <text>
        <r>
          <rPr>
            <sz val="11"/>
            <color indexed="8"/>
            <rFont val="Calibri"/>
            <family val="2"/>
            <scheme val="minor"/>
          </rPr>
          <t>Command Suite – Private Office.  A Command Suite is an office area configuration containing private offices for the command leadership and key staff, open offices for support staff, a waiting area, and administrative support space.   Because a private office allowance has already been accounted for in the space loading above, this is an additional 80 NSF allocation.  This space type applies to Installation Commanding Officers at the 06 level or above, and any flag and/or SES level personnel serving in a supervisory/managerial capacity. 
Planning factor: Allocate an additional 80 NSF for each SES/O7 or ICO O6. 
Justification: A Command Suite - Private Office may be justified.  Justification should address some or all of the following factors as appropriate:
• Number of SES (Senior Executive Service) personnel identified in loading reports.
• Number of O7 or higher (Rear Admiral, Brigadier General or higher) personnel identified in loading reports.
• ICO O6 or higher (Installation Commanding Officer – Navy Captain, Full Colonel or higher) as identified in loading reports.
• Other justification</t>
        </r>
      </text>
    </comment>
    <comment ref="C44" authorId="0" shapeId="0">
      <text>
        <r>
          <rPr>
            <sz val="11"/>
            <color indexed="8"/>
            <rFont val="Calibri"/>
            <family val="2"/>
            <scheme val="minor"/>
          </rPr>
          <t xml:space="preserve">Input total number of O7 personnel, SES and O6 Installation Commander (ICO).
</t>
        </r>
      </text>
    </comment>
    <comment ref="A45" authorId="0" shapeId="0">
      <text>
        <r>
          <rPr>
            <sz val="11"/>
            <color indexed="8"/>
            <rFont val="Calibri"/>
            <family val="2"/>
          </rPr>
          <t>Locker Room.  A Locker Room provides individual secured storage space for a change in clothing and other personal belongings. Lockers are authorized in support of 24-hour, multiple shift operations.  Lockers may also be authorized in support of military physical training requirements at remote locations, without access to fitness centers.  When lockers are authorized in support of 24-hour, multiple shift operations, provide one locker per person based on largest shift.  When lockers are authorized in support of physical training requirements for military personnel at remote locations without access to fitness centers, provide one locker for every 20 military personnel assigned.  Use the guidance above to determine the number of lockers required.
Planning Factor: Allocate lockers at 8 NSF each.
Justification: A Locker Room may be justified to support physical training requirements for military personnel and may be applicable to certain personnel that do not occupy a dedicated work space, such as security personnel or workstation operators working in shifts. Justification should address some or all of the following factors as appropriate:
• Mission or functions performed.
• Type of operations supported (e.g., normal, shift, emergency) 
• Physical Training (PT) requirements at remote locations
• Total number of lockers required based on guidance above
• Type of locker space required (e.g., shared, dedicated, combination)
• Types of personnel that require locker space (e.g., military, civilian, or contractor personnel).  Military personnel may require locker space in support 
of mandatory physical fitness requirements.  Military, civilian and/or contractor personnel may require locker space in support of shift or emergency 
operations.
• Other justification</t>
        </r>
      </text>
    </comment>
    <comment ref="C45" authorId="0" shapeId="0">
      <text>
        <r>
          <rPr>
            <sz val="11"/>
            <color indexed="8"/>
            <rFont val="Calibri"/>
            <family val="2"/>
          </rPr>
          <t xml:space="preserve">Input number of lockers required.
</t>
        </r>
      </text>
    </comment>
    <comment ref="A46" authorId="0" shapeId="0">
      <text>
        <r>
          <rPr>
            <sz val="11"/>
            <color indexed="8"/>
            <rFont val="Calibri"/>
            <family val="2"/>
            <scheme val="minor"/>
          </rPr>
          <t>Mail Room.  A Mail Room accommodates processing and distribution of the facility’s incoming and outgoing mail and parcels.  It may accommodate screening requirements as necessary based on security requirements.  Ensure adequate storage and work space.  The mail room should be adjacent, and provide direct access, to the shipping/receiving area.  A mail room must be individually justified for operational, site specific or other reasons such as large size of organization.
Planning Factor: Allocate 20 NSF for every 50 personnel assigned.
Justification: A Mailroom may be justified for certain organizations.  Justification should address some or all of the following factors as appropriate:
• Mission or functions performed.
• Size of organization - Is organization large enough to warrant its own mail room rather than rely on the host installation’s centralized postal facility?
• Location of organization - Does geographic separation of the organization from the host installation site warrant a standalone mailroom?
• Security - Do security requirements warrant a mail room?
• Mail room hours of operation (e.g., full-time or part-time)
• Other justification</t>
        </r>
      </text>
    </comment>
    <comment ref="A47" authorId="0" shapeId="0">
      <text>
        <r>
          <rPr>
            <sz val="11"/>
            <color indexed="8"/>
            <rFont val="Calibri"/>
            <family val="2"/>
          </rPr>
          <t>Shipping/Receiving Area.  A Shipping/Receiving area accommodates loading and unloading of a wide variety of supplies and services necessary for operations.  Most items can be stored in racks and stacked up to eight feet in height, while heavy items such as paper supplies remain on pallets.  A Shipping/Receiving area typically includes an exterior entrance located for easy access by delivery trucks, but this entrance should not be visible from the building’s main entrance.  In multi-story structures, shipping/receiving should have direct access to a freight elevator.  Office space for shipping/receiving personnel is already accounted for within the office space loading above. This allowance includes (interior) recycling space.
Planning Factor: Allocate 80 NSF for every 50 personnel assigned.
Justification: A Shipping/Receiving Area may be justified for some organizations. Justification should address some or all of the following factors as appropriate:
• Mission or functions performed.
• Size of organization - Is organization large enough to warrant its own Shipping/Receiving area rather than rely on the host installation’s 
Shipping/Receiving facility?
• Location of organization - Is organization geographically separated from the host installation, driving the need for a Shipping/Receiving area?
• Security requirements - Do security requirements warrant a separate Shipping/Receiving area?
• Hours of operation (e.g., full time or part time)
• Other justification</t>
        </r>
      </text>
    </comment>
    <comment ref="A48" authorId="0" shapeId="0">
      <text>
        <r>
          <rPr>
            <sz val="11"/>
            <color indexed="81"/>
            <rFont val="Calibri"/>
            <family val="2"/>
          </rPr>
          <t xml:space="preserve">Shower Room.  A Shower Room provides one or more shower stalls and is typically collocated with a locker room and/or bathroom.  Showers are authorized in support of critical 24-hour, multiple shift operations.  Showers may also be authorized in support of military physical training requirements at remote locations, without access to fitness centers.  When showers are authorized in support of 24-hour, multiple shift operations, provide one shower for every 10 PN based on the largest shift.  When showers are authorized in support of physical training requirements for military personnel at remote locations without access to fitness centers, provide one shower for every 20 military personnel assigned.  In both cases, a ratio of 80 / 20, male / female (ratio may go up as manning structure dictates but not lower than 80 / 20), should be used for planning purposes. Use the guidance above to determine the number of showers required.
Planning Factor: Allocate showers at 20 NSF each.  
Justification: A Shower Room may be justified for commands with 24-hour, multiple shifts or remote operation requirements.  If the organization is located on a large installation with access to fitness centers; shower rooms are generally not authorized except when 24-hour operations are required. 
Justification should address some or all of the following factors as appropriate:
• Mission or functions performed.
• Type of operations supported (normal, shift, emergency)
• Physical Training (PT) requirements at remote locations
• Total number of showers required based on guidance above
• Types of personnel that require locker space (e.g., military, civilian, or contractor personnel).  Military personnel may require showers in support of 
mandatory physical fitness requirements.  Military, civilian and/or contractor personnel may require showers in support of shift or emergency operations. 
• Other justification.
</t>
        </r>
      </text>
    </comment>
    <comment ref="C48" authorId="0" shapeId="0">
      <text>
        <r>
          <rPr>
            <sz val="11"/>
            <color indexed="8"/>
            <rFont val="Calibri"/>
            <family val="2"/>
          </rPr>
          <t xml:space="preserve">Input number of showers required.
</t>
        </r>
      </text>
    </comment>
    <comment ref="A49" authorId="0" shapeId="0">
      <text>
        <r>
          <rPr>
            <sz val="11"/>
            <color indexed="8"/>
            <rFont val="Calibri"/>
            <family val="2"/>
            <scheme val="minor"/>
          </rPr>
          <t>Collaboration Space: Applies to 'Distributed' BFRs only.  This is an automatic calculation that occurs after a 'Distributed' scenario has correct inputs.  The overall difference in space loading between the Baseline and Distributed scenario is multiplied by 16 NSF/PN.
Planning Factor: Allocate 16 NSF/PN for each person reduced from Base Line total.  
Justification: 'Justified for workspace sharing ('Distributed') scenarios.</t>
        </r>
        <r>
          <rPr>
            <sz val="11"/>
            <color indexed="8"/>
            <rFont val="Calibri"/>
            <family val="2"/>
          </rPr>
          <t xml:space="preserve">
</t>
        </r>
      </text>
    </comment>
    <comment ref="A51" authorId="0" shapeId="0">
      <text>
        <r>
          <rPr>
            <sz val="11"/>
            <color indexed="8"/>
            <rFont val="Calibri"/>
            <family val="2"/>
            <scheme val="minor"/>
          </rPr>
          <t>Special Purpose Space - Security Group.  These space types may apply to various category codes for manned facilities.  These spaces, with justification, can exceed 162.5 NSF/PN.</t>
        </r>
      </text>
    </comment>
    <comment ref="A52" authorId="0" shapeId="0">
      <text>
        <r>
          <rPr>
            <sz val="11"/>
            <color indexed="8"/>
            <rFont val="Calibri"/>
            <family val="2"/>
          </rPr>
          <t xml:space="preserve">Entry Control Area. An Entry Control Area (or Man Trap Spaces) may be provided for secure (classified) facilities allowing for orderly check-in and check-out.  An Entry Control Area provides for one entry and one exit channel adjacent to the security watch station(s).  Additionally, this area includes an additional 20 NSF for every 50 personnel assigned to the organization to accommodate transit of building personnel though the entry control area.  Security watch station(s) are a separate allocation (see below).  Depending on volume of traffic, a secure visitor waiting area and unisex bathroom may be justified.
Planning Factor:  Allocate one Entry Control Area at 100 NSF plus 20 NSF for every 50 personnel assigned.
Justification: An Entry Control Area may be justified for secure facilities. Justification should address some or all of the following factors as appropriate:
• Mission or functions performed
• Applicable to various operational and security functions (example: CCN 13115, CCN 14380)
• Other justification </t>
        </r>
      </text>
    </comment>
    <comment ref="A53" authorId="0" shapeId="0">
      <text>
        <r>
          <rPr>
            <sz val="11"/>
            <color indexed="8"/>
            <rFont val="Calibri"/>
            <family val="2"/>
          </rPr>
          <t xml:space="preserve">Secure Visitor Waiting Area.  A Secure Visitor Waiting Area may be provided for secure facilities. 
Planning Factor: Allocate one secure visitor waiting area at 120 NSF.
Justification: A Secure Visitor Waiting Area may be justified for secure facilities. Justification should address some or all of the following factors as 
appropriate:
• Mission or functions performed
• Applicable to certain C5ISR/operational functions (CCNs 13115, 14380)
• Applicable to certain Inspector General and investigative functions (Echelon II Inspector General staff functions, NCIS Field Offices and NCIS Resident 
Units functions).
• Other justification </t>
        </r>
      </text>
    </comment>
    <comment ref="A54" authorId="0" shapeId="0">
      <text>
        <r>
          <rPr>
            <sz val="11"/>
            <color indexed="8"/>
            <rFont val="Calibri"/>
            <family val="2"/>
          </rPr>
          <t>Security Watch Station.  A Security Watch Station provides space to house a security officer and security system monitoring equipment for a specific site and/or location.  Security Watch Stations are typically located adjacent to a lobby or quarterdeck area to control building ingress and egress.
Planning Factor: Allocate NSF based on security office requirements.
Justification: Security offices may be justified for large facilities, secure facilities and at satellite sites or remote locations that do not have access to a host installation's base security. Justification should address some or all of the following factors as appropriate:
• Mission or functions performed.  Does the organization’s mission require security beyond that provided by the host installation?
• Size of organization- Is organization large enough to warrant its own security rather than rely on the host installation’s security force?
• Location of organization- Is organization geographically separated from the host installation site to warrant a separate security force?
• Hours of operation (e.g., normal or shift operations)
• Number of security offices required 
• Other justification</t>
        </r>
      </text>
    </comment>
    <comment ref="A55" authorId="0" shapeId="0">
      <text>
        <r>
          <rPr>
            <sz val="11"/>
            <color indexed="8"/>
            <rFont val="Calibri"/>
            <family val="2"/>
          </rPr>
          <t>Special Security Officer Suite. A Special Security Officer (SSO) Suite is a multifunctional area containing, but not limited to, a reception area, indoctrination area, photography area, vault, and office space for the SSO.  A SSO Suite may be required depending on the TS/SCI classification level and where SCIF or SAP facilities are present.
Planning Factor:  Allocate NSF based on 131 Series space planning factors.
Justification:  Justification should also address some or all of the following factors as appropriate:
• Applicable to specific C5ISR, OPS functions
• Refer to 131 Series justification guidelines
• Refer to CCN 14380 justification guidelines</t>
        </r>
      </text>
    </comment>
    <comment ref="A56" authorId="0" shapeId="0">
      <text>
        <r>
          <rPr>
            <sz val="11"/>
            <color indexed="8"/>
            <rFont val="Calibri"/>
            <family val="2"/>
          </rPr>
          <t>Weapons Vestibule and Vault.  A Weapons Vestibule and Vault is for the secure storage of weapons.  The vestibule and vault are two separate rooms.  Equip the vestibule with individual lockers for each issued weapon, a cleaning counter with proper ventilation, and a safety loading/unloading barrel.  Include a hazardous materials storage cabinet for solvent and cleaning materials.  Equip the vault with racks. 
Planning Factor: Allocate Weapons Vestibule and Vault at 120 NSF/EA.
Justification:  A Weapons Vestibule and Vault may be justified for specific functions.  Justification should address some or all of the following factors as appropriate:
• Mission or functions performed.  Does the organization’s mission require security beyond that provided by the host installation?
• Size of organization - Is organization large enough to warrant its own security rather than rely on the host installation’s security force?
• Location of organization - Is organization geographically separated from the host installation site to warrant a separate security force?
• Hours of operation (e.g., normal or shift operations)
• Other justification</t>
        </r>
      </text>
    </comment>
    <comment ref="C56" authorId="0" shapeId="0">
      <text>
        <r>
          <rPr>
            <sz val="11"/>
            <color indexed="8"/>
            <rFont val="Calibri"/>
            <family val="2"/>
          </rPr>
          <t>Enter number of weapons vestibule and vaults required.</t>
        </r>
      </text>
    </comment>
    <comment ref="A58" authorId="0" shapeId="0">
      <text>
        <r>
          <rPr>
            <sz val="11"/>
            <color indexed="81"/>
            <rFont val="Calibri"/>
            <family val="2"/>
            <scheme val="minor"/>
          </rPr>
          <t>Special Purpose Space – User Defined Space Group.  This Group is intended for “one-off” space types not included above. It contains user-defined space types and allocations.  These spaces, with justification, can exceed 162.5 NSF/PN.
Planning Factor: Enter NSF requirement for user-defined space types.
Justification: Enter justification for each user defined space type applied in the Justification tab.</t>
        </r>
      </text>
    </comment>
    <comment ref="A82" authorId="1" shapeId="0">
      <text>
        <r>
          <rPr>
            <sz val="11"/>
            <color indexed="81"/>
            <rFont val="Calibri"/>
            <family val="2"/>
          </rPr>
          <t>Circulation Multiplier.  In addition to each Special Purpose Space allocation, space for circulation must be provided to facilitate personnel movement between those spaces. This is referred to as secondary circulation.  Since circulation multipliers are based on an open vs enclosed space, it is assumed all special purpose space types space types are enclosed and already account for internal circulation, however, to account for interior walls and small alcoves a minimal secondary circulation factor of 0.12 is applied.
Planning Factor: Allocate NSF based on a circulation multiplier of 0.12.
Justification: This space type does not require further justification.</t>
        </r>
      </text>
    </comment>
  </commentList>
</comments>
</file>

<file path=xl/comments3.xml><?xml version="1.0" encoding="utf-8"?>
<comments xmlns="http://schemas.openxmlformats.org/spreadsheetml/2006/main">
  <authors>
    <author>Desktop</author>
  </authors>
  <commentList>
    <comment ref="A41" authorId="0" shapeId="0">
      <text>
        <r>
          <rPr>
            <sz val="11"/>
            <color indexed="81"/>
            <rFont val="Calibri"/>
            <family val="2"/>
          </rPr>
          <t xml:space="preserve">Special Purpose Space. Special purpose space requirements for the Basic Allowance Group are not additive to general administrative space requirements. 
</t>
        </r>
      </text>
    </comment>
    <comment ref="A42" authorId="0" shapeId="0">
      <text>
        <r>
          <rPr>
            <sz val="11"/>
            <color indexed="8"/>
            <rFont val="Calibri"/>
            <family val="2"/>
            <scheme val="minor"/>
          </rPr>
          <t>Special Purpose Space - Functional Support Group.  These space types may apply to various category codes.  These spaces, with justification, can exceed 162.5 NSF/PN.</t>
        </r>
      </text>
    </comment>
    <comment ref="A43" authorId="0" shapeId="0">
      <text>
        <r>
          <rPr>
            <sz val="11"/>
            <color indexed="8"/>
            <rFont val="Calibri"/>
            <family val="2"/>
          </rPr>
          <t>Archive Storage Room.  An Archive Storage Room is space for long-term storage of hardcopy files per record retention requirements 
of SECNAV M-5210.1, typically five or more years.  Storage space may include regular file cabinets, legal file cabinets, map/flat file cabinets, 
high density filing systems, etc.
Note 1: Archive storage is different from central file storage included within the administrative support space allocations for group working files.  
Note 2: Archive storage is different from distributed file storage included within private and open office space allocations for individual working files.
Note 3: No standardized planning factors exist for this space type. Perform space analysis to determine net storage area and minimal circulation area. 
Note 4: For project level BFRs, assume a 50% reduction to existing requirement to allow for future conversion to electronic media.
Planning factor: Allocate NSF requirement based on specific archive storage needs.
Justification: An Archive Storage Room may be justified for storage of printed records.  Justification should address some or all of the following 
factors as appropriate:
• Mission or functions performed.
• Type(s) of records requiring archive storage (e.g. legal, personnel, real estate, other records)
• Records retention requirements per SECNAV M-5210.1
• Feasibility of converting records to digital format
• Other justification</t>
        </r>
      </text>
    </comment>
    <comment ref="A44" authorId="0" shapeId="0">
      <text>
        <r>
          <rPr>
            <sz val="11"/>
            <color indexed="8"/>
            <rFont val="Calibri"/>
            <family val="2"/>
            <scheme val="minor"/>
          </rPr>
          <t>Command Suite – Private Office.  A Command Suite is an office area configuration containing private offices for the command leadership and key staff, open offices for support staff, a waiting area, and administrative support space.   Because a private office allowance has already been accounted for in the space loading above, this is an additional 80 NSF allocation.  This space type applies to Installation Commanding Officers at the 06 level or above, and any flag and/or SES level personnel serving in a supervisory/managerial capacity. 
Planning factor: Allocate an additional 80 NSF for each SES/O7 or ICO O6. 
Justification: A Command Suite - Private Office may be justified.  Justification should address some or all of the following factors as appropriate:
• Number of SES (Senior Executive Service) personnel identified in loading reports.
• Number of O7 or higher (Rear Admiral, Brigadier General or higher) personnel identified in loading reports.
• ICO O6 or higher (Installation Commanding Officer – Navy Captain, Full Colonel or higher) as identified in loading reports.
• Other justification</t>
        </r>
      </text>
    </comment>
    <comment ref="A45" authorId="0" shapeId="0">
      <text>
        <r>
          <rPr>
            <sz val="11"/>
            <color indexed="8"/>
            <rFont val="Calibri"/>
            <family val="2"/>
          </rPr>
          <t>Locker Room.  A Locker Room provides individual secured storage space for a change in clothing and other personal belongings. Lockers 
are authorized in support of 24-hour, multiple shift operations.  Lockers may also be authorized in support of military physical training requirements at 
remote locations, without access to fitness centers.  When lockers are authorized in support of 24-hour, multiple shift operations, provide one locker 
per person based on largest shift.  When lockers are authorized in support of physical training requirements for military personnel at remote 
locations without access to fitness centers, provide one locker for every 20 military personnel assigned.  Use the guidance above to determine the 
number of lockers required.
Planning Factor: Allocate lockers at 8 NSF each.
Justification: A Locker Room may be justified to support physical training requirements for military personnel and may be applicable to certain 
personnel that do not occupy a dedicated work space, such as security personnel or workstation operators working in shifts. Justification should 
address some or all of the following factors as appropriate:
• Mission or functions performed.
• Type of operations supported (e.g., normal, shift, emergency) 
• Physical Training (PT) requirements at remote locations
• Total number of lockers required based on guidance above
• Type of locker space required (e.g., shared, dedicated, combination)
• Types of personnel that require locker space (e.g., military, civilian, or contractor personnel).  Military personnel may require locker space in support 
of mandatory physical fitness requirements.  Military, civilian and/or contractor personnel may require locker space in support of shift or emergency 
operations.
• Other justification</t>
        </r>
      </text>
    </comment>
    <comment ref="A46" authorId="0" shapeId="0">
      <text>
        <r>
          <rPr>
            <sz val="11"/>
            <color indexed="8"/>
            <rFont val="Calibri"/>
            <family val="2"/>
          </rPr>
          <t xml:space="preserve">Mailroom.  A Mailroom accommodates processing and distribution of the facility’s incoming and outgoing mail and parcels.  It may 
accommodate screening requirements as necessary based on security requirements.  Ensure adequate storage and work space.  
The mail room should be adjacent, and provide direct access, to the shipping/receiving area.  A mail room must be individually 
justified for operational, site specific or other reasons such as large size of organization.
Planning Factor: Allocate 40 NSF for every 50 personnel assigned.
Justification: A Mailroom may be justified for certain organizations.  Justification should address some or all of the following factors as appropriate:
• Mission or functions performed.
• Size of organization - Is organization large enough to warrant its own mail room rather than rely on the host installation’s centralized postal facility?
• Location of organization - Does geographic separation of the organization from the host installation site warrant a standalone mailroom?
• Security - Do security requirements warrant a mail room?
• Mail room hours of operation (e.g., full-time or part-time)
• Other justification
</t>
        </r>
      </text>
    </comment>
    <comment ref="A47" authorId="0" shapeId="0">
      <text>
        <r>
          <rPr>
            <sz val="11"/>
            <color indexed="8"/>
            <rFont val="Calibri"/>
            <family val="2"/>
          </rPr>
          <t>Shipping/Receiving Area.  A Shipping/Receiving area accommodates loading and unloading of a wide variety of supplies and services necessary for 
operations.  Most items can be stored in racks and stacked up to eight feet in height, while heavy items such as paper supplies remain on pallets.  
A Shipping/Receiving area typically includes an exterior entrance located for easy access by delivery trucks, but this entrance should not be visible 
from the building’s main entrance.  In multi-story structures, shipping/receiving should have direct access to a freight elevator.  Office space for 
shipping/receiving personnel is already accounted for within the office space loading above. 
Planning Factor: Allocate 80 NSF for every 50 personnel assigned.
Justification: A Shipping/Receiving Area may be justified for some organizations. Justification should address some or all of the following factors 
as appropriate:
• Mission or functions performed.
• Size of organization - Is organization large enough to warrant its own Shipping/Receiving area rather than rely on the host installation’s 
Shipping/Receiving facility?
• Location of organization - Is organization geographically separated from the host installation, driving the need for a Shipping/Receiving area?
• Security requirements - Do security requirements warrant a separate Shipping/Receiving area?
• Hours of operation (e.g., full time or part time)
• Other justification</t>
        </r>
      </text>
    </comment>
    <comment ref="A48" authorId="0" shapeId="0">
      <text>
        <r>
          <rPr>
            <sz val="11"/>
            <color indexed="81"/>
            <rFont val="Calibri"/>
            <family val="2"/>
          </rPr>
          <t xml:space="preserve">Shower Room.  A Shower Room provides one or more shower stalls and is typically collocated with a locker room and/or bathroom.  
Showers are authorized in support of critical 24-hour, multiple shift operations.  Showers may also be authorized in support of military physical training 
requirements at remote locations, without access to fitness centers.  When showers are authorized in support of 24-hour, multiple shift operations, 
provide one shower for every 10 PN based on the largest shift.  When showers are authorized in support of physical training requirements for military 
personnel at remote locations without access to fitness centers, provide one shower for every 20 military personnel assigned.  In both cases, a ratio of 
80 / 20, male / female (ratio may go up as manning structure dictates but not lower than 80 / 20), should be used for planning purposes. Use the 
guidance above to determine the number of showers required.
Planning Factor: Allocate showers at 20 NSF each.  
Justification: A Shower Room may be justified for commands with 24-hour, multiple shifts or remote operation requirements.  If the organization is 
located on a large installation with access to fitness centers; shower rooms are generally not authorized except when 24-hour operations are required. 
Justification should address some or all of the following factors as appropriate:
• Mission or functions performed.
• Type of operations supported (normal, shift, emergency)
• Physical Training (PT) requirements at remote locations
• Total number of showers required based on guidance above
• Types of personnel that require locker space (e.g., military, civilian, or contractor personnel).  Military personnel may require showers in support of 
mandatory physical fitness requirements.  Military, civilian and/or contractor personnel may require showers in support of shift or emergency operations. 
• Other justification.
</t>
        </r>
      </text>
    </comment>
    <comment ref="A49" authorId="0" shapeId="0">
      <text>
        <r>
          <rPr>
            <sz val="11"/>
            <color indexed="8"/>
            <rFont val="Calibri"/>
            <family val="2"/>
            <scheme val="minor"/>
          </rPr>
          <t>Collaboration Space: Applies to 'Distributed' scenarios only.  This is an automatic calculation that occurs after a 'Distributed' scenario has correct inputs.  The overall difference in space loading between the Baseline and Distributed scenario is multiplied by 16 NSF/PN.
Planning Factor: Allocate 16 NSF/PN for each person reduced from Base Line total.  
Justification: 'Justified for workspace sharing ('Distributed') scenarios.</t>
        </r>
        <r>
          <rPr>
            <sz val="11"/>
            <color indexed="8"/>
            <rFont val="Calibri"/>
            <family val="2"/>
          </rPr>
          <t xml:space="preserve">
</t>
        </r>
      </text>
    </comment>
    <comment ref="A55" authorId="0" shapeId="0">
      <text>
        <r>
          <rPr>
            <sz val="11"/>
            <color indexed="8"/>
            <rFont val="Calibri"/>
            <family val="2"/>
            <scheme val="minor"/>
          </rPr>
          <t>Special Purpose Space - Security Group.  These space types may apply to various category codes for manned facilities.  These spaces, with justification, can exceed 162.5 NSF/PN.</t>
        </r>
      </text>
    </comment>
    <comment ref="A56" authorId="0" shapeId="0">
      <text>
        <r>
          <rPr>
            <sz val="11"/>
            <color indexed="8"/>
            <rFont val="Calibri"/>
            <family val="2"/>
          </rPr>
          <t xml:space="preserve">Entry Control Area. An Entry Control Area (or Man Trap Spaces) may be provided for secure (classified) facilities allowing for orderly check-in and check-out.  An Entry Control Area provides for one entry and one exit channel adjacent to the security watch station(s).  Additionally, this area includes an additional 20 NSF for every 50 personnel assigned to the organization to accommodate transit of building personnel though the entry control area.  Security watch station(s) are a separate allocation (see below).  Depending on volume of traffic, a secure visitor waiting area and unisex bathroom may be justified.
Planning Factor:  Allocate one Entry Control Area at 100 NSF plus 20 NSF for every 50 personnel assigned.
Justification: An Entry Control Area may be justified for secure facilities. Justification should address some or all of the following factors as appropriate:
• Mission or functions performed
• Applicable to various operational and security functions (example: CCN 13115, CCN 14380)
• Other justification </t>
        </r>
      </text>
    </comment>
    <comment ref="A57" authorId="0" shapeId="0">
      <text>
        <r>
          <rPr>
            <sz val="11"/>
            <color indexed="8"/>
            <rFont val="Calibri"/>
            <family val="2"/>
          </rPr>
          <t xml:space="preserve">Secure Visitor Waiting Area.  A Secure Visitor Waiting Area may be provided for secure facilities. 
Planning Factor: Allocate one secure visitor waiting area at 120 NSF.
Justification: A Secure Visitor Waiting Area may be justified for secure facilities. Justification should address some or all of the following factors as 
appropriate:
• Mission or functions performed
• Applicable to certain C5ISR/operational functions (CCNs 13115, 14380)
• Applicable to certain Inspector General and investigative functions (Echelon II Inspector General staff functions, NCIS Field Offices and NCIS Resident 
Units functions).
• Other justification </t>
        </r>
      </text>
    </comment>
    <comment ref="A58" authorId="0" shapeId="0">
      <text>
        <r>
          <rPr>
            <sz val="11"/>
            <color indexed="8"/>
            <rFont val="Calibri"/>
            <family val="2"/>
          </rPr>
          <t>Security Watch Station.  A Security Watch Station provides space to house a security officer and security system monitoring equipment for a specific site and/or location.  Security Watch Stations are typically located adjacent to a lobby or quarterdeck area to control building ingress and egress.
Planning Factor: Allocate NSF based on security office requirements.
Justification: Security offices may be justified for large facilities, secure facilities and at satellite sites or remote locations that do not have access to a host installation's base security. Justification should address some or all of the following factors as appropriate:
• Mission or functions performed.  Does the organization’s mission require security beyond that provided by the host installation?
• Size of organization- Is organization large enough to warrant its own security rather than rely on the host installation’s security force?
• Location of organization- Is organization geographically separated from the host installation site to warrant a separate security force?
• Hours of operation (e.g., normal or shift operations)
• Number of security offices required 
• Other justification</t>
        </r>
      </text>
    </comment>
    <comment ref="A59" authorId="0" shapeId="0">
      <text>
        <r>
          <rPr>
            <sz val="11"/>
            <color indexed="8"/>
            <rFont val="Calibri"/>
            <family val="2"/>
          </rPr>
          <t>Special Security Officer Suite. A Special Security Officer (SSO) Suite is a multifunctional area containing, but not limited to, a reception area, indoctrination area, photography area, vault, and office space for the SSO.  A SSO Suite may be required depending on the TS/SCI classification level and where SCIF or SAP facilities are present.
Planning Factor:  Allocate NSF based on 131 Series space planning factors.
Justification:  Justification should also address some or all of the following factors as appropriate:
• Applicable to specific C5ISR, OPS functions
• Refer to 131 Series justification guidelines
• Refer to CCN 14380 justification guidelines</t>
        </r>
      </text>
    </comment>
    <comment ref="A60" authorId="0" shapeId="0">
      <text>
        <r>
          <rPr>
            <sz val="11"/>
            <color indexed="8"/>
            <rFont val="Calibri"/>
            <family val="2"/>
          </rPr>
          <t>Weapons Vestibule and Vault.  A Weapons Vestibule and Vault is for the secure storage of weapons.  The vestibule and vault are two separate rooms.  Equip the vestibule with individual lockers for each issued weapon, a cleaning counter with proper ventilation, and a safety loading/unloading barrel.  Include a hazardous materials storage cabinet for solvent and cleaning materials.  Equip the vault with racks. 
Planning Factor: Allocate Weapons Vestibule and Vault at 120 NSF/EA.
Justification:  A Weapons Vestibule and Vault may be justified for specific functions.  Justification should address some or all of the following factors as appropriate:
• Mission or functions performed.  Does the organization’s mission require security beyond that provided by the host installation?
• Size of organization - Is organization large enough to warrant its own security rather than rely on the host installation’s security force?
• Location of organization - Is organization geographically separated from the host installation site to warrant a separate security force?
• Hours of operation (e.g., normal or shift operations)
• Other justification</t>
        </r>
      </text>
    </comment>
    <comment ref="A62" authorId="0" shapeId="0">
      <text>
        <r>
          <rPr>
            <sz val="11"/>
            <color indexed="81"/>
            <rFont val="Calibri"/>
            <family val="2"/>
            <scheme val="minor"/>
          </rPr>
          <t>Special Purpose Space – User Defined Space Group.  This Group is intended for “one-off” space types not included above. It contains user-defined space types and allocations.  These spaces, with justification, can exceed 162.5 NSF/PN.
Planning Factor: Enter NSF requirement for this user-defined space type.
Justification: Enter justification for each user defined space type applied in the Justification tab.</t>
        </r>
      </text>
    </comment>
  </commentList>
</comments>
</file>

<file path=xl/comments4.xml><?xml version="1.0" encoding="utf-8"?>
<comments xmlns="http://schemas.openxmlformats.org/spreadsheetml/2006/main">
  <authors>
    <author>Desktop</author>
    <author>Watkins, Charles C CIV NAVFAC LANT, AM</author>
  </authors>
  <commentList>
    <comment ref="A90" authorId="0" shapeId="0">
      <text>
        <r>
          <rPr>
            <sz val="11"/>
            <color indexed="8"/>
            <rFont val="Calibri"/>
            <family val="2"/>
            <scheme val="minor"/>
          </rPr>
          <t>Net-To-Gross Space. Net-To-Gross space types are used to calculate a Net-To-Gross (NTG) Factor.  The NTG Factor is then multiplied by the Net Building Area to calculate the Gross Building Area.  An algorithm is used to determine the NTG factor on a case by case basis.  The following section identifies Net-To-Gross space components used to calculate the NTG Factor.</t>
        </r>
        <r>
          <rPr>
            <sz val="11"/>
            <color indexed="8"/>
            <rFont val="Calibri"/>
            <family val="2"/>
          </rPr>
          <t xml:space="preserve">
</t>
        </r>
      </text>
    </comment>
    <comment ref="A92" authorId="0" shapeId="0">
      <text>
        <r>
          <rPr>
            <sz val="11"/>
            <color indexed="8"/>
            <rFont val="Calibri"/>
            <family val="2"/>
          </rPr>
          <t xml:space="preserve">Adjust Building Height.  By default, this option is not applied (not checked), allowing the Admin BFR Generator to estimate the number of stories. If 
preparing BFR for an entire organization, use the default option. If preparing a project level BFR, where the number of stories is known, use the 
check box option and slider to input the number of above ground stories.  If preparing BFR for individual components (divisions or departments) of an 
organization, use the check box option and adjust the number of floors to one.
</t>
        </r>
      </text>
    </comment>
    <comment ref="A94" authorId="0" shapeId="0">
      <text>
        <r>
          <rPr>
            <sz val="11"/>
            <color indexed="8"/>
            <rFont val="Calibri"/>
            <family val="2"/>
          </rPr>
          <t>Bathrooms.  The number of toilet fixtures is driven by UFC 3-420-01, Plumbing Systems.  Bathrooms are assumed to be located on each floor for 
administrative functions. See “Bathroom Allocations” in the “Resources” page for more information.
Planning Factor: Allocate total NSF space requirement based on Bathroom Allocations Table.</t>
        </r>
      </text>
    </comment>
    <comment ref="A95" authorId="0" shapeId="0">
      <text>
        <r>
          <rPr>
            <sz val="11"/>
            <color indexed="8"/>
            <rFont val="Calibri"/>
            <family val="2"/>
          </rPr>
          <t>Electrical Space.  An Electrical Room is a room or space dedicated to electrical equipment and components for the purpose of power distribution to 
other areas of a building or grounds.  The size of the electrical room is usually proportional to the size of the building.  Large buildings may have a 
main electrical room and subsidiary electrical rooms.  Multi-story buildings will have at least one subsidiary electrical room per floor.  Allocation 
assumed to be equivalent to 60% of central mechanical room allocation.
Planning Factor: Allocate NSF: x=(y/69.2)^1.053 x (0.6), where x = size of electrical spaces (NSF), y=Net Building Area (in NSF).</t>
        </r>
      </text>
    </comment>
    <comment ref="A96" authorId="0" shapeId="0">
      <text>
        <r>
          <rPr>
            <sz val="11"/>
            <color indexed="8"/>
            <rFont val="Calibri"/>
            <family val="2"/>
          </rPr>
          <t xml:space="preserve">Elevator Hoistway. If the elevator will be used for the movement of personnel, it must be designed as a passenger elevator. Passenger elevators may 
be used for general freight loading and can be designed with a heavy-duty interior to resist damage from hand trucks.  For planning purposes, assume 
either hydraulic or electric elevators are applied and both types must be able to accommodate an ambulance type stretcher (84" X 24") and a 4,000-pound 
load capacity.  
Apply hoistway dimensions for a hydraulic elevator for 2 to 4 story buildings.  
Apply hoistway dimensions for an electric (traction) elevator for 5-9 story buildings.
See “Elevator Hoistway and Machine Room Allocations” in the “Resources” page for more information.
Planning Factor: Allocate one hydraulic elevator at 82 NSF EA/Floor/10,000 NSF of Average Net Floor Area for 2 to 4 story buildings.  
Allocate one electric elevator at 91 NSF EA/Floor/10,000 NSF of Average Net Floor Area for 5 or more story buildings.  </t>
        </r>
      </text>
    </comment>
    <comment ref="A97" authorId="0" shapeId="0">
      <text>
        <r>
          <rPr>
            <sz val="11"/>
            <color indexed="8"/>
            <rFont val="Calibri"/>
            <family val="2"/>
            <scheme val="minor"/>
          </rPr>
          <t>Elevator Machine Room.  An elevator machine room contains the elevator machine equipment and elevator controller.  One Elevator Machine Room is allocated for each elevator.  See “Elevator Hoistway and Elevator Machine Room Allocations” in the “Resources” page for more information.
Planning Factor: Allocate one Elevator Machine Room at 72 NSF EA/Elevator for 2 to 4 story buildings.  Allocate one Elevator Machine Room at 152 NSF EA/Elevator for 5 or more story buildings.</t>
        </r>
      </text>
    </comment>
    <comment ref="A98" authorId="0" shapeId="0">
      <text>
        <r>
          <rPr>
            <sz val="11"/>
            <color indexed="8"/>
            <rFont val="Calibri"/>
            <family val="2"/>
            <scheme val="minor"/>
          </rPr>
          <t>Janitor’s Closet.   A Janitor’s Closet accommodates all equipment and supplies needed to service an Average Net Floor Area of up to 10,000 NSF.  As a minimum, the service closet shall have a 24-inch square mop basin, a wall-mounted mop rack, and three feet of 10-inch deep wall shelving.  Janitor’s closets should be centrally located on each floor near the toilet facilities and be directly accessed from the corridor, not from the restrooms.
Planning Factor: Allocate one Janitor Closet at 20 NSF EA/Floor/10,000 NSF of Average Net Floor Area.</t>
        </r>
      </text>
    </comment>
    <comment ref="A99" authorId="0" shapeId="0">
      <text>
        <r>
          <rPr>
            <sz val="11"/>
            <color indexed="8"/>
            <rFont val="Calibri"/>
            <family val="2"/>
          </rPr>
          <t>Mechanical Space.  A Mechanical Room or boiler room is a dedicated room for mechanical equipment used to control the environment in a 
building.  To account for the majority of mechanical spaces in office buildings, we assume a variable air volume (VAV) system with a central 
mechanical room located on the ground floor and distributed fan rooms located on each floor. 
The following equation estimates the central mechanical room area for an office building: 
• x=(y/69.2)^1.053, where x = size of mechanical room (in NSF) and y = Net Building Area (in NSF). 
The following equation estimates the area for all fan rooms:  
• x=(y/58)^1.087, where x = size of fan rooms (in NSF) and y = Net Building Area (in NSF).
Adding these two areas together provides a rough estimate of the total mechanical space required for an office building. These equations were 
derived from logarithmic charts.
Planning Factor: x = (y/69.2)^1.053 + (y/58)^1.087, where x = sum of mechanical spaces (in NSF) and y = Net Building Area (in NSF).</t>
        </r>
      </text>
    </comment>
    <comment ref="A100" authorId="0" shapeId="0">
      <text>
        <r>
          <rPr>
            <sz val="11"/>
            <color indexed="8"/>
            <rFont val="Calibri"/>
            <family val="2"/>
          </rPr>
          <t>Primary Circulation.  Primary circulation consists of building lobby areas, building core areas, and the primary hallways connecting the two.  Primary circulation is 
separate from secondary circulation space associated with Net Building Areas. 
Planning Factor: Allocate NSF:  (primary circulation multiplier) x (net building area - secondary circulation areas).</t>
        </r>
      </text>
    </comment>
    <comment ref="A101" authorId="0" shapeId="0">
      <text>
        <r>
          <rPr>
            <sz val="11"/>
            <color indexed="8"/>
            <rFont val="Calibri"/>
            <family val="2"/>
            <scheme val="minor"/>
          </rPr>
          <t>A Stairwell is a vertical penetration in a multi-floor building for circulation and/or personnel egress.  For general planning purposes, assume one story is 12 feet high.
Planning Factor: Allocate one Stairwell at 200 NSF EA/Floor/10,000 NSF of Average Net Floor Area.</t>
        </r>
      </text>
    </comment>
    <comment ref="A102" authorId="0" shapeId="0">
      <text>
        <r>
          <rPr>
            <sz val="11"/>
            <color indexed="8"/>
            <rFont val="Calibri"/>
            <family val="2"/>
          </rPr>
          <t>A Telecom Room (short for Telecommunications Room) provides telephone and computer connectivity within a building.  It typically includes 
an area for telephone switches and computer equipment mounted in a rack.
Planning Factor: Allocate one Telecom Room at 110 NSF EA/Floor/10,000 NSF of Average Net Floor Area.</t>
        </r>
      </text>
    </comment>
    <comment ref="A103" authorId="0" shapeId="0">
      <text>
        <r>
          <rPr>
            <sz val="11"/>
            <color indexed="8"/>
            <rFont val="Calibri"/>
            <family val="2"/>
          </rPr>
          <t xml:space="preserve">A Vestibule provides an area where people entering the building can wipe their feet on an appropriate surface prior to entering the lobby. 
Planning Factor: Allocate one Vestibule at 60 NSF EA/10,000 NSF of Ground Floor Area.  
Note: Ground Floor Area is equal to Average Floor Net Area. </t>
        </r>
      </text>
    </comment>
    <comment ref="A104" authorId="0" shapeId="0">
      <text>
        <r>
          <rPr>
            <sz val="11"/>
            <color indexed="8"/>
            <rFont val="Calibri"/>
            <family val="2"/>
          </rPr>
          <t>Other NTG Space1.  This is a user-defined NTG space type and allocation.  It is intended for “one-off” space types not included above.  
Planning Factor: Allocate NSF requirement for this user-defined space type.
Justification: Enter justification for this user defined space type.  See example below:
Example: Due to site location, a Fire Pump Room, 500 NSF in size, is required to provide adequate water pressure to this proposed 3-story building.  Assessment of the existing water mains to this site location and impacts of facilities upstream have been considered.  PWO agrees with assessment and has approved this requirement.</t>
        </r>
      </text>
    </comment>
    <comment ref="A105" authorId="0" shapeId="0">
      <text>
        <r>
          <rPr>
            <sz val="11"/>
            <color indexed="8"/>
            <rFont val="Calibri"/>
            <family val="2"/>
          </rPr>
          <t xml:space="preserve">Other NTG Space2.  This is a second user-defined NTG space type and allocation.  It is intended for “one-off” space types not included above.  
Planning Factor: Allocate NSF requirement for this user-defined space type.
Justification: Enter justification for this user defined space type.  </t>
        </r>
      </text>
    </comment>
    <comment ref="A107" authorId="0" shapeId="0">
      <text>
        <r>
          <rPr>
            <sz val="11"/>
            <color indexed="8"/>
            <rFont val="Calibri"/>
            <family val="2"/>
            <scheme val="minor"/>
          </rPr>
          <t xml:space="preserve">Adjust Building Width. By default, this option is applied (checked), and assumes a 50 Foot width per UFC 2-100-01, Installation Master Planning 2-2.10 Building Orientation and Configuration.  A 50 foot building width is assumed to support daylighting and energy conservation.
Note:  This factor affects the rectangular building perimeter used to calculate the 'Exterior Wall Area' (below).  Calculations are done in the Floors tab.
</t>
        </r>
      </text>
    </comment>
    <comment ref="G107" authorId="0" shapeId="0">
      <text>
        <r>
          <rPr>
            <b/>
            <sz val="11"/>
            <color indexed="81"/>
            <rFont val="Calibri"/>
            <family val="2"/>
          </rPr>
          <t>Note:  This is an initial length estimate.  See "Summary" tab "Est. Length" 
for final value.  The reason there is a difference is that this value does not 
consider the additional length resulting from exterior walls.</t>
        </r>
      </text>
    </comment>
    <comment ref="A109" authorId="0" shapeId="0">
      <text>
        <r>
          <rPr>
            <sz val="11"/>
            <color indexed="8"/>
            <rFont val="Calibri"/>
            <family val="2"/>
          </rPr>
          <t xml:space="preserve">Exterior Wall Thickness Area accounts for the square footage associated with exterior walls. Exterior wall thickness is assumed to be 16  inches (1.33 feet) thick, to support energy conservation.  By default, the Admin BFR Generator applies this space type.
Planning Factor:  Allocate NSF: (average net floor area perimeter) x (wall thickness) x (no. of floors).
</t>
        </r>
      </text>
    </comment>
    <comment ref="A112" authorId="0" shapeId="0">
      <text>
        <r>
          <rPr>
            <sz val="11"/>
            <color indexed="8"/>
            <rFont val="Calibri"/>
            <family val="2"/>
          </rPr>
          <t xml:space="preserve">NTG Factor Override.   A NTG Override function is provided for situations in which an alternative NTG factor is required. By default, this function is not applied (not checked). Specific justification must be provided when the override function is applied.  
Example 1: The Admin BFR Generator is designed to accommodate administrative facilities and other category codes that have an administrative space component.  It is intended to standardize allowances for admin support space, break rooms and conference rooms where possible, including other category codes.  These other category codes may utilize a higher (or sometimes lower) NTG factor than those calculated in the Admin BFR Generator.  The NTG Factor Override may be applied under such circumstances.
Example 2: Facilities in Italy conform to host nation construction standards and utilize a Net-To-Gross factor of 1.5 for administrative facilities; therefore, the NTG Factor Override may be applied under such circumstances.
</t>
        </r>
      </text>
    </comment>
    <comment ref="C112" authorId="1" shapeId="0">
      <text>
        <r>
          <rPr>
            <sz val="11"/>
            <color indexed="8"/>
            <rFont val="Calibri"/>
            <family val="2"/>
          </rPr>
          <t>Enter NTG Factor Override.</t>
        </r>
      </text>
    </comment>
    <comment ref="A115" authorId="0" shapeId="0">
      <text>
        <r>
          <rPr>
            <sz val="11"/>
            <color indexed="81"/>
            <rFont val="Calibri"/>
            <family val="2"/>
            <scheme val="minor"/>
          </rPr>
          <t xml:space="preserve">The Admin GSF/PN Factor is the sum of all administrative space requirements to include private offices, workstations, conference rooms, admin support spaces, circulation and common spaces; divided by the total number of personnel.  A maximum Admin GSF/PN Factor of 162.5 GSF/PN applies.  </t>
        </r>
      </text>
    </comment>
    <comment ref="A116" authorId="0" shapeId="0">
      <text>
        <r>
          <rPr>
            <sz val="11"/>
            <color indexed="81"/>
            <rFont val="Calibri"/>
            <family val="2"/>
            <scheme val="minor"/>
          </rPr>
          <t>The Total GSF/PN factor is the sum of all administrative space, special purpose space, secondary circulation space and common spaces; divided by the total number of personnel.  The Total GSF/PN factor may exceed 162.5 GSF/PN.</t>
        </r>
        <r>
          <rPr>
            <sz val="9"/>
            <color indexed="81"/>
            <rFont val="Tahoma"/>
            <family val="2"/>
          </rPr>
          <t xml:space="preserve">
</t>
        </r>
      </text>
    </comment>
  </commentList>
</comments>
</file>

<file path=xl/comments5.xml><?xml version="1.0" encoding="utf-8"?>
<comments xmlns="http://schemas.openxmlformats.org/spreadsheetml/2006/main">
  <authors>
    <author>Desktop</author>
  </authors>
  <commentList>
    <comment ref="A33" authorId="0" shapeId="0">
      <text>
        <r>
          <rPr>
            <sz val="11"/>
            <color indexed="8"/>
            <rFont val="Calibri"/>
            <family val="2"/>
          </rPr>
          <t>Enter position title and organization of person preparing BFR.</t>
        </r>
      </text>
    </comment>
    <comment ref="A34" authorId="0" shapeId="0">
      <text>
        <r>
          <rPr>
            <sz val="11"/>
            <color indexed="8"/>
            <rFont val="Calibri"/>
            <family val="2"/>
          </rPr>
          <t>Enter position title and organization of responsible official certifying BFR.</t>
        </r>
      </text>
    </comment>
  </commentList>
</comments>
</file>

<file path=xl/comments6.xml><?xml version="1.0" encoding="utf-8"?>
<comments xmlns="http://schemas.openxmlformats.org/spreadsheetml/2006/main">
  <authors>
    <author>Desktop</author>
  </authors>
  <commentList>
    <comment ref="A8" authorId="0" shapeId="0">
      <text>
        <r>
          <rPr>
            <sz val="11"/>
            <color indexed="81"/>
            <rFont val="Calibri"/>
            <family val="2"/>
            <scheme val="minor"/>
          </rPr>
          <t xml:space="preserve">Use the Distributed tab to compare two BFR types:  a Baseline BFR (w/o telework and space sharing) versus a Distributed BFR (with telework and space sharing). </t>
        </r>
      </text>
    </comment>
    <comment ref="B10" authorId="0" shapeId="0">
      <text>
        <r>
          <rPr>
            <sz val="11"/>
            <color indexed="81"/>
            <rFont val="Calibri"/>
            <family val="2"/>
            <scheme val="minor"/>
          </rPr>
          <t xml:space="preserve">Use picklist to switch BFR types. </t>
        </r>
      </text>
    </comment>
    <comment ref="B12" authorId="0" shapeId="0">
      <text>
        <r>
          <rPr>
            <sz val="11"/>
            <color indexed="81"/>
            <rFont val="Calibri"/>
            <family val="2"/>
            <scheme val="minor"/>
          </rPr>
          <t xml:space="preserve">Select </t>
        </r>
        <r>
          <rPr>
            <b/>
            <sz val="11"/>
            <color indexed="81"/>
            <rFont val="Calibri"/>
            <family val="2"/>
            <scheme val="minor"/>
          </rPr>
          <t>Baseline</t>
        </r>
        <r>
          <rPr>
            <sz val="11"/>
            <color indexed="81"/>
            <rFont val="Calibri"/>
            <family val="2"/>
            <scheme val="minor"/>
          </rPr>
          <t xml:space="preserve"> and manually enter value for </t>
        </r>
        <r>
          <rPr>
            <b/>
            <sz val="11"/>
            <color indexed="81"/>
            <rFont val="Calibri"/>
            <family val="2"/>
            <scheme val="minor"/>
          </rPr>
          <t>Gross Bldg Area</t>
        </r>
        <r>
          <rPr>
            <sz val="11"/>
            <color indexed="81"/>
            <rFont val="Calibri"/>
            <family val="2"/>
            <scheme val="minor"/>
          </rPr>
          <t xml:space="preserve"> here .  This step is necessary because only one BFR Type (Baseline or Distributed) can be selected at one time. </t>
        </r>
      </text>
    </comment>
    <comment ref="A14" authorId="0" shapeId="0">
      <text>
        <r>
          <rPr>
            <sz val="11"/>
            <color indexed="81"/>
            <rFont val="Calibri"/>
            <family val="2"/>
            <scheme val="minor"/>
          </rPr>
          <t xml:space="preserve">For all BFRs, a 'Base Line' scenario must be established in the 'Activity' tab, consisting of total personnel occupying dedicated office, WS Type 1 and WS Type 2 space.  </t>
        </r>
      </text>
    </comment>
    <comment ref="A21" authorId="0" shapeId="0">
      <text>
        <r>
          <rPr>
            <sz val="11"/>
            <color indexed="8"/>
            <rFont val="Calibri"/>
            <family val="2"/>
            <scheme val="minor"/>
          </rPr>
          <t>Dedicated admin space is for personnel that telework 0-5 days per pay period, also referred to as "Onsite Only" and "Light Telework" schedules.</t>
        </r>
      </text>
    </comment>
    <comment ref="A22" authorId="0" shapeId="0">
      <text>
        <r>
          <rPr>
            <sz val="11"/>
            <color indexed="8"/>
            <rFont val="Calibri"/>
            <family val="2"/>
            <scheme val="minor"/>
          </rPr>
          <t>Shared is for personnel that telework 5-10 days a pay period, also referred to as "Regular Telework".</t>
        </r>
      </text>
    </comment>
    <comment ref="A23" authorId="0" shapeId="0">
      <text>
        <r>
          <rPr>
            <sz val="11"/>
            <color indexed="8"/>
            <rFont val="Calibri"/>
            <family val="2"/>
            <scheme val="minor"/>
          </rPr>
          <t xml:space="preserve"> The sum of dedicated + sharing counts must equal Baseline counts.  If a cell color turns red, revise the Distributed Scenario Inputs. </t>
        </r>
      </text>
    </comment>
    <comment ref="A26" authorId="0" shapeId="0">
      <text>
        <r>
          <rPr>
            <sz val="11"/>
            <color indexed="8"/>
            <rFont val="Calibri"/>
            <family val="2"/>
            <scheme val="minor"/>
          </rPr>
          <t xml:space="preserve">Shared admin space is for personnel that telework 5-10 days a pay period.
</t>
        </r>
      </text>
    </comment>
    <comment ref="A27" authorId="0" shapeId="0">
      <text>
        <r>
          <rPr>
            <sz val="11"/>
            <color indexed="8"/>
            <rFont val="Calibri"/>
            <family val="2"/>
            <scheme val="minor"/>
          </rPr>
          <t>Sharing ratios are applied to the pool of personnel teleworking five (5) or more days per pay period.  The number of personnel within each grouping (Private, WST1, WST2) is divided by the sharing ratio. 
The local Command is responsible for internal surveys and assigning sharing ratios.  Many factors go into this decision including whether consolidation efforts are funded or unfunded. Recommended guidelines:  Apply a 2:1 ratio to shared office.  Apply a 2:1 ratio to shared WST1 space.  Apply a 3:1 ratio to shared or unassigned WST2 space.  Apply local factors for WST2 sharing ratios among contractors.</t>
        </r>
      </text>
    </comment>
    <comment ref="A28" authorId="0" shapeId="0">
      <text>
        <r>
          <rPr>
            <sz val="11"/>
            <color indexed="8"/>
            <rFont val="Calibri"/>
            <family val="2"/>
            <scheme val="minor"/>
          </rPr>
          <t>Results of dividing 'Sharing' count by 'Sharing Ratio'.</t>
        </r>
      </text>
    </comment>
    <comment ref="A31" authorId="0" shapeId="0">
      <text>
        <r>
          <rPr>
            <sz val="11"/>
            <color indexed="8"/>
            <rFont val="Calibri"/>
            <family val="2"/>
            <scheme val="minor"/>
          </rPr>
          <t>Dedicated admin space is for personnel that telework 0-5 days per pay period.</t>
        </r>
      </text>
    </comment>
    <comment ref="A32" authorId="0" shapeId="0">
      <text>
        <r>
          <rPr>
            <sz val="11"/>
            <color indexed="8"/>
            <rFont val="Calibri"/>
            <family val="2"/>
            <scheme val="minor"/>
          </rPr>
          <t>Results of dividing 'Shared' count by 'Sharing Ratio'.</t>
        </r>
      </text>
    </comment>
    <comment ref="A33" authorId="0" shapeId="0">
      <text>
        <r>
          <rPr>
            <sz val="11"/>
            <color indexed="8"/>
            <rFont val="Calibri"/>
            <family val="2"/>
            <scheme val="minor"/>
          </rPr>
          <t xml:space="preserve"> The 'Distributed' Scenario is equal to sum of dedicated + shared results </t>
        </r>
      </text>
    </comment>
  </commentList>
</comments>
</file>

<file path=xl/comments7.xml><?xml version="1.0" encoding="utf-8"?>
<comments xmlns="http://schemas.openxmlformats.org/spreadsheetml/2006/main">
  <authors>
    <author>Desktop</author>
    <author>Watkins, Charles C CIV NAVFAC LANT, AM</author>
  </authors>
  <commentList>
    <comment ref="A21" authorId="0" shapeId="0">
      <text>
        <r>
          <rPr>
            <b/>
            <sz val="9"/>
            <color indexed="81"/>
            <rFont val="Tahoma"/>
            <family val="2"/>
          </rPr>
          <t>Switching to Current BFR type occurs in this row</t>
        </r>
        <r>
          <rPr>
            <sz val="9"/>
            <color indexed="81"/>
            <rFont val="Tahoma"/>
            <family val="2"/>
          </rPr>
          <t xml:space="preserve">
</t>
        </r>
      </text>
    </comment>
    <comment ref="A22" authorId="0" shapeId="0">
      <text>
        <r>
          <rPr>
            <sz val="11"/>
            <color indexed="81"/>
            <rFont val="Calibri"/>
            <family val="2"/>
            <scheme val="minor"/>
          </rPr>
          <t>For all BFRs, establish a 'Base Line' scenario consisting of total personnel occupying dedicated office, WS Type 1 and WS Type 2 space.  
For Distributed Workforce BFRs, there are additional steps:
Follow process in the 'Telework' tab to establish a 'Survey' scenario.  The 'Survey scenario consists of personnel occupying both dedicated and shared: office, WS Type 1  and WS Type 1  space, and factors in telework and workspace sharing.  This is referred to as a distributed workforce and can allow for significant cost savings through space usage optimization.</t>
        </r>
      </text>
    </comment>
    <comment ref="A23" authorId="0" shapeId="0">
      <text>
        <r>
          <rPr>
            <b/>
            <sz val="9"/>
            <color indexed="81"/>
            <rFont val="Tahoma"/>
            <family val="2"/>
          </rPr>
          <t>Values from Distributed tab</t>
        </r>
      </text>
    </comment>
    <comment ref="H24" authorId="0" shapeId="0">
      <text>
        <r>
          <rPr>
            <sz val="11"/>
            <color indexed="81"/>
            <rFont val="Calibri"/>
            <family val="2"/>
          </rPr>
          <t>Warning - BFR Template information is 
saved within your local browser cache. 
This function deletes this information 
and should only be used after completing 
one BFR and beginning another.</t>
        </r>
      </text>
    </comment>
    <comment ref="A25" authorId="0" shapeId="0">
      <text>
        <r>
          <rPr>
            <b/>
            <sz val="9"/>
            <color indexed="81"/>
            <rFont val="Tahoma"/>
            <family val="2"/>
          </rPr>
          <t>Cell F26 contains a formula, do not delete</t>
        </r>
        <r>
          <rPr>
            <sz val="9"/>
            <color indexed="81"/>
            <rFont val="Tahoma"/>
            <family val="2"/>
          </rPr>
          <t xml:space="preserve">
</t>
        </r>
      </text>
    </comment>
    <comment ref="A27" authorId="0" shapeId="0">
      <text>
        <r>
          <rPr>
            <sz val="11"/>
            <color indexed="81"/>
            <rFont val="Calibri"/>
            <family val="2"/>
            <scheme val="minor"/>
          </rPr>
          <t xml:space="preserve">General Administrative Space.  General Administrative Space types are justified to support administrative or similar functions and includes private and open office spaces as well as (secondary) circulation space.  For planning purposes, use a 1:4 or higher (e.g. 1:5) ratio of private offices to open offices.  </t>
        </r>
      </text>
    </comment>
    <comment ref="A28" authorId="0" shapeId="0">
      <text>
        <r>
          <rPr>
            <sz val="11"/>
            <color indexed="8"/>
            <rFont val="Calibri"/>
            <family val="2"/>
            <scheme val="minor"/>
          </rPr>
          <t xml:space="preserve">Private Offices.  A private office provides an enclosed space, typically occupied by supervisory personnel or for those
personnel whose job duties require privacy. Depending on an organization's telework and workspace sharing policies, this space type may be dedicated or shared. Private office space allocations typically range from 100-120
NSF/PN.
Planning factor: Allocate 120 NSF/PN requiring Private Office space.  
Justification: Private offices are justified for supervisory personnel or for those positions whose job duties require privacy. 
</t>
        </r>
      </text>
    </comment>
    <comment ref="G28" authorId="0" shapeId="0">
      <text>
        <r>
          <rPr>
            <b/>
            <sz val="11"/>
            <color indexed="81"/>
            <rFont val="Calibri"/>
            <family val="2"/>
          </rPr>
          <t>Old Formula:
=IF(Activity!$B$26,Activity!$C$26,IF(SUM(Detailed_Analysis!$D$21:$E$21)=0,80,IF($F$21=0,80,120)))
Older stuff
Added formula to reduce private office allowances based  on PO:OO ratio.  These are recommended values and should keep Admin GSF/PN below 162.5 GSF/PN.  Also added formula to allow using picklist values to override recommended values.
=IF(Activity!$B$26,Activity!$C$26,IF(SUM(Detailed_Analysis!$D$21:$E$21)=0,80,IF($F$21=0,80,VLOOKUP(Office_Space!$D$13,Office_Space!$A$23:$D$29,2))))</t>
        </r>
      </text>
    </comment>
    <comment ref="A29" authorId="0" shapeId="0">
      <text>
        <r>
          <rPr>
            <sz val="11"/>
            <color indexed="8"/>
            <rFont val="Calibri"/>
            <family val="2"/>
            <scheme val="minor"/>
          </rPr>
          <t>A WST1 is a modular workstation, typically occupied by general administrative or support staff. Depending on an organization's telework and workspace sharing policies, this space type may bededicated or shared. WST1 space allocations typicallyrange from 48-64 NSF/PN.
Planning factor: Allocate 64 NSF/PN requiring Open Office space.
Justification: This space type does not require further justification.</t>
        </r>
      </text>
    </comment>
    <comment ref="G29" authorId="0" shapeId="0">
      <text>
        <r>
          <rPr>
            <b/>
            <sz val="11"/>
            <color indexed="81"/>
            <rFont val="Calibri"/>
            <family val="2"/>
          </rPr>
          <t>=IF(Activity!$B$26,Activity!$D$26,IF(SUM(Detailed_Analysis!$D$21:$E$21)=0,48,IF($F$21=0,48,64)))</t>
        </r>
      </text>
    </comment>
    <comment ref="A30" authorId="0" shapeId="0">
      <text>
        <r>
          <rPr>
            <sz val="11"/>
            <color indexed="8"/>
            <rFont val="Calibri"/>
            <family val="2"/>
            <scheme val="minor"/>
          </rPr>
          <t>A WST2 is an optional space type, similar to WST1 modular workstation, but provides an alternate (usually smaller) size. It may serve as contractor space, or swing space during renovation projects. Depending on an organization's telework and workspace sharing policies, this space type may be dedicated or shared. WST2 space allocations typically range from 36-48 NSF/PN.
Planning factor: Allocate 48 NSF/PN requiring WST2 Space.
Justification: This space type does not require further justification.</t>
        </r>
        <r>
          <rPr>
            <sz val="11"/>
            <color indexed="8"/>
            <rFont val="Calibri"/>
            <family val="2"/>
          </rPr>
          <t xml:space="preserve">
</t>
        </r>
      </text>
    </comment>
    <comment ref="G30" authorId="0" shapeId="0">
      <text>
        <r>
          <rPr>
            <b/>
            <sz val="9"/>
            <color indexed="81"/>
            <rFont val="Tahoma"/>
            <family val="2"/>
          </rPr>
          <t>=IF(Activity!$B$26,Activity!$E$26,IF(SUM(Detailed_Analysis!$D$21:$E$21)=0,36,IF($F$21=0,36,48)))
=IF(Activity!$B$26,Activity!$E$26,IF(SUM(Detailed_Analysis!$D$21:$E$21)=0,36,IF($F$21=0,36,VLOOKUP(Office_Space!$D$13,Office_Space!$A$23:$D$29,4))))</t>
        </r>
      </text>
    </comment>
    <comment ref="A31" authorId="1" shapeId="0">
      <text>
        <r>
          <rPr>
            <sz val="11"/>
            <color indexed="81"/>
            <rFont val="Calibri"/>
            <family val="2"/>
            <scheme val="minor"/>
          </rPr>
          <t xml:space="preserve">Circulation Multiplier. General administrative space secondary circulation includes the aisles between individual spaces.  An open vs enclosed ratio, based on open offices divided by total offices, is used to lookup a circulation multiplier in the "Circulation" tab.  
Planning factor: This factor may range from 0.12 for all private office space to 0.28 for all open office space.
Justification: This space type does not require further justification.
</t>
        </r>
        <r>
          <rPr>
            <sz val="11"/>
            <color indexed="81"/>
            <rFont val="Calibri"/>
            <family val="2"/>
          </rPr>
          <t xml:space="preserve">
</t>
        </r>
      </text>
    </comment>
    <comment ref="A34" authorId="0" shapeId="0">
      <text>
        <r>
          <rPr>
            <sz val="11"/>
            <color indexed="81"/>
            <rFont val="Calibri"/>
            <family val="2"/>
          </rPr>
          <t xml:space="preserve">Special Purpose Space. Special purpose space requirements for the Basic Allowance Group are not additive to general administrative space requirements. 
</t>
        </r>
      </text>
    </comment>
    <comment ref="A35" authorId="0" shapeId="0">
      <text>
        <r>
          <rPr>
            <sz val="11"/>
            <color indexed="8"/>
            <rFont val="Calibri"/>
            <family val="2"/>
          </rPr>
          <t>Special Purpose Space – Basic Allowance Group.  These space types may apply to various category codes for manned facilities.</t>
        </r>
      </text>
    </comment>
    <comment ref="A36" authorId="0" shapeId="0">
      <text>
        <r>
          <rPr>
            <sz val="11"/>
            <color indexed="8"/>
            <rFont val="Calibri"/>
            <family val="2"/>
          </rPr>
          <t>Administrative Support Space.  Admin Support Space includes: 
• Group file storage (as opposed to individual file storage provided within modular furniture)
• Conference room equipment storage (AV equipment, chairs, lecterns, tables)
• Day lockers
• Kitchenette(s) includes coffee bar, minimal food preparation, appliances and MWR drink/snack space.  Does not include stove or seating area.
• Lactation room(s)
• Office equipment and supply storage
• Reception area(s)
Planning factor: Allocate10 NSF/PN.  This is a minimal allowance for administrative facilities.</t>
        </r>
      </text>
    </comment>
    <comment ref="A37" authorId="0" shapeId="0">
      <text>
        <r>
          <rPr>
            <sz val="11"/>
            <color indexed="8"/>
            <rFont val="Calibri"/>
            <family val="2"/>
          </rPr>
          <t>Conference/Training Rooms.  Conference/Training Rooms provide space for staff meetings, briefings and training sessions.  The total allocation 
may be adjusted in terms of number and size of conference rooms to suit organizational needs. A minimum of ten persons are required to be 
included in Conference/Training Rooms allocations.
Planning factor: Allocate total NSF space requirement based on the Conference Room Table.
Justification: As part of the Basic Allowance Group, this space type does not require further justification.</t>
        </r>
      </text>
    </comment>
    <comment ref="D37" authorId="0" shapeId="0">
      <text>
        <r>
          <rPr>
            <b/>
            <sz val="9"/>
            <color indexed="81"/>
            <rFont val="Tahoma"/>
            <family val="2"/>
          </rPr>
          <t>Old Planning Factor:  
=" Allocate NSF based on Table 61010-1"</t>
        </r>
      </text>
    </comment>
    <comment ref="G37" authorId="0" shapeId="0">
      <text>
        <r>
          <rPr>
            <b/>
            <sz val="9"/>
            <color indexed="81"/>
            <rFont val="Tahoma"/>
            <family val="2"/>
          </rPr>
          <t>Old Lookup formula: =VLOOKUP($F$21,Conference_Room_Table,15)</t>
        </r>
      </text>
    </comment>
    <comment ref="A38" authorId="1" shapeId="0">
      <text>
        <r>
          <rPr>
            <sz val="11"/>
            <color indexed="81"/>
            <rFont val="Calibri"/>
            <family val="2"/>
          </rPr>
          <t>Circulation Multiplier.  In addition to each Special Purpose Space allocation, space for 
circulation must be provided to facilitate personnel movement within those spaces. This is referred to 
as secondary circulation.
Planning Factor: Allocate NSF based on a circulation multiplier of 0.12.
Justification: This space type does not require further justification.</t>
        </r>
      </text>
    </comment>
    <comment ref="A41" authorId="0" shapeId="0">
      <text>
        <r>
          <rPr>
            <sz val="11"/>
            <color indexed="81"/>
            <rFont val="Calibri"/>
            <family val="2"/>
          </rPr>
          <t xml:space="preserve">Special Purpose Space. Special purpose space requirements for the Basic Allowance Group are not additive to general administrative space requirements. 
</t>
        </r>
      </text>
    </comment>
    <comment ref="A42" authorId="0" shapeId="0">
      <text>
        <r>
          <rPr>
            <sz val="11"/>
            <color indexed="8"/>
            <rFont val="Calibri"/>
            <family val="2"/>
          </rPr>
          <t>Special Purpose Space - Functional Support Group.  These space types may apply to various category codes.</t>
        </r>
      </text>
    </comment>
    <comment ref="A43" authorId="0" shapeId="0">
      <text>
        <r>
          <rPr>
            <sz val="11"/>
            <color indexed="8"/>
            <rFont val="Calibri"/>
            <family val="2"/>
          </rPr>
          <t>Archive Storage Room.  An Archive Storage Room is space for long-term storage of hardcopy files per record retention requirements 
of SECNAV M-5210.1, typically five or more years.  Storage space may include regular file cabinets, legal file cabinets, map/flat file cabinets, 
high density filing systems, etc.
Note 1: Archive storage is different from central file storage included within the administrative support space allocations for group working files.  
Note 2: Archive storage is different from distributed file storage included within private and open office space allocations for individual working files.
Note 3: No standardized planning factors exist for this space type. Perform space analysis to determine net storage area and minimal circulation area. 
Note 4: For project level BFRs, assume a 50% reduction to existing requirement to allow for future conversion to electronic media.
Planning factor: Allocate NSF requirement based on specific archive storage needs.
Justification: An Archive Storage Room may be justified for storage of printed records.  Justification should address some or all of the following 
factors as appropriate:
• Mission or functions performed.
• Type(s) of records requiring archive storage (e.g. legal, personnel, real estate, other records)
• Records retention requirements per SECNAV M-5210.1
• Feasibility of converting records to digital format
• Other justification</t>
        </r>
      </text>
    </comment>
    <comment ref="A44" authorId="0" shapeId="0">
      <text>
        <r>
          <rPr>
            <sz val="11"/>
            <color indexed="8"/>
            <rFont val="Calibri"/>
            <family val="2"/>
          </rPr>
          <t>Command Suite – Private Office.  A Command Suite is an office area configuration containing private offices for the command leadership and 
key staff, open offices for support staff, a waiting area, and administrative support space.   Because a private office allowance has already been 
accounted for in the space loading above, this is an additional 50 NSF allocation.  This space type applies to Installation Commanding Officers at 
the 06 level or above, and any flag and/or SES level personnel serving in a supervisory/managerial capacity. 
Planning factor: Allocate an additional 50 NSF for each SES/O7 or ICO O6. 
Justification: A Command Suite - Private Office may be justified.  Justification should address some or all of the following factors as appropriate:
• Number of SES (Senior Executive Service) personnel identified in loading reports.
• Number of O7 or higher (Rear Admiral, Brigadier General or higher) personnel identified in loading reports.
• ICO O6 or higher (Installation Commanding Officer – Navy Captain, Full Colonel or higher) as identified in loading reports.
• Other justification</t>
        </r>
      </text>
    </comment>
    <comment ref="A45" authorId="0" shapeId="0">
      <text>
        <r>
          <rPr>
            <sz val="11"/>
            <color indexed="8"/>
            <rFont val="Calibri"/>
            <family val="2"/>
          </rPr>
          <t>Locker Room.  A Locker Room provides individual secured storage space for a change in clothing and other personal belongings. Lockers 
are authorized in support of 24-hour, multiple shift operations.  Lockers may also be authorized in support of military physical training requirements at 
remote locations, without access to fitness centers.  When lockers are authorized in support of 24-hour, multiple shift operations, provide one locker 
per person based on largest shift.  When lockers are authorized in support of physical training requirements for military personnel at remote 
locations without access to fitness centers, provide one locker for every 20 military personnel assigned.  Use the guidance above to determine the 
number of lockers required.
Planning Factor: Allocate lockers at 8 NSF each.
Justification: A Locker Room may be justified to support physical training requirements for military personnel and may be applicable to certain 
personnel that do not occupy a dedicated work space, such as security personnel or workstation operators working in shifts. Justification should 
address some or all of the following factors as appropriate:
• Mission or functions performed.
• Type of operations supported (e.g., normal, shift, emergency) 
• Physical Training (PT) requirements at remote locations
• Total number of lockers required based on guidance above
• Type of locker space required (e.g., shared, dedicated, combination)
• Types of personnel that require locker space (e.g., military, civilian, or contractor personnel).  Military personnel may require locker space in support 
of mandatory physical fitness requirements.  Military, civilian and/or contractor personnel may require locker space in support of shift or emergency 
operations.
• Other justification</t>
        </r>
      </text>
    </comment>
    <comment ref="A46" authorId="0" shapeId="0">
      <text>
        <r>
          <rPr>
            <sz val="11"/>
            <color indexed="8"/>
            <rFont val="Calibri"/>
            <family val="2"/>
          </rPr>
          <t xml:space="preserve">Mailroom.  A Mailroom accommodates processing and distribution of the facility’s incoming and outgoing mail and parcels.  It may 
accommodate screening requirements as necessary based on security requirements.  Ensure adequate storage and work space.  
The mail room should be adjacent, and provide direct access, to the shipping/receiving area.  A mail room must be individually 
justified for operational, site specific or other reasons such as large size of organization.
Planning Factor: Allocate 40 NSF for every 50 personnel assigned.
Justification: A Mailroom may be justified for certain organizations.  Justification should address some or all of the following factors as appropriate:
• Mission or functions performed.
• Size of organization - Is organization large enough to warrant its own mail room rather than rely on the host installation’s centralized postal facility?
• Location of organization - Does geographic separation of the organization from the host installation site warrant a standalone mailroom?
• Security - Do security requirements warrant a mail room?
• Mail room hours of operation (e.g., full-time or part-time)
• Other justification
</t>
        </r>
      </text>
    </comment>
    <comment ref="A47" authorId="0" shapeId="0">
      <text>
        <r>
          <rPr>
            <sz val="11"/>
            <color indexed="8"/>
            <rFont val="Calibri"/>
            <family val="2"/>
          </rPr>
          <t>Shipping/Receiving Area.  A Shipping/Receiving area accommodates loading and unloading of a wide variety of supplies and services necessary for 
operations.  Most items can be stored in racks and stacked up to eight feet in height, while heavy items such as paper supplies remain on pallets.  
A Shipping/Receiving area typically includes an exterior entrance located for easy access by delivery trucks, but this entrance should not be visible 
from the building’s main entrance.  In multi-story structures, shipping/receiving should have direct access to a freight elevator.  Office space for 
shipping/receiving personnel is already accounted for within the office space loading above. 
Planning Factor: Allocate 80 NSF for every 50 personnel assigned.
Justification: A Shipping/Receiving Area may be justified for some organizations. Justification should address some or all of the following factors 
as appropriate:
• Mission or functions performed.
• Size of organization - Is organization large enough to warrant its own Shipping/Receiving area rather than rely on the host installation’s 
Shipping/Receiving facility?
• Location of organization - Is organization geographically separated from the host installation, driving the need for a Shipping/Receiving area?
• Security requirements - Do security requirements warrant a separate Shipping/Receiving area?
• Hours of operation (e.g., full time or part time)
• Other justification</t>
        </r>
      </text>
    </comment>
    <comment ref="A48" authorId="0" shapeId="0">
      <text>
        <r>
          <rPr>
            <sz val="11"/>
            <color indexed="81"/>
            <rFont val="Calibri"/>
            <family val="2"/>
          </rPr>
          <t xml:space="preserve">Shower Room.  A Shower Room provides one or more shower stalls and is typically collocated with a locker room and/or bathroom.  
Showers are authorized in support of critical 24-hour, multiple shift operations.  Showers may also be authorized in support of military physical training 
requirements at remote locations, without access to fitness centers.  When showers are authorized in support of 24-hour, multiple shift operations, 
provide one shower for every 10 PN based on the largest shift.  When showers are authorized in support of physical training requirements for military 
personnel at remote locations without access to fitness centers, provide one shower for every 20 military personnel assigned.  In both cases, a ratio of 
80 / 20, male / female (ratio may go up as manning structure dictates but not lower than 80 / 20), should be used for planning purposes. Use the 
guidance above to determine the number of showers required.
Planning Factor: Allocate showers at 20 NSF each.  
Justification: A Shower Room may be justified for commands with 24-hour, multiple shifts or remote operation requirements.  If the organization is 
located on a large installation with access to fitness centers; shower rooms are generally not authorized except when 24-hour operations are required. 
Justification should address some or all of the following factors as appropriate:
• Mission or functions performed.
• Type of operations supported (normal, shift, emergency)
• Physical Training (PT) requirements at remote locations
• Total number of showers required based on guidance above
• Types of personnel that require locker space (e.g., military, civilian, or contractor personnel).  Military personnel may require showers in support of 
mandatory physical fitness requirements.  Military, civilian and/or contractor personnel may require showers in support of shift or emergency operations. 
• Other justification.
</t>
        </r>
      </text>
    </comment>
    <comment ref="A49" authorId="0" shapeId="0">
      <text>
        <r>
          <rPr>
            <sz val="11"/>
            <color indexed="8"/>
            <rFont val="Calibri"/>
            <family val="2"/>
            <scheme val="minor"/>
          </rPr>
          <t>Collaboration Space: Applies to 'Distributed' scenarios only.  This is an automatic calculation that occurs after a 'Distributed' scenario has correct inputs.  The overall difference in space loading between the Baseline and Distributed scenario is multiplied by 16 NSF/PN.
Planning Factor: Allocate 16 NSF/PN for each person reduced from Base Line total.  
Justification: 'Justified for workspace sharing ('Distributed') scenarios.</t>
        </r>
        <r>
          <rPr>
            <sz val="11"/>
            <color indexed="8"/>
            <rFont val="Calibri"/>
            <family val="2"/>
          </rPr>
          <t xml:space="preserve">
</t>
        </r>
      </text>
    </comment>
    <comment ref="A51" authorId="0" shapeId="0">
      <text>
        <r>
          <rPr>
            <sz val="11"/>
            <color indexed="8"/>
            <rFont val="Calibri"/>
            <family val="2"/>
          </rPr>
          <t>Special Purpose Space - Security Group.  These space types may apply to various category codes for manned facilities.</t>
        </r>
      </text>
    </comment>
    <comment ref="A52" authorId="0" shapeId="0">
      <text>
        <r>
          <rPr>
            <sz val="11"/>
            <color indexed="8"/>
            <rFont val="Calibri"/>
            <family val="2"/>
          </rPr>
          <t xml:space="preserve">Entry Control Area. An Entry Control Area (or Man Trap Spaces) may be provided for secure (classified) facilities allowing for orderly check-in and 
check-out.  An Entry Control Area provides for one entry and one exit channel adjacent to the security watch station(s).  Additionally, this area 
includes an additional 20 NSF for every 50 personnel assigned to the organization to accommodate transit of building personnel though the entry 
control area.  Security watch station(s) are a separate allocation (see below).  Depending on volume of traffic, a secure visitor waiting area and 
unisex bathroom may be justified.
Planning Factor:  Allocate one Entry Control Area at 100 NSF plus 20 NSF for every 50 personnel assigned.
Justification: An Entry Control Area may be justified for secure facilities. Justification should address some or all of the following factors as appropriate:
• Mission or functions performed
• Applicable to certain C5ISR/operational functions (CCNs 13115, 14380)
• Other justification 
</t>
        </r>
      </text>
    </comment>
    <comment ref="A53" authorId="0" shapeId="0">
      <text>
        <r>
          <rPr>
            <sz val="11"/>
            <color indexed="8"/>
            <rFont val="Calibri"/>
            <family val="2"/>
          </rPr>
          <t xml:space="preserve">Secure Visitor Waiting Area.  A Secure Visitor Waiting Area may be provided for secure facilities.  In this capacity, it serves the security 
check-in and check-out process.  This space type may also apply to NCIS functions and certain Echelon II Inspector General functions.  In this capacity, it 
provides space for people awaiting the results of polygraph testing, individuals under investigation and awaiting interview, and to separate suspects from 
other visitors and ongoing investigations.  This separate waiting area helps to maintain security, protect the integrity of investigations, and avoid 
compromising the facts and circumstances surrounding a criminal inquiry. 
Planning Factor: Allocate one secure visitor waiting area at 120 NSF.
Justification: A Secure Visitor Waiting Area may be justified for secure facilities. Justification should address some or all of the following factors as 
appropriate:
• Mission or functions performed
• Applicable to certain C5ISR/operational functions (CCNs 13115, 14380)
• Applicable to certain Inspector General and investigative functions (Echelon II Inspector General staff functions, NCIS Field Offices and NCIS Resident 
Units functions).
• Other justification </t>
        </r>
      </text>
    </comment>
    <comment ref="A54" authorId="0" shapeId="0">
      <text>
        <r>
          <rPr>
            <sz val="11"/>
            <color indexed="8"/>
            <rFont val="Calibri"/>
            <family val="2"/>
          </rPr>
          <t>Security Watch Station.  A Security Watch Station provides space to house a security officer and security system monitoring equipment for 
a specific site and/or location.  Security Watch Stations are typically located adjacent to a lobby or quarterdeck area to control building ingress 
and egress.
Planning Factor: Allocate NSF based on security office requirements.
Justification: Security offices may be justified for large facilities, secure facilities and at satellite sites or remote locations that do not have 
access to a host installation's base security. Justification should address some or all of the following factors as appropriate:
• Mission or functions performed.  Does the organization’s mission require security beyond that provided by the host installation?
• Size of organization- Is organization large enough to warrant its own security rather than rely on the host installation’s security force?
• Location of organization- Is organization geographically separated from the host installation site to warrant a separate security force?
• Hours of operation (e.g., normal or shift operations)
• Number of security offices required 
• Other justification</t>
        </r>
      </text>
    </comment>
    <comment ref="A55" authorId="0" shapeId="0">
      <text>
        <r>
          <rPr>
            <sz val="11"/>
            <color indexed="8"/>
            <rFont val="Calibri"/>
            <family val="2"/>
          </rPr>
          <t>Special Security Officer Suite. A Special Security Officer (SSO) Suite is a multifunctional area containing, but not limited to, a reception area, 
indoctrination area, photography area, vault, and office space for the SSO.  A SSO Suite may be required depending on the TS/SCI classification level 
and where SCIF or SAP facilities are present.
Planning Factor:  Allocate NSF based on 131 Series space planning factors.
Justification:  Justification should also address some or all of the following factors as appropriate:
• Applicable to specific C5ISR, OPS functions
• Refer to 131 Series justification guidelines
• Refer to CCN 14380 justification guidelines</t>
        </r>
      </text>
    </comment>
    <comment ref="A56" authorId="0" shapeId="0">
      <text>
        <r>
          <rPr>
            <sz val="11"/>
            <color indexed="8"/>
            <rFont val="Calibri"/>
            <family val="2"/>
          </rPr>
          <t>Weapons Vestibule and Vault.  A Weapons Vestibule and Vault is for the secure storage of weapons.  The vestibule and vault are two 
separate rooms.  Equip the vestibule with individual lockers for each issued weapon, a cleaning counter with proper ventilation, and a safety 
loading/unloading barrel.  Include a hazardous materials storage cabinet for solvent and cleaning materials.  Equip the vault with racks. 
Planning Factor: Allocate Weapons Vestibule and Vault at 120 NSF/EA.
Justification:  A Weapons Vestibule and Vault may be justified for specific functions.  Justification should address some or all of the following factors as appropriate:
• Mission or functions performed.  Does the organization’s mission require security beyond that provided by the host installation?
• Size of organization - Is organization large enough to warrant its own security rather than rely on the host installation’s security force?
• Location of organization - Is organization geographically separated from the host installation site to warrant a separate security force?
• Hours of operation (e.g., normal or shift operations)
• Other justification</t>
        </r>
      </text>
    </comment>
    <comment ref="A58" authorId="0" shapeId="0">
      <text>
        <r>
          <rPr>
            <sz val="11"/>
            <color indexed="81"/>
            <rFont val="Calibri"/>
            <family val="2"/>
          </rPr>
          <t>Special Purpose Space – User Defined Space Group.  This is a user-defined space group. It contains user-defined space types and allocations. 
Planning Factor: Enter NSF requirement for this user-defined space type.
Justification: Enter justification for this user defined space type.</t>
        </r>
      </text>
    </comment>
    <comment ref="A82" authorId="1" shapeId="0">
      <text>
        <r>
          <rPr>
            <sz val="11"/>
            <color indexed="81"/>
            <rFont val="Calibri"/>
            <family val="2"/>
          </rPr>
          <t>Circulation Multiplier.  In addition to each Special Purpose Space allocation, space for 
circulation must be provided to facilitate personnel movement within those spaces. This is referred to 
as secondary circulation.
Planning Factor: Allocate NSF based on a circulation multiplier of 0.12.
Justification: This space type does not require further justification.</t>
        </r>
      </text>
    </comment>
    <comment ref="A90" authorId="0" shapeId="0">
      <text>
        <r>
          <rPr>
            <sz val="11"/>
            <color indexed="8"/>
            <rFont val="Calibri"/>
            <family val="2"/>
            <scheme val="minor"/>
          </rPr>
          <t>Net-To-Gross Space. Net-To-Gross space types are used to calculate a Net-To-Gross (NTG) Factor.  The NTG Factor is then multiplied by the Net Building Area to calculate the Gross Building Area.  An algorithm is used to determine the NTG factor on a case by case basis.  The following section identifies Net-To-Gross space components used to calculate the NTG Factor.</t>
        </r>
        <r>
          <rPr>
            <sz val="11"/>
            <color indexed="8"/>
            <rFont val="Calibri"/>
            <family val="2"/>
          </rPr>
          <t xml:space="preserve">
</t>
        </r>
      </text>
    </comment>
    <comment ref="A92" authorId="0" shapeId="0">
      <text>
        <r>
          <rPr>
            <sz val="11"/>
            <color indexed="8"/>
            <rFont val="Calibri"/>
            <family val="2"/>
          </rPr>
          <t xml:space="preserve">Adjust Building Height (optional).  By default, the Admin BFR Generator optimizes the number of stories by calibrating a cubic building 
based on the F/E Ratio Method. Each above ground story is assumed to be 12 feet in height.  Using the checkbox option allows the user to adjust 
the number of floors. If preparing BFR for an entire organization, the default option is recommended.  If preparing BFR for individual components 
(divisions or departments) of an organization, use the check box option and adjust the number of floors to one.
Notes:
1. The F/E Ratio Method maximizes the ratio of the Net Building Area (F) to the sum of above-grade exterior wall and roof surface areas (E). 
The more compact the form, the higher the F/E ratio, which increases the potential for energy efficiency. See “Building Shape and Energy” in 
the “Resources” page for more information.
2. The Administrative Facilities BFR Generator utilizes the F/E Ratio Method as a trial and error algorithm to optimize the number of above ground 
floors.  This calibration process generates a compactness factor by evaluating the various Average Net Floor Area/Enclosure Area (F/E) values, 
identifies the greatest F/E ratio and returns the associated number of floors where this occurs. See “Above-Ground Floor Allocations” in the 
“Resources” page for more information. 
3. Using the F/E ratio method, the following table shows when the Net Building Area jumps from one story to two stories, two stories to three 
stories, and so on.  Results in table below assume a 12-ft. story height.  To be conservative, a vertical adjustment factor of -1 (stories) is 
applied to the F/E story count.  This prevents small buildings from going vertical too quickly.  Additionally, these calculations are based on 
“net building area” and do not consider the additional Net-To-Gross floor space requirements (determined later in the process), further 
increasing the average floorplate size.  
4. An “Average Net Floor Area” may now be calculated by dividing the Net Building Area by the number of adjusted stories.  Knowing the number 
of stories and average net floor area allows estimation of additional requirements for elevators, stairwells, bathrooms, janitorial closets, telecom 
rooms, and vestibules.  See “Net-to-Gross Allocations Table” in the “Resources” page for more information.
</t>
        </r>
      </text>
    </comment>
    <comment ref="A94" authorId="0" shapeId="0">
      <text>
        <r>
          <rPr>
            <sz val="11"/>
            <color indexed="8"/>
            <rFont val="Calibri"/>
            <family val="2"/>
          </rPr>
          <t>Bathrooms.  The number and size of bathrooms are code-driven.  For planning purposes, bathrooms are based on standardized modules.  
Bathrooms.  The number of toilet fixtures is driven by UFC 3-420-01, Plumbing Systems.  Bathrooms are assumed to be located on each floor.  
For planning purposes, bathrooms allocations are based on standardized modules and the number of persons per floor.  See “Bathroom 
Allocations” in the “Resources” page for more information.
Planning Factor: Allocate total NSF space requirement based on Bathroom Allocations Table.</t>
        </r>
      </text>
    </comment>
    <comment ref="A95" authorId="0" shapeId="0">
      <text>
        <r>
          <rPr>
            <sz val="11"/>
            <color indexed="8"/>
            <rFont val="Calibri"/>
            <family val="2"/>
          </rPr>
          <t>Electrical Space.  An Electrical Room is a room or space dedicated to electrical equipment and components for the purpose of power distribution to 
other areas of a building or grounds.  The size of the electrical room is usually proportional to the size of the building.  Large buildings may have a 
main electrical room and subsidiary electrical rooms.  Multi-story buildings will have at least one subsidiary electrical room per floor.  Allocation 
assumed to be equivalent to 60% of central mechanical room allocation.
Planning Factor: Allocate NSF: x=(y/69.2)^1.053 x (0.6), where x = size of electrical spaces (NSF), y=Net Building Area (in NSF).</t>
        </r>
      </text>
    </comment>
    <comment ref="A96" authorId="0" shapeId="0">
      <text>
        <r>
          <rPr>
            <sz val="11"/>
            <color indexed="8"/>
            <rFont val="Calibri"/>
            <family val="2"/>
          </rPr>
          <t xml:space="preserve">Elevator Hoistway. If the elevator will be used for the movement of personnel, it must be designed as a passenger elevator.  Any elevator that is a 
component of a handicapped accessibility route must be designed as a passenger elevator.  Passenger elevators may be used for general 
freight loading and can be designed with a heavy-duty interior to resist damage from hand trucks.  
Hydraulic Elevators are used for 2 to 4 story buildings.  Electric (traction) elevators are used for 5-9 story buildings.  Assume both hydraulic 
and electric passenger elevator must be able to accommodate an ambulance type stretcher (84" X 24") and a 4,000-pound load capacity.  
See “Elevator Hoistway and Machine Room Allocations” in the “Resources” page for more information.
Planning Factor: Allocate one hydraulic elevator at 82 NSF EA/Floor/10,000 NSF of Average Net Floor Area for 2 to 4 story buildings.  
Allocate one electric elevator at 91 NSF EA/Floor/10,000 NSF of Average Net Floor Area for 5 or more story buildings.  
Example 1:  If building is four stories with 36,000 NSF of usable space and an Average Net Floor Area of 9,000 NSF per floor, only one elevator is 
required because the Average Net Floor Area is less than 10,000 NSF.  
Example 2:  If building is four stories with 48,000 NSF of usable space and an Average Net Floor Area of 12,000 NSF per floor, two elevators are 
required because the Average Net Floor Area is greater than 10,000 NSF.  </t>
        </r>
      </text>
    </comment>
    <comment ref="A97" authorId="0" shapeId="0">
      <text>
        <r>
          <rPr>
            <sz val="11"/>
            <color indexed="8"/>
            <rFont val="Calibri"/>
            <family val="2"/>
          </rPr>
          <t>Elevator Machine Room.  An elevator machine room contains the elevator machine equipment and elevator controller.  One Elevator Machine 
Room is allocated for each elevator.  See “Elevator Hoistway and Elevator Machine Room Allocations” in the “Resources” page for more 
information.
Planning Factor: Allocate one Elevator Machine Room at 72 NSF EA/Elevator for 2 to 4 story buildings.  Allocate one Elevator Machine Room at 
152 NSF EA/Elevator for 5 or more story buildings.</t>
        </r>
      </text>
    </comment>
    <comment ref="A98" authorId="0" shapeId="0">
      <text>
        <r>
          <rPr>
            <sz val="11"/>
            <color indexed="8"/>
            <rFont val="Calibri"/>
            <family val="2"/>
            <scheme val="minor"/>
          </rPr>
          <t>Janitor’s Closet.   A Janitor’s Closet accommodates all equipment and supplies needed to service an Average Net Floor Area of up to 10,000 NSF.  As a minimum, the service closet shall have a 24-inch square mop basin, a wall-mounted mop rack, and three feet of 10-inch deep wall shelving.  Janitor’s closets should be centrally located on each floor near the toilet facilities and be directly accessed from the corridor, not from the restrooms.
Planning Factor: Allocate one Janitor Closet at 20 NSF EA/Floor/10,000 NSF of Average Net Floor Area.</t>
        </r>
      </text>
    </comment>
    <comment ref="A99" authorId="0" shapeId="0">
      <text>
        <r>
          <rPr>
            <sz val="11"/>
            <color indexed="8"/>
            <rFont val="Calibri"/>
            <family val="2"/>
          </rPr>
          <t>Mechanical Space.  A Mechanical Room or boiler room is a dedicated room for mechanical equipment used to control the environment in a 
building.  To account for the majority of mechanical spaces in office buildings, we assume a variable air volume (VAV) system with a central 
mechanical room located on the ground floor and distributed fan rooms located on each floor. 
The following equation estimates the central mechanical room area for an office building: 
• x=(y/69.2)^1.053, where x = size of mechanical room (in NSF) and y = Net Building Area (in NSF). 
The following equation estimates the area for all fan rooms:  
• x=(y/58)^1.087, where x = size of fan rooms (in NSF) and y = Net Building Area (in NSF).
Adding these two areas together provides a rough estimate of the total mechanical space required for an office building. These equations were derived 
from logarithmic charts.
Planning Factor: x = (y/69.2)^1.053 + (y/58)^1.087, where x = sum of mechanical spaces (in NSF) and y = Net Building Area (in NSF).</t>
        </r>
      </text>
    </comment>
    <comment ref="A100" authorId="0" shapeId="0">
      <text>
        <r>
          <rPr>
            <sz val="11"/>
            <color indexed="8"/>
            <rFont val="Calibri"/>
            <family val="2"/>
          </rPr>
          <t>Primary Circulation Multiplier.  Primary circulation consists of the main circulation routes (hallways) connecting to the building core and common spaces, 
such as elevators and exit stairs. This multiplier also accounts for lobby / quarterdeck areas.  Primary circulation is separate from secondary circulation 
space associated with Net Building Areas. 
Planning Factor: Allocate NSF: (net building area - secondary circulation areas) x (primary circulation multiplier).</t>
        </r>
      </text>
    </comment>
    <comment ref="A101" authorId="0" shapeId="0">
      <text>
        <r>
          <rPr>
            <sz val="11"/>
            <color indexed="8"/>
            <rFont val="Calibri"/>
            <family val="2"/>
            <scheme val="minor"/>
          </rPr>
          <t>A Stairwell is a vertical penetration in a multi-floor building for circulation and/or personnel egress.  For general planning purposes, assume one story is 12 feet high.
Planning Factor: Allocate one Stairwell at 200 NSF EA/Floor/10,000 NSF of Average Net Floor Area.</t>
        </r>
      </text>
    </comment>
    <comment ref="A102" authorId="0" shapeId="0">
      <text>
        <r>
          <rPr>
            <sz val="11"/>
            <color indexed="8"/>
            <rFont val="Calibri"/>
            <family val="2"/>
          </rPr>
          <t>A Telecom Room (short for Telecommunications Room) provides telephone and computer connectivity within a building.  It typically includes 
an area for telephone switches and computer equipment mounted in a rack.
Planning Factor: Allocate one Telecom Room at 110 NSF EA/Floor/10,000 NSF of Average Net Floor Area.</t>
        </r>
      </text>
    </comment>
    <comment ref="A103" authorId="0" shapeId="0">
      <text>
        <r>
          <rPr>
            <sz val="11"/>
            <color indexed="8"/>
            <rFont val="Calibri"/>
            <family val="2"/>
          </rPr>
          <t xml:space="preserve">A Vestibule provides an area where people entering the building can wipe their feet on an appropriate surface prior to entering the lobby. 
Planning Factor: Allocate one Vestibule at 60 NSF EA/10,000 NSF of Ground Floor Area.  
Note: Ground Floor Area is equal to Average Floor Net Area. </t>
        </r>
      </text>
    </comment>
    <comment ref="A104" authorId="0" shapeId="0">
      <text>
        <r>
          <rPr>
            <sz val="11"/>
            <color indexed="8"/>
            <rFont val="Calibri"/>
            <family val="2"/>
          </rPr>
          <t xml:space="preserve">Other NTG Space1.  This is a user-defined NTG space type and allocation.  It is intended for “one-off” space types not included above.  
Example:  Renewable Energy Equipment Room 
Planning Factor: Allocate NSF requirement for this user-defined space type.
Justification: Enter Justification for this user defined space type.
Example justification:  A Renewable Energy Equipment Room, 45 NSF in size, is required to house photo-voltaic (PV) system inverters.
</t>
        </r>
      </text>
    </comment>
    <comment ref="A105" authorId="0" shapeId="0">
      <text>
        <r>
          <rPr>
            <sz val="11"/>
            <color indexed="8"/>
            <rFont val="Calibri"/>
            <family val="2"/>
          </rPr>
          <t>Other NTG Space2.  This is a second user-defined NTG space type and allocation.  It is intended for “one-off” space types not included 
above.  
Example:  Unisex Bathroom
Planning Factor: Allocate NSF requirement for this user-defined space type.
Justification: Enter Justification for this user defined space type.
Example justification:  A Unisex Bathroom, 60 NSF in size, is required within the entry control area.</t>
        </r>
      </text>
    </comment>
    <comment ref="A107" authorId="0" shapeId="0">
      <text>
        <r>
          <rPr>
            <sz val="11"/>
            <color indexed="8"/>
            <rFont val="Calibri"/>
            <family val="2"/>
            <scheme val="minor"/>
          </rPr>
          <t xml:space="preserve">Adjust Building Width. By default, this option is applied (checked), and assumes a 50 Foot width per UFC 2-100-01, Installation Master Planning 2-2.10 Building Orientation and Configuration.  A 50 foot building width is assumed to support daylighting and energy conservation.
Note:  This factor affects the rectangular building perimeter used to calculate the 'Exterior Wall Area' (below).  Calculations are done in the Floors tab.
</t>
        </r>
      </text>
    </comment>
    <comment ref="A109" authorId="0" shapeId="0">
      <text>
        <r>
          <rPr>
            <sz val="11"/>
            <color indexed="8"/>
            <rFont val="Calibri"/>
            <family val="2"/>
          </rPr>
          <t xml:space="preserve">Exterior Wall Thickness Area accounts for the square footage associated with exterior walls. Exterior wall thickness is assumed to be 16 
inches (1.33 feet) thick.  By default, the Admin BFR Generator applies this space type.
Calculations:
1. Objective: Calculate area associated with exterior walls.
2. Determine building perimeter without exterior walls and multiply by exterior wall thickness factor.
3. Adjust Building Width?  If yes (rectangular), calculate average floor area perimeter (2*Width+2*Length), multiply by number of floors and multiply 
result by exterior wall thickness factor. 
4. Adjust Building Width?  If no (square), calculate average floor area perimeter (4*Width), multiply by number of floors and multiply result by exterior 
wall thickness factor.  
Planning Factor:  Allocate NSF: (average net floor area perimeter) x (wall thickness) x (no. of floors).
</t>
        </r>
      </text>
    </comment>
    <comment ref="H111" authorId="0" shapeId="0">
      <text>
        <r>
          <rPr>
            <b/>
            <sz val="11"/>
            <color indexed="81"/>
            <rFont val="Calibri"/>
            <family val="2"/>
          </rPr>
          <t>Added formula which contains rule to use ntg factor of 1.40 when space loading &lt; 50 or &gt; 3,000.</t>
        </r>
        <r>
          <rPr>
            <sz val="11"/>
            <color indexed="81"/>
            <rFont val="Calibri"/>
            <family val="2"/>
          </rPr>
          <t xml:space="preserve">
=IF(Net_To_Gross!B113,(Detailed_Analysis!I86*Net_To_Gross!G113)-I86,IF(OR(F25&lt;50, F25&gt;3000),(Detailed_Analysis!I86*1.4)-I86,SUM(I95:I110)))</t>
        </r>
      </text>
    </comment>
    <comment ref="A112" authorId="0" shapeId="0">
      <text>
        <r>
          <rPr>
            <sz val="11"/>
            <color indexed="8"/>
            <rFont val="Calibri"/>
            <family val="2"/>
          </rPr>
          <t>NTG Factor Override.   A NTG Override function is provided within the Administrative Facilities BFR Generator for situations in which an 
alternative NTG gross factor is required. Specific justification must be provided when the override function is applied.  As an example, facilities in Italy 
conform to host nation construction standards and specify use of a Net-To-Gross factor of 1.5; therefore, the NTG Factor Override may be applied under 
such circumstances.  Another example could involve existing buildings that may be inefficiently configured with wide hallways or other features that 
cannot be changed.  In such cases, in order to apply an alternative NTG factor using the override function, calculations showing the target building’s 
actual NTG factor must be provided as part of BFR package.</t>
        </r>
      </text>
    </comment>
    <comment ref="H115" authorId="0" shapeId="0">
      <text>
        <r>
          <rPr>
            <b/>
            <sz val="9"/>
            <color indexed="81"/>
            <rFont val="Tahoma"/>
            <family val="2"/>
          </rPr>
          <t>=IF(F21=0,0,IF(Net_To_Gross!B119,(H34+H41)*C119/(F21),((H34+H41)*H119)/(F21)))</t>
        </r>
        <r>
          <rPr>
            <sz val="9"/>
            <color indexed="81"/>
            <rFont val="Tahoma"/>
            <family val="2"/>
          </rPr>
          <t xml:space="preserve">
</t>
        </r>
      </text>
    </comment>
    <comment ref="A128" authorId="0" shapeId="0">
      <text>
        <r>
          <rPr>
            <sz val="11"/>
            <color indexed="8"/>
            <rFont val="Calibri"/>
            <family val="2"/>
          </rPr>
          <t>Certified by - Enter name, position title and organization of responsible official  
certifying BFR and date.</t>
        </r>
      </text>
    </comment>
  </commentList>
</comments>
</file>

<file path=xl/comments8.xml><?xml version="1.0" encoding="utf-8"?>
<comments xmlns="http://schemas.openxmlformats.org/spreadsheetml/2006/main">
  <authors>
    <author>Desktop</author>
  </authors>
  <commentList>
    <comment ref="A4" authorId="0" shapeId="0">
      <text>
        <r>
          <rPr>
            <b/>
            <sz val="11"/>
            <color indexed="81"/>
            <rFont val="Calibri"/>
            <family val="2"/>
          </rPr>
          <t>(# open office + # flex space) / (# private office + # open office + # flex space)</t>
        </r>
      </text>
    </comment>
    <comment ref="E27" authorId="0" shapeId="0">
      <text>
        <r>
          <rPr>
            <b/>
            <sz val="11"/>
            <color indexed="81"/>
            <rFont val="Calibri"/>
            <family val="2"/>
          </rPr>
          <t>Result from calcs below.</t>
        </r>
      </text>
    </comment>
    <comment ref="J27" authorId="0" shapeId="0">
      <text>
        <r>
          <rPr>
            <b/>
            <sz val="11"/>
            <color indexed="81"/>
            <rFont val="Calibri"/>
            <family val="2"/>
          </rPr>
          <t xml:space="preserve">Result from calcs below for CM=0.1200.  Added an overide value in Space_Table tab to reduce factor if necessary to stay under 162.5 factor.
</t>
        </r>
      </text>
    </comment>
    <comment ref="O27" authorId="0" shapeId="0">
      <text>
        <r>
          <rPr>
            <b/>
            <sz val="11"/>
            <color indexed="81"/>
            <rFont val="Calibri"/>
            <family val="2"/>
          </rPr>
          <t>Result from calcs below.</t>
        </r>
      </text>
    </comment>
    <comment ref="F33" authorId="0" shapeId="0">
      <text>
        <r>
          <rPr>
            <b/>
            <sz val="11"/>
            <color indexed="81"/>
            <rFont val="Calibri"/>
            <family val="2"/>
          </rPr>
          <t>=VLOOKUP($F$32,A6:$B$85,2)</t>
        </r>
        <r>
          <rPr>
            <sz val="11"/>
            <color indexed="81"/>
            <rFont val="Calibri"/>
            <family val="2"/>
          </rPr>
          <t xml:space="preserve">
</t>
        </r>
      </text>
    </comment>
  </commentList>
</comments>
</file>

<file path=xl/comments9.xml><?xml version="1.0" encoding="utf-8"?>
<comments xmlns="http://schemas.openxmlformats.org/spreadsheetml/2006/main">
  <authors>
    <author>Desktop</author>
  </authors>
  <commentList>
    <comment ref="N3" authorId="0" shapeId="0">
      <text>
        <r>
          <rPr>
            <sz val="11"/>
            <color indexed="81"/>
            <rFont val="Calibri"/>
            <family val="2"/>
          </rPr>
          <t xml:space="preserve">Total Conference/Training Room allocation (NSF)
</t>
        </r>
      </text>
    </comment>
    <comment ref="Q5" authorId="0" shapeId="0">
      <text>
        <r>
          <rPr>
            <b/>
            <sz val="11"/>
            <color indexed="81"/>
            <rFont val="Calibri"/>
            <family val="2"/>
          </rPr>
          <t xml:space="preserve">Values are based on Navy Method
</t>
        </r>
        <r>
          <rPr>
            <sz val="11"/>
            <color indexed="81"/>
            <rFont val="Calibri"/>
            <family val="2"/>
          </rPr>
          <t xml:space="preserve">Contains hidden columns starting in column P.
Air Force Method in Column P. Straight Line Method in Column Q. 
</t>
        </r>
      </text>
    </comment>
    <comment ref="N45" authorId="0" shapeId="0">
      <text>
        <r>
          <rPr>
            <sz val="11"/>
            <color indexed="81"/>
            <rFont val="Calibri"/>
            <family val="2"/>
          </rPr>
          <t xml:space="preserve">Total Conference/Training Room allocation (NSF)
</t>
        </r>
      </text>
    </comment>
  </commentList>
</comments>
</file>

<file path=xl/sharedStrings.xml><?xml version="1.0" encoding="utf-8"?>
<sst xmlns="http://schemas.openxmlformats.org/spreadsheetml/2006/main" count="687" uniqueCount="512">
  <si>
    <t>Stories</t>
  </si>
  <si>
    <t>Story Height (FT)</t>
  </si>
  <si>
    <t>Bldg Height (FT)</t>
  </si>
  <si>
    <t>Bldg Length (FT)</t>
  </si>
  <si>
    <t>Bldg Width (FT)</t>
  </si>
  <si>
    <t>Roof Area (NSF)</t>
  </si>
  <si>
    <t>E = Enclosure Area (NSF)</t>
  </si>
  <si>
    <t>F/E Factor</t>
  </si>
  <si>
    <t>F/E Stories:</t>
  </si>
  <si>
    <t>Max F/E Ratio:</t>
  </si>
  <si>
    <t>Givens:</t>
  </si>
  <si>
    <t>Assumptions:</t>
  </si>
  <si>
    <t>Net Bldg Area:</t>
  </si>
  <si>
    <t>NTG Factor:</t>
  </si>
  <si>
    <t>Story Height:</t>
  </si>
  <si>
    <t>2 x H x W</t>
  </si>
  <si>
    <t>2 x H x L</t>
  </si>
  <si>
    <t>F = Net Bldg Area</t>
  </si>
  <si>
    <t>Net Avg Floor Area</t>
  </si>
  <si>
    <t>Avg Floor Area:</t>
  </si>
  <si>
    <t>Net Bldg Width:</t>
  </si>
  <si>
    <t>Gross Bldg Width:</t>
  </si>
  <si>
    <t>Net Bldg Length:</t>
  </si>
  <si>
    <t>Gross Bldg Length:</t>
  </si>
  <si>
    <t xml:space="preserve"> - w/o exterior wall thickness</t>
  </si>
  <si>
    <t xml:space="preserve"> - w/o exterior wall thickness along both length dimensions</t>
  </si>
  <si>
    <t xml:space="preserve"> - w/o exterior wall thickness along both width dimensions</t>
  </si>
  <si>
    <t>Note 7b.  Requires survey results in proper format, see UFC 2-000-05N, CCN 61010, section 61010-11.</t>
  </si>
  <si>
    <t>Note 7a.  Requires completed Base Line scenario (steps 1-5 above)</t>
  </si>
  <si>
    <t xml:space="preserve">Use the Distributed tab to compare two BFR types, a Baseline BFR (w/o telework and space sharing) versus a Distributed BFR (with telework and space sharing).  </t>
  </si>
  <si>
    <t>7.  Optional:  Proceed to ‘Distributed’ tab and input Distributed BFR Inputs</t>
  </si>
  <si>
    <t>6.  Proceed to 'Summary' tab, input summary data fields and print.</t>
  </si>
  <si>
    <t xml:space="preserve">Note 5b.  If space loading is equal to or greater than 50 PN, the NTG factor is calculated. </t>
  </si>
  <si>
    <t>5.  Proceed to 'Net-To-Gross' tab and input net-to-gross fields if required.</t>
  </si>
  <si>
    <t xml:space="preserve">Note 4a.  Space types within the General Administrative Space Group and Basic Allocation Group do not require justification. </t>
  </si>
  <si>
    <t>4.  Proceed to 'Justification' tab and input justification fields if required.</t>
  </si>
  <si>
    <t>3.  Proceed to 'Space Table' tab and input space table fields if required.</t>
  </si>
  <si>
    <t>Note 2c.  WST2 spaces are justified for personnel that predominantly telework and share workstations.</t>
  </si>
  <si>
    <t xml:space="preserve">Note 2b.  WST1 spaces are justified for general staff personnel.  </t>
  </si>
  <si>
    <t xml:space="preserve">Note 2a.  Private office spaces are justified for supervisory personnel.  </t>
  </si>
  <si>
    <t>1.  Begin on 'Activity' tab and input activity data.</t>
  </si>
  <si>
    <t>Admin BFR Generator Quick Start Process</t>
  </si>
  <si>
    <t>Notes</t>
  </si>
  <si>
    <t>Hyperlink</t>
  </si>
  <si>
    <t>Explanatory</t>
  </si>
  <si>
    <t>Warning</t>
  </si>
  <si>
    <t>Introduction</t>
  </si>
  <si>
    <t>CCN 61010 - Administrative Office Building</t>
  </si>
  <si>
    <t>Activity</t>
  </si>
  <si>
    <t>User_Defined_Space_20:</t>
  </si>
  <si>
    <t>User_Defined_Space_19:</t>
  </si>
  <si>
    <t>User_Defined_Space_18:</t>
  </si>
  <si>
    <t>User_Defined_Space_17:</t>
  </si>
  <si>
    <t>User_Defined_Space_16:</t>
  </si>
  <si>
    <t>User_Defined_Space_15:</t>
  </si>
  <si>
    <t>User_Defined_Space_14:</t>
  </si>
  <si>
    <t>User_Defined_Space_13:</t>
  </si>
  <si>
    <t>User_Defined_Space_12:</t>
  </si>
  <si>
    <t>User_Defined_Space_11:</t>
  </si>
  <si>
    <t>User_Defined_Space_10:</t>
  </si>
  <si>
    <t>User_Defined_Space_9:</t>
  </si>
  <si>
    <t>User_Defined_Space_8:</t>
  </si>
  <si>
    <t>User_Defined_Space_7:</t>
  </si>
  <si>
    <t>User_Defined_Space_6:</t>
  </si>
  <si>
    <t>User_Defined_Space_5:</t>
  </si>
  <si>
    <t>User_Defined_Space_4:</t>
  </si>
  <si>
    <t>User_Defined_Space_3:</t>
  </si>
  <si>
    <t>User_Defined_Space_2:</t>
  </si>
  <si>
    <t>User_Defined_Space_1:</t>
  </si>
  <si>
    <t>Req'd?</t>
  </si>
  <si>
    <t>Space Table</t>
  </si>
  <si>
    <t>Authorized for secure facilities.</t>
  </si>
  <si>
    <t>Justification</t>
  </si>
  <si>
    <t>Net-To-Gross</t>
  </si>
  <si>
    <t>Other_NTG_Space1:</t>
  </si>
  <si>
    <t>Provide justification here if applied.</t>
  </si>
  <si>
    <t>Other_NTG_Space2:</t>
  </si>
  <si>
    <t>Summary</t>
  </si>
  <si>
    <t>Planning Note</t>
  </si>
  <si>
    <t>Collaboration Space</t>
  </si>
  <si>
    <t>WST1 Sharing</t>
  </si>
  <si>
    <t>Office Sharing</t>
  </si>
  <si>
    <t>Process</t>
  </si>
  <si>
    <t>Distributed Workforce Analysis and Planning Notes</t>
  </si>
  <si>
    <t xml:space="preserve"> </t>
  </si>
  <si>
    <t>Distributed BFR</t>
  </si>
  <si>
    <t>Distributed</t>
  </si>
  <si>
    <t>Total</t>
  </si>
  <si>
    <t>Shared Results</t>
  </si>
  <si>
    <t>Dedicated</t>
  </si>
  <si>
    <r>
      <rPr>
        <b/>
        <sz val="12"/>
        <color theme="1"/>
        <rFont val="Calibri"/>
        <family val="2"/>
        <scheme val="minor"/>
      </rPr>
      <t xml:space="preserve">Review Results </t>
    </r>
    <r>
      <rPr>
        <sz val="12"/>
        <color theme="1"/>
        <rFont val="Calibri"/>
        <family val="2"/>
        <scheme val="minor"/>
      </rPr>
      <t>for Private, WST1 and WST2 space.</t>
    </r>
  </si>
  <si>
    <t>Calculate Distributed</t>
  </si>
  <si>
    <t>Sharing Ratio</t>
  </si>
  <si>
    <t>Shared</t>
  </si>
  <si>
    <r>
      <rPr>
        <b/>
        <sz val="12"/>
        <color theme="1"/>
        <rFont val="Calibri"/>
        <family val="2"/>
        <scheme val="minor"/>
      </rPr>
      <t xml:space="preserve">Apply Sharing Ratios </t>
    </r>
    <r>
      <rPr>
        <sz val="12"/>
        <color theme="1"/>
        <rFont val="Calibri"/>
        <family val="2"/>
        <scheme val="minor"/>
      </rPr>
      <t>for Private, WST1 and WST2 space.</t>
    </r>
  </si>
  <si>
    <t>Apply Sharing Ratios</t>
  </si>
  <si>
    <t>Shared:</t>
  </si>
  <si>
    <t>Dedicated:</t>
  </si>
  <si>
    <r>
      <t xml:space="preserve">Enter </t>
    </r>
    <r>
      <rPr>
        <b/>
        <sz val="12"/>
        <color theme="1"/>
        <rFont val="Calibri"/>
        <family val="2"/>
        <scheme val="minor"/>
      </rPr>
      <t>Distributed BFR Inputs</t>
    </r>
    <r>
      <rPr>
        <sz val="12"/>
        <color theme="1"/>
        <rFont val="Calibri"/>
        <family val="2"/>
        <scheme val="minor"/>
      </rPr>
      <t xml:space="preserve"> for Dedicated and Shared space.</t>
    </r>
  </si>
  <si>
    <t>Baseline BFR:</t>
  </si>
  <si>
    <t>Baseline BFR</t>
  </si>
  <si>
    <t>Date:</t>
  </si>
  <si>
    <t>Certified by:</t>
  </si>
  <si>
    <t>Prepared by:</t>
  </si>
  <si>
    <t>Certification:</t>
  </si>
  <si>
    <t>Basic Facilities Requirement:</t>
  </si>
  <si>
    <t>Total:</t>
  </si>
  <si>
    <t>Net-To-Gross Area</t>
  </si>
  <si>
    <t>this area is used for the chart information in Summary tab.</t>
  </si>
  <si>
    <t>NSF</t>
  </si>
  <si>
    <t>Telework</t>
  </si>
  <si>
    <t>BFR Summary:</t>
  </si>
  <si>
    <t>Total GSF/PN:</t>
  </si>
  <si>
    <t>Admin GSF/PN:</t>
  </si>
  <si>
    <t>Admin NSF/PN:</t>
  </si>
  <si>
    <t>Gross Bldg Area:</t>
  </si>
  <si>
    <t>Gross Building Area:</t>
  </si>
  <si>
    <t>NTG Area:</t>
  </si>
  <si>
    <t>NTG msgs =&gt;</t>
  </si>
  <si>
    <t>Exterior Wall Area:</t>
  </si>
  <si>
    <t>Adjust Building Width:</t>
  </si>
  <si>
    <t>Vestibule:</t>
  </si>
  <si>
    <t>Telecom Room:</t>
  </si>
  <si>
    <t>Stairwell:</t>
  </si>
  <si>
    <t>Primary Circulation:</t>
  </si>
  <si>
    <t>Mechanical Space:</t>
  </si>
  <si>
    <t>Janitor's Closet:</t>
  </si>
  <si>
    <t>Elevator Machine Room:</t>
  </si>
  <si>
    <t>Elevator Hoistway:</t>
  </si>
  <si>
    <t>Electrical Space:</t>
  </si>
  <si>
    <t>Bathrooms:</t>
  </si>
  <si>
    <t>Adjust Building Height:</t>
  </si>
  <si>
    <t>Factor2</t>
  </si>
  <si>
    <t>Planning Factor</t>
  </si>
  <si>
    <t>Factor1</t>
  </si>
  <si>
    <t>NTG Space:</t>
  </si>
  <si>
    <t>Net Building Area:</t>
  </si>
  <si>
    <t>Net Special:</t>
  </si>
  <si>
    <t>Net Special Purpose Space:</t>
  </si>
  <si>
    <t>Net Admin:</t>
  </si>
  <si>
    <t>Net General Administrative Space:</t>
  </si>
  <si>
    <t>Net Building Area Review:</t>
  </si>
  <si>
    <t>Subtotal:</t>
  </si>
  <si>
    <t>Special Purpose Space Subtotal:</t>
  </si>
  <si>
    <t>UDS Group:</t>
  </si>
  <si>
    <t>User Defined Group</t>
  </si>
  <si>
    <t>Security Group:</t>
  </si>
  <si>
    <t>Security Group Subtotal:</t>
  </si>
  <si>
    <t>Weapons Vault:</t>
  </si>
  <si>
    <t>SSO Suite:</t>
  </si>
  <si>
    <t>Security Watch Station:</t>
  </si>
  <si>
    <t>Entry Control Area:</t>
  </si>
  <si>
    <t>Security Group</t>
  </si>
  <si>
    <t>Functional Group:</t>
  </si>
  <si>
    <t>Functional Support Group Subtotal:</t>
  </si>
  <si>
    <t>Collaboration Space:</t>
  </si>
  <si>
    <t>Shower Room:</t>
  </si>
  <si>
    <t>Shipping/Receiving Area:</t>
  </si>
  <si>
    <t>Mail Room:</t>
  </si>
  <si>
    <t>Locker Room:</t>
  </si>
  <si>
    <t>Command Suite Plus Up:</t>
  </si>
  <si>
    <t>Archive Storage:</t>
  </si>
  <si>
    <t>Functional Support Group</t>
  </si>
  <si>
    <t>Special Purpose Space:</t>
  </si>
  <si>
    <t>Basic Group:</t>
  </si>
  <si>
    <t xml:space="preserve"> Basic Allowances Group Subtotal:</t>
  </si>
  <si>
    <t>Basic Circulation:</t>
  </si>
  <si>
    <t>Admin Support Space:</t>
  </si>
  <si>
    <t>Basic Allowances Group</t>
  </si>
  <si>
    <t>General Admin Space Subtotal:</t>
  </si>
  <si>
    <t>Admin Circulation:</t>
  </si>
  <si>
    <t>WS Type 2:</t>
  </si>
  <si>
    <t>WS Type 1:</t>
  </si>
  <si>
    <t>Private Office:</t>
  </si>
  <si>
    <t>General Admin Space:</t>
  </si>
  <si>
    <t>Space Loading Applied</t>
  </si>
  <si>
    <t>Space Loading:</t>
  </si>
  <si>
    <t>WST2:</t>
  </si>
  <si>
    <t>WST1:</t>
  </si>
  <si>
    <t>Private:</t>
  </si>
  <si>
    <t xml:space="preserve">Space Loading </t>
  </si>
  <si>
    <t>Est. Length:</t>
  </si>
  <si>
    <t>Est. Width:</t>
  </si>
  <si>
    <t>BFR Description:</t>
  </si>
  <si>
    <t>Est. Floors:</t>
  </si>
  <si>
    <t>Mission Description:</t>
  </si>
  <si>
    <t>Category Code:</t>
  </si>
  <si>
    <t>Reset</t>
  </si>
  <si>
    <t>Activity:</t>
  </si>
  <si>
    <t>Outputs</t>
  </si>
  <si>
    <t>Planning Area:</t>
  </si>
  <si>
    <t>Inputs</t>
  </si>
  <si>
    <t>Installation:</t>
  </si>
  <si>
    <t>Headers</t>
  </si>
  <si>
    <t>Activity Data:</t>
  </si>
  <si>
    <t>Legend:</t>
  </si>
  <si>
    <t>Sources:</t>
  </si>
  <si>
    <t xml:space="preserve">Bldg Length and Width does not initially account for exterior wall thicknesses. A factor of 2 ft.-8 in. (2.66 ft) is added to each dimension 
to account for exterior wall areas. By default, building widths are assumed to 50 FT (gross measurement), therefore, the length requirement is variable and impacts the overall amount of exterior wall area.  </t>
  </si>
  <si>
    <t xml:space="preserve">Table 61010-2 was generated using the F/E ratio method and shows when the Net Building Area jumps from one story to two stories, two stories to three stories, and so on.  Results in table assume a 12-ft. story height.  To be conservative, a vertical adjustment factor (to the number of stories) is applied to the F/E story count.  This prevents small buildings from going to more than one story too quickly - even though it may be more energy efficient. </t>
  </si>
  <si>
    <t>The number of stories is based on the Net Bldg Area rather than the Gross Bldg Area.  Additionally, vertical adjustment factors are applied as shown in summary table.
in the Summary Table at top of page.  This is a conservative assumption, in that a building will not trigger a second floor with less than 23,821 NSF. Of course, user can override the number of floors by using the "Adjust Building Height" function in the Net-To-Gross tab.</t>
  </si>
  <si>
    <t xml:space="preserve">The Administrative Facilities BFR Generator utilizes the F/E Ratio Method as a trial and error algorithm to optimize the number of above ground floors.  
This calibration process generates a compactness factor by evaluating the various Average Net Floor Area/Enclosure Area (F/E) values, identifies the 
greatest F/E ratio and returns the associated number of floors where this occurs. </t>
  </si>
  <si>
    <t>The F/E Ratio Method is the ratio of the Net Building Area (F) to the sum of above-grade exterior wall and roof surface areas (E). The more compact 
the form, the higher the F/E ratio, which increases the potential for energy efficiency.</t>
  </si>
  <si>
    <t>Notes:</t>
  </si>
  <si>
    <t>Stories are assumed to be 12 ft in height.</t>
  </si>
  <si>
    <t>NTG Override Applied:</t>
  </si>
  <si>
    <t>Adjust Building Width Applied:</t>
  </si>
  <si>
    <t>F/E Stories Adjusted:</t>
  </si>
  <si>
    <t>&lt;=Result</t>
  </si>
  <si>
    <t>Net Building Area (NSF):</t>
  </si>
  <si>
    <t>2012 GSA Circulation Study: "Circulation - Defining and Planning."</t>
  </si>
  <si>
    <t>Source:</t>
  </si>
  <si>
    <t>Circulation and NTG factors are calculated on a case by case basis unless the NTG factor override option is applied.</t>
  </si>
  <si>
    <t>All special purpose spaces are assumed to be enclosed, therefore, have an open to enclosed ratio of 0.000 and a corresponding circulation multiplier of 1.4.</t>
  </si>
  <si>
    <t>The circulation multipliers (cm) for general admin space and special purpose space is determined by the open to enclosed space ratio. See Lookup Table at right.</t>
  </si>
  <si>
    <t>Primary circulation factor (cf) for both general admin space and special purpose space is assumed to be 20% of the net building area.</t>
  </si>
  <si>
    <t>Total Usable Area =</t>
  </si>
  <si>
    <t xml:space="preserve">Total Prim. + Sec. Circ Area = </t>
  </si>
  <si>
    <t xml:space="preserve">Overall Circulation Multiplier = </t>
  </si>
  <si>
    <t>Net Bldg Area w/o Circulation =</t>
  </si>
  <si>
    <t>Double checking calculation:</t>
  </si>
  <si>
    <t>=</t>
  </si>
  <si>
    <t>sec circ area/total nsf = sec tot cm</t>
  </si>
  <si>
    <t>sec circ area/special nsf = sec gen cm</t>
  </si>
  <si>
    <t>sec circ area/general nsf = sec gen cm</t>
  </si>
  <si>
    <t>prim circ area/total nsf = prim tot cm</t>
  </si>
  <si>
    <t>prim circ area/special nsf = prim spec cm</t>
  </si>
  <si>
    <t>prim circ area/general nsf = prim gen cm</t>
  </si>
  <si>
    <t>Step 9: Find total primary circ multiplier (CM)</t>
  </si>
  <si>
    <t>Step 6: Find spec purp sec circ multi (CM)</t>
  </si>
  <si>
    <t>Step 3: Find gen admin sec circ multi (CM)</t>
  </si>
  <si>
    <t>Check</t>
  </si>
  <si>
    <t>total secondary circ area:</t>
  </si>
  <si>
    <t>y =</t>
  </si>
  <si>
    <t>secondary circ area:</t>
  </si>
  <si>
    <t>secondary circ factor:</t>
  </si>
  <si>
    <t>y = secondary circ area:</t>
  </si>
  <si>
    <t>y / sec circ factor = tot circ area / tot circ factor</t>
  </si>
  <si>
    <t>y / sec circ factor = total circ area / total circ factor</t>
  </si>
  <si>
    <t>total primary circ area:</t>
  </si>
  <si>
    <t>x =</t>
  </si>
  <si>
    <t>primary circ area:</t>
  </si>
  <si>
    <t>input assumed primary circ factor:</t>
  </si>
  <si>
    <t>x = primary circ area:</t>
  </si>
  <si>
    <t>x / assumed prim circ factor = tot circ area / tot circ factor</t>
  </si>
  <si>
    <t>Step 8: Sum primary and secondary circulation areas</t>
  </si>
  <si>
    <t>Step 5: Find prorated spec purp prim and sec circ areas</t>
  </si>
  <si>
    <t>Step 2: Find prorated gen admin prim and sec circ areas</t>
  </si>
  <si>
    <t>overall cf</t>
  </si>
  <si>
    <t>=circ factor</t>
  </si>
  <si>
    <t>=spec circ factor</t>
  </si>
  <si>
    <t>=gen circ factor</t>
  </si>
  <si>
    <t>/ usf:</t>
  </si>
  <si>
    <t>/ spec usf:</t>
  </si>
  <si>
    <t>/ gen usf:</t>
  </si>
  <si>
    <t>circ area:</t>
  </si>
  <si>
    <t>spec circ area:</t>
  </si>
  <si>
    <t>gen circ area:</t>
  </si>
  <si>
    <t>=circ area:</t>
  </si>
  <si>
    <t>=spec circ area:</t>
  </si>
  <si>
    <t>=gen circ area:</t>
  </si>
  <si>
    <t>-nsf:</t>
  </si>
  <si>
    <t>-spec nsf:</t>
  </si>
  <si>
    <t>-gen nsf:</t>
  </si>
  <si>
    <t>usf:</t>
  </si>
  <si>
    <t>spec usf:</t>
  </si>
  <si>
    <t xml:space="preserve"> gen usf:</t>
  </si>
  <si>
    <t>total nsf * prorated cm = total usf:</t>
  </si>
  <si>
    <t>spec nsf * spec purp cm = spec usf:</t>
  </si>
  <si>
    <t>gen nsf  * gen admin cm = gen usf:</t>
  </si>
  <si>
    <t>overall cm</t>
  </si>
  <si>
    <t>overall average cm:</t>
  </si>
  <si>
    <t>see note 3</t>
  </si>
  <si>
    <t>overall special purpose cm:</t>
  </si>
  <si>
    <t>lookup 2</t>
  </si>
  <si>
    <t>overall general admin cm:</t>
  </si>
  <si>
    <t>NA</t>
  </si>
  <si>
    <t>open-vs-encl ratio:</t>
  </si>
  <si>
    <t>from above</t>
  </si>
  <si>
    <t>total nsf (w/o circ):</t>
  </si>
  <si>
    <t>spec nsf (w/o circ):</t>
  </si>
  <si>
    <t>gen nsf (w/o circ):</t>
  </si>
  <si>
    <t>Step 7: Find prorated circulation factor (CF)</t>
  </si>
  <si>
    <t>Step 4: Find special purpose space circulation factor (CF)</t>
  </si>
  <si>
    <t>Step 1: Find general admin space circulation factor (CF)</t>
  </si>
  <si>
    <t>Primary Circ. Analysis: Follow steps 7-9 below:</t>
  </si>
  <si>
    <t>Special Purpose Circ. Analysis: Follow steps 4 -6 below:</t>
  </si>
  <si>
    <t>Admin Circ. Analysis: Follow steps 1 -3 below:</t>
  </si>
  <si>
    <t>Primary CM =</t>
  </si>
  <si>
    <t>Secondary Special CM =</t>
  </si>
  <si>
    <t>Secondary General CM* =</t>
  </si>
  <si>
    <t>Find total primary circulation multiplier</t>
  </si>
  <si>
    <t>Find special purpose space secondary circulation multiplier</t>
  </si>
  <si>
    <t>Find general admin space secondary circulation multiplier</t>
  </si>
  <si>
    <t>O vs E ratio</t>
  </si>
  <si>
    <t>(Open) / (Open + Enclosed):</t>
  </si>
  <si>
    <t>(w/o circ.)</t>
  </si>
  <si>
    <t xml:space="preserve">Total Net Bldg Area = </t>
  </si>
  <si>
    <t xml:space="preserve">Special Purp Space Subtotal  = </t>
  </si>
  <si>
    <t xml:space="preserve">General Admin Space Subtotal  = </t>
  </si>
  <si>
    <t>Factor</t>
  </si>
  <si>
    <t>Multiplier</t>
  </si>
  <si>
    <t>Enclosed</t>
  </si>
  <si>
    <t>Open</t>
  </si>
  <si>
    <t>Special Purpose Open vs. Enclosed:</t>
  </si>
  <si>
    <t>Admin Open vs. Enclosed:</t>
  </si>
  <si>
    <t>PN</t>
  </si>
  <si>
    <t>Flex Space:</t>
  </si>
  <si>
    <t>Open Office:</t>
  </si>
  <si>
    <t>Total space column</t>
  </si>
  <si>
    <t>ABG Current Scenario:</t>
  </si>
  <si>
    <t>Spec. Purp. Circ. column</t>
  </si>
  <si>
    <t>Admin Circ. column</t>
  </si>
  <si>
    <t>GSA 2012 study titled ‘Circulation: Defining and Planning’ provides a good set of case studies to estimate office space circulation requirements. The methodology and recommendations of this study are incorporated into the Admin BFR Generator.   This study concludes overall circulation multipliers should range from 1.4 (circulation factor=28%) to 1.6 (circulation factor=38%).  The Admin BFR Generator expands on this methodology, allocating primary and secondary circulation.  Primary circulation is the main circulation route connecting to the building core and common spaces, such as elevators and exit stairs. Secondary circulation includes the aisles between individual spaces, such as offices and cubicles, and support spaces.  Primary circulation is included in the NTG Area (NTG factor).  Secondary circulation is part of the Net Building Area.</t>
  </si>
  <si>
    <t>Circ. Multipler</t>
  </si>
  <si>
    <t>Open-vs-Encl</t>
  </si>
  <si>
    <t>Formula 2</t>
  </si>
  <si>
    <t>Formula 1</t>
  </si>
  <si>
    <t>NSF/PN</t>
  </si>
  <si>
    <t>%</t>
  </si>
  <si>
    <t>Qty</t>
  </si>
  <si>
    <t>Upper</t>
  </si>
  <si>
    <t>Lower</t>
  </si>
  <si>
    <t>y = 0.25*(B6)*18</t>
  </si>
  <si>
    <t>y = -0.0003x2 + 4.7098x</t>
  </si>
  <si>
    <t>Conf. Room Space Allocation Percentage (%) of Net Admin  Area</t>
  </si>
  <si>
    <t>Conf. Room Space Allocation/PN In Conference</t>
  </si>
  <si>
    <t>Conf. Room Space Allocation / Upper Range</t>
  </si>
  <si>
    <t xml:space="preserve">Personnel occupying Conf Room space / Total Personnel (Upper Range)  </t>
  </si>
  <si>
    <t>Straightline Method</t>
  </si>
  <si>
    <t>Air Force Method</t>
  </si>
  <si>
    <t>Conference Room 
(50+ Persons)
20 NSF/PN 
+ 150 NSF speaker area</t>
  </si>
  <si>
    <t>Conf Room Count</t>
  </si>
  <si>
    <t>Conference Room 
(10 to 49 PN)
20 NSF/PN</t>
  </si>
  <si>
    <t>Team Mtg/Mini Conf Room 
(5-10 PN)
15 NSF/PN</t>
  </si>
  <si>
    <t>Personnel Loading Ranges</t>
  </si>
  <si>
    <t>Space Loading (PN):</t>
  </si>
  <si>
    <t>Conference/Training Rooms.  Process to estimate Conference/Training Rooms allocations based on space (personnel) loading.</t>
  </si>
  <si>
    <t>Under most circumstances, the number of above ground floors should not exceed 6 stories.</t>
  </si>
  <si>
    <t>Italicized values in table were added to account for situations when there are similar amounts of admin space compared to (unmanned) special purpose space.  Sometimes a bathroom allocation did not show up in NTG tab.  This resolves that issue.  It is unlikely users will encounter this type of scenario.</t>
  </si>
  <si>
    <t>Table derived for planning purposes based on UFC 3-420-01: Plumbing Systems</t>
  </si>
  <si>
    <t>Persons</t>
  </si>
  <si>
    <t>Floors</t>
  </si>
  <si>
    <t>Result=&gt;</t>
  </si>
  <si>
    <t>Total Bathroom Area (NSF):</t>
  </si>
  <si>
    <t>Above Ground Stories (FL):</t>
  </si>
  <si>
    <t xml:space="preserve">Bathroom Allocations. Process to estimate bathroom allocations based on space loading and number of above ground stories. </t>
  </si>
  <si>
    <t>Vestibule (NSF)</t>
  </si>
  <si>
    <t>Vestibule Count</t>
  </si>
  <si>
    <t>Janitor Closet (NSF)</t>
  </si>
  <si>
    <t>Janitor Closet Count</t>
  </si>
  <si>
    <t>Stairwell (NSF)</t>
  </si>
  <si>
    <t>Stairwell Count</t>
  </si>
  <si>
    <t>Elevator Machine Room (NSF)</t>
  </si>
  <si>
    <t>Elevator Machine Room Count</t>
  </si>
  <si>
    <t>Elevator Hoistway (NSF)</t>
  </si>
  <si>
    <t>Elevator Hoistway Count</t>
  </si>
  <si>
    <t>Telecom Room (NSF)</t>
  </si>
  <si>
    <t>Telecom Room Count</t>
  </si>
  <si>
    <t>Range 
Avg. Net Floor Area (NSF/FL):</t>
  </si>
  <si>
    <t>Resulting Values ======&gt;</t>
  </si>
  <si>
    <t xml:space="preserve">Example:  Avg Net Floor Area = 15,086 NSF and Above Ground Stories = 2 FL.  Using the lookup table below, there are 2 telecom rooms per floor (at 110 NSF each) and there are 2 floors, resulting in a total telecom room allocation of 440 NSF. </t>
  </si>
  <si>
    <t>Avg. Net Floor Area (NSF/FL):</t>
  </si>
  <si>
    <t xml:space="preserve">Net-To-Gross Spaces Types.  Process to estimate various NTG space type allocations based on average net floor area. </t>
  </si>
  <si>
    <t>Wall Thickness Factor:</t>
  </si>
  <si>
    <t>Interim Gross Bldg Length:</t>
  </si>
  <si>
    <t>Interim Gross Bldg Width:</t>
  </si>
  <si>
    <t xml:space="preserve"> - with exterior wall thickness</t>
  </si>
  <si>
    <t>Wall Thickness Area:</t>
  </si>
  <si>
    <t>Building Shape:</t>
  </si>
  <si>
    <t>Adjust Building Height Applied:</t>
  </si>
  <si>
    <t xml:space="preserve">Note 5a.  If space loading (total personnel) is less than 50 PN, a Net-To-Gross (NTG) factor of 1.40 is automatically applied. </t>
  </si>
  <si>
    <t>Results:</t>
  </si>
  <si>
    <t>Estimated Above-Ground Stories:</t>
  </si>
  <si>
    <t>Average Net Floor Area:</t>
  </si>
  <si>
    <t>Average Gross Floor Area:</t>
  </si>
  <si>
    <t>NTG Calculated:</t>
  </si>
  <si>
    <t>NTG Override:</t>
  </si>
  <si>
    <t>Avg Net Floor Area:</t>
  </si>
  <si>
    <t>Avg Gross Floor Area - Initial:</t>
  </si>
  <si>
    <t>Avg Gross Floor Area - Final:</t>
  </si>
  <si>
    <t>Gross Bldg Area - Initial:</t>
  </si>
  <si>
    <t>Gross Bldg Area - Final:</t>
  </si>
  <si>
    <t xml:space="preserve">Floors.  Process to estimate number of Above-Ground Stories, Average Net and Gross Floor (Plate) Areas, Gross Bldg Width and Gross Bldg Length.  </t>
  </si>
  <si>
    <t>Calculations with NTG Override Factor Off:</t>
  </si>
  <si>
    <t>Calculations with NTG Override Factor On:</t>
  </si>
  <si>
    <t>{"BrowserAndLocation":{"ConversionPath":"C:\\Users\\Desktop\\Documents\\SpreadsheetConverter","SelectedBrowsers":[]},"SpreadsheetServer":{"Username":"","Password":"","ServerUrl":""},"ConfigureSubmitDefault":{"Email":"watkinsmail@cox.net;charles.c.watkins@navy.mil","Free":false,"Advanced":true,"AdvancedSecured":true,"Demo":false},"MessageBubble":{"Close":false,"TopMsg":0},"CustomizeTheme":{"Theme":"C:\\Users\\Desktop\\AppData\\Local\\ssc\\customfiles\\theme-ssc-1506872611.min.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Select"},"WizardButton":{"Next":"Next","Previous":"Previous","Cancel":"Cancel","Finish":"Finish"},"ToolbarButton":{"Submit":"Submit","Print":"Print","PrintAll":"Print All","Reset":"Reset","Update":"Update","Back":"Back"},"SubmitDialog":{"SubmitDialogHeading":"Submit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</si>
  <si>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{"IsHide":true,"HiddenInExcel":false,"SheetId":-1,"Name":"Floors","Guid":"QZPC70","Index":9,"VisibleRange":"","SheetTheme":{"TabColor":"","BodyColor":"","BodyImage":""}}</t>
  </si>
  <si>
    <t>{"IsHide":true,"HiddenInExcel":false,"SheetId":-1,"Name":"Circulation","Guid":"1SSCPV","Index":10,"VisibleRange":"","SheetTheme":{"TabColor":"","BodyColor":"","BodyImage":""}}</t>
  </si>
  <si>
    <t>Distributed BFR:</t>
  </si>
  <si>
    <t>Baseline BFR vs Distributed BFR</t>
  </si>
  <si>
    <t>_Ctrl_1</t>
  </si>
  <si>
    <t>Baseline</t>
  </si>
  <si>
    <t>_Ctrl_2</t>
  </si>
  <si>
    <r>
      <t xml:space="preserve">Select </t>
    </r>
    <r>
      <rPr>
        <b/>
        <sz val="12"/>
        <color theme="1"/>
        <rFont val="Calibri"/>
        <family val="2"/>
        <scheme val="minor"/>
      </rPr>
      <t>Baseline</t>
    </r>
    <r>
      <rPr>
        <sz val="12"/>
        <color theme="1"/>
        <rFont val="Calibri"/>
        <family val="2"/>
        <scheme val="minor"/>
      </rPr>
      <t xml:space="preserve"> from picklist</t>
    </r>
  </si>
  <si>
    <r>
      <t xml:space="preserve">Select </t>
    </r>
    <r>
      <rPr>
        <b/>
        <sz val="12"/>
        <color theme="1"/>
        <rFont val="Calibri"/>
        <family val="2"/>
        <scheme val="minor"/>
      </rPr>
      <t>Distributed</t>
    </r>
    <r>
      <rPr>
        <sz val="12"/>
        <color theme="1"/>
        <rFont val="Calibri"/>
        <family val="2"/>
        <scheme val="minor"/>
      </rPr>
      <t xml:space="preserve"> from picklist above</t>
    </r>
  </si>
  <si>
    <t>Space Savings:</t>
  </si>
  <si>
    <t>Steps</t>
  </si>
  <si>
    <t>Max Admin GSF/PN</t>
  </si>
  <si>
    <t xml:space="preserve">The Admin GSF/PN Factor is the sum of all administrative space requirements to include private offices, workstations, conference rooms, admin support spaces, circulation and common spaces; divided by the total number of personnel.  A maximum Admin GSF/PN Factor of 162.5 GSF/PN applies.  </t>
  </si>
  <si>
    <t>Email PDF Report to:</t>
  </si>
  <si>
    <t>2.  See Baseline BFR Input and enter number of personnel that require a private office, workstation type 1 (WST1) and/or workstation type 2 (WST2) space.</t>
  </si>
  <si>
    <t>Secure Waiting Area:</t>
  </si>
  <si>
    <t>(Net Bldg Area)(NTG Factor)/Space Loading</t>
  </si>
  <si>
    <t>(Net Admin+Net Basic)(NTG Factor)/Space Loading</t>
  </si>
  <si>
    <r>
      <t xml:space="preserve">Manually set </t>
    </r>
    <r>
      <rPr>
        <b/>
        <sz val="12"/>
        <color theme="1"/>
        <rFont val="Calibri"/>
        <family val="2"/>
        <scheme val="minor"/>
      </rPr>
      <t>Baseline BFR</t>
    </r>
    <r>
      <rPr>
        <sz val="12"/>
        <color theme="1"/>
        <rFont val="Calibri"/>
        <family val="2"/>
        <scheme val="minor"/>
      </rPr>
      <t xml:space="preserve"> equal to </t>
    </r>
    <r>
      <rPr>
        <b/>
        <sz val="12"/>
        <color theme="1"/>
        <rFont val="Calibri"/>
        <family val="2"/>
        <scheme val="minor"/>
      </rPr>
      <t>Gross Bldg Area</t>
    </r>
    <r>
      <rPr>
        <sz val="12"/>
        <color theme="1"/>
        <rFont val="Calibri"/>
        <family val="2"/>
        <scheme val="minor"/>
      </rPr>
      <t>.</t>
    </r>
  </si>
  <si>
    <t>This Admin BFR Generator was developed to assist Planners as the first step of many to understand an organization's space requirements based upon mission and staffing requirements.  New construction is assumed with calculations based upon historical data gathered from GSA, UFC’s, FC’s, and other private sector entities.   It's purpose is to assist planners in generating a traditional "Baseline" BFR (no "telework", "distributed workforce", or "space sharing").  An optional “Distributed" BFR (for "telework", "distributed workforce", or "space sharing") can be generated and compared to the Baseline BFR for potential space savings.  For a general overview, follow the quick start process below.  For a more detailed BFR analysis, use this tool in tandem with UFC 2-000-05N, CCN 61010 criteria.</t>
  </si>
  <si>
    <t>Distributed Process</t>
  </si>
  <si>
    <t xml:space="preserve">Loading </t>
  </si>
  <si>
    <t>BFR</t>
  </si>
  <si>
    <t>Baseline:</t>
  </si>
  <si>
    <t>Distributed:</t>
  </si>
  <si>
    <t>Reduction:</t>
  </si>
  <si>
    <r>
      <t xml:space="preserve">Follow Steps </t>
    </r>
    <r>
      <rPr>
        <b/>
        <sz val="12"/>
        <color rgb="FFC00000"/>
        <rFont val="Calibri"/>
        <family val="2"/>
      </rPr>
      <t>1</t>
    </r>
    <r>
      <rPr>
        <sz val="11"/>
        <color rgb="FF9C5700"/>
        <rFont val="Calibri"/>
        <family val="2"/>
      </rPr>
      <t xml:space="preserve"> - </t>
    </r>
    <r>
      <rPr>
        <b/>
        <sz val="12"/>
        <color rgb="FFC00000"/>
        <rFont val="Calibri"/>
        <family val="2"/>
      </rPr>
      <t>6</t>
    </r>
    <r>
      <rPr>
        <sz val="11"/>
        <color rgb="FF9C5700"/>
        <rFont val="Calibri"/>
        <family val="2"/>
      </rPr>
      <t xml:space="preserve"> below:</t>
    </r>
  </si>
  <si>
    <t>{"IsHide":false,"HiddenInExcel":false,"SheetId":-1,"Name":"Activity","Guid":"8VWF56","Index":2,"VisibleRange":"","SheetTheme":{"TabColor":"","BodyColor":"","BodyImage":""}}</t>
  </si>
  <si>
    <t>{"IsHide":false,"HiddenInExcel":false,"SheetId":-1,"Name":"Space_Table","Guid":"7LKT5B","Index":3,"VisibleRange":"","SheetTheme":{"TabColor":"","BodyColor":"","BodyImage":""}}</t>
  </si>
  <si>
    <t>{"IsHide":false,"HiddenInExcel":false,"SheetId":-1,"Name":"Justification","Guid":"6AAESG","Index":4,"VisibleRange":"","SheetTheme":{"TabColor":"","BodyColor":"","BodyImage":""}}</t>
  </si>
  <si>
    <t>{"IsHide":false,"HiddenInExcel":false,"SheetId":-1,"Name":"Net_To_Gross","Guid":"5KI6OU","Index":5,"VisibleRange":"","SheetTheme":{"TabColor":"","BodyColor":"","BodyImage":""}}</t>
  </si>
  <si>
    <t>{"IsHide":false,"HiddenInExcel":false,"SheetId":-1,"Name":"Summary","Guid":"QIARWO","Index":6,"VisibleRange":"","SheetTheme":{"TabColor":"","BodyColor":"","BodyImage":""}}</t>
  </si>
  <si>
    <t>{"IsHide":false,"HiddenInExcel":false,"SheetId":-1,"Name":"Distributed","Guid":"QC0WDS","Index":7,"VisibleRange":"","SheetTheme":{"TabColor":"","BodyColor":"","BodyImage":""}}</t>
  </si>
  <si>
    <t>{"IsHide":true,"HiddenInExcel":false,"SheetId":-1,"Name":"Detailed_Analysis","Guid":"YB2XJT","Index":8,"VisibleRange":"","SheetTheme":{"TabColor":"","BodyColor":"","BodyImage":""}}</t>
  </si>
  <si>
    <t>Totals:</t>
  </si>
  <si>
    <t xml:space="preserve">A Baseline BFR must be developed before a Distributed BFR.  Follow instructions (steps 1-6) in Telework Tab to develop Distributed BFR. The current BFR type is also shown at top of all sheets.  Only one BFR type can be displayed at a time.  </t>
  </si>
  <si>
    <t>Apply NTG Override:</t>
  </si>
  <si>
    <t>Special Case Scenario</t>
  </si>
  <si>
    <t xml:space="preserve">If the Baseline number of persons is 50 or more and the Distributed number of persons is less than 50, this causes a significant variation in NTG factor, therefore;  use NTG Override function in Net_To_Gross tab, and set NTG factor equal to value in Baseline BFR. </t>
  </si>
  <si>
    <t>Summary:</t>
  </si>
  <si>
    <t>BFR Type:</t>
  </si>
  <si>
    <t xml:space="preserve"> Allocate conference room space</t>
  </si>
  <si>
    <t>end</t>
  </si>
  <si>
    <t>Workspace Sizes:</t>
  </si>
  <si>
    <t>Conference Room Space:</t>
  </si>
  <si>
    <t>Special Purpose Circ.:</t>
  </si>
  <si>
    <t>End</t>
  </si>
  <si>
    <t>Baseline BFR Inputs</t>
  </si>
  <si>
    <t>Distributed BFR Inputs</t>
  </si>
  <si>
    <t>General Admin</t>
  </si>
  <si>
    <t>Special Purpose</t>
  </si>
  <si>
    <t>Conference Rm Space:</t>
  </si>
  <si>
    <t xml:space="preserve">Note 3b.  Space types within the Functional Support Group, Security Group and User Defined Group are used to calculate a ‘Total GSF/PN’ factor,  may exceed 162.5 GSF/PN. </t>
  </si>
  <si>
    <t>Note 4b.  Space types within the Functional Support Group, Security Group and User Defined Group require justification.</t>
  </si>
  <si>
    <t>Note 6a.  To run a report, follow directions in the bottom of the ‘Activity’ tab</t>
  </si>
  <si>
    <t>To run a report in Excel version, select Activity tab, hold down 'Shift' key 
and select Summary tab (or Distributed tab depending on BFR Type).  
This procedure indicates which tabs are 'active' - then Print.</t>
  </si>
  <si>
    <t>Online Reports:</t>
  </si>
  <si>
    <t>Excel Reports:</t>
  </si>
  <si>
    <t>Ver. 20220728</t>
  </si>
  <si>
    <t xml:space="preserve">To run a report in online version, there are two options:
1. Use 'Submit' button in bottom toolbar for a PDF report
2. Use 'Print All' button in bottom toolbar and scale to fit (~70%)
</t>
  </si>
  <si>
    <t>Command suite plus ups are authorized for Senior Executive 
Service (SES) personnel, Rear Admiral, Brigadier General or 
higher (O7 or higher ) and Installation Commanding Officer (ICO) 
with rank of Navy Captain or Full Colonel (O6).</t>
  </si>
  <si>
    <t xml:space="preserve">Locker room(s) authorized in support of military physical training 
requirements and/or general fitness at remote locations, where 
personnel do not have access to a fitness center.  CNICINST 1710.1 
defines "access" as " located more than a 15-minute commute by 
vehicle from the nearest Morale Welfare and Recreation (MWR) 
Fitness Center, or in cases where service members are required to 
be on station and unable to leave for 18 hours at any given time. </t>
  </si>
  <si>
    <t>Authorized based on one or more of the following factors:  
• Size of organization is greater than 200 persons
• Location of organization is geographically separated from host installation by 15 minute or greater drive-time
• Security requirements</t>
  </si>
  <si>
    <t>Authorized based on one or more of the following factors:  
• Size of organization is greater than 200 persons
• Location of organization is geographically separated from host installation  
• Security requirements</t>
  </si>
  <si>
    <t xml:space="preserve">Shower room(s) authorized in support of military physical training 
requirements and/or general fitness at remote locations, where 
personnel do not have access to a fitness center.  CNICINST 1710.1 
defines "access" as " located more than a 15-minute commute by 
vehicle from the nearest Morale Welfare and Recreation (MWR) 
Fitness Center, or in cases where service members are required to 
be on station and unable to leave for 18 hours at any given time. </t>
  </si>
  <si>
    <t>Authorized for 'Distributed' BFRs that consider space 
sharing.  An automatic calculation occurs after a 
'Distributed' BFR has correct inputs - see 'Distributed' 
tab.  The overall difference in space loading between 
the Baseline BFR and Distributed BFR is multiplied by 
a factor of 16 NSF/PN.</t>
  </si>
  <si>
    <t>{"WidgetClassification":0,"State":1,"IsRequired":true,"IsMultiline":false,"IsHidden":false,"Placeholder":"","InputType":3,"Rows":3,"IsMergeJustify":false,"CellName":"_Ctrl_1","CellAddress":"='Summary'!$C$36","WidgetName":4,"HiddenRow":1,"SheetCodeName":null,"ControlId":"email","wcb":0}</t>
  </si>
  <si>
    <t xml:space="preserve">Archive storage is authorized to preserve "permanent records" as 
defined by SECNAV M-5210.1 - DON RECORDS MANAGEMENT 
PROGRAM.  A space analysis is required.  For planning purposes, 
assume hardcopy records that must be kept/maintained onsite for 
five (5) or more years are considered permanent records and 
multiply each file cabinet and/or safe by a factor of 7 NSF/EA. </t>
  </si>
  <si>
    <t>{"WidgetClassification":0,"State":1,"IsRequired":true,"IsMultiline":false,"IsHidden":false,"Placeholder":"","InputType":0,"Rows":3,"IsMergeJustify":false,"CellName":"_Ctrl_2","CellAddress":"=Activity!$C$21","WidgetName":4,"HiddenRow":2,"SheetCodeName":null,"ControlId":"","wcb":0}</t>
  </si>
  <si>
    <t>_Ctrl_3</t>
  </si>
  <si>
    <t>{"WidgetClassification":0,"State":1,"IsRequired":true,"IsMultiline":false,"IsHidden":false,"Placeholder":"","InputType":0,"Rows":3,"IsMergeJustify":false,"CellName":"_Ctrl_3","CellAddress":"=Activity!$D$21","WidgetName":4,"HiddenRow":3,"SheetCodeName":null,"ControlId":"","wcb":0}</t>
  </si>
  <si>
    <t>_Ctrl_4</t>
  </si>
  <si>
    <t>{"WidgetClassification":0,"State":1,"IsRequired":true,"IsMultiline":false,"IsHidden":false,"Placeholder":"","InputType":0,"Rows":3,"IsMergeJustify":false,"CellName":"_Ctrl_4","CellAddress":"=Activity!$E$21","WidgetName":4,"HiddenRow":4,"SheetCodeName":null,"ControlId":"","wcb":0}</t>
  </si>
  <si>
    <t>_Ctrl_5</t>
  </si>
  <si>
    <t>{"WidgetClassification":0,"State":1,"IsRequired":true,"IsMultiline":false,"IsHidden":false,"Placeholder":"","InputType":0,"Rows":3,"IsMergeJustify":false,"CellName":"_Ctrl_5","CellAddress":"='Activity'!$C$3","WidgetName":4,"HiddenRow":5,"SheetCodeName":null,"ControlId":"","wcb":0}</t>
  </si>
  <si>
    <t>_Ctrl_6</t>
  </si>
  <si>
    <t>{"WidgetClassification":0,"State":1,"IsRequired":true,"IsMultiline":false,"IsHidden":false,"Placeholder":"","InputType":0,"Rows":3,"IsMergeJustify":false,"CellName":"_Ctrl_6","CellAddress":"='Activity'!$D$3","WidgetName":4,"HiddenRow":6,"SheetCodeName":null,"ControlId":"","wcb":0}</t>
  </si>
  <si>
    <t>_Ctrl_7</t>
  </si>
  <si>
    <t>{"WidgetClassification":0,"State":1,"IsRequired":true,"IsMultiline":false,"IsHidden":false,"Placeholder":"","InputType":0,"Rows":3,"IsMergeJustify":false,"CellName":"_Ctrl_7","CellAddress":"='Activity'!$C$4","WidgetName":4,"HiddenRow":7,"SheetCodeName":null,"ControlId":"","wcb":0}</t>
  </si>
  <si>
    <t>_Ctrl_8</t>
  </si>
  <si>
    <t>{"WidgetClassification":0,"State":1,"IsRequired":true,"IsMultiline":false,"IsHidden":false,"Placeholder":"","InputType":0,"Rows":3,"IsMergeJustify":false,"CellName":"_Ctrl_8","CellAddress":"='Activity'!$D$4","WidgetName":4,"HiddenRow":8,"SheetCodeName":null,"ControlId":"","wcb":0}</t>
  </si>
  <si>
    <t>_Ctrl_9</t>
  </si>
  <si>
    <t>{"WidgetClassification":0,"State":1,"IsRequired":true,"IsMultiline":false,"IsHidden":false,"Placeholder":"","InputType":0,"Rows":3,"IsMergeJustify":false,"CellName":"_Ctrl_9","CellAddress":"=Activity!$C$5","WidgetName":4,"HiddenRow":9,"SheetCodeName":null,"ControlId":"","wcb":0}</t>
  </si>
  <si>
    <t>_Ctrl_10</t>
  </si>
  <si>
    <t>{"WidgetClassification":0,"State":1,"IsRequired":true,"IsMultiline":false,"IsHidden":false,"Placeholder":"","InputType":0,"Rows":3,"IsMergeJustify":false,"CellName":"_Ctrl_10","CellAddress":"=Activity!$D$5","WidgetName":4,"HiddenRow":10,"SheetCodeName":null,"ControlId":"","wcb":0}</t>
  </si>
  <si>
    <t>_Ctrl_11</t>
  </si>
  <si>
    <t>{"WidgetClassification":0,"State":1,"IsRequired":true,"IsMultiline":false,"IsHidden":false,"Placeholder":"","InputType":0,"Rows":3,"IsMergeJustify":false,"CellName":"_Ctrl_11","CellAddress":"='Activity'!$C$6","WidgetName":4,"HiddenRow":11,"SheetCodeName":null,"ControlId":"","wcb":0}</t>
  </si>
  <si>
    <t>_Ctrl_12</t>
  </si>
  <si>
    <t>{"WidgetClassification":0,"State":1,"IsRequired":true,"IsMultiline":false,"IsHidden":false,"Placeholder":"","InputType":0,"Rows":3,"IsMergeJustify":false,"CellName":"_Ctrl_12","CellAddress":"=Activity!$C$7","WidgetName":4,"HiddenRow":12,"SheetCodeName":null,"ControlId":"","wcb":0}</t>
  </si>
  <si>
    <t>_Ctrl_13</t>
  </si>
  <si>
    <t>{"WidgetClassification":0,"State":1,"IsRequired":true,"IsMultiline":false,"IsHidden":false,"Placeholder":"","InputType":0,"Rows":3,"IsMergeJustify":false,"CellName":"_Ctrl_13","CellAddress":"='Activity'!$C$11","WidgetName":4,"HiddenRow":13,"SheetCodeName":null,"ControlId":"","wcb":0}</t>
  </si>
  <si>
    <t>_Ctrl_14</t>
  </si>
  <si>
    <t>{"WidgetClassification":0,"State":1,"IsRequired":true,"IsMultiline":false,"IsHidden":false,"Placeholder":"","InputType":0,"Rows":3,"IsMergeJustify":false,"CellName":"_Ctrl_14","CellAddress":"=Activity!$D$21","WidgetName":4,"HiddenRow":14,"SheetCodeName":null,"ControlId":"","wcb":0}</t>
  </si>
  <si>
    <t>_Ctrl_15</t>
  </si>
  <si>
    <t>{"WidgetClassification":0,"State":1,"IsRequired":true,"IsMultiline":false,"IsHidden":false,"Placeholder":"","InputType":0,"Rows":3,"IsMergeJustify":false,"CellName":"_Ctrl_15","CellAddress":"=Activity!$D$21","WidgetName":4,"HiddenRow":15,"SheetCodeName":null,"ControlId":"","wcb":0}</t>
  </si>
  <si>
    <t>_Ctrl_16</t>
  </si>
  <si>
    <t>_Ctrl_17</t>
  </si>
  <si>
    <t>{"WidgetClassification":0,"State":1,"IsRequired":true,"IsMultiline":false,"IsHidden":false,"Placeholder":"","InputType":0,"Rows":3,"IsMergeJustify":false,"CellName":"_Ctrl_17","CellAddress":"='Summary'!$C$34","WidgetName":4,"HiddenRow":17,"SheetCodeName":null,"ControlId":"","wcb":0}</t>
  </si>
  <si>
    <t>_Ctrl_18</t>
  </si>
  <si>
    <t>{"WidgetClassification":0,"State":1,"IsRequired":true,"IsMultiline":false,"IsHidden":false,"Placeholder":"","InputType":0,"Rows":3,"IsMergeJustify":false,"CellName":"_Ctrl_18","CellAddress":"='Summary'!$H$33","WidgetName":4,"HiddenRow":18,"SheetCodeName":null,"ControlId":"","wcb":0}</t>
  </si>
  <si>
    <t>_Ctrl_19</t>
  </si>
  <si>
    <t>{"WidgetClassification":0,"State":1,"IsRequired":true,"IsMultiline":false,"IsHidden":false,"Placeholder":"","InputType":0,"Rows":3,"IsMergeJustify":false,"CellName":"_Ctrl_19","CellAddress":"='Summary'!$H$34","WidgetName":4,"HiddenRow":19,"SheetCodeName":null,"ControlId":"","wcb":0}</t>
  </si>
  <si>
    <t>{"IsHide":false,"HiddenInExcel":false,"SheetId":-1,"Name":"Intro","Guid":"3VMJGU","Index":1,"VisibleRange":"","SheetTheme":{"TabColor":"","BodyColor":"","BodyImage":""}}</t>
  </si>
  <si>
    <t>{"InputDetection":2,"RecalcMode":0,"Layout":0,"LayoutSamePagesHeightEnabled":false,"Theme":{"BgColor":"#FFFFFFFF","BgImage":"","InputBorderStyle":2,"AppliedTheme":""},"SmartphoneSettings":{"ViewportLock":true,"UseOldViewEngine":false,"EnableZoom":false,"EnableSwipe":false,"HideToolbar":false,"InheritBackgroundColor":false,"CheckboxFlavor":1,"ShowBubble":false},"Name":"Admin BFR Generator","Flavor":0,"Edition":3,"CopyProtect":{"IsEnabled":false,"DomainName":""},"HideSscPoweredlogo":false,"AspnetConfig":{"BrowseUrl":"http://localhost/ssc","FileExtension":0},"NodeSecureLoginEnabled":false,"SmartphoneTheme":1,"Toolbar":{"Position":1,"IsSubmit":true,"IsPrint":true,"IsPrintAll":true,"IsReset":true,"IsUpdate":false},"ConfigureSubmit":{"IsShowCaptcha":false,"IsUseSscWebServer":true,"ReceiverCode":"steven.w.cofer.civ@us.navy.mil; george.l.nelson5.civ@us.navy.mil","IsFreeService":false,"IsAdvanceService":true,"IsSecureEmail":true,"IsDemonstrationService":false,"AfterSuccessfulSubmit":"","AfterFailSubmit":"","AfterCancelWizard":"","IsUseOwnWebServer":false,"OwnWebServerURL":"","OwnWebServerTarget":"","SubmitTarget":0},"IgnoreBgInputCell":false,"ButtonStyle":0,"ResponsiveDesignDisabled":false,"HideLookupRange":false,"BrowserStorageEnabled":true,"RealtimeSyncEnabled":false,"GoogleAnalyticsTrackingId":"","GoogleApiKey":"","ChartSelected":3,"ChartYAxisFixed":false}</t>
  </si>
  <si>
    <t>_Ctrl_20</t>
  </si>
  <si>
    <t>{"WidgetClassification":0,"State":1,"IsRequired":true,"IsMultiline":false,"IsHidden":false,"Placeholder":"","InputType":0,"Rows":3,"IsMergeJustify":false,"CellName":"_Ctrl_20","CellAddress":"='Summary'!$C$33","WidgetName":4,"HiddenRow":20,"SheetCodeName":null,"ControlId":"","wcb":0}</t>
  </si>
  <si>
    <t>This Justification sheet is included for completeness 
and BFR audit purposes.  Complete prior to a final 
BFR upload to iNFADS.  
Row heights may be adjusted in Excel .</t>
  </si>
  <si>
    <t>_Ctrl_21</t>
  </si>
  <si>
    <t>{"WidgetClassification":0,"State":1,"IsRequired":true,"IsMultiline":false,"IsHidden":false,"Placeholder":"","InputType":0,"Rows":3,"IsMergeJustify":false,"CellName":"_Ctrl_21","CellAddress":"=Activity!$D$21","WidgetName":4,"HiddenRow":21,"SheetCodeName":null,"ControlId":"","wcb":0}</t>
  </si>
  <si>
    <t>_Ctrl_22</t>
  </si>
  <si>
    <t>{"WidgetClassification":0,"State":1,"IsRequired":true,"IsMultiline":false,"IsHidden":false,"Placeholder":"","InputType":0,"Rows":3,"IsMergeJustify":false,"CellName":"_Ctrl_22","CellAddress":"='Activity'!$E$21","WidgetName":4,"HiddenRow":22,"SheetCodeName":null,"ControlId":"","wcb":0}</t>
  </si>
  <si>
    <t>_Ctrl_23</t>
  </si>
  <si>
    <t>{"WidgetClassification":0,"State":1,"IsRequired":true,"IsMultiline":false,"IsHidden":false,"Placeholder":"","InputType":0,"Rows":3,"IsMergeJustify":false,"CellName":"_Ctrl_23","CellAddress":"='Activity'!$C$5","WidgetName":4,"HiddenRow":23,"SheetCodeName":null,"ControlId":"","wcb":0}</t>
  </si>
  <si>
    <t>Note 3a.  Space types within the General Administrative Space and Basic Allocation Groups are used to calculate an ‘Admin GSF/PN' factor, but applies a maximum allowance of 162.5 GSF/PN.</t>
  </si>
  <si>
    <t>The Total GSF/PN factor is the sum of all administrative space, special purpose space, secondary circulation space and common spaces; divided by the total number of personnel.  The Total GSF/PN factor, with appropriate justification, may exceed 162.5 GSF/PN.</t>
  </si>
  <si>
    <t>_Ctrl_24</t>
  </si>
  <si>
    <t>{"WidgetClassification":0,"State":1,"IsRequired":false,"IsMultiline":false,"IsHidden":true,"Placeholder":"","InputType":0,"Rows":3,"IsMergeJustify":false,"CellName":"_Ctrl_24","CellAddress":"=Activity!$C$2","WidgetName":4,"HiddenRow":24,"SheetCodeName":null,"ControlId":"subject","wcb":0}</t>
  </si>
  <si>
    <t>{"IsHide":true,"HiddenInExcel":false,"SheetId":-1,"Name":"Conference_Rooms","Guid":"NITJJC","Index":11,"VisibleRange":"","SheetTheme":{"TabColor":"","BodyColor":"","BodyImage":""}}</t>
  </si>
  <si>
    <t>{"IsHide":true,"HiddenInExcel":false,"SheetId":-1,"Name":"Bathrooms","Guid":"H9C6DZ","Index":12,"VisibleRange":"","SheetTheme":{"TabColor":"","BodyColor":"","BodyImage":""}}</t>
  </si>
  <si>
    <t>{"IsHide":true,"HiddenInExcel":false,"SheetId":-1,"Name":"NTG_Spaces","Guid":"NSUMKG","Index":13,"VisibleRange":"","SheetTheme":{"TabColor":"","BodyColor":"","BodyImage":""}}</t>
  </si>
  <si>
    <t>Decision points:</t>
  </si>
  <si>
    <t>6/8/2022 - Standardize analysis using 33% circulation factor?</t>
  </si>
  <si>
    <t>6/16/2022 - Continue with current circulation methodology as each situation is unique.</t>
  </si>
  <si>
    <t>Calculate secondary circulation multiplier for administrative space and special purpose space. In addition, calculate primary circulation multiplier for building</t>
  </si>
  <si>
    <t xml:space="preserve">y = -0.0003x2 + 4.6007x
</t>
  </si>
  <si>
    <t>Total Conference Room Space Allocation (NSF):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</si>
</sst>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64" formatCode="0.0000"/>
    <numFmt numFmtId="165" formatCode="#,##0\ &quot;NSF&quot;"/>
    <numFmt numFmtId="166" formatCode="#,##0\ &quot;FT&quot;"/>
    <numFmt numFmtId="167" formatCode="#,##0\ &quot;FL&quot;"/>
    <numFmt numFmtId="168" formatCode="#,##0\ &quot;SF&quot;"/>
    <numFmt numFmtId="169" formatCode="#,##0\ &quot;NSF/FL&quot;"/>
    <numFmt numFmtId="170" formatCode="#,##0\ &quot;PN&quot;"/>
    <numFmt numFmtId="171" formatCode="#,##0\ &quot;GSF/PN&quot;"/>
    <numFmt numFmtId="172" formatCode="#,##0\ &quot;NSF/PN&quot;"/>
    <numFmt numFmtId="173" formatCode="#,##0.0000\ &quot;CM&quot;"/>
    <numFmt numFmtId="174" formatCode="0\ &quot;TOTAL&quot;"/>
    <numFmt numFmtId="175" formatCode="#,##0\ &quot;NSF/EA&quot;"/>
    <numFmt numFmtId="176" formatCode="#,##0\ &quot;EA&quot;"/>
    <numFmt numFmtId="177" formatCode="#,##0\ &quot;GSF&quot;"/>
    <numFmt numFmtId="178" formatCode="0.00\ &quot;NTG&quot;"/>
    <numFmt numFmtId="179" formatCode="0&quot;:1&quot;"/>
    <numFmt numFmtId="180" formatCode="#,##0\ &quot;GSM&quot;"/>
    <numFmt numFmtId="181" formatCode="0.0%"/>
    <numFmt numFmtId="182" formatCode="#,##0.0000"/>
    <numFmt numFmtId="183" formatCode="0.000"/>
    <numFmt numFmtId="184" formatCode="#,##0.0"/>
    <numFmt numFmtId="185" formatCode="#,##0.00\ &quot;FT&quot;"/>
    <numFmt numFmtId="186" formatCode="#,##0.0\ &quot;GSF/PN&quot;"/>
  </numFmts>
  <fonts count="84" x14ac:knownFonts="1">
    <font>
      <sz val="11"/>
      <color theme="1"/>
      <name val="Calibri"/>
      <family val="2"/>
    </font>
    <font>
      <sz val="11"/>
      <color theme="1"/>
      <name val="Calibri"/>
      <family val="2"/>
    </font>
    <font>
      <sz val="11"/>
      <color rgb="FF9C5700"/>
      <name val="Calibri"/>
      <family val="2"/>
    </font>
    <font>
      <b/>
      <sz val="12"/>
      <color rgb="FF9C5700"/>
      <name val="Calibri"/>
      <family val="2"/>
      <scheme val="minor"/>
    </font>
    <font>
      <b/>
      <sz val="12"/>
      <color theme="1"/>
      <name val="Calibri"/>
      <family val="2"/>
      <scheme val="minor"/>
    </font>
    <font>
      <sz val="11"/>
      <color rgb="FF9C5700"/>
      <name val="Calibri"/>
      <family val="2"/>
      <scheme val="minor"/>
    </font>
    <font>
      <sz val="11"/>
      <color theme="1"/>
      <name val="Calibri"/>
      <family val="2"/>
      <scheme val="minor"/>
    </font>
    <font>
      <sz val="11"/>
      <color rgb="FF3F3F76"/>
      <name val="Calibri"/>
      <family val="2"/>
    </font>
    <font>
      <sz val="11"/>
      <color rgb="FFFA7D00"/>
      <name val="Calibri"/>
      <family val="2"/>
    </font>
    <font>
      <b/>
      <sz val="11"/>
      <color theme="1"/>
      <name val="Calibri"/>
      <family val="2"/>
    </font>
    <font>
      <sz val="11"/>
      <name val="Calibri"/>
      <family val="2"/>
      <scheme val="minor"/>
    </font>
    <font>
      <sz val="12"/>
      <name val="Calibri"/>
      <family val="2"/>
      <scheme val="minor"/>
    </font>
    <font>
      <b/>
      <sz val="12"/>
      <name val="Calibri"/>
      <family val="2"/>
      <scheme val="minor"/>
    </font>
    <font>
      <u/>
      <sz val="8"/>
      <color theme="10"/>
      <name val="Arial Unicode MS"/>
      <family val="2"/>
    </font>
    <font>
      <u/>
      <sz val="11"/>
      <color theme="10"/>
      <name val="Calibri"/>
      <family val="2"/>
      <scheme val="minor"/>
    </font>
    <font>
      <sz val="11"/>
      <color rgb="FFFF0000"/>
      <name val="Calibri"/>
      <family val="2"/>
      <scheme val="minor"/>
    </font>
    <font>
      <sz val="11"/>
      <name val="Calibri"/>
      <family val="2"/>
    </font>
    <font>
      <sz val="11"/>
      <color rgb="FFC00000"/>
      <name val="Calibri"/>
      <family val="2"/>
      <scheme val="minor"/>
    </font>
    <font>
      <sz val="11"/>
      <color rgb="FFFA7D00"/>
      <name val="Calibri"/>
      <family val="2"/>
      <scheme val="minor"/>
    </font>
    <font>
      <i/>
      <sz val="11"/>
      <color rgb="FF7F7F7F"/>
      <name val="Calibri"/>
      <family val="2"/>
      <scheme val="minor"/>
    </font>
    <font>
      <sz val="11"/>
      <color rgb="FF3F3F76"/>
      <name val="Calibri"/>
      <family val="2"/>
      <scheme val="minor"/>
    </font>
    <font>
      <sz val="11"/>
      <color theme="0"/>
      <name val="Calibri"/>
      <family val="2"/>
      <scheme val="minor"/>
    </font>
    <font>
      <sz val="11"/>
      <color indexed="81"/>
      <name val="Calibri"/>
      <family val="2"/>
      <scheme val="minor"/>
    </font>
    <font>
      <sz val="11"/>
      <color indexed="8"/>
      <name val="Calibri"/>
      <family val="2"/>
      <scheme val="minor"/>
    </font>
    <font>
      <sz val="11"/>
      <color indexed="8"/>
      <name val="Calibri"/>
      <family val="2"/>
    </font>
    <font>
      <sz val="10"/>
      <color theme="1"/>
      <name val="Arial"/>
      <family val="2"/>
    </font>
    <font>
      <sz val="10"/>
      <color theme="0"/>
      <name val="Arial"/>
      <family val="2"/>
    </font>
    <font>
      <u/>
      <sz val="11"/>
      <color theme="1"/>
      <name val="Calibri"/>
      <family val="2"/>
      <scheme val="minor"/>
    </font>
    <font>
      <sz val="10"/>
      <color rgb="FFFF0000"/>
      <name val="Arial"/>
      <family val="2"/>
    </font>
    <font>
      <sz val="10"/>
      <name val="Arial"/>
      <family val="2"/>
    </font>
    <font>
      <sz val="11"/>
      <color indexed="81"/>
      <name val="Calibri"/>
      <family val="2"/>
    </font>
    <font>
      <b/>
      <sz val="11"/>
      <color theme="1"/>
      <name val="Calibri"/>
      <family val="2"/>
      <scheme val="minor"/>
    </font>
    <font>
      <i/>
      <sz val="11"/>
      <color rgb="FFFF0000"/>
      <name val="Calibri"/>
      <family val="2"/>
      <scheme val="minor"/>
    </font>
    <font>
      <b/>
      <sz val="11"/>
      <color indexed="81"/>
      <name val="Calibri"/>
      <family val="2"/>
    </font>
    <font>
      <sz val="12"/>
      <color theme="1"/>
      <name val="Calibri"/>
      <family val="2"/>
      <scheme val="minor"/>
    </font>
    <font>
      <b/>
      <sz val="14"/>
      <color theme="1"/>
      <name val="Arial Unicode MS"/>
      <family val="2"/>
    </font>
    <font>
      <b/>
      <sz val="14"/>
      <color theme="1"/>
      <name val="Calibri"/>
      <family val="2"/>
      <scheme val="minor"/>
    </font>
    <font>
      <sz val="11"/>
      <color theme="1"/>
      <name val="Arial Unicode MS"/>
      <family val="2"/>
    </font>
    <font>
      <b/>
      <sz val="12"/>
      <color rgb="FFC00000"/>
      <name val="Calibri"/>
      <family val="2"/>
    </font>
    <font>
      <b/>
      <u/>
      <sz val="11"/>
      <name val="Calibri"/>
      <family val="2"/>
    </font>
    <font>
      <b/>
      <sz val="11"/>
      <color indexed="81"/>
      <name val="Calibri"/>
      <family val="2"/>
      <scheme val="minor"/>
    </font>
    <font>
      <i/>
      <sz val="11"/>
      <color theme="0" tint="-0.34998626667073579"/>
      <name val="Calibri"/>
      <family val="2"/>
      <scheme val="minor"/>
    </font>
    <font>
      <sz val="11"/>
      <color rgb="FF00B050"/>
      <name val="Calibri"/>
      <family val="2"/>
      <scheme val="minor"/>
    </font>
    <font>
      <sz val="11"/>
      <color rgb="FF9C0006"/>
      <name val="Calibri"/>
      <family val="2"/>
      <scheme val="minor"/>
    </font>
    <font>
      <sz val="10"/>
      <color rgb="FF00B050"/>
      <name val="Arial"/>
      <family val="2"/>
    </font>
    <font>
      <b/>
      <sz val="10"/>
      <name val="Arial"/>
      <family val="2"/>
    </font>
    <font>
      <sz val="11"/>
      <color rgb="FF9C0006"/>
      <name val="Calibri"/>
      <family val="2"/>
    </font>
    <font>
      <sz val="11"/>
      <color rgb="FFFF0000"/>
      <name val="Calibri"/>
      <family val="2"/>
    </font>
    <font>
      <i/>
      <sz val="11"/>
      <color theme="0" tint="-0.499984740745262"/>
      <name val="Calibri"/>
      <family val="2"/>
      <scheme val="minor"/>
    </font>
    <font>
      <strike/>
      <sz val="11"/>
      <color theme="1"/>
      <name val="Calibri"/>
      <family val="2"/>
      <scheme val="minor"/>
    </font>
    <font>
      <b/>
      <sz val="11"/>
      <color rgb="FF00B050"/>
      <name val="Calibri"/>
      <family val="2"/>
    </font>
    <font>
      <b/>
      <sz val="12"/>
      <color rgb="FF9C5700"/>
      <name val="Calibri"/>
      <family val="2"/>
    </font>
    <font>
      <b/>
      <sz val="12"/>
      <color rgb="FF3F3F76"/>
      <name val="Calibri"/>
      <family val="2"/>
    </font>
    <font>
      <b/>
      <sz val="12"/>
      <name val="Calibri"/>
      <family val="2"/>
    </font>
    <font>
      <sz val="9"/>
      <color indexed="81"/>
      <name val="Tahoma"/>
      <family val="2"/>
    </font>
    <font>
      <b/>
      <sz val="9"/>
      <color indexed="81"/>
      <name val="Tahoma"/>
      <family val="2"/>
    </font>
    <font>
      <u/>
      <sz val="11"/>
      <color theme="10"/>
      <name val="Calibri"/>
      <family val="2"/>
    </font>
    <font>
      <i/>
      <sz val="11"/>
      <color rgb="FFC00000"/>
      <name val="Calibri"/>
      <family val="2"/>
      <scheme val="minor"/>
    </font>
    <font>
      <i/>
      <sz val="11"/>
      <color rgb="FF7F7F7F"/>
      <name val="Calibri"/>
      <family val="2"/>
    </font>
    <font>
      <b/>
      <sz val="11"/>
      <color rgb="FF3F3F3F"/>
      <name val="Calibri"/>
      <family val="2"/>
    </font>
    <font>
      <i/>
      <sz val="11"/>
      <color theme="1"/>
      <name val="Calibri"/>
      <family val="2"/>
    </font>
    <font>
      <sz val="11"/>
      <color rgb="FF3F3F3F"/>
      <name val="Calibri"/>
      <family val="2"/>
    </font>
    <font>
      <b/>
      <sz val="12"/>
      <color theme="1"/>
      <name val="Arial Unicode MS"/>
      <family val="2"/>
    </font>
    <font>
      <sz val="11"/>
      <color rgb="FFC00000"/>
      <name val="Calibri"/>
      <family val="2"/>
    </font>
    <font>
      <b/>
      <sz val="12"/>
      <color rgb="FF3F3F76"/>
      <name val="Calibri"/>
      <family val="2"/>
      <scheme val="minor"/>
    </font>
    <font>
      <b/>
      <sz val="12"/>
      <color theme="0"/>
      <name val="Calibri"/>
      <family val="2"/>
      <scheme val="minor"/>
    </font>
    <font>
      <b/>
      <sz val="12"/>
      <color rgb="FFFF0000"/>
      <name val="Calibri"/>
      <family val="2"/>
      <scheme val="minor"/>
    </font>
    <font>
      <i/>
      <sz val="10"/>
      <name val="Calibri"/>
      <family val="2"/>
      <scheme val="minor"/>
    </font>
    <font>
      <sz val="11"/>
      <color theme="0" tint="-0.14999847407452621"/>
      <name val="Calibri"/>
      <family val="2"/>
      <scheme val="minor"/>
    </font>
    <font>
      <b/>
      <sz val="11"/>
      <name val="Calibri"/>
      <family val="2"/>
      <scheme val="minor"/>
    </font>
    <font>
      <sz val="11"/>
      <name val="Arial Unicode MS"/>
      <family val="2"/>
    </font>
    <font>
      <sz val="9"/>
      <name val="Calibri"/>
      <family val="2"/>
      <scheme val="minor"/>
    </font>
    <font>
      <sz val="11"/>
      <color rgb="FFFFEB9C"/>
      <name val="Calibri"/>
      <family val="2"/>
    </font>
    <font>
      <i/>
      <sz val="10"/>
      <color rgb="FFC00000"/>
      <name val="Calibri"/>
      <family val="2"/>
      <scheme val="minor"/>
    </font>
    <font>
      <sz val="10"/>
      <color theme="1"/>
      <name val="Calibri"/>
      <family val="2"/>
      <scheme val="minor"/>
    </font>
    <font>
      <sz val="10"/>
      <color rgb="FF9C5700"/>
      <name val="Calibri"/>
      <family val="2"/>
    </font>
    <font>
      <sz val="10"/>
      <name val="Calibri"/>
      <family val="2"/>
      <scheme val="minor"/>
    </font>
    <font>
      <sz val="10"/>
      <color rgb="FFFA7D00"/>
      <name val="Calibri"/>
      <family val="2"/>
    </font>
    <font>
      <sz val="10"/>
      <color rgb="FF00B050"/>
      <name val="Calibri"/>
      <family val="2"/>
      <scheme val="minor"/>
    </font>
    <font>
      <sz val="10"/>
      <color theme="0" tint="-0.499984740745262"/>
      <name val="Calibri"/>
      <family val="2"/>
      <scheme val="minor"/>
    </font>
    <font>
      <sz val="10"/>
      <color rgb="FFFF0000"/>
      <name val="Calibri"/>
      <family val="2"/>
      <scheme val="minor"/>
    </font>
    <font>
      <sz val="10"/>
      <color rgb="FF3F3F76"/>
      <name val="Calibri"/>
      <family val="2"/>
    </font>
    <font>
      <sz val="10"/>
      <color rgb="FFFA7D00"/>
      <name val="Calibri"/>
      <family val="2"/>
      <scheme val="minor"/>
    </font>
    <font>
      <sz val="10"/>
      <color theme="0" tint="-0.34998626667073579"/>
      <name val="Calibri"/>
      <family val="2"/>
      <scheme val="minor"/>
    </font>
  </fonts>
  <fills count="7">
    <fill>
      <patternFill patternType="none"/>
    </fill>
    <fill>
      <patternFill patternType="gray125"/>
    </fill>
    <fill>
      <patternFill patternType="solid">
        <fgColor rgb="FFFFEB9C"/>
      </patternFill>
    </fill>
    <fill>
      <patternFill patternType="solid">
        <fgColor rgb="FFFFCC99"/>
      </patternFill>
    </fill>
    <fill>
      <patternFill patternType="solid">
        <fgColor rgb="FFF2F2F2"/>
      </patternFill>
    </fill>
    <fill>
      <patternFill patternType="solid">
        <fgColor rgb="FFFFFF00"/>
        <bgColor indexed="64"/>
      </patternFill>
    </fill>
    <fill>
      <patternFill patternType="solid">
        <fgColor rgb="FFFFC7CE"/>
      </patternFill>
    </fill>
  </fills>
  <borders count="50">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indexed="64"/>
      </top>
      <bottom style="thin">
        <color theme="0" tint="-0.499984740745262"/>
      </bottom>
      <diagonal/>
    </border>
    <border>
      <left style="thin">
        <color rgb="FF7F7F7F"/>
      </left>
      <right style="thin">
        <color rgb="FF7F7F7F"/>
      </right>
      <top style="thin">
        <color rgb="FF7F7F7F"/>
      </top>
      <bottom style="thin">
        <color rgb="FF7F7F7F"/>
      </bottom>
      <diagonal/>
    </border>
    <border>
      <left/>
      <right style="thin">
        <color rgb="FF7F7F7F"/>
      </right>
      <top style="thin">
        <color rgb="FF7F7F7F"/>
      </top>
      <bottom style="thin">
        <color rgb="FF7F7F7F"/>
      </bottom>
      <diagonal/>
    </border>
    <border>
      <left/>
      <right/>
      <top style="thin">
        <color rgb="FF7F7F7F"/>
      </top>
      <bottom style="thin">
        <color rgb="FF7F7F7F"/>
      </bottom>
      <diagonal/>
    </border>
    <border>
      <left style="thin">
        <color rgb="FF7F7F7F"/>
      </left>
      <right/>
      <top style="thin">
        <color rgb="FF7F7F7F"/>
      </top>
      <bottom style="thin">
        <color rgb="FF7F7F7F"/>
      </bottom>
      <diagonal/>
    </border>
    <border>
      <left style="thin">
        <color rgb="FF7F7F7F"/>
      </left>
      <right/>
      <top/>
      <bottom/>
      <diagonal/>
    </border>
    <border>
      <left/>
      <right/>
      <top/>
      <bottom style="thin">
        <color rgb="FF7F7F7F"/>
      </bottom>
      <diagonal/>
    </border>
    <border>
      <left/>
      <right style="thin">
        <color rgb="FF7F7F7F"/>
      </right>
      <top/>
      <bottom/>
      <diagonal/>
    </border>
    <border>
      <left/>
      <right style="thin">
        <color rgb="FF7F7F7F"/>
      </right>
      <top style="thin">
        <color rgb="FF7F7F7F"/>
      </top>
      <bottom/>
      <diagonal/>
    </border>
    <border>
      <left/>
      <right/>
      <top style="thin">
        <color rgb="FF7F7F7F"/>
      </top>
      <bottom/>
      <diagonal/>
    </border>
    <border>
      <left/>
      <right style="thin">
        <color theme="0" tint="-0.499984740745262"/>
      </right>
      <top style="thin">
        <color theme="0" tint="-0.499984740745262"/>
      </top>
      <bottom style="thin">
        <color rgb="FF7F7F7F"/>
      </bottom>
      <diagonal/>
    </border>
    <border>
      <left/>
      <right/>
      <top style="thin">
        <color theme="0" tint="-0.499984740745262"/>
      </top>
      <bottom style="thin">
        <color rgb="FF7F7F7F"/>
      </bottom>
      <diagonal/>
    </border>
    <border>
      <left/>
      <right/>
      <top style="thin">
        <color theme="1" tint="0.499984740745262"/>
      </top>
      <bottom style="thin">
        <color theme="1" tint="0.499984740745262"/>
      </bottom>
      <diagonal/>
    </border>
    <border>
      <left/>
      <right/>
      <top style="thin">
        <color theme="0" tint="-0.499984740745262"/>
      </top>
      <bottom/>
      <diagonal/>
    </border>
    <border>
      <left style="thin">
        <color rgb="FF7F7F7F"/>
      </left>
      <right style="thin">
        <color rgb="FF7F7F7F"/>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theme="0" tint="-0.24994659260841701"/>
      </left>
      <right/>
      <top style="thin">
        <color theme="0" tint="-0.499984740745262"/>
      </top>
      <bottom style="thin">
        <color theme="0" tint="-0.24994659260841701"/>
      </bottom>
      <diagonal/>
    </border>
    <border>
      <left/>
      <right/>
      <top style="thin">
        <color theme="0" tint="-0.499984740745262"/>
      </top>
      <bottom style="thin">
        <color theme="0" tint="-0.24994659260841701"/>
      </bottom>
      <diagonal/>
    </border>
    <border>
      <left/>
      <right style="thin">
        <color theme="0" tint="-0.24994659260841701"/>
      </right>
      <top style="thin">
        <color theme="0" tint="-0.499984740745262"/>
      </top>
      <bottom style="thin">
        <color theme="0" tint="-0.24994659260841701"/>
      </bottom>
      <diagonal/>
    </border>
    <border>
      <left style="thin">
        <color theme="0" tint="-0.499984740745262"/>
      </left>
      <right style="thin">
        <color theme="0" tint="-0.499984740745262"/>
      </right>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mediumDashed">
        <color rgb="FF7F7F7F"/>
      </top>
      <bottom style="mediumDashed">
        <color rgb="FF7F7F7F"/>
      </bottom>
      <diagonal/>
    </border>
    <border>
      <left/>
      <right style="thin">
        <color rgb="FF3F3F3F"/>
      </right>
      <top/>
      <bottom/>
      <diagonal/>
    </border>
    <border>
      <left style="thin">
        <color theme="0" tint="-0.499984740745262"/>
      </left>
      <right/>
      <top/>
      <bottom/>
      <diagonal/>
    </border>
  </borders>
  <cellStyleXfs count="9">
    <xf numFmtId="0" fontId="0" fillId="0" borderId="0"/>
    <xf numFmtId="0" fontId="2" fillId="2" borderId="0" applyNumberFormat="0" applyBorder="0" applyAlignment="0" applyProtection="0"/>
    <xf numFmtId="0" fontId="7" fillId="3" borderId="6" applyNumberFormat="0" applyAlignment="0" applyProtection="0"/>
    <xf numFmtId="0" fontId="8" fillId="4" borderId="6" applyNumberFormat="0" applyAlignment="0" applyProtection="0"/>
    <xf numFmtId="0" fontId="13" fillId="0" borderId="0" applyNumberFormat="0" applyFill="0" applyBorder="0">
      <alignment vertical="center"/>
    </xf>
    <xf numFmtId="0" fontId="46" fillId="6" borderId="0" applyNumberFormat="0" applyBorder="0" applyAlignment="0" applyProtection="0"/>
    <xf numFmtId="0" fontId="56" fillId="0" borderId="0" applyNumberFormat="0" applyFill="0" applyBorder="0" applyAlignment="0" applyProtection="0"/>
    <xf numFmtId="0" fontId="58" fillId="0" borderId="0" applyNumberFormat="0" applyFill="0" applyBorder="0" applyAlignment="0" applyProtection="0"/>
    <xf numFmtId="0" fontId="59" fillId="4" borderId="46" applyNumberFormat="0" applyAlignment="0" applyProtection="0"/>
  </cellStyleXfs>
  <cellXfs count="638">
    <xf numFmtId="0" fontId="0" fillId="0" borderId="0" xfId="0"/>
    <xf numFmtId="0" fontId="1" fillId="0" borderId="0" xfId="0" applyFont="1"/>
    <xf numFmtId="3" fontId="1" fillId="0" borderId="0" xfId="0" applyNumberFormat="1" applyFont="1"/>
    <xf numFmtId="3" fontId="0" fillId="0" borderId="0" xfId="0" applyNumberFormat="1"/>
    <xf numFmtId="164" fontId="1" fillId="0" borderId="0" xfId="0" applyNumberFormat="1" applyFont="1"/>
    <xf numFmtId="0" fontId="1" fillId="0" borderId="0" xfId="0" applyFont="1" applyAlignment="1">
      <alignment horizontal="right"/>
    </xf>
    <xf numFmtId="165" fontId="0" fillId="0" borderId="0" xfId="0" applyNumberFormat="1"/>
    <xf numFmtId="166" fontId="8" fillId="4" borderId="6" xfId="3" applyNumberFormat="1" applyFont="1"/>
    <xf numFmtId="164" fontId="8" fillId="4" borderId="6" xfId="3" applyNumberFormat="1" applyFont="1"/>
    <xf numFmtId="167" fontId="8" fillId="4" borderId="6" xfId="3" applyNumberFormat="1" applyFont="1"/>
    <xf numFmtId="166" fontId="7" fillId="3" borderId="6" xfId="2" applyNumberFormat="1"/>
    <xf numFmtId="166" fontId="1" fillId="0" borderId="0" xfId="0" applyNumberFormat="1" applyFont="1"/>
    <xf numFmtId="168" fontId="1" fillId="0" borderId="0" xfId="0" applyNumberFormat="1" applyFont="1"/>
    <xf numFmtId="0" fontId="0" fillId="0" borderId="0" xfId="0" applyAlignment="1">
      <alignment horizontal="right"/>
    </xf>
    <xf numFmtId="0" fontId="0" fillId="0" borderId="0" xfId="0" applyFont="1" applyFill="1" applyBorder="1" applyAlignment="1">
      <alignment horizontal="right"/>
    </xf>
    <xf numFmtId="0" fontId="10" fillId="0" borderId="0" xfId="0" applyFont="1"/>
    <xf numFmtId="0" fontId="0" fillId="0" borderId="0" xfId="0"/>
    <xf numFmtId="0" fontId="12" fillId="0" borderId="0" xfId="0" applyFont="1" applyAlignment="1">
      <alignment vertical="center"/>
    </xf>
    <xf numFmtId="0" fontId="10" fillId="0" borderId="0" xfId="0" applyFont="1" applyAlignment="1">
      <alignment vertical="center"/>
    </xf>
    <xf numFmtId="0" fontId="6" fillId="0" borderId="0" xfId="0" applyFont="1"/>
    <xf numFmtId="0" fontId="14" fillId="0" borderId="0" xfId="0" applyFont="1" applyAlignment="1">
      <alignment horizontal="center" vertical="center"/>
    </xf>
    <xf numFmtId="0" fontId="15" fillId="0" borderId="0" xfId="0" applyFont="1" applyAlignment="1">
      <alignment vertical="center"/>
    </xf>
    <xf numFmtId="0" fontId="15" fillId="0" borderId="0" xfId="0" applyFont="1"/>
    <xf numFmtId="0" fontId="17" fillId="0" borderId="0" xfId="0" applyFont="1" applyAlignment="1">
      <alignment vertical="top" wrapText="1"/>
    </xf>
    <xf numFmtId="0" fontId="6" fillId="0" borderId="0" xfId="0" applyFont="1" applyAlignment="1">
      <alignment horizontal="right" vertical="top"/>
    </xf>
    <xf numFmtId="0" fontId="6" fillId="0" borderId="0" xfId="0" applyFont="1" applyAlignment="1">
      <alignment horizontal="right" vertical="center"/>
    </xf>
    <xf numFmtId="0" fontId="21" fillId="0" borderId="0" xfId="0" applyFont="1" applyAlignment="1" applyProtection="1">
      <alignment horizontal="center" vertical="center"/>
      <protection locked="0"/>
    </xf>
    <xf numFmtId="0" fontId="6" fillId="0" borderId="0" xfId="0" applyFont="1" applyAlignment="1">
      <alignment vertical="center"/>
    </xf>
    <xf numFmtId="0" fontId="0" fillId="0" borderId="0" xfId="0"/>
    <xf numFmtId="0" fontId="6" fillId="0" borderId="0" xfId="0" applyFont="1" applyAlignment="1">
      <alignment horizontal="left" vertical="center"/>
    </xf>
    <xf numFmtId="0" fontId="17" fillId="0" borderId="0" xfId="0" applyFont="1" applyAlignment="1">
      <alignment horizontal="right"/>
    </xf>
    <xf numFmtId="0" fontId="17" fillId="0" borderId="0" xfId="0" applyFont="1" applyAlignment="1">
      <alignment horizontal="right" vertical="center"/>
    </xf>
    <xf numFmtId="0" fontId="6" fillId="0" borderId="0" xfId="0" applyFont="1" applyAlignment="1">
      <alignment vertical="top"/>
    </xf>
    <xf numFmtId="0" fontId="10" fillId="0" borderId="6" xfId="0" applyFont="1" applyBorder="1" applyAlignment="1">
      <alignment horizontal="center" vertical="center"/>
    </xf>
    <xf numFmtId="0" fontId="14" fillId="0" borderId="6" xfId="0" applyFont="1" applyBorder="1" applyAlignment="1">
      <alignment horizontal="center" vertical="center"/>
    </xf>
    <xf numFmtId="0" fontId="19" fillId="0" borderId="6" xfId="0" applyFont="1" applyBorder="1" applyAlignment="1">
      <alignment horizontal="center" vertical="center"/>
    </xf>
    <xf numFmtId="0" fontId="20" fillId="0" borderId="0" xfId="0" applyFont="1" applyAlignment="1">
      <alignment horizontal="center" vertical="center"/>
    </xf>
    <xf numFmtId="0" fontId="25" fillId="0" borderId="0" xfId="0" applyFont="1" applyAlignment="1">
      <alignment vertical="center"/>
    </xf>
    <xf numFmtId="0" fontId="26" fillId="0" borderId="0" xfId="0" applyFont="1" applyAlignment="1" applyProtection="1">
      <alignment horizontal="center" vertical="center"/>
      <protection hidden="1"/>
    </xf>
    <xf numFmtId="0" fontId="6" fillId="0" borderId="0" xfId="0" quotePrefix="1" applyFont="1" applyAlignment="1">
      <alignment horizontal="left" vertical="center"/>
    </xf>
    <xf numFmtId="0" fontId="15" fillId="0" borderId="0" xfId="0" applyFont="1" applyAlignment="1">
      <alignment horizontal="right" vertical="center"/>
    </xf>
    <xf numFmtId="0" fontId="21" fillId="0" borderId="0" xfId="0" applyFont="1" applyAlignment="1" applyProtection="1">
      <alignment horizontal="center" vertical="center"/>
      <protection hidden="1"/>
    </xf>
    <xf numFmtId="0" fontId="15" fillId="0" borderId="0" xfId="0" applyFont="1" applyAlignment="1">
      <alignment horizontal="left" vertical="center"/>
    </xf>
    <xf numFmtId="0" fontId="25" fillId="0" borderId="0" xfId="0" applyFont="1"/>
    <xf numFmtId="165" fontId="6" fillId="0" borderId="0" xfId="0" applyNumberFormat="1" applyFont="1" applyAlignment="1">
      <alignment vertical="center"/>
    </xf>
    <xf numFmtId="0" fontId="27" fillId="0" borderId="0" xfId="0" applyFont="1" applyAlignment="1">
      <alignment horizontal="right" vertical="center"/>
    </xf>
    <xf numFmtId="0" fontId="28" fillId="0" borderId="0" xfId="0" applyFont="1" applyAlignment="1">
      <alignment vertical="center"/>
    </xf>
    <xf numFmtId="0" fontId="6" fillId="0" borderId="0" xfId="0" quotePrefix="1" applyFont="1" applyAlignment="1">
      <alignment vertical="center"/>
    </xf>
    <xf numFmtId="0" fontId="21" fillId="0" borderId="0" xfId="0" applyFont="1" applyAlignment="1">
      <alignment horizontal="center" vertical="center"/>
    </xf>
    <xf numFmtId="0" fontId="6" fillId="0" borderId="0" xfId="0" applyFont="1" applyAlignment="1">
      <alignment horizontal="center" vertical="center"/>
    </xf>
    <xf numFmtId="0" fontId="10" fillId="0" borderId="0" xfId="0" applyFont="1" applyAlignment="1">
      <alignment horizontal="right" vertical="center"/>
    </xf>
    <xf numFmtId="0" fontId="29" fillId="0" borderId="0" xfId="0" applyFont="1" applyAlignment="1">
      <alignment vertical="center"/>
    </xf>
    <xf numFmtId="0" fontId="6" fillId="0" borderId="0" xfId="0" applyFont="1" applyAlignment="1" applyProtection="1">
      <alignment horizontal="center" vertical="center"/>
      <protection hidden="1"/>
    </xf>
    <xf numFmtId="0" fontId="0" fillId="0" borderId="0" xfId="0" applyAlignment="1">
      <alignment vertical="center"/>
    </xf>
    <xf numFmtId="0" fontId="31" fillId="0" borderId="0" xfId="0" applyFont="1" applyAlignment="1">
      <alignment horizontal="center" vertical="center"/>
    </xf>
    <xf numFmtId="0" fontId="0" fillId="0" borderId="0" xfId="0" applyAlignment="1">
      <alignment horizontal="right" vertical="top"/>
    </xf>
    <xf numFmtId="0" fontId="10" fillId="0" borderId="0" xfId="0" applyFont="1" applyAlignment="1">
      <alignment horizontal="right" vertical="top"/>
    </xf>
    <xf numFmtId="0" fontId="21" fillId="0" borderId="0" xfId="0" applyFont="1" applyAlignment="1">
      <alignment horizontal="left" vertical="center"/>
    </xf>
    <xf numFmtId="0" fontId="14" fillId="0" borderId="0" xfId="0" applyFont="1" applyAlignment="1">
      <alignment horizontal="left" vertical="center"/>
    </xf>
    <xf numFmtId="0" fontId="5" fillId="0" borderId="18" xfId="0" applyFont="1" applyFill="1" applyBorder="1" applyAlignment="1">
      <alignment horizontal="right" vertical="center"/>
    </xf>
    <xf numFmtId="0" fontId="5" fillId="0" borderId="18" xfId="0" applyFont="1" applyFill="1" applyBorder="1" applyAlignment="1" applyProtection="1">
      <alignment horizontal="center" vertical="center"/>
      <protection hidden="1"/>
    </xf>
    <xf numFmtId="0" fontId="5" fillId="0" borderId="18" xfId="0" applyFont="1" applyFill="1" applyBorder="1" applyAlignment="1">
      <alignment horizontal="center" vertical="center"/>
    </xf>
    <xf numFmtId="0" fontId="5" fillId="0" borderId="18" xfId="0" applyFont="1" applyFill="1" applyBorder="1" applyAlignment="1">
      <alignment horizontal="left" vertical="center"/>
    </xf>
    <xf numFmtId="0" fontId="6" fillId="0" borderId="18" xfId="0" applyFont="1" applyBorder="1" applyAlignment="1">
      <alignment horizontal="left" vertical="center"/>
    </xf>
    <xf numFmtId="0" fontId="18" fillId="0" borderId="10" xfId="0" applyFont="1" applyFill="1" applyBorder="1" applyAlignment="1">
      <alignment horizontal="right" vertical="center"/>
    </xf>
    <xf numFmtId="0" fontId="6" fillId="0" borderId="14" xfId="0" applyFont="1" applyBorder="1" applyAlignment="1">
      <alignment vertical="center"/>
    </xf>
    <xf numFmtId="0" fontId="32" fillId="0" borderId="0" xfId="0" applyFont="1" applyAlignment="1">
      <alignment horizontal="right" vertical="center"/>
    </xf>
    <xf numFmtId="0" fontId="6" fillId="0" borderId="0" xfId="0" applyFont="1" applyAlignment="1">
      <alignment horizontal="right"/>
    </xf>
    <xf numFmtId="0" fontId="6" fillId="0" borderId="0" xfId="0" applyFont="1" applyAlignment="1" applyProtection="1">
      <alignment vertical="center"/>
      <protection hidden="1"/>
    </xf>
    <xf numFmtId="0" fontId="6" fillId="0" borderId="0" xfId="0" applyFont="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2" xfId="0" applyFont="1" applyBorder="1"/>
    <xf numFmtId="0" fontId="6" fillId="0" borderId="0" xfId="0" applyFont="1" applyProtection="1">
      <protection hidden="1"/>
    </xf>
    <xf numFmtId="3" fontId="21" fillId="0" borderId="0" xfId="0" applyNumberFormat="1" applyFont="1" applyAlignment="1" applyProtection="1">
      <alignment horizontal="right" vertical="center"/>
      <protection hidden="1"/>
    </xf>
    <xf numFmtId="0" fontId="6" fillId="0" borderId="0" xfId="0" applyFont="1" applyAlignment="1" applyProtection="1">
      <alignment horizontal="right" vertical="center"/>
      <protection hidden="1"/>
    </xf>
    <xf numFmtId="0" fontId="14" fillId="0" borderId="0" xfId="0" applyFont="1" applyAlignment="1">
      <alignment vertical="top"/>
    </xf>
    <xf numFmtId="0" fontId="6" fillId="0" borderId="0" xfId="0" applyFont="1" applyAlignment="1" applyProtection="1">
      <alignment horizontal="right" vertical="top"/>
      <protection locked="0"/>
    </xf>
    <xf numFmtId="0" fontId="19" fillId="0" borderId="0" xfId="0" applyFont="1" applyAlignment="1" applyProtection="1">
      <alignment horizontal="left" vertical="center"/>
    </xf>
    <xf numFmtId="0" fontId="37" fillId="0" borderId="0" xfId="0" applyFont="1" applyAlignment="1">
      <alignment vertical="center"/>
    </xf>
    <xf numFmtId="0" fontId="0" fillId="0" borderId="0" xfId="0"/>
    <xf numFmtId="0" fontId="38" fillId="0" borderId="0" xfId="0" applyFont="1" applyAlignment="1">
      <alignment horizontal="center" vertical="center"/>
    </xf>
    <xf numFmtId="0" fontId="39" fillId="0" borderId="0" xfId="0" applyFont="1" applyAlignment="1">
      <alignment horizontal="right"/>
    </xf>
    <xf numFmtId="0" fontId="0" fillId="0" borderId="0" xfId="0" quotePrefix="1"/>
    <xf numFmtId="0" fontId="4" fillId="0" borderId="0" xfId="0" applyFont="1" applyAlignment="1">
      <alignment vertical="center"/>
    </xf>
    <xf numFmtId="0" fontId="6" fillId="0" borderId="0" xfId="0" applyFont="1" applyAlignment="1">
      <alignment horizontal="center"/>
    </xf>
    <xf numFmtId="0" fontId="18" fillId="0" borderId="0" xfId="0" applyFont="1"/>
    <xf numFmtId="0" fontId="20" fillId="0" borderId="0" xfId="0" applyFont="1" applyAlignment="1">
      <alignment horizontal="right" vertical="center"/>
    </xf>
    <xf numFmtId="0" fontId="20" fillId="0" borderId="0" xfId="0" applyFont="1" applyAlignment="1">
      <alignment horizontal="right"/>
    </xf>
    <xf numFmtId="0" fontId="6" fillId="0" borderId="0" xfId="0" quotePrefix="1" applyFont="1"/>
    <xf numFmtId="0" fontId="6" fillId="0" borderId="0" xfId="0" applyFont="1" applyAlignment="1">
      <alignment horizontal="left"/>
    </xf>
    <xf numFmtId="3" fontId="6" fillId="0" borderId="0" xfId="0" applyNumberFormat="1" applyFont="1" applyAlignment="1">
      <alignment horizontal="right"/>
    </xf>
    <xf numFmtId="0" fontId="0" fillId="0" borderId="0" xfId="0" quotePrefix="1"/>
    <xf numFmtId="0" fontId="15" fillId="0" borderId="0" xfId="0" applyFont="1" applyAlignment="1">
      <alignment horizontal="right"/>
    </xf>
    <xf numFmtId="0" fontId="15" fillId="0" borderId="11" xfId="0" applyFont="1" applyBorder="1" applyAlignment="1">
      <alignment vertical="top" wrapText="1"/>
    </xf>
    <xf numFmtId="0" fontId="10" fillId="0" borderId="0" xfId="0" applyFont="1" applyAlignment="1">
      <alignment horizontal="center" vertical="top"/>
    </xf>
    <xf numFmtId="0" fontId="6" fillId="0" borderId="14" xfId="0" applyFont="1" applyBorder="1"/>
    <xf numFmtId="3" fontId="18" fillId="0" borderId="10" xfId="0" applyNumberFormat="1" applyFont="1" applyFill="1" applyBorder="1" applyAlignment="1">
      <alignment horizontal="right"/>
    </xf>
    <xf numFmtId="0" fontId="18" fillId="0" borderId="0" xfId="0" applyFont="1" applyAlignment="1">
      <alignment horizontal="right" vertical="center"/>
    </xf>
    <xf numFmtId="0" fontId="0" fillId="0" borderId="0" xfId="0" applyAlignment="1">
      <alignment horizontal="center"/>
    </xf>
    <xf numFmtId="0" fontId="0" fillId="0" borderId="0" xfId="0" applyAlignment="1">
      <alignment horizontal="center"/>
    </xf>
    <xf numFmtId="0" fontId="0" fillId="0" borderId="0" xfId="0" quotePrefix="1" applyAlignment="1">
      <alignment horizontal="center"/>
    </xf>
    <xf numFmtId="0" fontId="43" fillId="0" borderId="24" xfId="0" applyFont="1" applyBorder="1" applyAlignment="1">
      <alignment horizontal="center"/>
    </xf>
    <xf numFmtId="0" fontId="18" fillId="0" borderId="24" xfId="0" applyFont="1" applyBorder="1" applyAlignment="1">
      <alignment horizontal="center"/>
    </xf>
    <xf numFmtId="0" fontId="20" fillId="0" borderId="24" xfId="0" applyFont="1" applyBorder="1" applyAlignment="1">
      <alignment horizontal="center"/>
    </xf>
    <xf numFmtId="0" fontId="5" fillId="0" borderId="24" xfId="0" applyFont="1" applyBorder="1" applyAlignment="1">
      <alignment horizontal="center"/>
    </xf>
    <xf numFmtId="0" fontId="31" fillId="0" borderId="0" xfId="0" applyFont="1" applyAlignment="1">
      <alignment horizontal="left" vertical="center"/>
    </xf>
    <xf numFmtId="0" fontId="6" fillId="0" borderId="0" xfId="0" applyFont="1" applyAlignment="1">
      <alignment horizontal="center" vertical="top"/>
    </xf>
    <xf numFmtId="3" fontId="6" fillId="0" borderId="24" xfId="0" applyNumberFormat="1" applyFont="1" applyBorder="1" applyAlignment="1">
      <alignment horizontal="center" vertical="center"/>
    </xf>
    <xf numFmtId="3" fontId="6" fillId="0" borderId="26" xfId="0" applyNumberFormat="1" applyFont="1" applyBorder="1" applyAlignment="1">
      <alignment horizontal="center" vertical="center"/>
    </xf>
    <xf numFmtId="3" fontId="6" fillId="0" borderId="0" xfId="0" applyNumberFormat="1" applyFont="1" applyAlignment="1">
      <alignment horizontal="center" vertical="center"/>
    </xf>
    <xf numFmtId="0" fontId="25" fillId="0" borderId="0" xfId="0" applyFont="1" applyAlignment="1">
      <alignment horizontal="center" vertical="center"/>
    </xf>
    <xf numFmtId="0" fontId="25" fillId="0" borderId="0" xfId="0" applyFont="1" applyAlignment="1">
      <alignment vertical="center" wrapText="1"/>
    </xf>
    <xf numFmtId="3" fontId="25" fillId="0" borderId="0" xfId="0" quotePrefix="1" applyNumberFormat="1" applyFont="1" applyAlignment="1">
      <alignment horizontal="center" vertical="center"/>
    </xf>
    <xf numFmtId="10" fontId="25" fillId="0" borderId="0" xfId="0" applyNumberFormat="1" applyFont="1" applyAlignment="1">
      <alignment vertical="center"/>
    </xf>
    <xf numFmtId="184" fontId="25" fillId="0" borderId="0" xfId="0" applyNumberFormat="1" applyFont="1" applyAlignment="1">
      <alignment vertical="center"/>
    </xf>
    <xf numFmtId="9" fontId="25" fillId="0" borderId="0" xfId="0" applyNumberFormat="1" applyFont="1" applyAlignment="1">
      <alignment vertical="center"/>
    </xf>
    <xf numFmtId="3" fontId="25" fillId="0" borderId="36" xfId="0" applyNumberFormat="1" applyFont="1" applyBorder="1" applyAlignment="1">
      <alignment horizontal="right" vertical="center"/>
    </xf>
    <xf numFmtId="0" fontId="25" fillId="0" borderId="36" xfId="0" applyFont="1" applyBorder="1" applyAlignment="1">
      <alignment horizontal="right" vertical="center"/>
    </xf>
    <xf numFmtId="3" fontId="25" fillId="0" borderId="0" xfId="0" quotePrefix="1" applyNumberFormat="1" applyFont="1" applyAlignment="1">
      <alignment horizontal="center" vertical="center" wrapText="1"/>
    </xf>
    <xf numFmtId="184" fontId="25" fillId="0" borderId="0" xfId="0" applyNumberFormat="1" applyFont="1" applyAlignment="1">
      <alignment vertical="center" wrapText="1"/>
    </xf>
    <xf numFmtId="9" fontId="25" fillId="0" borderId="0" xfId="0" applyNumberFormat="1" applyFont="1" applyAlignment="1">
      <alignment vertical="center" wrapText="1"/>
    </xf>
    <xf numFmtId="3" fontId="29" fillId="0" borderId="0" xfId="0" applyNumberFormat="1" applyFont="1" applyAlignment="1">
      <alignment horizontal="center" vertical="center"/>
    </xf>
    <xf numFmtId="10" fontId="29" fillId="0" borderId="0" xfId="0" applyNumberFormat="1" applyFont="1" applyAlignment="1">
      <alignment vertical="center"/>
    </xf>
    <xf numFmtId="184" fontId="29" fillId="0" borderId="0" xfId="0" applyNumberFormat="1" applyFont="1" applyAlignment="1">
      <alignment vertical="center"/>
    </xf>
    <xf numFmtId="9" fontId="29" fillId="0" borderId="0" xfId="0" applyNumberFormat="1" applyFont="1" applyAlignment="1">
      <alignment vertical="center"/>
    </xf>
    <xf numFmtId="3" fontId="29" fillId="0" borderId="0" xfId="0" applyNumberFormat="1" applyFont="1" applyFill="1" applyBorder="1" applyAlignment="1">
      <alignment horizontal="center" vertical="center"/>
    </xf>
    <xf numFmtId="0" fontId="45" fillId="0" borderId="0" xfId="0" applyFont="1" applyAlignment="1">
      <alignment horizontal="right" vertical="center"/>
    </xf>
    <xf numFmtId="0" fontId="29" fillId="0" borderId="0" xfId="0" applyFont="1" applyAlignment="1">
      <alignment horizontal="center" vertical="center"/>
    </xf>
    <xf numFmtId="0" fontId="29" fillId="0" borderId="0" xfId="0" applyFont="1" applyAlignment="1">
      <alignment horizontal="left" vertical="center"/>
    </xf>
    <xf numFmtId="3" fontId="25" fillId="0" borderId="0" xfId="0" applyNumberFormat="1" applyFont="1" applyAlignment="1">
      <alignment horizontal="center" vertical="center"/>
    </xf>
    <xf numFmtId="0" fontId="44" fillId="0" borderId="0" xfId="0" applyFont="1" applyAlignment="1">
      <alignment horizontal="left" vertical="center"/>
    </xf>
    <xf numFmtId="0" fontId="25" fillId="0" borderId="0" xfId="0" applyFont="1" applyAlignment="1">
      <alignment horizontal="left" vertical="center"/>
    </xf>
    <xf numFmtId="177" fontId="8" fillId="4" borderId="6" xfId="3" applyNumberFormat="1" applyFont="1"/>
    <xf numFmtId="166" fontId="8" fillId="4" borderId="6" xfId="3" applyNumberFormat="1" applyFont="1" applyAlignment="1">
      <alignment horizontal="center"/>
    </xf>
    <xf numFmtId="165" fontId="8" fillId="4" borderId="6" xfId="3" applyNumberFormat="1" applyFont="1" applyAlignment="1">
      <alignment horizontal="center"/>
    </xf>
    <xf numFmtId="0" fontId="8" fillId="4" borderId="6" xfId="3" applyFont="1" applyAlignment="1">
      <alignment horizontal="center"/>
    </xf>
    <xf numFmtId="185" fontId="7" fillId="3" borderId="6" xfId="2" applyNumberFormat="1"/>
    <xf numFmtId="0" fontId="9" fillId="0" borderId="0" xfId="0" applyFont="1" applyAlignment="1">
      <alignment horizontal="right"/>
    </xf>
    <xf numFmtId="0" fontId="1" fillId="0" borderId="0" xfId="0" quotePrefix="1" applyFont="1"/>
    <xf numFmtId="165" fontId="8" fillId="4" borderId="6" xfId="3" applyNumberFormat="1" applyFont="1" applyAlignment="1">
      <alignment horizontal="right"/>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25" fillId="0" borderId="0" xfId="0" applyFont="1" applyAlignment="1">
      <alignment vertical="center"/>
    </xf>
    <xf numFmtId="0" fontId="2" fillId="2" borderId="1" xfId="1" applyBorder="1" applyAlignment="1">
      <alignment horizontal="right" vertical="center"/>
    </xf>
    <xf numFmtId="0" fontId="2" fillId="2" borderId="2" xfId="1" applyBorder="1" applyAlignment="1" applyProtection="1">
      <alignment horizontal="center" vertical="center"/>
      <protection hidden="1"/>
    </xf>
    <xf numFmtId="0" fontId="7" fillId="3" borderId="6" xfId="2" applyAlignment="1" applyProtection="1">
      <alignment vertical="center"/>
      <protection locked="0"/>
    </xf>
    <xf numFmtId="0" fontId="2" fillId="2" borderId="2" xfId="1" applyBorder="1" applyAlignment="1">
      <alignment horizontal="right" vertical="center"/>
    </xf>
    <xf numFmtId="0" fontId="2" fillId="2" borderId="2" xfId="1" applyBorder="1" applyAlignment="1">
      <alignment horizontal="center" vertical="center"/>
    </xf>
    <xf numFmtId="0" fontId="2" fillId="2" borderId="3" xfId="1" applyBorder="1" applyAlignment="1">
      <alignment horizontal="center" vertical="center"/>
    </xf>
    <xf numFmtId="170" fontId="7" fillId="3" borderId="6" xfId="2" applyNumberFormat="1" applyAlignment="1" applyProtection="1">
      <alignment horizontal="center" vertical="center"/>
      <protection locked="0"/>
    </xf>
    <xf numFmtId="170" fontId="8" fillId="4" borderId="6" xfId="3" applyNumberFormat="1" applyAlignment="1">
      <alignment horizontal="center" vertical="center"/>
    </xf>
    <xf numFmtId="172" fontId="8" fillId="4" borderId="6" xfId="3" applyNumberFormat="1" applyAlignment="1">
      <alignment horizontal="center" vertical="center"/>
    </xf>
    <xf numFmtId="172" fontId="8" fillId="4" borderId="6" xfId="3" applyNumberFormat="1" applyAlignment="1">
      <alignment horizontal="right" vertical="center"/>
    </xf>
    <xf numFmtId="171" fontId="8" fillId="4" borderId="6" xfId="3" applyNumberFormat="1" applyAlignment="1">
      <alignment horizontal="right" vertical="center"/>
    </xf>
    <xf numFmtId="0" fontId="2" fillId="2" borderId="6" xfId="1" applyBorder="1" applyAlignment="1">
      <alignment horizontal="center" vertical="center"/>
    </xf>
    <xf numFmtId="0" fontId="7" fillId="3" borderId="6" xfId="2" applyAlignment="1">
      <alignment horizontal="center" vertical="center"/>
    </xf>
    <xf numFmtId="0" fontId="8" fillId="4" borderId="6" xfId="3" applyAlignment="1">
      <alignment horizontal="center" vertical="center"/>
    </xf>
    <xf numFmtId="170" fontId="46" fillId="6" borderId="6" xfId="5" applyNumberFormat="1" applyBorder="1" applyAlignment="1">
      <alignment horizontal="center" vertical="center"/>
    </xf>
    <xf numFmtId="0" fontId="2" fillId="2" borderId="2" xfId="1" applyBorder="1" applyAlignment="1">
      <alignment vertical="center"/>
    </xf>
    <xf numFmtId="170" fontId="8" fillId="4" borderId="6" xfId="3" applyNumberFormat="1" applyAlignment="1">
      <alignment horizontal="right" vertical="center"/>
    </xf>
    <xf numFmtId="165" fontId="8" fillId="4" borderId="6" xfId="3" applyNumberFormat="1" applyAlignment="1">
      <alignment horizontal="right" vertical="center"/>
    </xf>
    <xf numFmtId="173" fontId="8" fillId="4" borderId="6" xfId="3" applyNumberFormat="1" applyAlignment="1">
      <alignment horizontal="center" vertical="center"/>
    </xf>
    <xf numFmtId="0" fontId="2" fillId="2" borderId="9" xfId="1" applyBorder="1" applyAlignment="1">
      <alignment horizontal="right" vertical="center"/>
    </xf>
    <xf numFmtId="0" fontId="2" fillId="2" borderId="17" xfId="1" applyBorder="1" applyAlignment="1">
      <alignment horizontal="center" vertical="center"/>
    </xf>
    <xf numFmtId="0" fontId="2" fillId="2" borderId="8" xfId="1" applyBorder="1" applyAlignment="1">
      <alignment horizontal="center" vertical="center"/>
    </xf>
    <xf numFmtId="0" fontId="2" fillId="2" borderId="8" xfId="1" applyBorder="1" applyAlignment="1">
      <alignment horizontal="left" vertical="center"/>
    </xf>
    <xf numFmtId="0" fontId="2" fillId="2" borderId="7" xfId="1" applyBorder="1" applyAlignment="1">
      <alignment horizontal="center" vertical="center"/>
    </xf>
    <xf numFmtId="0" fontId="2" fillId="2" borderId="2" xfId="1" applyBorder="1" applyAlignment="1">
      <alignment horizontal="left" vertical="center"/>
    </xf>
    <xf numFmtId="174" fontId="8" fillId="4" borderId="6" xfId="3" applyNumberFormat="1" applyAlignment="1">
      <alignment horizontal="center" vertical="center"/>
    </xf>
    <xf numFmtId="177" fontId="8" fillId="4" borderId="6" xfId="3" applyNumberFormat="1" applyAlignment="1">
      <alignment horizontal="center" vertical="center"/>
    </xf>
    <xf numFmtId="176" fontId="7" fillId="3" borderId="6" xfId="2" applyNumberFormat="1" applyAlignment="1" applyProtection="1">
      <alignment horizontal="center" vertical="center"/>
      <protection locked="0"/>
    </xf>
    <xf numFmtId="165" fontId="7" fillId="3" borderId="6" xfId="2" applyNumberFormat="1" applyAlignment="1" applyProtection="1">
      <alignment vertical="center"/>
      <protection locked="0"/>
    </xf>
    <xf numFmtId="175" fontId="8" fillId="4" borderId="6" xfId="3" applyNumberFormat="1" applyAlignment="1">
      <alignment horizontal="right" vertical="center"/>
    </xf>
    <xf numFmtId="0" fontId="2" fillId="2" borderId="2" xfId="1" applyBorder="1" applyAlignment="1">
      <alignment vertical="center"/>
    </xf>
    <xf numFmtId="0" fontId="2" fillId="2" borderId="3" xfId="1" applyBorder="1" applyAlignment="1">
      <alignment vertical="center"/>
    </xf>
    <xf numFmtId="0" fontId="8" fillId="4" borderId="6" xfId="3" applyAlignment="1">
      <alignment horizontal="right" vertical="center"/>
    </xf>
    <xf numFmtId="174" fontId="10" fillId="0" borderId="0" xfId="0" applyNumberFormat="1" applyFont="1" applyAlignment="1">
      <alignment horizontal="center" vertical="top"/>
    </xf>
    <xf numFmtId="170" fontId="10" fillId="0" borderId="0" xfId="0" applyNumberFormat="1" applyFont="1" applyAlignment="1">
      <alignment horizontal="center" vertical="top"/>
    </xf>
    <xf numFmtId="176" fontId="10" fillId="0" borderId="0" xfId="0" applyNumberFormat="1" applyFont="1" applyAlignment="1">
      <alignment horizontal="center" vertical="top"/>
    </xf>
    <xf numFmtId="165" fontId="10" fillId="0" borderId="0" xfId="0" applyNumberFormat="1" applyFont="1" applyAlignment="1">
      <alignment horizontal="right" vertical="top"/>
    </xf>
    <xf numFmtId="172" fontId="10" fillId="0" borderId="0" xfId="0" applyNumberFormat="1" applyFont="1" applyAlignment="1">
      <alignment horizontal="right" vertical="top"/>
    </xf>
    <xf numFmtId="175" fontId="10" fillId="0" borderId="0" xfId="0" applyNumberFormat="1" applyFont="1" applyAlignment="1">
      <alignment horizontal="right" vertical="top"/>
    </xf>
    <xf numFmtId="0" fontId="2" fillId="2" borderId="0" xfId="1" applyAlignment="1">
      <alignment horizontal="right"/>
    </xf>
    <xf numFmtId="0" fontId="2" fillId="2" borderId="0" xfId="1" applyAlignment="1">
      <alignment horizontal="center"/>
    </xf>
    <xf numFmtId="0" fontId="7" fillId="3" borderId="6" xfId="2" applyAlignment="1">
      <alignment horizontal="right"/>
    </xf>
    <xf numFmtId="172" fontId="8" fillId="4" borderId="6" xfId="3" applyNumberFormat="1" applyAlignment="1">
      <alignment horizontal="right"/>
    </xf>
    <xf numFmtId="167" fontId="8" fillId="4" borderId="6" xfId="3" applyNumberFormat="1" applyAlignment="1">
      <alignment horizontal="right" vertical="center"/>
    </xf>
    <xf numFmtId="166" fontId="8" fillId="4" borderId="6" xfId="3" quotePrefix="1" applyNumberFormat="1" applyAlignment="1">
      <alignment horizontal="right" vertical="center"/>
    </xf>
    <xf numFmtId="178" fontId="8" fillId="4" borderId="6" xfId="3" quotePrefix="1" applyNumberFormat="1" applyAlignment="1">
      <alignment horizontal="right" vertical="center"/>
    </xf>
    <xf numFmtId="177" fontId="8" fillId="4" borderId="6" xfId="3" applyNumberFormat="1" applyAlignment="1">
      <alignment horizontal="right" vertical="center"/>
    </xf>
    <xf numFmtId="0" fontId="2" fillId="2" borderId="1" xfId="1" applyBorder="1" applyAlignment="1">
      <alignment horizontal="right"/>
    </xf>
    <xf numFmtId="0" fontId="2" fillId="2" borderId="2" xfId="1" applyBorder="1" applyAlignment="1">
      <alignment horizontal="center"/>
    </xf>
    <xf numFmtId="0" fontId="7" fillId="3" borderId="6" xfId="2" quotePrefix="1" applyAlignment="1">
      <alignment horizontal="right" vertical="center"/>
    </xf>
    <xf numFmtId="0" fontId="7" fillId="3" borderId="6" xfId="2" applyAlignment="1">
      <alignment horizontal="right" vertical="center"/>
    </xf>
    <xf numFmtId="0" fontId="0" fillId="0" borderId="0" xfId="0" quotePrefix="1" applyAlignment="1">
      <alignment horizontal="right"/>
    </xf>
    <xf numFmtId="170" fontId="8" fillId="4" borderId="6" xfId="3" applyNumberFormat="1" applyAlignment="1">
      <alignment horizontal="center"/>
    </xf>
    <xf numFmtId="173" fontId="8" fillId="4" borderId="6" xfId="3" applyNumberFormat="1" applyAlignment="1">
      <alignment horizontal="center"/>
    </xf>
    <xf numFmtId="0" fontId="7" fillId="3" borderId="6" xfId="2"/>
    <xf numFmtId="0" fontId="7" fillId="3" borderId="6" xfId="2" applyAlignment="1">
      <alignment horizontal="right"/>
    </xf>
    <xf numFmtId="165" fontId="8" fillId="4" borderId="6" xfId="3" applyNumberFormat="1"/>
    <xf numFmtId="0" fontId="2" fillId="2" borderId="0" xfId="1" applyAlignment="1">
      <alignment horizontal="left"/>
    </xf>
    <xf numFmtId="172" fontId="7" fillId="3" borderId="6" xfId="2" applyNumberFormat="1" applyAlignment="1" applyProtection="1">
      <alignment horizontal="right"/>
      <protection locked="0"/>
    </xf>
    <xf numFmtId="174" fontId="8" fillId="4" borderId="6" xfId="3" applyNumberFormat="1" applyAlignment="1">
      <alignment horizontal="center"/>
    </xf>
    <xf numFmtId="177" fontId="8" fillId="4" borderId="6" xfId="3" applyNumberFormat="1" applyAlignment="1">
      <alignment horizontal="center"/>
    </xf>
    <xf numFmtId="170" fontId="8" fillId="4" borderId="6" xfId="3" applyNumberFormat="1" applyAlignment="1">
      <alignment horizontal="right"/>
    </xf>
    <xf numFmtId="171" fontId="8" fillId="4" borderId="6" xfId="3" applyNumberFormat="1"/>
    <xf numFmtId="0" fontId="2" fillId="2" borderId="9" xfId="1" applyBorder="1" applyAlignment="1">
      <alignment horizontal="right"/>
    </xf>
    <xf numFmtId="0" fontId="2" fillId="2" borderId="8" xfId="1" applyBorder="1" applyAlignment="1">
      <alignment horizontal="center"/>
    </xf>
    <xf numFmtId="0" fontId="2" fillId="2" borderId="8" xfId="1" applyBorder="1" applyAlignment="1">
      <alignment horizontal="left"/>
    </xf>
    <xf numFmtId="0" fontId="2" fillId="2" borderId="7" xfId="1" applyBorder="1" applyAlignment="1">
      <alignment horizontal="center"/>
    </xf>
    <xf numFmtId="165" fontId="7" fillId="3" borderId="6" xfId="2" applyNumberFormat="1" applyAlignment="1">
      <alignment horizontal="right"/>
    </xf>
    <xf numFmtId="172" fontId="7" fillId="3" borderId="6" xfId="2" applyNumberFormat="1" applyAlignment="1">
      <alignment horizontal="right"/>
    </xf>
    <xf numFmtId="175" fontId="7" fillId="3" borderId="6" xfId="2" applyNumberFormat="1" applyAlignment="1">
      <alignment horizontal="right"/>
    </xf>
    <xf numFmtId="176" fontId="8" fillId="4" borderId="6" xfId="3" applyNumberFormat="1" applyAlignment="1">
      <alignment horizontal="center"/>
    </xf>
    <xf numFmtId="167" fontId="8" fillId="4" borderId="6" xfId="3" applyNumberFormat="1" applyAlignment="1">
      <alignment horizontal="center" vertical="center"/>
    </xf>
    <xf numFmtId="169" fontId="8" fillId="4" borderId="6" xfId="3" applyNumberFormat="1" applyAlignment="1">
      <alignment horizontal="right" vertical="center"/>
    </xf>
    <xf numFmtId="167" fontId="7" fillId="3" borderId="6" xfId="2" applyNumberFormat="1" applyAlignment="1" applyProtection="1">
      <alignment horizontal="center" vertical="center"/>
      <protection locked="0"/>
    </xf>
    <xf numFmtId="166" fontId="8" fillId="4" borderId="6" xfId="3" applyNumberFormat="1" applyAlignment="1">
      <alignment horizontal="center" vertical="center"/>
    </xf>
    <xf numFmtId="166" fontId="7" fillId="3" borderId="6" xfId="2" applyNumberFormat="1" applyAlignment="1" applyProtection="1">
      <alignment horizontal="center" vertical="center"/>
      <protection locked="0"/>
    </xf>
    <xf numFmtId="165" fontId="7" fillId="3" borderId="6" xfId="2" applyNumberFormat="1" applyAlignment="1" applyProtection="1">
      <alignment horizontal="right" vertical="center"/>
      <protection locked="0"/>
    </xf>
    <xf numFmtId="166" fontId="8" fillId="4" borderId="6" xfId="3" applyNumberFormat="1" applyAlignment="1">
      <alignment horizontal="right" vertical="center"/>
    </xf>
    <xf numFmtId="178" fontId="8" fillId="4" borderId="6" xfId="3" applyNumberFormat="1" applyAlignment="1">
      <alignment horizontal="right" vertical="center"/>
    </xf>
    <xf numFmtId="0" fontId="2" fillId="2" borderId="2" xfId="1" applyBorder="1" applyAlignment="1">
      <alignment horizontal="left" vertical="center"/>
    </xf>
    <xf numFmtId="177" fontId="8" fillId="4" borderId="6" xfId="3" applyNumberFormat="1" applyAlignment="1">
      <alignment horizontal="right"/>
    </xf>
    <xf numFmtId="0" fontId="8" fillId="4" borderId="6" xfId="3" applyAlignment="1">
      <alignment horizontal="right"/>
    </xf>
    <xf numFmtId="167" fontId="8" fillId="4" borderId="6" xfId="3" applyNumberFormat="1" applyAlignment="1">
      <alignment horizontal="center"/>
    </xf>
    <xf numFmtId="0" fontId="8" fillId="4" borderId="6" xfId="3" applyAlignment="1">
      <alignment horizontal="center"/>
    </xf>
    <xf numFmtId="169" fontId="8" fillId="4" borderId="6" xfId="3" applyNumberFormat="1" applyAlignment="1">
      <alignment horizontal="right"/>
    </xf>
    <xf numFmtId="166" fontId="8" fillId="4" borderId="6" xfId="3" applyNumberFormat="1" applyAlignment="1">
      <alignment horizontal="center"/>
    </xf>
    <xf numFmtId="0" fontId="8" fillId="4" borderId="9" xfId="3" applyBorder="1" applyAlignment="1" applyProtection="1">
      <alignment horizontal="left" vertical="center"/>
    </xf>
    <xf numFmtId="166" fontId="8" fillId="4" borderId="6" xfId="3" applyNumberFormat="1" applyAlignment="1">
      <alignment horizontal="right"/>
    </xf>
    <xf numFmtId="178" fontId="8" fillId="4" borderId="6" xfId="3" applyNumberFormat="1" applyAlignment="1">
      <alignment horizontal="right"/>
    </xf>
    <xf numFmtId="3" fontId="2" fillId="2" borderId="0" xfId="1" applyNumberFormat="1" applyAlignment="1">
      <alignment horizontal="center"/>
    </xf>
    <xf numFmtId="9" fontId="8" fillId="4" borderId="6" xfId="3" applyNumberFormat="1"/>
    <xf numFmtId="180" fontId="8" fillId="4" borderId="6" xfId="3" applyNumberFormat="1" applyAlignment="1">
      <alignment horizontal="right"/>
    </xf>
    <xf numFmtId="14" fontId="7" fillId="3" borderId="6" xfId="2" applyNumberFormat="1" applyAlignment="1" applyProtection="1">
      <alignment horizontal="right" vertical="center"/>
      <protection locked="0"/>
    </xf>
    <xf numFmtId="0" fontId="2" fillId="2" borderId="2" xfId="1" applyBorder="1" applyAlignment="1" applyProtection="1">
      <alignment horizontal="center" vertical="center"/>
    </xf>
    <xf numFmtId="0" fontId="2" fillId="2" borderId="18" xfId="1" applyBorder="1" applyAlignment="1">
      <alignment horizontal="center" vertical="center"/>
    </xf>
    <xf numFmtId="0" fontId="2" fillId="2" borderId="3" xfId="1" quotePrefix="1" applyBorder="1" applyAlignment="1">
      <alignment horizontal="center" vertical="center"/>
    </xf>
    <xf numFmtId="9" fontId="8" fillId="4" borderId="6" xfId="3" applyNumberFormat="1" applyAlignment="1">
      <alignment horizontal="right" vertical="center"/>
    </xf>
    <xf numFmtId="179" fontId="7" fillId="3" borderId="6" xfId="2" applyNumberFormat="1" applyAlignment="1" applyProtection="1">
      <alignment horizontal="center" vertical="center"/>
      <protection locked="0"/>
    </xf>
    <xf numFmtId="0" fontId="2" fillId="2" borderId="2" xfId="1" applyBorder="1" applyAlignment="1" applyProtection="1">
      <alignment vertical="center"/>
    </xf>
    <xf numFmtId="170" fontId="8" fillId="4" borderId="6" xfId="3" applyNumberFormat="1" applyAlignment="1" applyProtection="1">
      <alignment horizontal="center" vertical="center"/>
    </xf>
    <xf numFmtId="0" fontId="6" fillId="0" borderId="0" xfId="0" applyFont="1" applyAlignment="1">
      <alignment vertical="center" wrapText="1"/>
    </xf>
    <xf numFmtId="0" fontId="42" fillId="0" borderId="0" xfId="0" applyFont="1" applyAlignment="1">
      <alignment horizontal="right" vertical="center"/>
    </xf>
    <xf numFmtId="0" fontId="6" fillId="0" borderId="26" xfId="0" applyFont="1" applyBorder="1" applyAlignment="1">
      <alignment horizontal="center" vertical="center"/>
    </xf>
    <xf numFmtId="0" fontId="6" fillId="0" borderId="24" xfId="0" applyFont="1" applyBorder="1" applyAlignment="1">
      <alignment horizontal="center" vertical="center"/>
    </xf>
    <xf numFmtId="3" fontId="8" fillId="4" borderId="6" xfId="3" applyNumberFormat="1" applyAlignment="1">
      <alignment horizontal="center" vertical="center"/>
    </xf>
    <xf numFmtId="3" fontId="8" fillId="4" borderId="6" xfId="3" applyNumberFormat="1" applyAlignment="1">
      <alignment horizontal="right" vertical="center"/>
    </xf>
    <xf numFmtId="0" fontId="2" fillId="2" borderId="36" xfId="1" applyBorder="1" applyAlignment="1">
      <alignment horizontal="center" vertical="center" wrapText="1"/>
    </xf>
    <xf numFmtId="0" fontId="2" fillId="2" borderId="36" xfId="1" applyBorder="1" applyAlignment="1">
      <alignment horizontal="center" vertical="center"/>
    </xf>
    <xf numFmtId="0" fontId="2" fillId="2" borderId="37" xfId="1" applyBorder="1" applyAlignment="1">
      <alignment horizontal="center" vertical="center"/>
    </xf>
    <xf numFmtId="0" fontId="2" fillId="2" borderId="36" xfId="1" applyBorder="1" applyAlignment="1">
      <alignment horizontal="center"/>
    </xf>
    <xf numFmtId="3" fontId="2" fillId="2" borderId="7" xfId="1" applyNumberFormat="1" applyBorder="1" applyAlignment="1">
      <alignment horizontal="center" vertical="center"/>
    </xf>
    <xf numFmtId="3" fontId="2" fillId="2" borderId="6" xfId="1" applyNumberFormat="1" applyBorder="1" applyAlignment="1">
      <alignment horizontal="center" vertical="center"/>
    </xf>
    <xf numFmtId="3" fontId="8" fillId="5" borderId="6" xfId="3" applyNumberFormat="1" applyFill="1" applyAlignment="1">
      <alignment horizontal="center" vertical="center"/>
    </xf>
    <xf numFmtId="0" fontId="5" fillId="2" borderId="36" xfId="1" applyFont="1" applyBorder="1" applyAlignment="1">
      <alignment horizontal="center" wrapText="1"/>
    </xf>
    <xf numFmtId="0" fontId="5" fillId="2" borderId="36" xfId="1" applyFont="1" applyBorder="1" applyAlignment="1">
      <alignment horizontal="center" vertical="center"/>
    </xf>
    <xf numFmtId="167" fontId="5" fillId="2" borderId="36" xfId="1" applyNumberFormat="1" applyFont="1" applyBorder="1" applyAlignment="1">
      <alignment horizontal="center" vertical="center"/>
    </xf>
    <xf numFmtId="3" fontId="6" fillId="0" borderId="0" xfId="0" applyNumberFormat="1" applyFont="1" applyAlignment="1">
      <alignment vertical="center"/>
    </xf>
    <xf numFmtId="0" fontId="10" fillId="0" borderId="36" xfId="0" applyFont="1" applyFill="1" applyBorder="1" applyAlignment="1">
      <alignment horizontal="center" vertical="center"/>
    </xf>
    <xf numFmtId="170" fontId="10" fillId="0" borderId="24" xfId="0" applyNumberFormat="1" applyFont="1" applyBorder="1" applyAlignment="1">
      <alignment vertical="center"/>
    </xf>
    <xf numFmtId="165" fontId="48" fillId="0" borderId="27" xfId="0" applyNumberFormat="1" applyFont="1" applyFill="1" applyBorder="1" applyAlignment="1">
      <alignment horizontal="right" vertical="center"/>
    </xf>
    <xf numFmtId="165" fontId="49" fillId="0" borderId="26" xfId="0" applyNumberFormat="1" applyFont="1" applyBorder="1" applyAlignment="1">
      <alignment vertical="center"/>
    </xf>
    <xf numFmtId="165" fontId="6" fillId="0" borderId="38" xfId="0" applyNumberFormat="1" applyFont="1" applyBorder="1" applyAlignment="1">
      <alignment vertical="center"/>
    </xf>
    <xf numFmtId="165" fontId="49" fillId="0" borderId="24" xfId="0" applyNumberFormat="1" applyFont="1" applyBorder="1" applyAlignment="1">
      <alignment vertical="center"/>
    </xf>
    <xf numFmtId="165" fontId="6" fillId="0" borderId="24" xfId="0" applyNumberFormat="1" applyFont="1" applyBorder="1" applyAlignment="1">
      <alignment vertical="center"/>
    </xf>
    <xf numFmtId="170" fontId="18" fillId="4" borderId="6" xfId="3" applyNumberFormat="1" applyFont="1" applyAlignment="1">
      <alignment horizontal="center" vertical="center"/>
    </xf>
    <xf numFmtId="167" fontId="18" fillId="4" borderId="6" xfId="3" applyNumberFormat="1" applyFont="1" applyAlignment="1">
      <alignment horizontal="center" vertical="center"/>
    </xf>
    <xf numFmtId="165" fontId="18" fillId="4" borderId="6" xfId="3" applyNumberFormat="1" applyFont="1" applyAlignment="1">
      <alignment horizontal="center" vertical="center"/>
    </xf>
    <xf numFmtId="3" fontId="6" fillId="0" borderId="0" xfId="0" applyNumberFormat="1" applyFont="1" applyAlignment="1">
      <alignment horizontal="left" vertical="center"/>
    </xf>
    <xf numFmtId="0" fontId="10" fillId="0" borderId="24" xfId="0" applyFont="1" applyBorder="1" applyAlignment="1">
      <alignment horizontal="center" vertical="center"/>
    </xf>
    <xf numFmtId="3" fontId="6" fillId="5" borderId="24" xfId="0" applyNumberFormat="1" applyFont="1" applyFill="1" applyBorder="1" applyAlignment="1">
      <alignment horizontal="center" vertical="center"/>
    </xf>
    <xf numFmtId="3" fontId="15" fillId="0" borderId="0" xfId="0" applyNumberFormat="1" applyFont="1" applyAlignment="1">
      <alignment horizontal="left" vertical="center"/>
    </xf>
    <xf numFmtId="0" fontId="50" fillId="0" borderId="0" xfId="0" applyFont="1" applyAlignment="1">
      <alignment horizontal="right"/>
    </xf>
    <xf numFmtId="0" fontId="47" fillId="0" borderId="0" xfId="0" applyFont="1"/>
    <xf numFmtId="0" fontId="0" fillId="0" borderId="0" xfId="0" applyAlignment="1">
      <alignment horizontal="right"/>
    </xf>
    <xf numFmtId="167" fontId="8" fillId="4" borderId="6" xfId="3" applyNumberFormat="1"/>
    <xf numFmtId="0" fontId="16" fillId="0" borderId="0" xfId="0" applyFont="1" applyFill="1"/>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7" fillId="3" borderId="6" xfId="2" applyAlignment="1" applyProtection="1">
      <alignment horizontal="right" vertical="center"/>
      <protection locked="0"/>
    </xf>
    <xf numFmtId="0" fontId="10" fillId="0" borderId="0" xfId="0" applyFont="1" applyAlignment="1" applyProtection="1">
      <alignment horizontal="center" vertical="center"/>
      <protection locked="0"/>
    </xf>
    <xf numFmtId="0" fontId="10" fillId="0" borderId="0" xfId="0" applyFont="1" applyFill="1"/>
    <xf numFmtId="166" fontId="8" fillId="4" borderId="9" xfId="3" applyNumberFormat="1" applyBorder="1" applyAlignment="1">
      <alignment horizontal="right" vertical="center"/>
    </xf>
    <xf numFmtId="0" fontId="6" fillId="0" borderId="40" xfId="0" applyFont="1" applyBorder="1" applyAlignment="1">
      <alignment vertical="center"/>
    </xf>
    <xf numFmtId="0" fontId="0" fillId="0" borderId="19" xfId="0" applyBorder="1"/>
    <xf numFmtId="0" fontId="6" fillId="0" borderId="41" xfId="0" applyFont="1" applyBorder="1" applyAlignment="1">
      <alignment vertical="center"/>
    </xf>
    <xf numFmtId="0" fontId="10" fillId="0" borderId="0" xfId="0" applyFont="1" applyAlignment="1" applyProtection="1">
      <alignment horizontal="right" vertical="center"/>
    </xf>
    <xf numFmtId="172" fontId="8" fillId="4" borderId="6" xfId="3" applyNumberFormat="1"/>
    <xf numFmtId="0" fontId="0" fillId="0" borderId="0" xfId="0"/>
    <xf numFmtId="0" fontId="6" fillId="0" borderId="0" xfId="0" applyFont="1" applyAlignment="1">
      <alignment vertical="center"/>
    </xf>
    <xf numFmtId="0" fontId="6" fillId="0" borderId="0" xfId="0" applyFont="1" applyAlignment="1" applyProtection="1">
      <alignment vertical="top"/>
    </xf>
    <xf numFmtId="177" fontId="8" fillId="4" borderId="41" xfId="3" applyNumberFormat="1" applyBorder="1" applyAlignment="1">
      <alignment horizontal="right" vertical="center"/>
    </xf>
    <xf numFmtId="170" fontId="18" fillId="0" borderId="6" xfId="0" applyNumberFormat="1" applyFont="1" applyBorder="1" applyAlignment="1">
      <alignment horizontal="center" vertical="center"/>
    </xf>
    <xf numFmtId="0" fontId="6" fillId="0" borderId="0" xfId="0" applyFont="1" applyAlignment="1" applyProtection="1">
      <alignment horizontal="right" vertical="top"/>
    </xf>
    <xf numFmtId="0" fontId="0" fillId="0" borderId="0" xfId="0" applyNumberFormat="1"/>
    <xf numFmtId="0" fontId="21" fillId="0" borderId="0" xfId="0" quotePrefix="1" applyFont="1" applyAlignment="1" applyProtection="1">
      <alignment horizontal="center" vertical="center"/>
      <protection locked="0"/>
    </xf>
    <xf numFmtId="0" fontId="11" fillId="0" borderId="0" xfId="0" applyFont="1" applyAlignment="1" applyProtection="1">
      <alignment vertical="center"/>
    </xf>
    <xf numFmtId="170" fontId="8" fillId="4" borderId="40" xfId="3" applyNumberFormat="1" applyBorder="1" applyAlignment="1">
      <alignment horizontal="center" vertical="center"/>
    </xf>
    <xf numFmtId="178" fontId="8" fillId="4" borderId="40" xfId="3" applyNumberFormat="1" applyBorder="1" applyAlignment="1">
      <alignment horizontal="right" vertical="center"/>
    </xf>
    <xf numFmtId="0" fontId="0" fillId="0" borderId="0" xfId="0"/>
    <xf numFmtId="0" fontId="6" fillId="0" borderId="0" xfId="0" applyFont="1" applyAlignment="1">
      <alignment horizontal="right" vertical="center"/>
    </xf>
    <xf numFmtId="0" fontId="6" fillId="0" borderId="0" xfId="0" applyFont="1" applyFill="1" applyAlignment="1">
      <alignment vertical="center"/>
    </xf>
    <xf numFmtId="0" fontId="53" fillId="0" borderId="0" xfId="0" applyFont="1" applyFill="1" applyAlignment="1">
      <alignment horizontal="center" vertical="center"/>
    </xf>
    <xf numFmtId="0" fontId="10" fillId="0" borderId="0" xfId="0" applyFont="1" applyFill="1" applyAlignment="1">
      <alignment horizontal="center" vertical="center"/>
    </xf>
    <xf numFmtId="178" fontId="7" fillId="3" borderId="6" xfId="2" applyNumberFormat="1" applyAlignment="1" applyProtection="1">
      <alignment horizontal="center" vertical="center"/>
      <protection locked="0"/>
    </xf>
    <xf numFmtId="0" fontId="7" fillId="3" borderId="6" xfId="2" applyAlignment="1">
      <alignment horizontal="right"/>
    </xf>
    <xf numFmtId="0" fontId="6" fillId="0" borderId="0" xfId="0" applyFont="1" applyAlignment="1">
      <alignment horizontal="right" vertical="center"/>
    </xf>
    <xf numFmtId="0" fontId="6" fillId="0" borderId="0" xfId="0" applyFont="1" applyAlignment="1">
      <alignment vertical="center"/>
    </xf>
    <xf numFmtId="0" fontId="16" fillId="0" borderId="0" xfId="0" applyFont="1"/>
    <xf numFmtId="0" fontId="0" fillId="0" borderId="0" xfId="0"/>
    <xf numFmtId="0" fontId="0" fillId="0" borderId="0" xfId="0" applyAlignment="1">
      <alignment vertical="top" wrapText="1"/>
    </xf>
    <xf numFmtId="0" fontId="6" fillId="0" borderId="0" xfId="0" applyFont="1" applyAlignment="1">
      <alignment horizontal="right" vertical="center"/>
    </xf>
    <xf numFmtId="0" fontId="0" fillId="0" borderId="0" xfId="0"/>
    <xf numFmtId="0" fontId="0" fillId="0" borderId="0" xfId="0" applyAlignment="1">
      <alignment wrapText="1"/>
    </xf>
    <xf numFmtId="0" fontId="6" fillId="0" borderId="0" xfId="0" applyFont="1" applyAlignment="1">
      <alignment vertical="top" wrapText="1"/>
    </xf>
    <xf numFmtId="0" fontId="14" fillId="0" borderId="0" xfId="0" applyFont="1" applyAlignment="1">
      <alignment vertical="top" wrapText="1"/>
    </xf>
    <xf numFmtId="0" fontId="0" fillId="0" borderId="0" xfId="0"/>
    <xf numFmtId="0" fontId="6" fillId="0" borderId="0" xfId="0" applyFont="1" applyAlignment="1">
      <alignment vertical="center"/>
    </xf>
    <xf numFmtId="0" fontId="47" fillId="4" borderId="6" xfId="3" applyFont="1" applyAlignment="1">
      <alignment wrapText="1"/>
    </xf>
    <xf numFmtId="0" fontId="6" fillId="0" borderId="0" xfId="0" applyFont="1" applyAlignment="1">
      <alignment horizontal="right" vertical="center"/>
    </xf>
    <xf numFmtId="0" fontId="0" fillId="0" borderId="0" xfId="0" applyFont="1" applyAlignment="1">
      <alignment horizontal="right" vertical="center"/>
    </xf>
    <xf numFmtId="0" fontId="51" fillId="2" borderId="37" xfId="1" applyFont="1" applyBorder="1" applyAlignment="1">
      <alignment horizontal="center" vertical="center"/>
    </xf>
    <xf numFmtId="0" fontId="51" fillId="2" borderId="45" xfId="1" applyFont="1" applyBorder="1" applyAlignment="1">
      <alignment horizontal="center" vertical="center"/>
    </xf>
    <xf numFmtId="0" fontId="6" fillId="0" borderId="0" xfId="0" applyFont="1" applyAlignment="1">
      <alignment horizontal="right" vertical="center"/>
    </xf>
    <xf numFmtId="0" fontId="0" fillId="0" borderId="0" xfId="0"/>
    <xf numFmtId="0" fontId="0" fillId="0" borderId="0" xfId="0"/>
    <xf numFmtId="0" fontId="38" fillId="2" borderId="36" xfId="1" applyFont="1" applyBorder="1" applyAlignment="1">
      <alignment horizontal="center" vertical="center"/>
    </xf>
    <xf numFmtId="177" fontId="8" fillId="4" borderId="6" xfId="3" applyNumberFormat="1" applyFont="1" applyAlignment="1">
      <alignment horizontal="center" vertical="center"/>
    </xf>
    <xf numFmtId="0" fontId="2" fillId="2" borderId="0" xfId="1"/>
    <xf numFmtId="0" fontId="0" fillId="0" borderId="0" xfId="0"/>
    <xf numFmtId="0" fontId="7" fillId="3" borderId="6" xfId="2" applyAlignment="1">
      <alignment horizontal="right"/>
    </xf>
    <xf numFmtId="0" fontId="0" fillId="0" borderId="0" xfId="0"/>
    <xf numFmtId="177" fontId="7" fillId="3" borderId="6" xfId="2" applyNumberFormat="1" applyAlignment="1" applyProtection="1">
      <alignment horizontal="center" vertical="center"/>
      <protection locked="0"/>
    </xf>
    <xf numFmtId="0" fontId="60" fillId="0" borderId="0" xfId="0" applyFont="1" applyAlignment="1">
      <alignment horizontal="right" vertical="center"/>
    </xf>
    <xf numFmtId="177" fontId="61" fillId="4" borderId="46" xfId="8" applyNumberFormat="1" applyFont="1" applyAlignment="1">
      <alignment horizontal="right" vertical="center"/>
    </xf>
    <xf numFmtId="0" fontId="0" fillId="0" borderId="0" xfId="0"/>
    <xf numFmtId="0" fontId="6" fillId="0" borderId="0" xfId="0" applyFont="1" applyAlignment="1">
      <alignment horizontal="right" vertical="center"/>
    </xf>
    <xf numFmtId="0" fontId="7" fillId="3" borderId="6" xfId="2" applyAlignment="1">
      <alignment horizontal="right"/>
    </xf>
    <xf numFmtId="186" fontId="8" fillId="4" borderId="6" xfId="3" applyNumberFormat="1"/>
    <xf numFmtId="0" fontId="21" fillId="0" borderId="0" xfId="0" applyFont="1" applyAlignment="1" applyProtection="1">
      <alignment horizontal="center" vertical="center"/>
    </xf>
    <xf numFmtId="0" fontId="8" fillId="4" borderId="6" xfId="3" applyNumberFormat="1" applyAlignment="1">
      <alignment horizontal="center" vertical="center"/>
    </xf>
    <xf numFmtId="0" fontId="12" fillId="0" borderId="0" xfId="0" applyFont="1" applyAlignment="1">
      <alignment horizontal="right" vertical="center"/>
    </xf>
    <xf numFmtId="0" fontId="4" fillId="0" borderId="0" xfId="0" applyFont="1" applyAlignment="1">
      <alignment horizontal="center" vertical="center" wrapText="1"/>
    </xf>
    <xf numFmtId="0" fontId="4" fillId="0" borderId="0" xfId="0" applyFont="1" applyAlignment="1">
      <alignment horizontal="right" vertical="center"/>
    </xf>
    <xf numFmtId="0" fontId="6" fillId="5" borderId="0" xfId="0" applyFont="1" applyFill="1" applyAlignment="1">
      <alignment horizontal="center"/>
    </xf>
    <xf numFmtId="0" fontId="4" fillId="0" borderId="0" xfId="0" applyFont="1" applyAlignment="1">
      <alignment horizontal="center" vertical="center"/>
    </xf>
    <xf numFmtId="0" fontId="12" fillId="0" borderId="0" xfId="0" applyFont="1" applyAlignment="1">
      <alignment horizontal="center" vertical="center"/>
    </xf>
    <xf numFmtId="0" fontId="65" fillId="0" borderId="0" xfId="0" applyFont="1" applyAlignment="1">
      <alignment horizontal="center" vertical="center"/>
    </xf>
    <xf numFmtId="0" fontId="4" fillId="0" borderId="0" xfId="0" applyFont="1"/>
    <xf numFmtId="0" fontId="4" fillId="0" borderId="0" xfId="0" applyFont="1" applyAlignment="1" applyProtection="1">
      <alignment horizontal="center" vertical="center"/>
      <protection hidden="1"/>
    </xf>
    <xf numFmtId="0" fontId="66" fillId="0" borderId="0" xfId="0" applyFont="1" applyAlignment="1">
      <alignment horizontal="center" vertical="center" wrapText="1"/>
    </xf>
    <xf numFmtId="0" fontId="12" fillId="0" borderId="0" xfId="0" quotePrefix="1" applyFont="1" applyAlignment="1">
      <alignment vertical="center"/>
    </xf>
    <xf numFmtId="0" fontId="67" fillId="0" borderId="0" xfId="0" applyFont="1" applyAlignment="1">
      <alignment horizontal="center" vertical="center"/>
    </xf>
    <xf numFmtId="0" fontId="68" fillId="0" borderId="0" xfId="0" applyFont="1" applyAlignment="1">
      <alignment horizontal="center" vertical="center"/>
    </xf>
    <xf numFmtId="0" fontId="63" fillId="0" borderId="0" xfId="0" applyFont="1" applyFill="1" applyBorder="1" applyAlignment="1">
      <alignment horizontal="left"/>
    </xf>
    <xf numFmtId="0" fontId="63" fillId="0" borderId="0" xfId="0" applyFont="1"/>
    <xf numFmtId="0" fontId="8" fillId="4" borderId="6" xfId="3" applyNumberFormat="1" applyFont="1" applyAlignment="1">
      <alignment horizontal="center" vertical="center"/>
    </xf>
    <xf numFmtId="0" fontId="58" fillId="0" borderId="0" xfId="7" applyAlignment="1">
      <alignment horizontal="right" vertical="top"/>
    </xf>
    <xf numFmtId="0" fontId="11" fillId="0" borderId="0" xfId="0" applyFont="1" applyAlignment="1">
      <alignment vertical="center"/>
    </xf>
    <xf numFmtId="0" fontId="0" fillId="0" borderId="0" xfId="0"/>
    <xf numFmtId="0" fontId="12" fillId="0" borderId="0" xfId="0" applyFont="1" applyAlignment="1">
      <alignment horizontal="center" vertical="center"/>
    </xf>
    <xf numFmtId="0" fontId="6" fillId="0" borderId="0" xfId="0" applyFont="1" applyAlignment="1">
      <alignment horizontal="right" vertical="center"/>
    </xf>
    <xf numFmtId="0" fontId="0" fillId="0" borderId="0" xfId="0" applyAlignment="1">
      <alignment vertical="center"/>
    </xf>
    <xf numFmtId="0" fontId="6" fillId="0" borderId="0" xfId="0" applyFont="1" applyAlignment="1">
      <alignment vertical="center"/>
    </xf>
    <xf numFmtId="0" fontId="69" fillId="0" borderId="47" xfId="0" applyFont="1" applyBorder="1" applyAlignment="1">
      <alignment horizontal="right" vertical="center"/>
    </xf>
    <xf numFmtId="0" fontId="0" fillId="0" borderId="0" xfId="0"/>
    <xf numFmtId="0" fontId="70" fillId="0" borderId="0" xfId="0" applyFont="1" applyAlignment="1">
      <alignment horizontal="left" vertical="top" wrapText="1"/>
    </xf>
    <xf numFmtId="0" fontId="2" fillId="2" borderId="6" xfId="1" applyFont="1" applyBorder="1" applyAlignment="1">
      <alignment horizontal="center" vertical="center"/>
    </xf>
    <xf numFmtId="0" fontId="7" fillId="3" borderId="6" xfId="2" applyFont="1" applyAlignment="1">
      <alignment horizontal="center" vertical="center"/>
    </xf>
    <xf numFmtId="0" fontId="8" fillId="4" borderId="6" xfId="3" applyFont="1" applyAlignment="1">
      <alignment horizontal="center" vertical="center"/>
    </xf>
    <xf numFmtId="170" fontId="46" fillId="6" borderId="6" xfId="5" applyNumberFormat="1" applyFont="1" applyBorder="1" applyAlignment="1">
      <alignment horizontal="center" vertical="center"/>
    </xf>
    <xf numFmtId="0" fontId="10" fillId="0" borderId="0" xfId="0" applyFont="1" applyBorder="1" applyAlignment="1">
      <alignment horizontal="center" vertical="center"/>
    </xf>
    <xf numFmtId="0" fontId="0" fillId="0" borderId="0" xfId="0" applyFont="1" applyAlignment="1">
      <alignment wrapText="1"/>
    </xf>
    <xf numFmtId="0" fontId="14" fillId="0" borderId="0" xfId="0" applyFont="1" applyBorder="1" applyAlignment="1">
      <alignment horizontal="center" vertical="center"/>
    </xf>
    <xf numFmtId="0" fontId="0" fillId="0" borderId="0" xfId="0" applyFont="1"/>
    <xf numFmtId="0" fontId="37" fillId="0" borderId="0" xfId="0" applyFont="1"/>
    <xf numFmtId="0" fontId="69" fillId="0" borderId="0" xfId="0" applyFont="1" applyAlignment="1">
      <alignment vertical="center"/>
    </xf>
    <xf numFmtId="0" fontId="37" fillId="0" borderId="0" xfId="0" applyFont="1" applyAlignment="1">
      <alignment vertical="top" wrapText="1"/>
    </xf>
    <xf numFmtId="0" fontId="10" fillId="0" borderId="0" xfId="0" applyFont="1" applyAlignment="1">
      <alignment horizontal="left" vertical="center" indent="5"/>
    </xf>
    <xf numFmtId="0" fontId="10" fillId="0" borderId="0" xfId="0" applyFont="1"/>
    <xf numFmtId="0" fontId="10" fillId="0" borderId="0" xfId="0" applyFont="1" applyAlignment="1">
      <alignment vertical="top" wrapText="1"/>
    </xf>
    <xf numFmtId="0" fontId="56" fillId="0" borderId="0" xfId="6" applyFont="1" applyAlignment="1">
      <alignment horizontal="center" vertical="center"/>
    </xf>
    <xf numFmtId="0" fontId="71" fillId="0" borderId="0" xfId="0" applyFont="1" applyAlignment="1">
      <alignment horizontal="center" vertical="center"/>
    </xf>
    <xf numFmtId="0" fontId="6" fillId="0" borderId="0" xfId="0" applyFont="1" applyAlignment="1">
      <alignment horizontal="right" vertical="center" wrapText="1"/>
    </xf>
    <xf numFmtId="0" fontId="58" fillId="0" borderId="0" xfId="7" applyAlignment="1">
      <alignment horizontal="left" vertical="top" indent="13"/>
    </xf>
    <xf numFmtId="0" fontId="6" fillId="0" borderId="0" xfId="0" applyFont="1" applyAlignment="1">
      <alignment horizontal="right" vertical="center"/>
    </xf>
    <xf numFmtId="0" fontId="0" fillId="0" borderId="0" xfId="0" applyAlignment="1">
      <alignment vertical="center"/>
    </xf>
    <xf numFmtId="0" fontId="6" fillId="0" borderId="0" xfId="0" applyFont="1" applyAlignment="1">
      <alignment vertical="center"/>
    </xf>
    <xf numFmtId="0" fontId="10" fillId="0" borderId="0" xfId="0" applyFont="1" applyAlignment="1">
      <alignment horizontal="center"/>
    </xf>
    <xf numFmtId="172" fontId="7" fillId="3" borderId="6" xfId="2" applyNumberFormat="1" applyAlignment="1" applyProtection="1">
      <alignment horizontal="center" vertical="center"/>
      <protection locked="0"/>
    </xf>
    <xf numFmtId="0" fontId="31" fillId="0" borderId="0" xfId="0" applyFont="1" applyAlignment="1">
      <alignment horizontal="right" vertical="center"/>
    </xf>
    <xf numFmtId="0" fontId="0" fillId="0" borderId="0" xfId="0"/>
    <xf numFmtId="0" fontId="10" fillId="0" borderId="0" xfId="0" applyFont="1" applyAlignment="1">
      <alignment horizontal="left" vertical="center"/>
    </xf>
    <xf numFmtId="0" fontId="6" fillId="0" borderId="0" xfId="0" applyFont="1" applyAlignment="1">
      <alignment horizontal="right" vertical="center"/>
    </xf>
    <xf numFmtId="0" fontId="0" fillId="0" borderId="0" xfId="0" applyAlignment="1">
      <alignment vertical="center"/>
    </xf>
    <xf numFmtId="0" fontId="6" fillId="0" borderId="0" xfId="0" applyFont="1" applyAlignment="1">
      <alignment vertical="center"/>
    </xf>
    <xf numFmtId="0" fontId="37" fillId="0" borderId="0" xfId="0" applyFont="1" applyAlignment="1">
      <alignment vertical="top"/>
    </xf>
    <xf numFmtId="0" fontId="10" fillId="0" borderId="0" xfId="0" applyFont="1"/>
    <xf numFmtId="0" fontId="7" fillId="3" borderId="6" xfId="2" applyAlignment="1" applyProtection="1">
      <alignment vertical="center"/>
      <protection locked="0"/>
    </xf>
    <xf numFmtId="0" fontId="6" fillId="0" borderId="0" xfId="0" applyFont="1" applyAlignment="1">
      <alignment horizontal="right" vertical="center"/>
    </xf>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vertical="top"/>
    </xf>
    <xf numFmtId="0" fontId="6" fillId="0" borderId="0" xfId="0" applyFont="1" applyAlignment="1">
      <alignment horizontal="center" vertical="center"/>
    </xf>
    <xf numFmtId="0" fontId="0" fillId="0" borderId="0" xfId="0" applyAlignment="1">
      <alignment vertical="center"/>
    </xf>
    <xf numFmtId="0" fontId="6" fillId="0" borderId="0" xfId="0" applyFont="1" applyAlignment="1">
      <alignment vertical="center"/>
    </xf>
    <xf numFmtId="0" fontId="56" fillId="0" borderId="0" xfId="6"/>
    <xf numFmtId="0" fontId="58" fillId="0" borderId="0" xfId="7"/>
    <xf numFmtId="0" fontId="73" fillId="0" borderId="10" xfId="0" applyFont="1" applyBorder="1" applyAlignment="1">
      <alignment horizontal="center" vertical="center" wrapText="1"/>
    </xf>
    <xf numFmtId="0" fontId="74" fillId="0" borderId="0" xfId="0" applyFont="1" applyAlignment="1">
      <alignment vertical="center"/>
    </xf>
    <xf numFmtId="0" fontId="74" fillId="0" borderId="0" xfId="0" applyFont="1"/>
    <xf numFmtId="2" fontId="74" fillId="0" borderId="24" xfId="0" applyNumberFormat="1" applyFont="1" applyBorder="1" applyAlignment="1">
      <alignment vertical="center"/>
    </xf>
    <xf numFmtId="164" fontId="74" fillId="0" borderId="24" xfId="0" applyNumberFormat="1" applyFont="1" applyBorder="1" applyAlignment="1">
      <alignment vertical="center"/>
    </xf>
    <xf numFmtId="0" fontId="74" fillId="0" borderId="34" xfId="0" applyFont="1" applyBorder="1" applyAlignment="1">
      <alignment vertical="center"/>
    </xf>
    <xf numFmtId="0" fontId="76" fillId="0" borderId="33" xfId="0" applyFont="1" applyBorder="1" applyAlignment="1">
      <alignment horizontal="right" vertical="center"/>
    </xf>
    <xf numFmtId="0" fontId="74" fillId="0" borderId="33" xfId="0" applyFont="1" applyBorder="1" applyAlignment="1">
      <alignment vertical="center"/>
    </xf>
    <xf numFmtId="0" fontId="74" fillId="0" borderId="32" xfId="0" applyFont="1" applyBorder="1" applyAlignment="1">
      <alignment vertical="center"/>
    </xf>
    <xf numFmtId="0" fontId="74" fillId="0" borderId="31" xfId="0" applyFont="1" applyBorder="1" applyAlignment="1">
      <alignment vertical="center"/>
    </xf>
    <xf numFmtId="0" fontId="76" fillId="0" borderId="0" xfId="0" applyFont="1" applyAlignment="1">
      <alignment horizontal="right" vertical="center"/>
    </xf>
    <xf numFmtId="3" fontId="77" fillId="4" borderId="6" xfId="3" applyNumberFormat="1" applyFont="1" applyAlignment="1">
      <alignment vertical="center"/>
    </xf>
    <xf numFmtId="0" fontId="74" fillId="0" borderId="30" xfId="0" applyFont="1" applyBorder="1" applyAlignment="1">
      <alignment vertical="center"/>
    </xf>
    <xf numFmtId="0" fontId="76" fillId="0" borderId="0" xfId="0" applyFont="1" applyAlignment="1">
      <alignment vertical="center"/>
    </xf>
    <xf numFmtId="0" fontId="77" fillId="4" borderId="6" xfId="3" applyFont="1" applyAlignment="1">
      <alignment horizontal="center" vertical="center"/>
    </xf>
    <xf numFmtId="9" fontId="77" fillId="4" borderId="6" xfId="3" applyNumberFormat="1" applyFont="1" applyAlignment="1">
      <alignment horizontal="center" vertical="center"/>
    </xf>
    <xf numFmtId="2" fontId="77" fillId="4" borderId="6" xfId="3" applyNumberFormat="1" applyFont="1" applyAlignment="1">
      <alignment horizontal="center" vertical="center"/>
    </xf>
    <xf numFmtId="10" fontId="77" fillId="4" borderId="6" xfId="3" applyNumberFormat="1" applyFont="1" applyAlignment="1">
      <alignment horizontal="center" vertical="center"/>
    </xf>
    <xf numFmtId="0" fontId="74" fillId="0" borderId="29" xfId="0" applyFont="1" applyBorder="1" applyAlignment="1">
      <alignment vertical="center"/>
    </xf>
    <xf numFmtId="0" fontId="76" fillId="0" borderId="28" xfId="0" applyFont="1" applyBorder="1" applyAlignment="1">
      <alignment vertical="center"/>
    </xf>
    <xf numFmtId="0" fontId="74" fillId="0" borderId="28" xfId="0" applyFont="1" applyBorder="1"/>
    <xf numFmtId="0" fontId="74" fillId="0" borderId="27" xfId="0" applyFont="1" applyBorder="1" applyAlignment="1">
      <alignment vertical="center"/>
    </xf>
    <xf numFmtId="0" fontId="74" fillId="0" borderId="28" xfId="0" applyFont="1" applyBorder="1" applyAlignment="1">
      <alignment vertical="center"/>
    </xf>
    <xf numFmtId="0" fontId="76" fillId="0" borderId="0" xfId="0" applyFont="1"/>
    <xf numFmtId="181" fontId="74" fillId="0" borderId="0" xfId="0" applyNumberFormat="1" applyFont="1" applyAlignment="1">
      <alignment vertical="center"/>
    </xf>
    <xf numFmtId="0" fontId="76" fillId="0" borderId="33" xfId="0" applyFont="1" applyBorder="1" applyAlignment="1">
      <alignment vertical="center"/>
    </xf>
    <xf numFmtId="164" fontId="77" fillId="4" borderId="6" xfId="3" applyNumberFormat="1" applyFont="1" applyAlignment="1">
      <alignment vertical="center"/>
    </xf>
    <xf numFmtId="0" fontId="74" fillId="0" borderId="29" xfId="0" applyFont="1" applyBorder="1"/>
    <xf numFmtId="0" fontId="76" fillId="0" borderId="28" xfId="0" applyFont="1" applyBorder="1"/>
    <xf numFmtId="0" fontId="74" fillId="0" borderId="27" xfId="0" applyFont="1" applyBorder="1"/>
    <xf numFmtId="2" fontId="76" fillId="0" borderId="0" xfId="0" applyNumberFormat="1" applyFont="1" applyAlignment="1">
      <alignment vertical="center"/>
    </xf>
    <xf numFmtId="2" fontId="74" fillId="0" borderId="0" xfId="0" applyNumberFormat="1" applyFont="1" applyAlignment="1">
      <alignment vertical="center"/>
    </xf>
    <xf numFmtId="181" fontId="78" fillId="0" borderId="0" xfId="0" applyNumberFormat="1" applyFont="1" applyAlignment="1">
      <alignment vertical="center"/>
    </xf>
    <xf numFmtId="2" fontId="74" fillId="0" borderId="24" xfId="0" applyNumberFormat="1" applyFont="1" applyBorder="1" applyAlignment="1" applyProtection="1">
      <alignment vertical="center"/>
      <protection hidden="1"/>
    </xf>
    <xf numFmtId="164" fontId="74" fillId="0" borderId="24" xfId="0" applyNumberFormat="1" applyFont="1" applyBorder="1" applyAlignment="1" applyProtection="1">
      <alignment vertical="center"/>
      <protection hidden="1"/>
    </xf>
    <xf numFmtId="0" fontId="74" fillId="0" borderId="28" xfId="0" quotePrefix="1" applyFont="1" applyBorder="1" applyAlignment="1">
      <alignment vertical="center"/>
    </xf>
    <xf numFmtId="0" fontId="74" fillId="0" borderId="0" xfId="0" quotePrefix="1" applyFont="1" applyAlignment="1">
      <alignment vertical="center"/>
    </xf>
    <xf numFmtId="164" fontId="76" fillId="0" borderId="0" xfId="0" applyNumberFormat="1" applyFont="1" applyAlignment="1">
      <alignment horizontal="right" vertical="center"/>
    </xf>
    <xf numFmtId="164" fontId="74" fillId="0" borderId="0" xfId="0" applyNumberFormat="1" applyFont="1" applyAlignment="1">
      <alignment horizontal="right" vertical="center"/>
    </xf>
    <xf numFmtId="3" fontId="74" fillId="0" borderId="6" xfId="0" applyNumberFormat="1" applyFont="1" applyBorder="1" applyAlignment="1">
      <alignment vertical="center"/>
    </xf>
    <xf numFmtId="183" fontId="76" fillId="0" borderId="0" xfId="0" applyNumberFormat="1" applyFont="1" applyAlignment="1">
      <alignment horizontal="right" vertical="center" wrapText="1"/>
    </xf>
    <xf numFmtId="0" fontId="79" fillId="0" borderId="0" xfId="0" applyFont="1" applyAlignment="1">
      <alignment vertical="center"/>
    </xf>
    <xf numFmtId="183" fontId="76" fillId="0" borderId="0" xfId="0" applyNumberFormat="1" applyFont="1" applyAlignment="1">
      <alignment horizontal="right" vertical="center"/>
    </xf>
    <xf numFmtId="183" fontId="74" fillId="0" borderId="0" xfId="0" applyNumberFormat="1" applyFont="1" applyAlignment="1">
      <alignment horizontal="right" vertical="center"/>
    </xf>
    <xf numFmtId="164" fontId="74" fillId="0" borderId="6" xfId="0" applyNumberFormat="1" applyFont="1" applyBorder="1" applyAlignment="1">
      <alignment horizontal="right" vertical="center"/>
    </xf>
    <xf numFmtId="0" fontId="74" fillId="0" borderId="0" xfId="0" applyFont="1" applyAlignment="1">
      <alignment horizontal="right" vertical="center"/>
    </xf>
    <xf numFmtId="0" fontId="80" fillId="0" borderId="31" xfId="0" applyFont="1" applyBorder="1" applyAlignment="1">
      <alignment vertical="center"/>
    </xf>
    <xf numFmtId="183" fontId="76" fillId="0" borderId="0" xfId="0" quotePrefix="1" applyNumberFormat="1" applyFont="1" applyAlignment="1">
      <alignment horizontal="right" vertical="center"/>
    </xf>
    <xf numFmtId="183" fontId="74" fillId="0" borderId="0" xfId="0" quotePrefix="1" applyNumberFormat="1" applyFont="1" applyAlignment="1">
      <alignment horizontal="right" vertical="center"/>
    </xf>
    <xf numFmtId="10" fontId="77" fillId="4" borderId="6" xfId="3" applyNumberFormat="1" applyFont="1" applyAlignment="1">
      <alignment vertical="center"/>
    </xf>
    <xf numFmtId="0" fontId="76" fillId="0" borderId="0" xfId="0" applyFont="1" applyAlignment="1">
      <alignment horizontal="left" vertical="center"/>
    </xf>
    <xf numFmtId="2" fontId="74" fillId="0" borderId="0" xfId="0" applyNumberFormat="1" applyFont="1" applyAlignment="1">
      <alignment horizontal="center" vertical="center"/>
    </xf>
    <xf numFmtId="0" fontId="74" fillId="0" borderId="0" xfId="0" applyFont="1" applyAlignment="1">
      <alignment horizontal="left" vertical="center"/>
    </xf>
    <xf numFmtId="0" fontId="76" fillId="0" borderId="0" xfId="0" quotePrefix="1" applyFont="1" applyAlignment="1">
      <alignment horizontal="right" vertical="center"/>
    </xf>
    <xf numFmtId="0" fontId="74" fillId="0" borderId="0" xfId="0" quotePrefix="1" applyFont="1" applyAlignment="1">
      <alignment horizontal="right" vertical="center"/>
    </xf>
    <xf numFmtId="10" fontId="81" fillId="3" borderId="6" xfId="2" applyNumberFormat="1" applyFont="1" applyAlignment="1" applyProtection="1">
      <alignment vertical="center"/>
      <protection locked="0"/>
    </xf>
    <xf numFmtId="183" fontId="80" fillId="0" borderId="0" xfId="0" quotePrefix="1" applyNumberFormat="1" applyFont="1" applyAlignment="1">
      <alignment horizontal="right" vertical="center"/>
    </xf>
    <xf numFmtId="3" fontId="74" fillId="0" borderId="0" xfId="0" applyNumberFormat="1" applyFont="1" applyAlignment="1">
      <alignment vertical="center"/>
    </xf>
    <xf numFmtId="0" fontId="76" fillId="0" borderId="0" xfId="0" quotePrefix="1" applyFont="1" applyAlignment="1">
      <alignment vertical="center"/>
    </xf>
    <xf numFmtId="0" fontId="74" fillId="0" borderId="0" xfId="0" quotePrefix="1" applyFont="1" applyAlignment="1">
      <alignment horizontal="center" vertical="center"/>
    </xf>
    <xf numFmtId="0" fontId="74" fillId="0" borderId="0" xfId="0" applyFont="1" applyAlignment="1">
      <alignment horizontal="center" vertical="center"/>
    </xf>
    <xf numFmtId="0" fontId="78" fillId="0" borderId="0" xfId="0" applyFont="1" applyAlignment="1">
      <alignment horizontal="left" vertical="center"/>
    </xf>
    <xf numFmtId="164" fontId="74" fillId="0" borderId="0" xfId="0" applyNumberFormat="1" applyFont="1" applyAlignment="1">
      <alignment vertical="center"/>
    </xf>
    <xf numFmtId="164" fontId="74" fillId="0" borderId="28" xfId="0" quotePrefix="1" applyNumberFormat="1" applyFont="1" applyBorder="1" applyAlignment="1">
      <alignment vertical="center"/>
    </xf>
    <xf numFmtId="0" fontId="74" fillId="0" borderId="27" xfId="0" quotePrefix="1" applyFont="1" applyBorder="1" applyAlignment="1">
      <alignment vertical="center"/>
    </xf>
    <xf numFmtId="3" fontId="74" fillId="0" borderId="29" xfId="0" applyNumberFormat="1" applyFont="1" applyBorder="1" applyAlignment="1">
      <alignment vertical="center"/>
    </xf>
    <xf numFmtId="0" fontId="80" fillId="0" borderId="28" xfId="0" applyFont="1" applyBorder="1" applyAlignment="1">
      <alignment horizontal="right" vertical="center"/>
    </xf>
    <xf numFmtId="164" fontId="82" fillId="0" borderId="0" xfId="0" applyNumberFormat="1" applyFont="1" applyAlignment="1">
      <alignment vertical="center"/>
    </xf>
    <xf numFmtId="164" fontId="74" fillId="0" borderId="0" xfId="0" quotePrefix="1" applyNumberFormat="1" applyFont="1" applyAlignment="1">
      <alignment vertical="center"/>
    </xf>
    <xf numFmtId="0" fontId="74" fillId="0" borderId="33" xfId="0" applyFont="1" applyBorder="1"/>
    <xf numFmtId="0" fontId="74" fillId="0" borderId="32" xfId="0" applyFont="1" applyBorder="1"/>
    <xf numFmtId="181" fontId="74" fillId="0" borderId="0" xfId="0" applyNumberFormat="1" applyFont="1" applyAlignment="1">
      <alignment horizontal="right" vertical="center"/>
    </xf>
    <xf numFmtId="0" fontId="74" fillId="0" borderId="30" xfId="0" applyFont="1" applyBorder="1"/>
    <xf numFmtId="182" fontId="77" fillId="4" borderId="6" xfId="3" applyNumberFormat="1" applyFont="1" applyAlignment="1">
      <alignment vertical="center"/>
    </xf>
    <xf numFmtId="2" fontId="74" fillId="0" borderId="0" xfId="0" applyNumberFormat="1" applyFont="1"/>
    <xf numFmtId="181" fontId="74" fillId="0" borderId="0" xfId="0" applyNumberFormat="1" applyFont="1"/>
    <xf numFmtId="2" fontId="76" fillId="0" borderId="0" xfId="0" applyNumberFormat="1" applyFont="1" applyFill="1" applyAlignment="1">
      <alignment vertical="center"/>
    </xf>
    <xf numFmtId="0" fontId="83" fillId="0" borderId="0" xfId="0" applyFont="1" applyAlignment="1">
      <alignment horizontal="right"/>
    </xf>
    <xf numFmtId="0" fontId="2" fillId="2" borderId="0" xfId="1" applyAlignment="1">
      <alignment horizontal="center" vertical="center"/>
    </xf>
    <xf numFmtId="170" fontId="74" fillId="0" borderId="0" xfId="0" applyNumberFormat="1" applyFont="1" applyAlignment="1">
      <alignment vertical="center"/>
    </xf>
    <xf numFmtId="0" fontId="52" fillId="3" borderId="6" xfId="2" applyFont="1" applyAlignment="1" applyProtection="1">
      <alignment vertical="center"/>
      <protection locked="0"/>
    </xf>
    <xf numFmtId="0" fontId="10" fillId="0" borderId="0" xfId="0" applyFont="1" applyAlignment="1">
      <alignment vertical="top" wrapText="1"/>
    </xf>
    <xf numFmtId="0" fontId="0" fillId="0" borderId="0" xfId="0" applyFont="1" applyAlignment="1">
      <alignment vertical="top" wrapText="1"/>
    </xf>
    <xf numFmtId="0" fontId="4" fillId="0" borderId="0" xfId="0" applyFont="1" applyAlignment="1">
      <alignment horizontal="center" vertical="center"/>
    </xf>
    <xf numFmtId="0" fontId="62" fillId="0" borderId="0" xfId="0" applyFont="1" applyAlignment="1">
      <alignment horizontal="center" vertical="center"/>
    </xf>
    <xf numFmtId="0" fontId="10" fillId="0" borderId="0" xfId="0" applyFont="1" applyAlignment="1">
      <alignment horizontal="left" vertical="top" wrapText="1"/>
    </xf>
    <xf numFmtId="0" fontId="0" fillId="0" borderId="0" xfId="0" applyFont="1" applyAlignment="1">
      <alignment wrapText="1"/>
    </xf>
    <xf numFmtId="0" fontId="10" fillId="0" borderId="0" xfId="0" applyFont="1" applyAlignment="1">
      <alignment vertical="center"/>
    </xf>
    <xf numFmtId="0" fontId="0" fillId="0" borderId="0" xfId="0" applyFont="1"/>
    <xf numFmtId="0" fontId="69" fillId="0" borderId="0" xfId="0" applyFont="1" applyAlignment="1">
      <alignment vertical="top"/>
    </xf>
    <xf numFmtId="0" fontId="0" fillId="0" borderId="0" xfId="0" applyAlignment="1">
      <alignment vertical="top"/>
    </xf>
    <xf numFmtId="0" fontId="58" fillId="0" borderId="0" xfId="7" applyBorder="1" applyAlignment="1">
      <alignment vertical="top" wrapText="1"/>
    </xf>
    <xf numFmtId="0" fontId="10" fillId="0" borderId="0" xfId="0" applyFont="1"/>
    <xf numFmtId="0" fontId="10" fillId="0" borderId="0" xfId="0" applyFont="1" applyAlignment="1">
      <alignment wrapText="1"/>
    </xf>
    <xf numFmtId="0" fontId="72" fillId="2" borderId="8" xfId="1" applyFont="1" applyBorder="1" applyAlignment="1" applyProtection="1">
      <alignment vertical="center"/>
    </xf>
    <xf numFmtId="0" fontId="72" fillId="0" borderId="8" xfId="0" applyFont="1" applyBorder="1" applyAlignment="1" applyProtection="1"/>
    <xf numFmtId="0" fontId="72" fillId="0" borderId="7" xfId="0" applyFont="1" applyBorder="1" applyAlignment="1" applyProtection="1"/>
    <xf numFmtId="0" fontId="4" fillId="0" borderId="11" xfId="0" applyFont="1" applyBorder="1" applyAlignment="1">
      <alignment horizontal="center" vertical="center"/>
    </xf>
    <xf numFmtId="0" fontId="0" fillId="0" borderId="11" xfId="0" applyBorder="1" applyAlignment="1">
      <alignment horizontal="center" vertical="center"/>
    </xf>
    <xf numFmtId="0" fontId="7" fillId="3" borderId="6" xfId="2" applyAlignment="1" applyProtection="1">
      <alignment vertical="center"/>
      <protection locked="0"/>
    </xf>
    <xf numFmtId="0" fontId="7" fillId="3" borderId="6" xfId="2" applyNumberFormat="1" applyAlignment="1" applyProtection="1">
      <alignment vertical="top" wrapText="1"/>
      <protection locked="0"/>
    </xf>
    <xf numFmtId="0" fontId="7" fillId="3" borderId="6" xfId="2" applyNumberFormat="1" applyAlignment="1">
      <alignment vertical="top" wrapText="1"/>
    </xf>
    <xf numFmtId="0" fontId="7" fillId="3" borderId="6" xfId="2" applyAlignment="1">
      <alignment vertical="top" wrapText="1"/>
    </xf>
    <xf numFmtId="0" fontId="8" fillId="4" borderId="6" xfId="3" applyAlignment="1">
      <alignment vertical="center"/>
    </xf>
    <xf numFmtId="0" fontId="8" fillId="4" borderId="6" xfId="3" applyAlignment="1">
      <alignment horizontal="left" vertical="center"/>
    </xf>
    <xf numFmtId="0" fontId="2" fillId="2" borderId="8" xfId="1" applyBorder="1" applyAlignment="1">
      <alignment vertical="center"/>
    </xf>
    <xf numFmtId="0" fontId="0" fillId="0" borderId="8" xfId="0" applyBorder="1" applyAlignment="1">
      <alignment vertical="center"/>
    </xf>
    <xf numFmtId="0" fontId="12" fillId="0" borderId="0" xfId="0" applyFont="1" applyAlignment="1">
      <alignment horizontal="center" vertical="center"/>
    </xf>
    <xf numFmtId="0" fontId="6" fillId="0" borderId="14" xfId="0" applyFont="1" applyBorder="1" applyAlignment="1">
      <alignment horizontal="right" vertical="center"/>
    </xf>
    <xf numFmtId="0" fontId="6" fillId="0" borderId="13" xfId="0" applyFont="1" applyBorder="1" applyAlignment="1">
      <alignment horizontal="right" vertical="center"/>
    </xf>
    <xf numFmtId="0" fontId="2" fillId="2" borderId="16" xfId="1" applyBorder="1" applyAlignment="1">
      <alignment vertical="center"/>
    </xf>
    <xf numFmtId="0" fontId="2" fillId="2" borderId="15" xfId="1" applyBorder="1" applyAlignment="1">
      <alignment vertical="center"/>
    </xf>
    <xf numFmtId="0" fontId="6" fillId="0" borderId="0" xfId="0" applyFont="1" applyAlignment="1">
      <alignment horizontal="right" vertical="center"/>
    </xf>
    <xf numFmtId="0" fontId="0" fillId="0" borderId="0" xfId="0"/>
    <xf numFmtId="0" fontId="8" fillId="4" borderId="6" xfId="3" applyAlignment="1" applyProtection="1">
      <alignment horizontal="left" vertical="top" wrapText="1"/>
      <protection locked="0"/>
    </xf>
    <xf numFmtId="0" fontId="8" fillId="4" borderId="6" xfId="3" applyAlignment="1">
      <alignment horizontal="left" vertical="top"/>
    </xf>
    <xf numFmtId="0" fontId="2" fillId="2" borderId="2" xfId="1" applyBorder="1" applyAlignment="1">
      <alignment vertical="center"/>
    </xf>
    <xf numFmtId="0" fontId="2" fillId="2" borderId="3" xfId="1" applyBorder="1" applyAlignment="1">
      <alignment vertical="center"/>
    </xf>
    <xf numFmtId="0" fontId="58" fillId="0" borderId="0" xfId="7" applyAlignment="1">
      <alignment horizontal="left" vertical="top" wrapText="1"/>
    </xf>
    <xf numFmtId="0" fontId="0" fillId="0" borderId="0" xfId="0" applyAlignment="1">
      <alignment horizontal="left" vertical="top" wrapText="1"/>
    </xf>
    <xf numFmtId="0" fontId="8" fillId="4" borderId="6" xfId="3" applyAlignment="1" applyProtection="1">
      <alignment horizontal="left" vertical="top" wrapText="1"/>
    </xf>
    <xf numFmtId="0" fontId="7" fillId="3" borderId="6" xfId="2" applyAlignment="1" applyProtection="1">
      <alignment horizontal="left" vertical="top" wrapText="1"/>
      <protection locked="0"/>
    </xf>
    <xf numFmtId="0" fontId="7" fillId="3" borderId="6" xfId="2" applyAlignment="1">
      <alignment horizontal="left" vertical="top" wrapText="1"/>
    </xf>
    <xf numFmtId="0" fontId="8" fillId="4" borderId="9" xfId="3" applyBorder="1" applyAlignment="1" applyProtection="1">
      <alignment horizontal="left" vertical="center"/>
    </xf>
    <xf numFmtId="0" fontId="0" fillId="0" borderId="7" xfId="0" applyBorder="1" applyAlignment="1" applyProtection="1">
      <alignment horizontal="left" vertical="center"/>
    </xf>
    <xf numFmtId="0" fontId="6" fillId="0" borderId="12" xfId="0" applyFont="1" applyBorder="1" applyAlignment="1">
      <alignment horizontal="right" vertical="center"/>
    </xf>
    <xf numFmtId="0" fontId="0" fillId="0" borderId="2" xfId="0" applyBorder="1" applyAlignment="1">
      <alignment vertical="center"/>
    </xf>
    <xf numFmtId="0" fontId="7" fillId="3" borderId="6" xfId="2" applyAlignment="1" applyProtection="1">
      <alignment horizontal="left" vertical="center"/>
      <protection locked="0"/>
    </xf>
    <xf numFmtId="0" fontId="7" fillId="3" borderId="6" xfId="2" applyAlignment="1">
      <alignment horizontal="left" vertical="center"/>
    </xf>
    <xf numFmtId="0" fontId="17" fillId="0" borderId="0" xfId="0" applyFont="1" applyAlignment="1">
      <alignment horizontal="left" vertical="center" wrapText="1"/>
    </xf>
    <xf numFmtId="0" fontId="2" fillId="2" borderId="16" xfId="1" applyBorder="1" applyAlignment="1">
      <alignment horizontal="left" vertical="center"/>
    </xf>
    <xf numFmtId="0" fontId="8" fillId="4" borderId="6" xfId="3" applyNumberFormat="1" applyAlignment="1">
      <alignment horizontal="left" vertical="top" wrapText="1"/>
    </xf>
    <xf numFmtId="0" fontId="8" fillId="4" borderId="6" xfId="3" applyAlignment="1">
      <alignment horizontal="left" vertical="top" wrapText="1"/>
    </xf>
    <xf numFmtId="9" fontId="2" fillId="2" borderId="2" xfId="1" applyNumberFormat="1" applyBorder="1" applyAlignment="1">
      <alignment vertical="center"/>
    </xf>
    <xf numFmtId="0" fontId="6" fillId="0" borderId="10" xfId="0" applyFont="1" applyBorder="1" applyAlignment="1">
      <alignment horizontal="right" vertical="center"/>
    </xf>
    <xf numFmtId="0" fontId="0" fillId="0" borderId="0" xfId="0" applyFont="1" applyAlignment="1">
      <alignment horizontal="right"/>
    </xf>
    <xf numFmtId="0" fontId="0" fillId="0" borderId="48" xfId="0" applyFont="1" applyBorder="1" applyAlignment="1">
      <alignment horizontal="right"/>
    </xf>
    <xf numFmtId="0" fontId="2" fillId="2" borderId="16" xfId="1" applyBorder="1" applyAlignment="1">
      <alignment horizontal="center" vertical="center"/>
    </xf>
    <xf numFmtId="0" fontId="0" fillId="0" borderId="16" xfId="0" applyBorder="1" applyAlignment="1">
      <alignment vertical="center"/>
    </xf>
    <xf numFmtId="0" fontId="34" fillId="0" borderId="49" xfId="0" quotePrefix="1" applyFont="1" applyBorder="1" applyAlignment="1">
      <alignment vertical="center"/>
    </xf>
    <xf numFmtId="0" fontId="0" fillId="0" borderId="0" xfId="0" applyAlignment="1">
      <alignment vertical="center"/>
    </xf>
    <xf numFmtId="0" fontId="0" fillId="0" borderId="12" xfId="0" applyBorder="1" applyAlignment="1">
      <alignment vertical="center"/>
    </xf>
    <xf numFmtId="0" fontId="34" fillId="0" borderId="49" xfId="0" applyFont="1" applyBorder="1" applyAlignment="1">
      <alignment vertical="center"/>
    </xf>
    <xf numFmtId="0" fontId="0" fillId="0" borderId="0" xfId="0" applyAlignment="1"/>
    <xf numFmtId="0" fontId="57" fillId="0" borderId="14" xfId="0" applyFont="1" applyBorder="1" applyAlignment="1">
      <alignment vertical="center"/>
    </xf>
    <xf numFmtId="0" fontId="0" fillId="0" borderId="14" xfId="0" applyBorder="1" applyAlignment="1"/>
    <xf numFmtId="0" fontId="19" fillId="0" borderId="42" xfId="0" applyFont="1" applyFill="1" applyBorder="1" applyAlignment="1" applyProtection="1">
      <alignment vertical="top" wrapText="1"/>
    </xf>
    <xf numFmtId="0" fontId="0" fillId="0" borderId="43" xfId="0" applyBorder="1" applyAlignment="1">
      <alignment vertical="top" wrapText="1"/>
    </xf>
    <xf numFmtId="0" fontId="0" fillId="0" borderId="44" xfId="0" applyBorder="1" applyAlignment="1">
      <alignment vertical="top" wrapText="1"/>
    </xf>
    <xf numFmtId="0" fontId="7" fillId="3" borderId="9" xfId="2" applyBorder="1" applyAlignment="1" applyProtection="1">
      <alignment vertical="top" wrapText="1"/>
      <protection locked="0"/>
    </xf>
    <xf numFmtId="0" fontId="0" fillId="0" borderId="8" xfId="0" applyBorder="1" applyAlignment="1">
      <alignment vertical="top" wrapText="1"/>
    </xf>
    <xf numFmtId="0" fontId="0" fillId="0" borderId="7" xfId="0" applyBorder="1" applyAlignment="1">
      <alignment vertical="top" wrapText="1"/>
    </xf>
    <xf numFmtId="0" fontId="4" fillId="0" borderId="23" xfId="0" applyFont="1" applyBorder="1" applyAlignment="1">
      <alignment horizontal="center" vertical="center"/>
    </xf>
    <xf numFmtId="0" fontId="6" fillId="0" borderId="0" xfId="0" applyFont="1" applyAlignment="1">
      <alignment horizontal="center" vertical="center"/>
    </xf>
    <xf numFmtId="0" fontId="36" fillId="0" borderId="0" xfId="0" quotePrefix="1" applyFont="1" applyAlignment="1">
      <alignment horizontal="left" vertical="center"/>
    </xf>
    <xf numFmtId="0" fontId="35" fillId="0" borderId="0" xfId="0" applyFont="1" applyAlignment="1">
      <alignment horizontal="left" vertical="center"/>
    </xf>
    <xf numFmtId="0" fontId="4" fillId="0" borderId="14" xfId="0" quotePrefix="1" applyFont="1" applyBorder="1" applyAlignment="1">
      <alignment horizontal="right" vertical="center"/>
    </xf>
    <xf numFmtId="0" fontId="0" fillId="0" borderId="14" xfId="0" applyBorder="1" applyAlignment="1">
      <alignment vertical="center"/>
    </xf>
    <xf numFmtId="0" fontId="0" fillId="0" borderId="13" xfId="0" applyBorder="1" applyAlignment="1">
      <alignment vertical="center"/>
    </xf>
    <xf numFmtId="0" fontId="31" fillId="0" borderId="0" xfId="0" applyFont="1" applyAlignment="1">
      <alignment horizontal="right" vertical="center"/>
    </xf>
    <xf numFmtId="0" fontId="9" fillId="0" borderId="0" xfId="0" applyFont="1" applyAlignment="1">
      <alignment horizontal="right" vertical="center"/>
    </xf>
    <xf numFmtId="0" fontId="9" fillId="0" borderId="0" xfId="0" applyFont="1" applyBorder="1" applyAlignment="1">
      <alignment horizontal="right" vertical="center"/>
    </xf>
    <xf numFmtId="0" fontId="0" fillId="0" borderId="3" xfId="0" applyBorder="1" applyAlignment="1">
      <alignment vertical="center"/>
    </xf>
    <xf numFmtId="0" fontId="7" fillId="3" borderId="10" xfId="2" applyBorder="1" applyAlignment="1"/>
    <xf numFmtId="0" fontId="7" fillId="3" borderId="6" xfId="2" applyAlignment="1"/>
    <xf numFmtId="0" fontId="7" fillId="3" borderId="6" xfId="2" applyAlignment="1">
      <alignment horizontal="right"/>
    </xf>
    <xf numFmtId="0" fontId="7" fillId="3" borderId="6" xfId="2"/>
    <xf numFmtId="0" fontId="41" fillId="0" borderId="10" xfId="0" applyFont="1" applyBorder="1" applyAlignment="1">
      <alignment vertical="center"/>
    </xf>
    <xf numFmtId="0" fontId="6" fillId="0" borderId="0" xfId="0" applyFont="1" applyAlignment="1">
      <alignment vertical="center"/>
    </xf>
    <xf numFmtId="0" fontId="6" fillId="0" borderId="12" xfId="0" applyFont="1" applyBorder="1" applyAlignment="1">
      <alignment vertical="center"/>
    </xf>
    <xf numFmtId="0" fontId="6" fillId="0" borderId="10" xfId="0" applyFont="1" applyBorder="1" applyAlignment="1">
      <alignment vertical="center"/>
    </xf>
    <xf numFmtId="0" fontId="15" fillId="0" borderId="0" xfId="0" applyFont="1" applyAlignment="1">
      <alignment vertical="top" wrapText="1"/>
    </xf>
    <xf numFmtId="0" fontId="15" fillId="0" borderId="12" xfId="0" applyFont="1" applyBorder="1" applyAlignment="1">
      <alignment vertical="top" wrapText="1"/>
    </xf>
    <xf numFmtId="0" fontId="8" fillId="4" borderId="6" xfId="3"/>
    <xf numFmtId="0" fontId="64" fillId="3" borderId="6" xfId="2" applyFont="1" applyAlignment="1">
      <alignment horizontal="center" vertical="center"/>
    </xf>
    <xf numFmtId="0" fontId="8" fillId="4" borderId="6" xfId="3" applyAlignment="1"/>
    <xf numFmtId="0" fontId="2" fillId="2" borderId="11" xfId="1" applyBorder="1" applyAlignment="1">
      <alignment horizontal="left"/>
    </xf>
    <xf numFmtId="0" fontId="8" fillId="4" borderId="6" xfId="3" applyNumberFormat="1" applyAlignment="1" applyProtection="1">
      <alignment horizontal="left" vertical="top" wrapText="1"/>
    </xf>
    <xf numFmtId="0" fontId="6" fillId="0" borderId="0" xfId="0" applyFont="1" applyAlignment="1">
      <alignment vertical="top" wrapText="1"/>
    </xf>
    <xf numFmtId="0" fontId="6" fillId="0" borderId="0" xfId="0" applyFont="1" applyAlignment="1">
      <alignment vertical="top"/>
    </xf>
    <xf numFmtId="0" fontId="5" fillId="2" borderId="1" xfId="1" applyFont="1" applyBorder="1" applyAlignment="1">
      <alignment vertical="center"/>
    </xf>
    <xf numFmtId="0" fontId="5" fillId="2" borderId="2" xfId="1" applyFont="1" applyBorder="1" applyAlignment="1">
      <alignment vertical="center"/>
    </xf>
    <xf numFmtId="0" fontId="5" fillId="2" borderId="3" xfId="1" applyFont="1" applyBorder="1" applyAlignment="1">
      <alignment vertical="center"/>
    </xf>
    <xf numFmtId="0" fontId="75" fillId="2" borderId="49" xfId="1" applyFont="1" applyBorder="1" applyAlignment="1">
      <alignment vertical="center"/>
    </xf>
    <xf numFmtId="0" fontId="75" fillId="2" borderId="0" xfId="1" applyFont="1" applyAlignment="1"/>
    <xf numFmtId="0" fontId="74" fillId="0" borderId="33" xfId="0" applyFont="1" applyBorder="1" applyAlignment="1">
      <alignment horizontal="right" vertical="center"/>
    </xf>
    <xf numFmtId="0" fontId="74" fillId="0" borderId="33" xfId="0" applyFont="1" applyBorder="1" applyAlignment="1">
      <alignment vertical="center"/>
    </xf>
    <xf numFmtId="0" fontId="74" fillId="0" borderId="0" xfId="0" applyFont="1" applyAlignment="1">
      <alignment horizontal="left" vertical="top" wrapText="1"/>
    </xf>
    <xf numFmtId="0" fontId="74" fillId="0" borderId="35" xfId="0" applyFont="1" applyBorder="1" applyAlignment="1">
      <alignment horizontal="center" vertical="center" wrapText="1"/>
    </xf>
    <xf numFmtId="0" fontId="74" fillId="0" borderId="26" xfId="0" applyFont="1" applyBorder="1" applyAlignment="1">
      <alignment wrapText="1"/>
    </xf>
    <xf numFmtId="0" fontId="76" fillId="0" borderId="0" xfId="0" applyFont="1" applyAlignment="1">
      <alignment vertical="center" wrapText="1"/>
    </xf>
    <xf numFmtId="0" fontId="74" fillId="0" borderId="0" xfId="0" applyFont="1" applyAlignment="1">
      <alignment vertical="center" wrapText="1"/>
    </xf>
    <xf numFmtId="165" fontId="74" fillId="0" borderId="0" xfId="0" applyNumberFormat="1" applyFont="1" applyAlignment="1">
      <alignment vertical="center"/>
    </xf>
    <xf numFmtId="0" fontId="2" fillId="2" borderId="1" xfId="1" applyBorder="1" applyAlignment="1">
      <alignment horizontal="left" vertical="center"/>
    </xf>
    <xf numFmtId="0" fontId="2" fillId="2" borderId="2" xfId="1" applyBorder="1" applyAlignment="1">
      <alignment horizontal="left" vertical="center"/>
    </xf>
    <xf numFmtId="0" fontId="2" fillId="2" borderId="2" xfId="1" applyBorder="1" applyAlignment="1">
      <alignment horizontal="left"/>
    </xf>
    <xf numFmtId="0" fontId="2" fillId="2" borderId="3" xfId="1" applyBorder="1" applyAlignment="1">
      <alignment horizontal="left"/>
    </xf>
    <xf numFmtId="0" fontId="2" fillId="2" borderId="36" xfId="1" applyBorder="1" applyAlignment="1">
      <alignment horizontal="center" vertical="center" wrapText="1"/>
    </xf>
    <xf numFmtId="0" fontId="25" fillId="0" borderId="0" xfId="0" applyFont="1" applyAlignment="1">
      <alignment horizontal="right" vertical="center"/>
    </xf>
    <xf numFmtId="0" fontId="0" fillId="0" borderId="0" xfId="0" applyAlignment="1">
      <alignment horizontal="right" vertical="center"/>
    </xf>
    <xf numFmtId="0" fontId="0" fillId="0" borderId="0" xfId="0" applyAlignment="1">
      <alignment horizontal="right"/>
    </xf>
    <xf numFmtId="0" fontId="0" fillId="0" borderId="12" xfId="0" applyBorder="1" applyAlignment="1">
      <alignment horizontal="right"/>
    </xf>
    <xf numFmtId="165" fontId="0" fillId="0" borderId="0" xfId="0" applyNumberFormat="1" applyAlignment="1">
      <alignment vertical="center"/>
    </xf>
    <xf numFmtId="0" fontId="2" fillId="2" borderId="0" xfId="1" applyAlignment="1">
      <alignment horizontal="center" vertical="top" wrapText="1"/>
    </xf>
    <xf numFmtId="0" fontId="2" fillId="2" borderId="0" xfId="1" applyAlignment="1">
      <alignment horizontal="center" vertical="center"/>
    </xf>
    <xf numFmtId="0" fontId="0" fillId="0" borderId="0" xfId="0" applyAlignment="1">
      <alignment horizontal="center" vertical="center"/>
    </xf>
    <xf numFmtId="0" fontId="5" fillId="2" borderId="4" xfId="1" applyFont="1" applyBorder="1" applyAlignment="1">
      <alignment horizontal="center" vertical="center" wrapText="1"/>
    </xf>
    <xf numFmtId="0" fontId="6" fillId="0" borderId="5" xfId="0" applyFont="1" applyBorder="1" applyAlignment="1">
      <alignment horizontal="center" vertical="center" wrapText="1"/>
    </xf>
    <xf numFmtId="0" fontId="3" fillId="2" borderId="1" xfId="1"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14" fillId="0" borderId="0" xfId="0" applyFont="1"/>
    <xf numFmtId="0" fontId="2" fillId="2" borderId="37" xfId="1" applyBorder="1" applyAlignment="1">
      <alignment horizontal="center" vertical="center" wrapText="1"/>
    </xf>
    <xf numFmtId="0" fontId="2" fillId="2" borderId="25" xfId="1" applyBorder="1" applyAlignment="1">
      <alignment horizontal="center" vertical="center" wrapText="1"/>
    </xf>
    <xf numFmtId="0" fontId="2" fillId="2" borderId="39" xfId="1" applyBorder="1" applyAlignment="1">
      <alignment horizontal="center" vertical="center" wrapText="1"/>
    </xf>
    <xf numFmtId="3" fontId="2" fillId="2" borderId="37" xfId="1" applyNumberFormat="1" applyBorder="1" applyAlignment="1">
      <alignment horizontal="center" vertical="center" wrapText="1"/>
    </xf>
    <xf numFmtId="3" fontId="2" fillId="2" borderId="25" xfId="1" applyNumberFormat="1" applyBorder="1" applyAlignment="1">
      <alignment horizontal="center" vertical="center" wrapText="1"/>
    </xf>
    <xf numFmtId="3" fontId="2" fillId="2" borderId="39" xfId="1" applyNumberFormat="1" applyBorder="1" applyAlignment="1">
      <alignment horizontal="center" vertical="center" wrapText="1"/>
    </xf>
    <xf numFmtId="0" fontId="5" fillId="0" borderId="1" xfId="0" applyFont="1" applyBorder="1" applyAlignment="1"/>
    <xf numFmtId="0" fontId="5" fillId="0" borderId="2" xfId="0" applyFont="1" applyBorder="1" applyAlignment="1"/>
    <xf numFmtId="0" fontId="5" fillId="0" borderId="3" xfId="0" applyFont="1" applyBorder="1" applyAlignment="1"/>
    <xf numFmtId="3" fontId="42" fillId="0" borderId="0" xfId="0" applyNumberFormat="1" applyFont="1" applyAlignment="1">
      <alignment horizontal="center" vertical="center" wrapText="1"/>
    </xf>
    <xf numFmtId="0" fontId="6" fillId="0" borderId="0" xfId="0" applyFont="1" applyAlignment="1">
      <alignment horizontal="left" vertical="top" wrapText="1" indent="1"/>
    </xf>
  </cellXfs>
  <cellStyles count="9">
    <cellStyle name="Bad" xfId="5" builtinId="27"/>
    <cellStyle name="Calculation" xfId="3" builtinId="22" customBuiltin="1"/>
    <cellStyle name="Explanatory Text" xfId="7" builtinId="53"/>
    <cellStyle name="Hyperlink" xfId="4" builtinId="8" hidden="1"/>
    <cellStyle name="Hyperlink" xfId="6" builtinId="8"/>
    <cellStyle name="Input" xfId="2" builtinId="20"/>
    <cellStyle name="Neutral" xfId="1" builtinId="28"/>
    <cellStyle name="Normal" xfId="0" builtinId="0"/>
    <cellStyle name="Output" xfId="8" builtinId="21"/>
  </cellStyles>
  <dxfs count="71">
    <dxf>
      <font>
        <color rgb="FFC00000"/>
      </font>
      <fill>
        <patternFill>
          <bgColor rgb="FFFFC7CE"/>
        </patternFill>
      </fill>
    </dxf>
    <dxf>
      <fill>
        <patternFill>
          <bgColor rgb="FFF2F2F2"/>
        </patternFill>
      </fill>
    </dxf>
    <dxf>
      <font>
        <color rgb="FFC00000"/>
      </font>
      <fill>
        <patternFill>
          <bgColor rgb="FFFFC7CE"/>
        </patternFill>
      </fill>
    </dxf>
    <dxf>
      <fill>
        <patternFill>
          <bgColor rgb="FFF2F2F2"/>
        </patternFill>
      </fill>
    </dxf>
    <dxf>
      <font>
        <color rgb="FFC00000"/>
      </font>
      <fill>
        <patternFill>
          <bgColor rgb="FFFFC7CE"/>
        </patternFill>
      </fill>
    </dxf>
    <dxf>
      <font>
        <strike val="0"/>
      </font>
      <fill>
        <patternFill>
          <bgColor rgb="FFF2F2F2"/>
        </patternFill>
      </fill>
    </dxf>
    <dxf>
      <font>
        <strike val="0"/>
        <color theme="0"/>
      </font>
    </dxf>
    <dxf>
      <font>
        <color rgb="FFC00000"/>
      </font>
      <fill>
        <patternFill>
          <bgColor rgb="FFFFC7CE"/>
        </patternFill>
      </fill>
    </dxf>
    <dxf>
      <font>
        <strike val="0"/>
      </font>
      <fill>
        <patternFill>
          <bgColor rgb="FFF2F2F2"/>
        </patternFill>
      </fill>
    </dxf>
    <dxf>
      <font>
        <strike val="0"/>
        <color theme="0"/>
      </font>
    </dxf>
    <dxf>
      <font>
        <strike val="0"/>
        <color rgb="FFC00000"/>
      </font>
      <fill>
        <patternFill>
          <bgColor rgb="FFFFC7CE"/>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strike val="0"/>
        <color rgb="FFFA7D00"/>
      </font>
      <fill>
        <patternFill>
          <bgColor rgb="FFF2F2F2"/>
        </patternFill>
      </fill>
    </dxf>
    <dxf>
      <font>
        <strike val="0"/>
      </font>
    </dxf>
    <dxf>
      <font>
        <strike val="0"/>
        <color rgb="FFC00000"/>
      </font>
      <fill>
        <patternFill>
          <bgColor rgb="FFFFC7CE"/>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strike val="0"/>
        <color rgb="FFFA7D00"/>
      </font>
      <fill>
        <patternFill>
          <bgColor rgb="FFF2F2F2"/>
        </patternFill>
      </fill>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fill>
        <patternFill>
          <bgColor rgb="FFF2F2F2"/>
        </patternFill>
      </fill>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3F3F76"/>
      </font>
      <fill>
        <patternFill>
          <bgColor rgb="FFFFCC99"/>
        </patternFill>
      </fill>
    </dxf>
    <dxf>
      <font>
        <strike val="0"/>
        <color rgb="FFF2F2F2"/>
      </font>
    </dxf>
    <dxf>
      <font>
        <strike val="0"/>
        <color rgb="FFC00000"/>
      </font>
      <fill>
        <patternFill>
          <bgColor rgb="FFFFC7CE"/>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strike val="0"/>
        <color rgb="FFFA7D00"/>
      </font>
      <fill>
        <patternFill>
          <bgColor rgb="FFF2F2F2"/>
        </patternFill>
      </fill>
    </dxf>
    <dxf>
      <font>
        <strike val="0"/>
        <color rgb="FFC00000"/>
      </font>
      <fill>
        <patternFill>
          <bgColor rgb="FFFFC7CE"/>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strike val="0"/>
        <color rgb="FFFA7D00"/>
      </font>
      <fill>
        <patternFill>
          <bgColor rgb="FFF2F2F2"/>
        </patternFill>
      </fill>
    </dxf>
    <dxf>
      <font>
        <color rgb="FFC00000"/>
      </font>
      <fill>
        <patternFill>
          <bgColor rgb="FFFFC7CE"/>
        </patternFill>
      </fill>
    </dxf>
    <dxf>
      <font>
        <color rgb="FFC00000"/>
      </font>
      <fill>
        <patternFill>
          <bgColor rgb="FFFFC7CE"/>
        </patternFill>
      </fill>
    </dxf>
  </dxfs>
  <tableStyles count="0" defaultTableStyle="TableStyleMedium2" defaultPivotStyle="PivotStyleLight16"/>
  <colors>
    <mruColors>
      <color rgb="FFFFEB9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solidFill>
                <a:schemeClr val="bg1"/>
              </a:solidFill>
            </a:ln>
          </c:spPr>
          <c:dPt>
            <c:idx val="0"/>
            <c:bubble3D val="0"/>
            <c:spPr>
              <a:solidFill>
                <a:srgbClr val="C00000"/>
              </a:solidFill>
              <a:ln w="19050">
                <a:solidFill>
                  <a:schemeClr val="bg1"/>
                </a:solidFill>
              </a:ln>
              <a:effectLst/>
            </c:spPr>
            <c:extLst>
              <c:ext xmlns:c16="http://schemas.microsoft.com/office/drawing/2014/chart" uri="{C3380CC4-5D6E-409C-BE32-E72D297353CC}">
                <c16:uniqueId val="{00000001-3410-46DD-8C8C-7697DB24CB6A}"/>
              </c:ext>
            </c:extLst>
          </c:dPt>
          <c:dPt>
            <c:idx val="1"/>
            <c:bubble3D val="0"/>
            <c:spPr>
              <a:solidFill>
                <a:schemeClr val="accent2"/>
              </a:solidFill>
              <a:ln w="19050">
                <a:solidFill>
                  <a:schemeClr val="bg1"/>
                </a:solidFill>
              </a:ln>
              <a:effectLst/>
            </c:spPr>
            <c:extLst>
              <c:ext xmlns:c16="http://schemas.microsoft.com/office/drawing/2014/chart" uri="{C3380CC4-5D6E-409C-BE32-E72D297353CC}">
                <c16:uniqueId val="{00000003-3410-46DD-8C8C-7697DB24CB6A}"/>
              </c:ext>
            </c:extLst>
          </c:dPt>
          <c:dPt>
            <c:idx val="2"/>
            <c:bubble3D val="0"/>
            <c:spPr>
              <a:solidFill>
                <a:schemeClr val="accent3"/>
              </a:solidFill>
              <a:ln w="19050">
                <a:solidFill>
                  <a:schemeClr val="bg1"/>
                </a:solidFill>
              </a:ln>
              <a:effectLst/>
            </c:spPr>
            <c:extLst>
              <c:ext xmlns:c16="http://schemas.microsoft.com/office/drawing/2014/chart" uri="{C3380CC4-5D6E-409C-BE32-E72D297353CC}">
                <c16:uniqueId val="{00000005-3410-46DD-8C8C-7697DB24CB6A}"/>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0"/>
              <c:showCatName val="0"/>
              <c:showSerName val="0"/>
              <c:showPercent val="1"/>
              <c:showBubbleSize val="0"/>
              <c:extLst>
                <c:ext xmlns:c16="http://schemas.microsoft.com/office/drawing/2014/chart" uri="{C3380CC4-5D6E-409C-BE32-E72D297353CC}">
                  <c16:uniqueId val="{00000001-3410-46DD-8C8C-7697DB24CB6A}"/>
                </c:ext>
              </c:extLst>
            </c:dLbl>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0"/>
              <c:showCatName val="0"/>
              <c:showSerName val="0"/>
              <c:showPercent val="1"/>
              <c:showBubbleSize val="0"/>
              <c:extLst>
                <c:ext xmlns:c16="http://schemas.microsoft.com/office/drawing/2014/chart" uri="{C3380CC4-5D6E-409C-BE32-E72D297353CC}">
                  <c16:uniqueId val="{00000003-3410-46DD-8C8C-7697DB24CB6A}"/>
                </c:ext>
              </c:extLst>
            </c:dLbl>
            <c:dLbl>
              <c:idx val="2"/>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0"/>
              <c:showCatName val="0"/>
              <c:showSerName val="0"/>
              <c:showPercent val="1"/>
              <c:showBubbleSize val="0"/>
              <c:extLst>
                <c:ext xmlns:c16="http://schemas.microsoft.com/office/drawing/2014/chart" uri="{C3380CC4-5D6E-409C-BE32-E72D297353CC}">
                  <c16:uniqueId val="{00000005-3410-46DD-8C8C-7697DB24CB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showLeaderLines val="0"/>
            <c:extLst>
              <c:ext xmlns:c15="http://schemas.microsoft.com/office/drawing/2012/chart" uri="{CE6537A1-D6FC-4f65-9D91-7224C49458BB}"/>
            </c:extLst>
          </c:dLbls>
          <c:cat>
            <c:strRef>
              <c:f>Detailed_Analysis!$A$119:$A$121</c:f>
              <c:strCache>
                <c:ptCount val="3"/>
                <c:pt idx="0">
                  <c:v>General Admin</c:v>
                </c:pt>
                <c:pt idx="1">
                  <c:v>Special Purpose</c:v>
                </c:pt>
                <c:pt idx="2">
                  <c:v>Net-To-Gross Area</c:v>
                </c:pt>
              </c:strCache>
            </c:strRef>
          </c:cat>
          <c:val>
            <c:numRef>
              <c:f>Detailed_Analysis!$C$119:$C$121</c:f>
              <c:numCache>
                <c:formatCode>#,##0\ "NSF"</c:formatCode>
                <c:ptCount val="3"/>
                <c:pt idx="0">
                  <c:v>0</c:v>
                </c:pt>
                <c:pt idx="1">
                  <c:v>0</c:v>
                </c:pt>
                <c:pt idx="2">
                  <c:v>0</c:v>
                </c:pt>
              </c:numCache>
            </c:numRef>
          </c:val>
          <c:extLst>
            <c:ext xmlns:c16="http://schemas.microsoft.com/office/drawing/2014/chart" uri="{C3380CC4-5D6E-409C-BE32-E72D297353CC}">
              <c16:uniqueId val="{00000006-3410-46DD-8C8C-7697DB24CB6A}"/>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Distributed!$H$47</c:f>
              <c:strCache>
                <c:ptCount val="1"/>
                <c:pt idx="0">
                  <c:v>Summary</c:v>
                </c:pt>
              </c:strCache>
            </c:strRef>
          </c:tx>
          <c:spPr>
            <a:solidFill>
              <a:srgbClr val="FA7D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Distributed!$G$48:$G$49</c:f>
              <c:strCache>
                <c:ptCount val="2"/>
                <c:pt idx="0">
                  <c:v>Baseline:</c:v>
                </c:pt>
                <c:pt idx="1">
                  <c:v>Distributed:</c:v>
                </c:pt>
              </c:strCache>
            </c:strRef>
          </c:cat>
          <c:val>
            <c:numRef>
              <c:f>Distributed!$H$48:$H$49</c:f>
              <c:numCache>
                <c:formatCode>#,##0\ "GSF"</c:formatCode>
                <c:ptCount val="2"/>
                <c:pt idx="0">
                  <c:v>0</c:v>
                </c:pt>
                <c:pt idx="1">
                  <c:v>0</c:v>
                </c:pt>
              </c:numCache>
            </c:numRef>
          </c:val>
          <c:extLst>
            <c:ext xmlns:c16="http://schemas.microsoft.com/office/drawing/2014/chart" uri="{C3380CC4-5D6E-409C-BE32-E72D297353CC}">
              <c16:uniqueId val="{00000000-87B5-4307-8CA7-B05F1643E230}"/>
            </c:ext>
          </c:extLst>
        </c:ser>
        <c:dLbls>
          <c:showLegendKey val="0"/>
          <c:showVal val="0"/>
          <c:showCatName val="0"/>
          <c:showSerName val="0"/>
          <c:showPercent val="0"/>
          <c:showBubbleSize val="0"/>
        </c:dLbls>
        <c:gapWidth val="219"/>
        <c:axId val="125157424"/>
        <c:axId val="125159064"/>
      </c:barChart>
      <c:catAx>
        <c:axId val="12515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25159064"/>
        <c:crosses val="autoZero"/>
        <c:auto val="1"/>
        <c:lblAlgn val="ctr"/>
        <c:lblOffset val="100"/>
        <c:noMultiLvlLbl val="0"/>
      </c:catAx>
      <c:valAx>
        <c:axId val="1251590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quot;GSF&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157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Conference Room Equation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Conference_Rooms!$B$45</c:f>
              <c:strCache>
                <c:ptCount val="1"/>
                <c:pt idx="0">
                  <c:v>NSF</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intercept val="0"/>
            <c:dispRSqr val="0"/>
            <c:dispEq val="1"/>
            <c:trendlineLbl>
              <c:numFmt formatCode="General" sourceLinked="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rendlineLbl>
          </c:trendline>
          <c:xVal>
            <c:numRef>
              <c:f>Conference_Rooms!$A$46:$A$79</c:f>
              <c:numCache>
                <c:formatCode>#,##0\ "PN"</c:formatCode>
                <c:ptCount val="34"/>
                <c:pt idx="0">
                  <c:v>9</c:v>
                </c:pt>
                <c:pt idx="1">
                  <c:v>24</c:v>
                </c:pt>
                <c:pt idx="2">
                  <c:v>49</c:v>
                </c:pt>
                <c:pt idx="3">
                  <c:v>99</c:v>
                </c:pt>
                <c:pt idx="4">
                  <c:v>149</c:v>
                </c:pt>
                <c:pt idx="5">
                  <c:v>249</c:v>
                </c:pt>
                <c:pt idx="6">
                  <c:v>349</c:v>
                </c:pt>
                <c:pt idx="7">
                  <c:v>449</c:v>
                </c:pt>
                <c:pt idx="8">
                  <c:v>549</c:v>
                </c:pt>
                <c:pt idx="9">
                  <c:v>649</c:v>
                </c:pt>
                <c:pt idx="10">
                  <c:v>749</c:v>
                </c:pt>
                <c:pt idx="11">
                  <c:v>849</c:v>
                </c:pt>
                <c:pt idx="12">
                  <c:v>949</c:v>
                </c:pt>
                <c:pt idx="13">
                  <c:v>1049</c:v>
                </c:pt>
                <c:pt idx="14">
                  <c:v>1149</c:v>
                </c:pt>
                <c:pt idx="15">
                  <c:v>1249</c:v>
                </c:pt>
                <c:pt idx="16">
                  <c:v>1349</c:v>
                </c:pt>
                <c:pt idx="17">
                  <c:v>1449</c:v>
                </c:pt>
                <c:pt idx="18">
                  <c:v>1549</c:v>
                </c:pt>
                <c:pt idx="19">
                  <c:v>1649</c:v>
                </c:pt>
                <c:pt idx="20">
                  <c:v>1749</c:v>
                </c:pt>
                <c:pt idx="21">
                  <c:v>1849</c:v>
                </c:pt>
                <c:pt idx="22">
                  <c:v>1949</c:v>
                </c:pt>
                <c:pt idx="23">
                  <c:v>2049</c:v>
                </c:pt>
                <c:pt idx="24">
                  <c:v>2149</c:v>
                </c:pt>
                <c:pt idx="25">
                  <c:v>2249</c:v>
                </c:pt>
                <c:pt idx="26">
                  <c:v>2349</c:v>
                </c:pt>
                <c:pt idx="27">
                  <c:v>2449</c:v>
                </c:pt>
                <c:pt idx="28">
                  <c:v>2549</c:v>
                </c:pt>
                <c:pt idx="29">
                  <c:v>2649</c:v>
                </c:pt>
                <c:pt idx="30">
                  <c:v>2749</c:v>
                </c:pt>
                <c:pt idx="31">
                  <c:v>2849</c:v>
                </c:pt>
                <c:pt idx="32">
                  <c:v>2949</c:v>
                </c:pt>
                <c:pt idx="33">
                  <c:v>3049</c:v>
                </c:pt>
              </c:numCache>
            </c:numRef>
          </c:xVal>
          <c:yVal>
            <c:numRef>
              <c:f>Conference_Rooms!$B$46:$B$79</c:f>
              <c:numCache>
                <c:formatCode>#,##0\ "NSF"</c:formatCode>
                <c:ptCount val="34"/>
                <c:pt idx="0">
                  <c:v>0</c:v>
                </c:pt>
                <c:pt idx="1">
                  <c:v>75</c:v>
                </c:pt>
                <c:pt idx="2">
                  <c:v>240</c:v>
                </c:pt>
                <c:pt idx="3">
                  <c:v>450</c:v>
                </c:pt>
                <c:pt idx="4">
                  <c:v>750</c:v>
                </c:pt>
                <c:pt idx="5">
                  <c:v>1300</c:v>
                </c:pt>
                <c:pt idx="6">
                  <c:v>1600</c:v>
                </c:pt>
                <c:pt idx="7">
                  <c:v>2200</c:v>
                </c:pt>
                <c:pt idx="8">
                  <c:v>2650</c:v>
                </c:pt>
                <c:pt idx="9">
                  <c:v>3200</c:v>
                </c:pt>
                <c:pt idx="10">
                  <c:v>3550</c:v>
                </c:pt>
                <c:pt idx="11">
                  <c:v>3900</c:v>
                </c:pt>
                <c:pt idx="12">
                  <c:v>4250</c:v>
                </c:pt>
                <c:pt idx="13">
                  <c:v>4600</c:v>
                </c:pt>
                <c:pt idx="14">
                  <c:v>4950</c:v>
                </c:pt>
                <c:pt idx="15">
                  <c:v>5300</c:v>
                </c:pt>
                <c:pt idx="16">
                  <c:v>5650</c:v>
                </c:pt>
                <c:pt idx="17">
                  <c:v>6000</c:v>
                </c:pt>
                <c:pt idx="18">
                  <c:v>6350</c:v>
                </c:pt>
                <c:pt idx="19">
                  <c:v>6700</c:v>
                </c:pt>
                <c:pt idx="20">
                  <c:v>7050</c:v>
                </c:pt>
                <c:pt idx="21">
                  <c:v>7400</c:v>
                </c:pt>
                <c:pt idx="22">
                  <c:v>7750</c:v>
                </c:pt>
                <c:pt idx="23">
                  <c:v>8100</c:v>
                </c:pt>
                <c:pt idx="24">
                  <c:v>8450</c:v>
                </c:pt>
                <c:pt idx="25">
                  <c:v>8800</c:v>
                </c:pt>
                <c:pt idx="26">
                  <c:v>9150</c:v>
                </c:pt>
                <c:pt idx="27">
                  <c:v>9500</c:v>
                </c:pt>
                <c:pt idx="28">
                  <c:v>9850</c:v>
                </c:pt>
                <c:pt idx="29">
                  <c:v>10200</c:v>
                </c:pt>
                <c:pt idx="30">
                  <c:v>10550</c:v>
                </c:pt>
                <c:pt idx="31">
                  <c:v>10900</c:v>
                </c:pt>
                <c:pt idx="32">
                  <c:v>11250</c:v>
                </c:pt>
                <c:pt idx="33">
                  <c:v>11600</c:v>
                </c:pt>
              </c:numCache>
            </c:numRef>
          </c:yVal>
          <c:smooth val="0"/>
          <c:extLst>
            <c:ext xmlns:c16="http://schemas.microsoft.com/office/drawing/2014/chart" uri="{C3380CC4-5D6E-409C-BE32-E72D297353CC}">
              <c16:uniqueId val="{00000000-ABC2-4988-8979-AC7FCF5F302F}"/>
            </c:ext>
          </c:extLst>
        </c:ser>
        <c:ser>
          <c:idx val="1"/>
          <c:order val="1"/>
          <c:tx>
            <c:strRef>
              <c:f>Conference_Rooms!$C$45</c:f>
              <c:strCache>
                <c:ptCount val="1"/>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Conference_Rooms!$A$46:$A$79</c:f>
              <c:numCache>
                <c:formatCode>#,##0\ "PN"</c:formatCode>
                <c:ptCount val="34"/>
                <c:pt idx="0">
                  <c:v>9</c:v>
                </c:pt>
                <c:pt idx="1">
                  <c:v>24</c:v>
                </c:pt>
                <c:pt idx="2">
                  <c:v>49</c:v>
                </c:pt>
                <c:pt idx="3">
                  <c:v>99</c:v>
                </c:pt>
                <c:pt idx="4">
                  <c:v>149</c:v>
                </c:pt>
                <c:pt idx="5">
                  <c:v>249</c:v>
                </c:pt>
                <c:pt idx="6">
                  <c:v>349</c:v>
                </c:pt>
                <c:pt idx="7">
                  <c:v>449</c:v>
                </c:pt>
                <c:pt idx="8">
                  <c:v>549</c:v>
                </c:pt>
                <c:pt idx="9">
                  <c:v>649</c:v>
                </c:pt>
                <c:pt idx="10">
                  <c:v>749</c:v>
                </c:pt>
                <c:pt idx="11">
                  <c:v>849</c:v>
                </c:pt>
                <c:pt idx="12">
                  <c:v>949</c:v>
                </c:pt>
                <c:pt idx="13">
                  <c:v>1049</c:v>
                </c:pt>
                <c:pt idx="14">
                  <c:v>1149</c:v>
                </c:pt>
                <c:pt idx="15">
                  <c:v>1249</c:v>
                </c:pt>
                <c:pt idx="16">
                  <c:v>1349</c:v>
                </c:pt>
                <c:pt idx="17">
                  <c:v>1449</c:v>
                </c:pt>
                <c:pt idx="18">
                  <c:v>1549</c:v>
                </c:pt>
                <c:pt idx="19">
                  <c:v>1649</c:v>
                </c:pt>
                <c:pt idx="20">
                  <c:v>1749</c:v>
                </c:pt>
                <c:pt idx="21">
                  <c:v>1849</c:v>
                </c:pt>
                <c:pt idx="22">
                  <c:v>1949</c:v>
                </c:pt>
                <c:pt idx="23">
                  <c:v>2049</c:v>
                </c:pt>
                <c:pt idx="24">
                  <c:v>2149</c:v>
                </c:pt>
                <c:pt idx="25">
                  <c:v>2249</c:v>
                </c:pt>
                <c:pt idx="26">
                  <c:v>2349</c:v>
                </c:pt>
                <c:pt idx="27">
                  <c:v>2449</c:v>
                </c:pt>
                <c:pt idx="28">
                  <c:v>2549</c:v>
                </c:pt>
                <c:pt idx="29">
                  <c:v>2649</c:v>
                </c:pt>
                <c:pt idx="30">
                  <c:v>2749</c:v>
                </c:pt>
                <c:pt idx="31">
                  <c:v>2849</c:v>
                </c:pt>
                <c:pt idx="32">
                  <c:v>2949</c:v>
                </c:pt>
                <c:pt idx="33">
                  <c:v>3049</c:v>
                </c:pt>
              </c:numCache>
            </c:numRef>
          </c:xVal>
          <c:yVal>
            <c:numRef>
              <c:f>Conference_Rooms!$C$46:$C$79</c:f>
              <c:numCache>
                <c:formatCode>#,##0\ "NSF"</c:formatCode>
                <c:ptCount val="34"/>
              </c:numCache>
            </c:numRef>
          </c:yVal>
          <c:smooth val="0"/>
          <c:extLst>
            <c:ext xmlns:c16="http://schemas.microsoft.com/office/drawing/2014/chart" uri="{C3380CC4-5D6E-409C-BE32-E72D297353CC}">
              <c16:uniqueId val="{00000001-ABC2-4988-8979-AC7FCF5F302F}"/>
            </c:ext>
          </c:extLst>
        </c:ser>
        <c:dLbls>
          <c:showLegendKey val="0"/>
          <c:showVal val="0"/>
          <c:showCatName val="0"/>
          <c:showSerName val="0"/>
          <c:showPercent val="0"/>
          <c:showBubbleSize val="0"/>
        </c:dLbls>
        <c:axId val="1039218024"/>
        <c:axId val="1039217368"/>
      </c:scatterChart>
      <c:valAx>
        <c:axId val="1039218024"/>
        <c:scaling>
          <c:orientation val="minMax"/>
        </c:scaling>
        <c:delete val="0"/>
        <c:axPos val="b"/>
        <c:majorGridlines>
          <c:spPr>
            <a:ln w="9525" cap="flat" cmpd="sng" algn="ctr">
              <a:solidFill>
                <a:schemeClr val="tx1">
                  <a:lumMod val="15000"/>
                  <a:lumOff val="85000"/>
                </a:schemeClr>
              </a:solidFill>
              <a:round/>
            </a:ln>
            <a:effectLst/>
          </c:spPr>
        </c:majorGridlines>
        <c:numFmt formatCode="#,##0\ &quot;PN&quot;"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217368"/>
        <c:crosses val="autoZero"/>
        <c:crossBetween val="midCat"/>
      </c:valAx>
      <c:valAx>
        <c:axId val="1039217368"/>
        <c:scaling>
          <c:orientation val="minMax"/>
        </c:scaling>
        <c:delete val="0"/>
        <c:axPos val="l"/>
        <c:majorGridlines>
          <c:spPr>
            <a:ln w="9525" cap="flat" cmpd="sng" algn="ctr">
              <a:solidFill>
                <a:schemeClr val="tx1">
                  <a:lumMod val="15000"/>
                  <a:lumOff val="85000"/>
                </a:schemeClr>
              </a:solidFill>
              <a:round/>
            </a:ln>
            <a:effectLst/>
          </c:spPr>
        </c:majorGridlines>
        <c:numFmt formatCode="#,##0\ &quot;NSF&quot;"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218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B$67" lockText="1" noThreeD="1"/>
</file>

<file path=xl/ctrlProps/ctrlProp10.xml><?xml version="1.0" encoding="utf-8"?>
<formControlPr xmlns="http://schemas.microsoft.com/office/spreadsheetml/2009/9/main" objectType="CheckBox" fmlaLink="$B$48" lockText="1" noThreeD="1"/>
</file>

<file path=xl/ctrlProps/ctrlProp11.xml><?xml version="1.0" encoding="utf-8"?>
<formControlPr xmlns="http://schemas.microsoft.com/office/spreadsheetml/2009/9/main" objectType="CheckBox" fmlaLink="$B$55" lockText="1" noThreeD="1"/>
</file>

<file path=xl/ctrlProps/ctrlProp12.xml><?xml version="1.0" encoding="utf-8"?>
<formControlPr xmlns="http://schemas.microsoft.com/office/spreadsheetml/2009/9/main" objectType="CheckBox" fmlaLink="$B$44" lockText="1" noThreeD="1"/>
</file>

<file path=xl/ctrlProps/ctrlProp13.xml><?xml version="1.0" encoding="utf-8"?>
<formControlPr xmlns="http://schemas.microsoft.com/office/spreadsheetml/2009/9/main" objectType="CheckBox" fmlaLink="$B$52" lockText="1" noThreeD="1"/>
</file>

<file path=xl/ctrlProps/ctrlProp14.xml><?xml version="1.0" encoding="utf-8"?>
<formControlPr xmlns="http://schemas.microsoft.com/office/spreadsheetml/2009/9/main" objectType="CheckBox" checked="Checked" fmlaLink="$B$28" lockText="1" noThreeD="1"/>
</file>

<file path=xl/ctrlProps/ctrlProp15.xml><?xml version="1.0" encoding="utf-8"?>
<formControlPr xmlns="http://schemas.microsoft.com/office/spreadsheetml/2009/9/main" objectType="CheckBox" checked="Checked" fmlaLink="$B$29" lockText="1" noThreeD="1"/>
</file>

<file path=xl/ctrlProps/ctrlProp16.xml><?xml version="1.0" encoding="utf-8"?>
<formControlPr xmlns="http://schemas.microsoft.com/office/spreadsheetml/2009/9/main" objectType="CheckBox" checked="Checked" fmlaLink="$B$36" lockText="1" noThreeD="1"/>
</file>

<file path=xl/ctrlProps/ctrlProp17.xml><?xml version="1.0" encoding="utf-8"?>
<formControlPr xmlns="http://schemas.microsoft.com/office/spreadsheetml/2009/9/main" objectType="CheckBox" checked="Checked" fmlaLink="$B$37" lockText="1" noThreeD="1"/>
</file>

<file path=xl/ctrlProps/ctrlProp18.xml><?xml version="1.0" encoding="utf-8"?>
<formControlPr xmlns="http://schemas.microsoft.com/office/spreadsheetml/2009/9/main" objectType="CheckBox" checked="Checked" fmlaLink="$B$31" lockText="1" noThreeD="1"/>
</file>

<file path=xl/ctrlProps/ctrlProp19.xml><?xml version="1.0" encoding="utf-8"?>
<formControlPr xmlns="http://schemas.microsoft.com/office/spreadsheetml/2009/9/main" objectType="CheckBox" checked="Checked" fmlaLink="$B$82" lockText="1" noThreeD="1"/>
</file>

<file path=xl/ctrlProps/ctrlProp2.xml><?xml version="1.0" encoding="utf-8"?>
<formControlPr xmlns="http://schemas.microsoft.com/office/spreadsheetml/2009/9/main" objectType="CheckBox" fmlaLink="$B$54" lockText="1" noThreeD="1"/>
</file>

<file path=xl/ctrlProps/ctrlProp20.xml><?xml version="1.0" encoding="utf-8"?>
<formControlPr xmlns="http://schemas.microsoft.com/office/spreadsheetml/2009/9/main" objectType="CheckBox" fmlaLink="$B$59" lockText="1" noThreeD="1"/>
</file>

<file path=xl/ctrlProps/ctrlProp21.xml><?xml version="1.0" encoding="utf-8"?>
<formControlPr xmlns="http://schemas.microsoft.com/office/spreadsheetml/2009/9/main" objectType="CheckBox" fmlaLink="$B$60" lockText="1" noThreeD="1"/>
</file>

<file path=xl/ctrlProps/ctrlProp22.xml><?xml version="1.0" encoding="utf-8"?>
<formControlPr xmlns="http://schemas.microsoft.com/office/spreadsheetml/2009/9/main" objectType="CheckBox" fmlaLink="$B$61" lockText="1" noThreeD="1"/>
</file>

<file path=xl/ctrlProps/ctrlProp23.xml><?xml version="1.0" encoding="utf-8"?>
<formControlPr xmlns="http://schemas.microsoft.com/office/spreadsheetml/2009/9/main" objectType="CheckBox" fmlaLink="$B$63" lockText="1" noThreeD="1"/>
</file>

<file path=xl/ctrlProps/ctrlProp24.xml><?xml version="1.0" encoding="utf-8"?>
<formControlPr xmlns="http://schemas.microsoft.com/office/spreadsheetml/2009/9/main" objectType="CheckBox" fmlaLink="$B$64" lockText="1" noThreeD="1"/>
</file>

<file path=xl/ctrlProps/ctrlProp25.xml><?xml version="1.0" encoding="utf-8"?>
<formControlPr xmlns="http://schemas.microsoft.com/office/spreadsheetml/2009/9/main" objectType="CheckBox" fmlaLink="$B$65" lockText="1" noThreeD="1"/>
</file>

<file path=xl/ctrlProps/ctrlProp26.xml><?xml version="1.0" encoding="utf-8"?>
<formControlPr xmlns="http://schemas.microsoft.com/office/spreadsheetml/2009/9/main" objectType="CheckBox" fmlaLink="$B$66" lockText="1" noThreeD="1"/>
</file>

<file path=xl/ctrlProps/ctrlProp27.xml><?xml version="1.0" encoding="utf-8"?>
<formControlPr xmlns="http://schemas.microsoft.com/office/spreadsheetml/2009/9/main" objectType="CheckBox" fmlaLink="$B$62" lockText="1" noThreeD="1"/>
</file>

<file path=xl/ctrlProps/ctrlProp28.xml><?xml version="1.0" encoding="utf-8"?>
<formControlPr xmlns="http://schemas.microsoft.com/office/spreadsheetml/2009/9/main" objectType="CheckBox" checked="Checked" fmlaLink="$B$30" lockText="1" noThreeD="1"/>
</file>

<file path=xl/ctrlProps/ctrlProp29.xml><?xml version="1.0" encoding="utf-8"?>
<formControlPr xmlns="http://schemas.microsoft.com/office/spreadsheetml/2009/9/main" objectType="CheckBox" checked="Checked" fmlaLink="$B$38" lockText="1" noThreeD="1"/>
</file>

<file path=xl/ctrlProps/ctrlProp3.xml><?xml version="1.0" encoding="utf-8"?>
<formControlPr xmlns="http://schemas.microsoft.com/office/spreadsheetml/2009/9/main" objectType="CheckBox" fmlaLink="$B$53" lockText="1" noThreeD="1"/>
</file>

<file path=xl/ctrlProps/ctrlProp30.xml><?xml version="1.0" encoding="utf-8"?>
<formControlPr xmlns="http://schemas.microsoft.com/office/spreadsheetml/2009/9/main" objectType="CheckBox" fmlaLink="$B$112" lockText="1" noThreeD="1"/>
</file>

<file path=xl/ctrlProps/ctrlProp31.xml><?xml version="1.0" encoding="utf-8"?>
<formControlPr xmlns="http://schemas.microsoft.com/office/spreadsheetml/2009/9/main" objectType="CheckBox" fmlaLink="$B$92" lockText="1" noThreeD="1"/>
</file>

<file path=xl/ctrlProps/ctrlProp32.xml><?xml version="1.0" encoding="utf-8"?>
<formControlPr xmlns="http://schemas.microsoft.com/office/spreadsheetml/2009/9/main" objectType="CheckBox" checked="Checked" fmlaLink="$B$107" lockText="1" noThreeD="1"/>
</file>

<file path=xl/ctrlProps/ctrlProp33.xml><?xml version="1.0" encoding="utf-8"?>
<formControlPr xmlns="http://schemas.microsoft.com/office/spreadsheetml/2009/9/main" objectType="CheckBox" fmlaLink="$B$104" lockText="1" noThreeD="1"/>
</file>

<file path=xl/ctrlProps/ctrlProp34.xml><?xml version="1.0" encoding="utf-8"?>
<formControlPr xmlns="http://schemas.microsoft.com/office/spreadsheetml/2009/9/main" objectType="CheckBox" fmlaLink="$B$105" lockText="1" noThreeD="1"/>
</file>

<file path=xl/ctrlProps/ctrlProp35.xml><?xml version="1.0" encoding="utf-8"?>
<formControlPr xmlns="http://schemas.microsoft.com/office/spreadsheetml/2009/9/main" objectType="CheckBox" checked="Checked" fmlaLink="$B$94" lockText="1" noThreeD="1"/>
</file>

<file path=xl/ctrlProps/ctrlProp36.xml><?xml version="1.0" encoding="utf-8"?>
<formControlPr xmlns="http://schemas.microsoft.com/office/spreadsheetml/2009/9/main" objectType="CheckBox" checked="Checked" fmlaLink="$B$95" lockText="1" noThreeD="1"/>
</file>

<file path=xl/ctrlProps/ctrlProp37.xml><?xml version="1.0" encoding="utf-8"?>
<formControlPr xmlns="http://schemas.microsoft.com/office/spreadsheetml/2009/9/main" objectType="CheckBox" checked="Checked" fmlaLink="$B$96" lockText="1" noThreeD="1"/>
</file>

<file path=xl/ctrlProps/ctrlProp38.xml><?xml version="1.0" encoding="utf-8"?>
<formControlPr xmlns="http://schemas.microsoft.com/office/spreadsheetml/2009/9/main" objectType="CheckBox" checked="Checked" fmlaLink="$B$97" lockText="1" noThreeD="1"/>
</file>

<file path=xl/ctrlProps/ctrlProp39.xml><?xml version="1.0" encoding="utf-8"?>
<formControlPr xmlns="http://schemas.microsoft.com/office/spreadsheetml/2009/9/main" objectType="CheckBox" checked="Checked" fmlaLink="$B$98" lockText="1" noThreeD="1"/>
</file>

<file path=xl/ctrlProps/ctrlProp4.xml><?xml version="1.0" encoding="utf-8"?>
<formControlPr xmlns="http://schemas.microsoft.com/office/spreadsheetml/2009/9/main" objectType="CheckBox" fmlaLink="$B$56" lockText="1" noThreeD="1"/>
</file>

<file path=xl/ctrlProps/ctrlProp40.xml><?xml version="1.0" encoding="utf-8"?>
<formControlPr xmlns="http://schemas.microsoft.com/office/spreadsheetml/2009/9/main" objectType="CheckBox" checked="Checked" fmlaLink="$B$99" lockText="1" noThreeD="1"/>
</file>

<file path=xl/ctrlProps/ctrlProp41.xml><?xml version="1.0" encoding="utf-8"?>
<formControlPr xmlns="http://schemas.microsoft.com/office/spreadsheetml/2009/9/main" objectType="CheckBox" checked="Checked" fmlaLink="$B$100" lockText="1" noThreeD="1"/>
</file>

<file path=xl/ctrlProps/ctrlProp42.xml><?xml version="1.0" encoding="utf-8"?>
<formControlPr xmlns="http://schemas.microsoft.com/office/spreadsheetml/2009/9/main" objectType="CheckBox" checked="Checked" fmlaLink="$B$101" lockText="1" noThreeD="1"/>
</file>

<file path=xl/ctrlProps/ctrlProp43.xml><?xml version="1.0" encoding="utf-8"?>
<formControlPr xmlns="http://schemas.microsoft.com/office/spreadsheetml/2009/9/main" objectType="CheckBox" checked="Checked" fmlaLink="$B$102" lockText="1" noThreeD="1"/>
</file>

<file path=xl/ctrlProps/ctrlProp44.xml><?xml version="1.0" encoding="utf-8"?>
<formControlPr xmlns="http://schemas.microsoft.com/office/spreadsheetml/2009/9/main" objectType="CheckBox" checked="Checked" fmlaLink="$B$103" lockText="1" noThreeD="1"/>
</file>

<file path=xl/ctrlProps/ctrlProp45.xml><?xml version="1.0" encoding="utf-8"?>
<formControlPr xmlns="http://schemas.microsoft.com/office/spreadsheetml/2009/9/main" objectType="CheckBox" checked="Checked" fmlaLink="$B$109" lockText="1" noThreeD="1"/>
</file>

<file path=xl/ctrlProps/ctrlProp5.xml><?xml version="1.0" encoding="utf-8"?>
<formControlPr xmlns="http://schemas.microsoft.com/office/spreadsheetml/2009/9/main" objectType="CheckBox" fmlaLink="$B$43" lockText="1" noThreeD="1"/>
</file>

<file path=xl/ctrlProps/ctrlProp6.xml><?xml version="1.0" encoding="utf-8"?>
<formControlPr xmlns="http://schemas.microsoft.com/office/spreadsheetml/2009/9/main" objectType="CheckBox" checked="Checked" fmlaLink="$B$49" lockText="1" noThreeD="1"/>
</file>

<file path=xl/ctrlProps/ctrlProp7.xml><?xml version="1.0" encoding="utf-8"?>
<formControlPr xmlns="http://schemas.microsoft.com/office/spreadsheetml/2009/9/main" objectType="CheckBox" fmlaLink="$B$46" lockText="1" noThreeD="1"/>
</file>

<file path=xl/ctrlProps/ctrlProp8.xml><?xml version="1.0" encoding="utf-8"?>
<formControlPr xmlns="http://schemas.microsoft.com/office/spreadsheetml/2009/9/main" objectType="CheckBox" fmlaLink="$B$47" lockText="1" noThreeD="1"/>
</file>

<file path=xl/ctrlProps/ctrlProp9.xml><?xml version="1.0" encoding="utf-8"?>
<formControlPr xmlns="http://schemas.microsoft.com/office/spreadsheetml/2009/9/main" objectType="CheckBox" fmlaLink="$B$45" lockText="1" noThreeD="1"/>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83820</xdr:colOff>
          <xdr:row>65</xdr:row>
          <xdr:rowOff>190500</xdr:rowOff>
        </xdr:from>
        <xdr:to>
          <xdr:col>1</xdr:col>
          <xdr:colOff>266700</xdr:colOff>
          <xdr:row>67</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53</xdr:row>
          <xdr:rowOff>0</xdr:rowOff>
        </xdr:from>
        <xdr:to>
          <xdr:col>1</xdr:col>
          <xdr:colOff>266700</xdr:colOff>
          <xdr:row>53</xdr:row>
          <xdr:rowOff>175260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52</xdr:row>
          <xdr:rowOff>7620</xdr:rowOff>
        </xdr:from>
        <xdr:to>
          <xdr:col>1</xdr:col>
          <xdr:colOff>266700</xdr:colOff>
          <xdr:row>52</xdr:row>
          <xdr:rowOff>182880</xdr:rowOff>
        </xdr:to>
        <xdr:sp macro="" textlink="">
          <xdr:nvSpPr>
            <xdr:cNvPr id="5157" name="Check Box 37" descr="Checkbox_Secure_Visitor_Waiting_Area"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54</xdr:row>
          <xdr:rowOff>190500</xdr:rowOff>
        </xdr:from>
        <xdr:to>
          <xdr:col>1</xdr:col>
          <xdr:colOff>266700</xdr:colOff>
          <xdr:row>55</xdr:row>
          <xdr:rowOff>182880</xdr:rowOff>
        </xdr:to>
        <xdr:sp macro="" textlink="">
          <xdr:nvSpPr>
            <xdr:cNvPr id="5158" name="Check Box 38" descr="Checkbox_Weapons_Vestibule_and_Vault"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42</xdr:row>
          <xdr:rowOff>0</xdr:rowOff>
        </xdr:from>
        <xdr:to>
          <xdr:col>1</xdr:col>
          <xdr:colOff>266700</xdr:colOff>
          <xdr:row>42</xdr:row>
          <xdr:rowOff>182880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2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48</xdr:row>
          <xdr:rowOff>0</xdr:rowOff>
        </xdr:from>
        <xdr:to>
          <xdr:col>1</xdr:col>
          <xdr:colOff>266700</xdr:colOff>
          <xdr:row>48</xdr:row>
          <xdr:rowOff>182880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2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44</xdr:row>
          <xdr:rowOff>190500</xdr:rowOff>
        </xdr:from>
        <xdr:to>
          <xdr:col>1</xdr:col>
          <xdr:colOff>266700</xdr:colOff>
          <xdr:row>45</xdr:row>
          <xdr:rowOff>182880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2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46</xdr:row>
          <xdr:rowOff>0</xdr:rowOff>
        </xdr:from>
        <xdr:to>
          <xdr:col>1</xdr:col>
          <xdr:colOff>266700</xdr:colOff>
          <xdr:row>46</xdr:row>
          <xdr:rowOff>182880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2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44</xdr:row>
          <xdr:rowOff>0</xdr:rowOff>
        </xdr:from>
        <xdr:to>
          <xdr:col>1</xdr:col>
          <xdr:colOff>266700</xdr:colOff>
          <xdr:row>44</xdr:row>
          <xdr:rowOff>182880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2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46</xdr:row>
          <xdr:rowOff>190500</xdr:rowOff>
        </xdr:from>
        <xdr:to>
          <xdr:col>1</xdr:col>
          <xdr:colOff>274320</xdr:colOff>
          <xdr:row>47</xdr:row>
          <xdr:rowOff>182880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2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54</xdr:row>
          <xdr:rowOff>0</xdr:rowOff>
        </xdr:from>
        <xdr:to>
          <xdr:col>1</xdr:col>
          <xdr:colOff>266700</xdr:colOff>
          <xdr:row>54</xdr:row>
          <xdr:rowOff>175260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2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43</xdr:row>
          <xdr:rowOff>7620</xdr:rowOff>
        </xdr:from>
        <xdr:to>
          <xdr:col>1</xdr:col>
          <xdr:colOff>274320</xdr:colOff>
          <xdr:row>44</xdr:row>
          <xdr:rowOff>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2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51</xdr:row>
          <xdr:rowOff>0</xdr:rowOff>
        </xdr:from>
        <xdr:to>
          <xdr:col>1</xdr:col>
          <xdr:colOff>266700</xdr:colOff>
          <xdr:row>51</xdr:row>
          <xdr:rowOff>182880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2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27</xdr:row>
          <xdr:rowOff>22860</xdr:rowOff>
        </xdr:from>
        <xdr:to>
          <xdr:col>1</xdr:col>
          <xdr:colOff>266700</xdr:colOff>
          <xdr:row>28</xdr:row>
          <xdr:rowOff>7620</xdr:rowOff>
        </xdr:to>
        <xdr:sp macro="" textlink="">
          <xdr:nvSpPr>
            <xdr:cNvPr id="5169" name="Check Box Private Office" hidden="1">
              <a:extLst>
                <a:ext uri="{63B3BB69-23CF-44E3-9099-C40C66FF867C}">
                  <a14:compatExt spid="_x0000_s5169"/>
                </a:ext>
                <a:ext uri="{FF2B5EF4-FFF2-40B4-BE49-F238E27FC236}">
                  <a16:creationId xmlns:a16="http://schemas.microsoft.com/office/drawing/2014/main" id="{00000000-0008-0000-02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28</xdr:row>
          <xdr:rowOff>7620</xdr:rowOff>
        </xdr:from>
        <xdr:to>
          <xdr:col>1</xdr:col>
          <xdr:colOff>266700</xdr:colOff>
          <xdr:row>29</xdr:row>
          <xdr:rowOff>0</xdr:rowOff>
        </xdr:to>
        <xdr:sp macro="" textlink="">
          <xdr:nvSpPr>
            <xdr:cNvPr id="5170" name="Check Box Open Office" hidden="1">
              <a:extLst>
                <a:ext uri="{63B3BB69-23CF-44E3-9099-C40C66FF867C}">
                  <a14:compatExt spid="_x0000_s5170"/>
                </a:ext>
                <a:ext uri="{FF2B5EF4-FFF2-40B4-BE49-F238E27FC236}">
                  <a16:creationId xmlns:a16="http://schemas.microsoft.com/office/drawing/2014/main" id="{00000000-0008-0000-02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35</xdr:row>
          <xdr:rowOff>0</xdr:rowOff>
        </xdr:from>
        <xdr:to>
          <xdr:col>1</xdr:col>
          <xdr:colOff>266700</xdr:colOff>
          <xdr:row>35</xdr:row>
          <xdr:rowOff>182880</xdr:rowOff>
        </xdr:to>
        <xdr:sp macro="" textlink="">
          <xdr:nvSpPr>
            <xdr:cNvPr id="5171" name="Check Box Admin Support Space" hidden="1">
              <a:extLst>
                <a:ext uri="{63B3BB69-23CF-44E3-9099-C40C66FF867C}">
                  <a14:compatExt spid="_x0000_s5171"/>
                </a:ext>
                <a:ext uri="{FF2B5EF4-FFF2-40B4-BE49-F238E27FC236}">
                  <a16:creationId xmlns:a16="http://schemas.microsoft.com/office/drawing/2014/main" id="{00000000-0008-0000-02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36</xdr:row>
          <xdr:rowOff>0</xdr:rowOff>
        </xdr:from>
        <xdr:to>
          <xdr:col>1</xdr:col>
          <xdr:colOff>266700</xdr:colOff>
          <xdr:row>36</xdr:row>
          <xdr:rowOff>182880</xdr:rowOff>
        </xdr:to>
        <xdr:sp macro="" textlink="">
          <xdr:nvSpPr>
            <xdr:cNvPr id="5172" name="Check Box Conf Trng Space" hidden="1">
              <a:extLst>
                <a:ext uri="{63B3BB69-23CF-44E3-9099-C40C66FF867C}">
                  <a14:compatExt spid="_x0000_s5172"/>
                </a:ext>
                <a:ext uri="{FF2B5EF4-FFF2-40B4-BE49-F238E27FC236}">
                  <a16:creationId xmlns:a16="http://schemas.microsoft.com/office/drawing/2014/main" id="{00000000-0008-0000-02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30</xdr:row>
          <xdr:rowOff>7620</xdr:rowOff>
        </xdr:from>
        <xdr:to>
          <xdr:col>1</xdr:col>
          <xdr:colOff>266700</xdr:colOff>
          <xdr:row>30</xdr:row>
          <xdr:rowOff>182880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2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81</xdr:row>
          <xdr:rowOff>0</xdr:rowOff>
        </xdr:from>
        <xdr:to>
          <xdr:col>1</xdr:col>
          <xdr:colOff>266700</xdr:colOff>
          <xdr:row>81</xdr:row>
          <xdr:rowOff>182880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2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57</xdr:row>
          <xdr:rowOff>190500</xdr:rowOff>
        </xdr:from>
        <xdr:to>
          <xdr:col>1</xdr:col>
          <xdr:colOff>266700</xdr:colOff>
          <xdr:row>58</xdr:row>
          <xdr:rowOff>182880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2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58</xdr:row>
          <xdr:rowOff>190500</xdr:rowOff>
        </xdr:from>
        <xdr:to>
          <xdr:col>1</xdr:col>
          <xdr:colOff>266700</xdr:colOff>
          <xdr:row>59</xdr:row>
          <xdr:rowOff>182880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2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59</xdr:row>
          <xdr:rowOff>190500</xdr:rowOff>
        </xdr:from>
        <xdr:to>
          <xdr:col>1</xdr:col>
          <xdr:colOff>266700</xdr:colOff>
          <xdr:row>60</xdr:row>
          <xdr:rowOff>182880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2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61</xdr:row>
          <xdr:rowOff>190500</xdr:rowOff>
        </xdr:from>
        <xdr:to>
          <xdr:col>1</xdr:col>
          <xdr:colOff>266700</xdr:colOff>
          <xdr:row>62</xdr:row>
          <xdr:rowOff>182880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2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62</xdr:row>
          <xdr:rowOff>190500</xdr:rowOff>
        </xdr:from>
        <xdr:to>
          <xdr:col>1</xdr:col>
          <xdr:colOff>266700</xdr:colOff>
          <xdr:row>63</xdr:row>
          <xdr:rowOff>182880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2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63</xdr:row>
          <xdr:rowOff>190500</xdr:rowOff>
        </xdr:from>
        <xdr:to>
          <xdr:col>1</xdr:col>
          <xdr:colOff>266700</xdr:colOff>
          <xdr:row>64</xdr:row>
          <xdr:rowOff>182880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2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64</xdr:row>
          <xdr:rowOff>190500</xdr:rowOff>
        </xdr:from>
        <xdr:to>
          <xdr:col>1</xdr:col>
          <xdr:colOff>266700</xdr:colOff>
          <xdr:row>65</xdr:row>
          <xdr:rowOff>182880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2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60</xdr:row>
          <xdr:rowOff>175260</xdr:rowOff>
        </xdr:from>
        <xdr:to>
          <xdr:col>1</xdr:col>
          <xdr:colOff>274320</xdr:colOff>
          <xdr:row>62</xdr:row>
          <xdr:rowOff>7620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2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28</xdr:row>
          <xdr:rowOff>190500</xdr:rowOff>
        </xdr:from>
        <xdr:to>
          <xdr:col>1</xdr:col>
          <xdr:colOff>289560</xdr:colOff>
          <xdr:row>30</xdr:row>
          <xdr:rowOff>7620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2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36</xdr:row>
          <xdr:rowOff>152400</xdr:rowOff>
        </xdr:from>
        <xdr:to>
          <xdr:col>1</xdr:col>
          <xdr:colOff>388620</xdr:colOff>
          <xdr:row>37</xdr:row>
          <xdr:rowOff>182880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2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99060</xdr:colOff>
          <xdr:row>111</xdr:row>
          <xdr:rowOff>7620</xdr:rowOff>
        </xdr:from>
        <xdr:to>
          <xdr:col>1</xdr:col>
          <xdr:colOff>274320</xdr:colOff>
          <xdr:row>112</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4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91</xdr:row>
          <xdr:rowOff>0</xdr:rowOff>
        </xdr:from>
        <xdr:to>
          <xdr:col>1</xdr:col>
          <xdr:colOff>274320</xdr:colOff>
          <xdr:row>91</xdr:row>
          <xdr:rowOff>182880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105</xdr:row>
          <xdr:rowOff>45720</xdr:rowOff>
        </xdr:from>
        <xdr:to>
          <xdr:col>1</xdr:col>
          <xdr:colOff>274320</xdr:colOff>
          <xdr:row>106</xdr:row>
          <xdr:rowOff>175260</xdr:rowOff>
        </xdr:to>
        <xdr:sp macro="" textlink="">
          <xdr:nvSpPr>
            <xdr:cNvPr id="8214" name="Check Box 22" descr="Checkbox_Adjust_Bldg_Width"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103</xdr:row>
          <xdr:rowOff>0</xdr:rowOff>
        </xdr:from>
        <xdr:to>
          <xdr:col>1</xdr:col>
          <xdr:colOff>274320</xdr:colOff>
          <xdr:row>103</xdr:row>
          <xdr:rowOff>182880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104</xdr:row>
          <xdr:rowOff>0</xdr:rowOff>
        </xdr:from>
        <xdr:to>
          <xdr:col>1</xdr:col>
          <xdr:colOff>274320</xdr:colOff>
          <xdr:row>104</xdr:row>
          <xdr:rowOff>182880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4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92</xdr:row>
          <xdr:rowOff>45720</xdr:rowOff>
        </xdr:from>
        <xdr:to>
          <xdr:col>1</xdr:col>
          <xdr:colOff>274320</xdr:colOff>
          <xdr:row>93</xdr:row>
          <xdr:rowOff>175260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4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94</xdr:row>
          <xdr:rowOff>0</xdr:rowOff>
        </xdr:from>
        <xdr:to>
          <xdr:col>1</xdr:col>
          <xdr:colOff>274320</xdr:colOff>
          <xdr:row>94</xdr:row>
          <xdr:rowOff>182880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4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95</xdr:row>
          <xdr:rowOff>0</xdr:rowOff>
        </xdr:from>
        <xdr:to>
          <xdr:col>1</xdr:col>
          <xdr:colOff>274320</xdr:colOff>
          <xdr:row>95</xdr:row>
          <xdr:rowOff>182880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4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96</xdr:row>
          <xdr:rowOff>0</xdr:rowOff>
        </xdr:from>
        <xdr:to>
          <xdr:col>1</xdr:col>
          <xdr:colOff>274320</xdr:colOff>
          <xdr:row>96</xdr:row>
          <xdr:rowOff>182880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4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97</xdr:row>
          <xdr:rowOff>0</xdr:rowOff>
        </xdr:from>
        <xdr:to>
          <xdr:col>1</xdr:col>
          <xdr:colOff>274320</xdr:colOff>
          <xdr:row>97</xdr:row>
          <xdr:rowOff>182880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4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98</xdr:row>
          <xdr:rowOff>0</xdr:rowOff>
        </xdr:from>
        <xdr:to>
          <xdr:col>1</xdr:col>
          <xdr:colOff>274320</xdr:colOff>
          <xdr:row>98</xdr:row>
          <xdr:rowOff>182880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4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99</xdr:row>
          <xdr:rowOff>0</xdr:rowOff>
        </xdr:from>
        <xdr:to>
          <xdr:col>1</xdr:col>
          <xdr:colOff>274320</xdr:colOff>
          <xdr:row>99</xdr:row>
          <xdr:rowOff>182880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4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100</xdr:row>
          <xdr:rowOff>0</xdr:rowOff>
        </xdr:from>
        <xdr:to>
          <xdr:col>1</xdr:col>
          <xdr:colOff>274320</xdr:colOff>
          <xdr:row>100</xdr:row>
          <xdr:rowOff>182880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4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101</xdr:row>
          <xdr:rowOff>0</xdr:rowOff>
        </xdr:from>
        <xdr:to>
          <xdr:col>1</xdr:col>
          <xdr:colOff>274320</xdr:colOff>
          <xdr:row>101</xdr:row>
          <xdr:rowOff>182880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4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102</xdr:row>
          <xdr:rowOff>0</xdr:rowOff>
        </xdr:from>
        <xdr:to>
          <xdr:col>1</xdr:col>
          <xdr:colOff>274320</xdr:colOff>
          <xdr:row>102</xdr:row>
          <xdr:rowOff>182880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4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107</xdr:row>
          <xdr:rowOff>152400</xdr:rowOff>
        </xdr:from>
        <xdr:to>
          <xdr:col>1</xdr:col>
          <xdr:colOff>274320</xdr:colOff>
          <xdr:row>108</xdr:row>
          <xdr:rowOff>182880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4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47627</xdr:colOff>
      <xdr:row>21</xdr:row>
      <xdr:rowOff>61912</xdr:rowOff>
    </xdr:from>
    <xdr:to>
      <xdr:col>5</xdr:col>
      <xdr:colOff>1895477</xdr:colOff>
      <xdr:row>27</xdr:row>
      <xdr:rowOff>135390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9521</xdr:colOff>
      <xdr:row>39</xdr:row>
      <xdr:rowOff>42860</xdr:rowOff>
    </xdr:from>
    <xdr:to>
      <xdr:col>4</xdr:col>
      <xdr:colOff>691511</xdr:colOff>
      <xdr:row>52</xdr:row>
      <xdr:rowOff>126680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45</xdr:row>
      <xdr:rowOff>9525</xdr:rowOff>
    </xdr:from>
    <xdr:to>
      <xdr:col>14</xdr:col>
      <xdr:colOff>561975</xdr:colOff>
      <xdr:row>79</xdr:row>
      <xdr:rowOff>9525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emp\Admin_BFR_Generator_Circulation_fixing_v1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_sh_ram_295_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ity"/>
      <sheetName val="General Admin"/>
      <sheetName val="Special Purpose"/>
      <sheetName val="Justification"/>
      <sheetName val="Net-To-Gross"/>
      <sheetName val="Summary"/>
      <sheetName val="Detailed Analysis"/>
      <sheetName val="Floors"/>
      <sheetName val="Circulation"/>
      <sheetName val="Resources"/>
      <sheetName val="CCN"/>
      <sheetName val="Server Rooms"/>
      <sheetName val="Conference Rooms"/>
      <sheetName val="Bathrooms"/>
      <sheetName val="NTG Spaces"/>
      <sheetName val="_SSC"/>
      <sheetName val="_Options"/>
    </sheetNames>
    <sheetDataSet>
      <sheetData sheetId="0"/>
      <sheetData sheetId="1"/>
      <sheetData sheetId="2"/>
      <sheetData sheetId="3">
        <row r="43">
          <cell r="A43" t="str">
            <v>Special Purpose Space:</v>
          </cell>
          <cell r="C43" t="str">
            <v>Factor</v>
          </cell>
          <cell r="D43" t="str">
            <v>Justification</v>
          </cell>
          <cell r="E43" t="str">
            <v>Factor</v>
          </cell>
          <cell r="F43" t="str">
            <v>NSF</v>
          </cell>
        </row>
        <row r="44">
          <cell r="A44" t="str">
            <v>Investigative Group:</v>
          </cell>
        </row>
        <row r="53">
          <cell r="C53" t="str">
            <v>Investigative Group Subtotal:</v>
          </cell>
          <cell r="F53" t="str">
            <v>0 NSF</v>
          </cell>
        </row>
        <row r="54">
          <cell r="A54" t="str">
            <v>Miscellaneous Group:</v>
          </cell>
        </row>
        <row r="73">
          <cell r="C73" t="str">
            <v>Miscellaneous Group Subtotal:</v>
          </cell>
          <cell r="F73" t="str">
            <v>0 NSF</v>
          </cell>
        </row>
        <row r="74">
          <cell r="A74" t="str">
            <v>Operational Group:</v>
          </cell>
          <cell r="D74" t="str">
            <v>Operational Group under development. Do not use at this time.</v>
          </cell>
        </row>
        <row r="90">
          <cell r="C90" t="str">
            <v>Operational Group Subtotal:</v>
          </cell>
          <cell r="F90" t="str">
            <v>0 NSF</v>
          </cell>
        </row>
        <row r="92">
          <cell r="C92" t="str">
            <v>Special Purpose Space Subtotal:</v>
          </cell>
          <cell r="F92" t="str">
            <v>0 NSF</v>
          </cell>
        </row>
        <row r="93">
          <cell r="C93" t="str">
            <v>Special Purpose Space Secondary Circulation Multiplier:</v>
          </cell>
          <cell r="E93">
            <v>0</v>
          </cell>
          <cell r="F93" t="str">
            <v>0 NSF</v>
          </cell>
        </row>
        <row r="94">
          <cell r="C94" t="str">
            <v>Net Special Purpose Space:</v>
          </cell>
          <cell r="F94" t="str">
            <v>0 NSF</v>
          </cell>
        </row>
      </sheetData>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h_ram_295_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3.bin"/><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omments" Target="../comments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customProperty" Target="../customProperty3.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3" Type="http://schemas.openxmlformats.org/officeDocument/2006/relationships/drawing" Target="../drawings/drawing2.xml"/><Relationship Id="rId21" Type="http://schemas.openxmlformats.org/officeDocument/2006/relationships/comments" Target="../comments4.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customProperty" Target="../customProperty5.bin"/><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5.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vmlDrawing" Target="../drawings/vmlDrawing4.v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8.bin"/><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H50"/>
  <sheetViews>
    <sheetView showGridLines="0" tabSelected="1" topLeftCell="B1" zoomScaleNormal="100" zoomScaleSheetLayoutView="80" workbookViewId="0">
      <selection activeCell="B11" sqref="B11"/>
    </sheetView>
  </sheetViews>
  <sheetFormatPr defaultColWidth="9.109375" defaultRowHeight="14.4" x14ac:dyDescent="0.3"/>
  <cols>
    <col min="1" max="2" width="6.6640625" style="15" customWidth="1"/>
    <col min="3" max="5" width="15.6640625" style="15" customWidth="1"/>
    <col min="6" max="6" width="36.6640625" style="15" customWidth="1"/>
    <col min="7" max="7" width="22.6640625" style="15" customWidth="1"/>
    <col min="8" max="8" width="18.6640625" style="15" customWidth="1"/>
    <col min="9" max="16384" width="9.109375" style="15"/>
  </cols>
  <sheetData>
    <row r="1" spans="1:8" s="364" customFormat="1" ht="39.9" customHeight="1" x14ac:dyDescent="0.3">
      <c r="A1" s="347"/>
      <c r="B1" s="498" t="s">
        <v>46</v>
      </c>
      <c r="C1" s="499"/>
      <c r="D1" s="499"/>
      <c r="E1" s="499"/>
      <c r="F1" s="499"/>
      <c r="G1" s="388" t="str">
        <f>Activity!G1</f>
        <v>Ver. 20220728</v>
      </c>
      <c r="H1" s="366" t="str">
        <f>Detailed_Analysis!H20</f>
        <v>Legend:</v>
      </c>
    </row>
    <row r="2" spans="1:8" ht="15" customHeight="1" x14ac:dyDescent="0.3">
      <c r="B2" s="500" t="s">
        <v>405</v>
      </c>
      <c r="C2" s="501"/>
      <c r="D2" s="501"/>
      <c r="E2" s="501"/>
      <c r="F2" s="501"/>
      <c r="G2" s="372"/>
      <c r="H2" s="373" t="str">
        <f>Detailed_Analysis!H21</f>
        <v>Headers</v>
      </c>
    </row>
    <row r="3" spans="1:8" ht="15" customHeight="1" x14ac:dyDescent="0.3">
      <c r="B3" s="501"/>
      <c r="C3" s="501"/>
      <c r="D3" s="501"/>
      <c r="E3" s="501"/>
      <c r="F3" s="501"/>
      <c r="G3" s="372"/>
      <c r="H3" s="374" t="str">
        <f>Detailed_Analysis!H22</f>
        <v>Inputs</v>
      </c>
    </row>
    <row r="4" spans="1:8" ht="15" customHeight="1" x14ac:dyDescent="0.3">
      <c r="B4" s="501"/>
      <c r="C4" s="501"/>
      <c r="D4" s="501"/>
      <c r="E4" s="501"/>
      <c r="F4" s="501"/>
      <c r="G4" s="372"/>
      <c r="H4" s="375" t="str">
        <f>Detailed_Analysis!H23</f>
        <v>Outputs</v>
      </c>
    </row>
    <row r="5" spans="1:8" ht="15" customHeight="1" x14ac:dyDescent="0.3">
      <c r="B5" s="501"/>
      <c r="C5" s="501"/>
      <c r="D5" s="501"/>
      <c r="E5" s="501"/>
      <c r="F5" s="501"/>
      <c r="G5" s="372"/>
      <c r="H5" s="376" t="s">
        <v>45</v>
      </c>
    </row>
    <row r="6" spans="1:8" ht="15" customHeight="1" x14ac:dyDescent="0.3">
      <c r="B6" s="501"/>
      <c r="C6" s="501"/>
      <c r="D6" s="501"/>
      <c r="E6" s="501"/>
      <c r="F6" s="501"/>
      <c r="G6" s="372"/>
      <c r="H6" s="35" t="s">
        <v>44</v>
      </c>
    </row>
    <row r="7" spans="1:8" ht="15" customHeight="1" x14ac:dyDescent="0.3">
      <c r="B7" s="501"/>
      <c r="C7" s="501"/>
      <c r="D7" s="501"/>
      <c r="E7" s="501"/>
      <c r="F7" s="501"/>
      <c r="G7" s="372"/>
      <c r="H7" s="34" t="s">
        <v>43</v>
      </c>
    </row>
    <row r="8" spans="1:8" ht="15" customHeight="1" x14ac:dyDescent="0.3">
      <c r="B8" s="501"/>
      <c r="C8" s="501"/>
      <c r="D8" s="501"/>
      <c r="E8" s="501"/>
      <c r="F8" s="501"/>
      <c r="G8" s="372"/>
      <c r="H8" s="33" t="s">
        <v>42</v>
      </c>
    </row>
    <row r="9" spans="1:8" ht="15" customHeight="1" x14ac:dyDescent="0.3">
      <c r="B9" s="501"/>
      <c r="C9" s="501"/>
      <c r="D9" s="501"/>
      <c r="E9" s="501"/>
      <c r="F9" s="501"/>
      <c r="G9" s="372"/>
      <c r="H9" s="377"/>
    </row>
    <row r="10" spans="1:8" ht="15" customHeight="1" x14ac:dyDescent="0.3">
      <c r="B10" s="501"/>
      <c r="C10" s="501"/>
      <c r="D10" s="501"/>
      <c r="E10" s="501"/>
      <c r="F10" s="501"/>
      <c r="G10" s="378"/>
      <c r="H10" s="379"/>
    </row>
    <row r="11" spans="1:8" ht="15" customHeight="1" x14ac:dyDescent="0.3">
      <c r="B11" s="380"/>
      <c r="C11" s="378"/>
      <c r="D11" s="378"/>
      <c r="E11" s="378"/>
      <c r="F11" s="378"/>
      <c r="H11" s="379"/>
    </row>
    <row r="12" spans="1:8" ht="15.6" x14ac:dyDescent="0.35">
      <c r="B12" s="504" t="s">
        <v>41</v>
      </c>
      <c r="C12" s="505"/>
      <c r="D12" s="505"/>
      <c r="E12" s="505"/>
      <c r="F12" s="505"/>
      <c r="G12" s="402"/>
      <c r="H12" s="381"/>
    </row>
    <row r="13" spans="1:8" x14ac:dyDescent="0.3">
      <c r="B13" s="382"/>
    </row>
    <row r="14" spans="1:8" x14ac:dyDescent="0.3">
      <c r="B14" s="502" t="s">
        <v>40</v>
      </c>
      <c r="C14" s="503"/>
      <c r="D14" s="503"/>
      <c r="E14" s="503"/>
      <c r="F14" s="503"/>
    </row>
    <row r="15" spans="1:8" x14ac:dyDescent="0.3">
      <c r="B15" s="18"/>
    </row>
    <row r="16" spans="1:8" ht="32.1" customHeight="1" x14ac:dyDescent="0.3">
      <c r="B16" s="496" t="s">
        <v>400</v>
      </c>
      <c r="C16" s="497"/>
      <c r="D16" s="497"/>
      <c r="E16" s="497"/>
      <c r="F16" s="497"/>
      <c r="G16" s="383"/>
    </row>
    <row r="17" spans="2:7" ht="15" customHeight="1" x14ac:dyDescent="0.35">
      <c r="B17" s="384"/>
      <c r="C17" s="507" t="s">
        <v>39</v>
      </c>
      <c r="D17" s="503"/>
      <c r="E17" s="503"/>
      <c r="F17" s="503"/>
      <c r="G17" s="381"/>
    </row>
    <row r="18" spans="2:7" x14ac:dyDescent="0.3">
      <c r="B18" s="384"/>
      <c r="C18" s="507" t="s">
        <v>38</v>
      </c>
      <c r="D18" s="503"/>
      <c r="E18" s="503"/>
      <c r="F18" s="503"/>
    </row>
    <row r="19" spans="2:7" ht="30" customHeight="1" x14ac:dyDescent="0.3">
      <c r="B19" s="384"/>
      <c r="C19" s="508" t="s">
        <v>37</v>
      </c>
      <c r="D19" s="501"/>
      <c r="E19" s="501"/>
      <c r="F19" s="501"/>
    </row>
    <row r="20" spans="2:7" x14ac:dyDescent="0.3">
      <c r="B20" s="384"/>
    </row>
    <row r="21" spans="2:7" x14ac:dyDescent="0.3">
      <c r="B21" s="502" t="s">
        <v>36</v>
      </c>
      <c r="C21" s="503"/>
      <c r="D21" s="503"/>
      <c r="E21" s="503"/>
      <c r="F21" s="503"/>
    </row>
    <row r="22" spans="2:7" ht="32.1" customHeight="1" x14ac:dyDescent="0.3">
      <c r="B22" s="384"/>
      <c r="C22" s="496" t="s">
        <v>499</v>
      </c>
      <c r="D22" s="497"/>
      <c r="E22" s="497"/>
      <c r="F22" s="497"/>
    </row>
    <row r="23" spans="2:7" ht="32.1" customHeight="1" x14ac:dyDescent="0.3">
      <c r="B23" s="384"/>
      <c r="C23" s="496" t="s">
        <v>438</v>
      </c>
      <c r="D23" s="497"/>
      <c r="E23" s="497"/>
      <c r="F23" s="497"/>
      <c r="G23" s="386"/>
    </row>
    <row r="24" spans="2:7" x14ac:dyDescent="0.3">
      <c r="B24" s="384"/>
    </row>
    <row r="25" spans="2:7" x14ac:dyDescent="0.3">
      <c r="B25" s="502" t="s">
        <v>35</v>
      </c>
      <c r="C25" s="503"/>
      <c r="D25" s="503"/>
      <c r="E25" s="503"/>
      <c r="F25" s="503"/>
    </row>
    <row r="26" spans="2:7" ht="32.1" customHeight="1" x14ac:dyDescent="0.3">
      <c r="B26" s="384"/>
      <c r="C26" s="496" t="s">
        <v>34</v>
      </c>
      <c r="D26" s="497"/>
      <c r="E26" s="497"/>
      <c r="F26" s="497"/>
    </row>
    <row r="27" spans="2:7" ht="32.1" customHeight="1" x14ac:dyDescent="0.3">
      <c r="B27" s="384"/>
      <c r="C27" s="496" t="s">
        <v>439</v>
      </c>
      <c r="D27" s="497"/>
      <c r="E27" s="497"/>
      <c r="F27" s="497"/>
    </row>
    <row r="28" spans="2:7" x14ac:dyDescent="0.3">
      <c r="B28" s="384"/>
    </row>
    <row r="29" spans="2:7" x14ac:dyDescent="0.3">
      <c r="B29" s="502" t="s">
        <v>33</v>
      </c>
      <c r="C29" s="503"/>
      <c r="D29" s="503"/>
      <c r="E29" s="503"/>
      <c r="F29" s="503"/>
    </row>
    <row r="30" spans="2:7" ht="32.1" customHeight="1" x14ac:dyDescent="0.3">
      <c r="B30" s="384"/>
      <c r="C30" s="496" t="s">
        <v>370</v>
      </c>
      <c r="D30" s="497"/>
      <c r="E30" s="497"/>
      <c r="F30" s="497"/>
    </row>
    <row r="31" spans="2:7" ht="15" customHeight="1" x14ac:dyDescent="0.3">
      <c r="B31" s="384"/>
      <c r="C31" s="496" t="s">
        <v>32</v>
      </c>
      <c r="D31" s="497"/>
      <c r="E31" s="497"/>
      <c r="F31" s="497"/>
      <c r="G31" s="386"/>
    </row>
    <row r="32" spans="2:7" x14ac:dyDescent="0.3">
      <c r="B32" s="384"/>
    </row>
    <row r="33" spans="2:7" x14ac:dyDescent="0.3">
      <c r="B33" s="502" t="s">
        <v>31</v>
      </c>
      <c r="C33" s="503"/>
      <c r="D33" s="503"/>
      <c r="E33" s="503"/>
      <c r="F33" s="503"/>
    </row>
    <row r="34" spans="2:7" x14ac:dyDescent="0.3">
      <c r="B34" s="18"/>
      <c r="C34" s="496" t="s">
        <v>440</v>
      </c>
      <c r="D34" s="497"/>
      <c r="E34" s="497"/>
      <c r="F34" s="497"/>
    </row>
    <row r="35" spans="2:7" x14ac:dyDescent="0.3">
      <c r="B35" s="18"/>
    </row>
    <row r="36" spans="2:7" x14ac:dyDescent="0.3">
      <c r="B36" s="502" t="s">
        <v>30</v>
      </c>
      <c r="C36" s="503"/>
      <c r="D36" s="503"/>
      <c r="E36" s="503"/>
      <c r="F36" s="503"/>
    </row>
    <row r="37" spans="2:7" ht="32.1" customHeight="1" x14ac:dyDescent="0.3">
      <c r="B37" s="384"/>
      <c r="C37" s="496" t="s">
        <v>29</v>
      </c>
      <c r="D37" s="497"/>
      <c r="E37" s="497"/>
      <c r="F37" s="497"/>
    </row>
    <row r="38" spans="2:7" ht="15" customHeight="1" x14ac:dyDescent="0.3">
      <c r="B38" s="384"/>
      <c r="C38" s="496" t="s">
        <v>28</v>
      </c>
      <c r="D38" s="497"/>
      <c r="E38" s="497"/>
      <c r="F38" s="497"/>
      <c r="G38" s="386"/>
    </row>
    <row r="39" spans="2:7" ht="30" customHeight="1" x14ac:dyDescent="0.3">
      <c r="B39" s="384"/>
      <c r="C39" s="496" t="s">
        <v>27</v>
      </c>
      <c r="D39" s="497"/>
      <c r="E39" s="497"/>
      <c r="F39" s="497"/>
      <c r="G39" s="386"/>
    </row>
    <row r="41" spans="2:7" x14ac:dyDescent="0.3">
      <c r="B41" s="414" t="s">
        <v>202</v>
      </c>
    </row>
    <row r="42" spans="2:7" ht="15" customHeight="1" x14ac:dyDescent="0.3">
      <c r="C42" s="506" t="s">
        <v>398</v>
      </c>
      <c r="D42" s="506"/>
      <c r="E42" s="506"/>
      <c r="F42" s="506"/>
    </row>
    <row r="43" spans="2:7" x14ac:dyDescent="0.3">
      <c r="C43" s="506"/>
      <c r="D43" s="506"/>
      <c r="E43" s="506"/>
      <c r="F43" s="506"/>
    </row>
    <row r="44" spans="2:7" x14ac:dyDescent="0.3">
      <c r="C44" s="506"/>
      <c r="D44" s="506"/>
      <c r="E44" s="506"/>
      <c r="F44" s="506"/>
    </row>
    <row r="45" spans="2:7" x14ac:dyDescent="0.3">
      <c r="C45" s="506"/>
      <c r="D45" s="506"/>
      <c r="E45" s="506"/>
      <c r="F45" s="506"/>
    </row>
    <row r="46" spans="2:7" s="380" customFormat="1" ht="15" customHeight="1" x14ac:dyDescent="0.3">
      <c r="C46" s="506" t="s">
        <v>500</v>
      </c>
      <c r="D46" s="506"/>
      <c r="E46" s="506"/>
      <c r="F46" s="506"/>
    </row>
    <row r="47" spans="2:7" s="380" customFormat="1" x14ac:dyDescent="0.3">
      <c r="C47" s="506"/>
      <c r="D47" s="506"/>
      <c r="E47" s="506"/>
      <c r="F47" s="506"/>
    </row>
    <row r="48" spans="2:7" s="380" customFormat="1" x14ac:dyDescent="0.3">
      <c r="C48" s="506"/>
      <c r="D48" s="506"/>
      <c r="E48" s="506"/>
      <c r="F48" s="506"/>
    </row>
    <row r="49" spans="8:8" s="380" customFormat="1" x14ac:dyDescent="0.3"/>
    <row r="50" spans="8:8" x14ac:dyDescent="0.3">
      <c r="H50" s="387" t="str">
        <f>HYPERLINK("#Activity","Next")</f>
        <v>Next</v>
      </c>
    </row>
  </sheetData>
  <sheetProtection algorithmName="SHA-512" hashValue="ulwvam4vJFOU4sYk9qFe+ZSewCiUJfRmDhYgpdnAfe4RCI1DggVaQ4xOQO8XZUWtJwRh+W+QSZn//qFnOMrWNg==" saltValue="LDowXmJ3Gt3YFYbbGijqwQ==" spinCount="100000" sheet="1" objects="1" scenarios="1"/>
  <mergeCells count="25">
    <mergeCell ref="C46:F48"/>
    <mergeCell ref="C17:F17"/>
    <mergeCell ref="C18:F18"/>
    <mergeCell ref="C19:F19"/>
    <mergeCell ref="B21:F21"/>
    <mergeCell ref="B25:F25"/>
    <mergeCell ref="C22:F22"/>
    <mergeCell ref="C23:F23"/>
    <mergeCell ref="C26:F26"/>
    <mergeCell ref="C27:F27"/>
    <mergeCell ref="C30:F30"/>
    <mergeCell ref="C31:F31"/>
    <mergeCell ref="B29:F29"/>
    <mergeCell ref="C42:F45"/>
    <mergeCell ref="B33:F33"/>
    <mergeCell ref="B36:F36"/>
    <mergeCell ref="C37:F37"/>
    <mergeCell ref="C38:F38"/>
    <mergeCell ref="C39:F39"/>
    <mergeCell ref="C34:F34"/>
    <mergeCell ref="B1:F1"/>
    <mergeCell ref="B2:F10"/>
    <mergeCell ref="B14:F14"/>
    <mergeCell ref="B16:F16"/>
    <mergeCell ref="B12:F12"/>
  </mergeCells>
  <conditionalFormatting sqref="H5">
    <cfRule type="expression" dxfId="70" priority="1">
      <formula>SUM($C$36:$C$37)=$C$26</formula>
    </cfRule>
  </conditionalFormatting>
  <pageMargins left="0.2" right="0.2" top="0.75" bottom="0.75" header="0.3" footer="0.3"/>
  <pageSetup scale="74" fitToHeight="0" orientation="portrait" r:id="rId1"/>
  <headerFooter>
    <oddHeader>&amp;C&amp;"Calibri,Bold"&amp;16Basic Facilities Requirement</oddHeader>
  </headerFooter>
  <customProperties>
    <customPr name="SSC_SHEET_GUID" r:id="rId2"/>
  </customPropertie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FF00"/>
    <pageSetUpPr fitToPage="1"/>
  </sheetPr>
  <dimension ref="A1:S107"/>
  <sheetViews>
    <sheetView topLeftCell="A2" zoomScale="120" zoomScaleNormal="120" workbookViewId="0">
      <selection activeCell="A3" sqref="A3"/>
    </sheetView>
  </sheetViews>
  <sheetFormatPr defaultColWidth="12.6640625" defaultRowHeight="13.8" x14ac:dyDescent="0.3"/>
  <cols>
    <col min="1" max="2" width="7.5546875" style="417" customWidth="1"/>
    <col min="3" max="4" width="2.44140625" style="417" customWidth="1"/>
    <col min="5" max="5" width="26.44140625" style="489" customWidth="1"/>
    <col min="6" max="6" width="9.33203125" style="489" customWidth="1"/>
    <col min="7" max="7" width="9.33203125" style="490" customWidth="1"/>
    <col min="8" max="9" width="2.44140625" style="417" customWidth="1"/>
    <col min="10" max="10" width="26.44140625" style="417" customWidth="1"/>
    <col min="11" max="12" width="9.33203125" style="417" customWidth="1"/>
    <col min="13" max="14" width="2.44140625" style="417" customWidth="1"/>
    <col min="15" max="15" width="26.44140625" style="417" customWidth="1"/>
    <col min="16" max="17" width="9.33203125" style="417" customWidth="1"/>
    <col min="18" max="19" width="2.44140625" style="417" customWidth="1"/>
    <col min="20" max="16384" width="12.6640625" style="417"/>
  </cols>
  <sheetData>
    <row r="1" spans="1:19" ht="15" hidden="1" customHeight="1" x14ac:dyDescent="0.3">
      <c r="A1" s="416">
        <v>12</v>
      </c>
      <c r="B1" s="416">
        <v>12</v>
      </c>
      <c r="C1" s="416">
        <v>2</v>
      </c>
      <c r="D1" s="416">
        <v>2</v>
      </c>
      <c r="E1" s="416">
        <v>30</v>
      </c>
      <c r="F1" s="416">
        <v>10</v>
      </c>
      <c r="G1" s="416">
        <v>10</v>
      </c>
      <c r="H1" s="416">
        <v>2</v>
      </c>
      <c r="I1" s="416">
        <v>2</v>
      </c>
      <c r="J1" s="416">
        <v>30</v>
      </c>
      <c r="K1" s="416">
        <v>10</v>
      </c>
      <c r="L1" s="416">
        <v>10</v>
      </c>
      <c r="M1" s="416">
        <v>2</v>
      </c>
      <c r="N1" s="416">
        <v>2</v>
      </c>
      <c r="O1" s="416">
        <v>30</v>
      </c>
      <c r="P1" s="416">
        <v>10</v>
      </c>
      <c r="Q1" s="416">
        <v>10</v>
      </c>
      <c r="R1" s="416">
        <v>2</v>
      </c>
      <c r="S1" s="416">
        <v>2</v>
      </c>
    </row>
    <row r="2" spans="1:19" ht="15" customHeight="1" x14ac:dyDescent="0.3">
      <c r="A2" s="598" t="s">
        <v>509</v>
      </c>
      <c r="B2" s="599"/>
      <c r="C2" s="599"/>
      <c r="D2" s="599"/>
      <c r="E2" s="599"/>
      <c r="F2" s="599"/>
      <c r="G2" s="599"/>
      <c r="H2" s="599"/>
      <c r="I2" s="599"/>
      <c r="J2" s="599"/>
      <c r="K2" s="599"/>
      <c r="L2" s="599"/>
      <c r="M2" s="599"/>
      <c r="N2" s="599"/>
      <c r="O2" s="599"/>
      <c r="P2" s="599"/>
      <c r="Q2" s="599"/>
      <c r="R2" s="599"/>
      <c r="S2" s="599"/>
    </row>
    <row r="3" spans="1:19" x14ac:dyDescent="0.3">
      <c r="E3" s="417"/>
      <c r="F3" s="417"/>
      <c r="G3" s="417"/>
    </row>
    <row r="4" spans="1:19" x14ac:dyDescent="0.3">
      <c r="A4" s="603" t="s">
        <v>314</v>
      </c>
      <c r="B4" s="603" t="s">
        <v>313</v>
      </c>
      <c r="C4" s="416"/>
      <c r="E4" s="602" t="s">
        <v>312</v>
      </c>
      <c r="F4" s="602"/>
      <c r="G4" s="602"/>
      <c r="H4" s="602"/>
      <c r="I4" s="602"/>
      <c r="J4" s="602"/>
      <c r="K4" s="602"/>
      <c r="L4" s="602"/>
      <c r="M4" s="602"/>
      <c r="N4" s="602"/>
      <c r="O4" s="602"/>
      <c r="P4" s="602"/>
      <c r="Q4" s="602"/>
      <c r="R4" s="602"/>
    </row>
    <row r="5" spans="1:19" ht="11.25" customHeight="1" x14ac:dyDescent="0.3">
      <c r="A5" s="604"/>
      <c r="B5" s="604"/>
      <c r="C5" s="416"/>
      <c r="E5" s="602"/>
      <c r="F5" s="602"/>
      <c r="G5" s="602"/>
      <c r="H5" s="602"/>
      <c r="I5" s="602"/>
      <c r="J5" s="602"/>
      <c r="K5" s="602"/>
      <c r="L5" s="602"/>
      <c r="M5" s="602"/>
      <c r="N5" s="602"/>
      <c r="O5" s="602"/>
      <c r="P5" s="602"/>
      <c r="Q5" s="602"/>
      <c r="R5" s="602"/>
    </row>
    <row r="6" spans="1:19" ht="11.25" customHeight="1" x14ac:dyDescent="0.3">
      <c r="A6" s="418">
        <v>0</v>
      </c>
      <c r="B6" s="419">
        <v>1.4</v>
      </c>
      <c r="C6" s="416"/>
      <c r="E6" s="602"/>
      <c r="F6" s="602"/>
      <c r="G6" s="602"/>
      <c r="H6" s="602"/>
      <c r="I6" s="602"/>
      <c r="J6" s="602"/>
      <c r="K6" s="602"/>
      <c r="L6" s="602"/>
      <c r="M6" s="602"/>
      <c r="N6" s="602"/>
      <c r="O6" s="602"/>
      <c r="P6" s="602"/>
      <c r="Q6" s="602"/>
      <c r="R6" s="602"/>
    </row>
    <row r="7" spans="1:19" ht="11.25" customHeight="1" x14ac:dyDescent="0.3">
      <c r="A7" s="418">
        <v>0.01</v>
      </c>
      <c r="B7" s="419">
        <v>1.4019999999999999</v>
      </c>
      <c r="C7" s="416"/>
      <c r="E7" s="602"/>
      <c r="F7" s="602"/>
      <c r="G7" s="602"/>
      <c r="H7" s="602"/>
      <c r="I7" s="602"/>
      <c r="J7" s="602"/>
      <c r="K7" s="602"/>
      <c r="L7" s="602"/>
      <c r="M7" s="602"/>
      <c r="N7" s="602"/>
      <c r="O7" s="602"/>
      <c r="P7" s="602"/>
      <c r="Q7" s="602"/>
      <c r="R7" s="602"/>
    </row>
    <row r="8" spans="1:19" ht="11.25" customHeight="1" x14ac:dyDescent="0.3">
      <c r="A8" s="418">
        <v>0.02</v>
      </c>
      <c r="B8" s="419">
        <v>1.4039999999999999</v>
      </c>
      <c r="C8" s="416"/>
      <c r="E8" s="602"/>
      <c r="F8" s="602"/>
      <c r="G8" s="602"/>
      <c r="H8" s="602"/>
      <c r="I8" s="602"/>
      <c r="J8" s="602"/>
      <c r="K8" s="602"/>
      <c r="L8" s="602"/>
      <c r="M8" s="602"/>
      <c r="N8" s="602"/>
      <c r="O8" s="602"/>
      <c r="P8" s="602"/>
      <c r="Q8" s="602"/>
      <c r="R8" s="602"/>
    </row>
    <row r="9" spans="1:19" ht="11.25" customHeight="1" x14ac:dyDescent="0.3">
      <c r="A9" s="418">
        <v>0.03</v>
      </c>
      <c r="B9" s="419">
        <v>1.4059999999999999</v>
      </c>
      <c r="C9" s="416"/>
      <c r="E9" s="602"/>
      <c r="F9" s="602"/>
      <c r="G9" s="602"/>
      <c r="H9" s="602"/>
      <c r="I9" s="602"/>
      <c r="J9" s="602"/>
      <c r="K9" s="602"/>
      <c r="L9" s="602"/>
      <c r="M9" s="602"/>
      <c r="N9" s="602"/>
      <c r="O9" s="602"/>
      <c r="P9" s="602"/>
      <c r="Q9" s="602"/>
      <c r="R9" s="602"/>
    </row>
    <row r="10" spans="1:19" ht="11.25" customHeight="1" x14ac:dyDescent="0.3">
      <c r="A10" s="418">
        <v>0.04</v>
      </c>
      <c r="B10" s="419">
        <v>1.4079999999999999</v>
      </c>
      <c r="C10" s="416"/>
      <c r="D10" s="416"/>
      <c r="E10" s="416"/>
      <c r="F10" s="416"/>
      <c r="G10" s="416"/>
      <c r="H10" s="416"/>
      <c r="I10" s="416"/>
      <c r="J10" s="416"/>
      <c r="K10" s="416"/>
      <c r="L10" s="416"/>
      <c r="M10" s="416"/>
      <c r="N10" s="416"/>
      <c r="O10" s="416"/>
      <c r="P10" s="416"/>
      <c r="Q10" s="416"/>
      <c r="R10" s="416"/>
      <c r="S10" s="416"/>
    </row>
    <row r="11" spans="1:19" s="416" customFormat="1" x14ac:dyDescent="0.3">
      <c r="A11" s="418">
        <v>0.06</v>
      </c>
      <c r="B11" s="419">
        <v>1.4119999999999999</v>
      </c>
      <c r="D11" s="420"/>
      <c r="E11" s="421" t="s">
        <v>309</v>
      </c>
      <c r="F11" s="422" t="s">
        <v>311</v>
      </c>
      <c r="G11" s="422"/>
      <c r="H11" s="423"/>
      <c r="I11" s="422"/>
      <c r="J11" s="421" t="s">
        <v>309</v>
      </c>
      <c r="K11" s="422" t="s">
        <v>310</v>
      </c>
      <c r="L11" s="422"/>
      <c r="M11" s="423"/>
      <c r="N11" s="422"/>
      <c r="O11" s="421" t="s">
        <v>309</v>
      </c>
      <c r="P11" s="422" t="s">
        <v>308</v>
      </c>
      <c r="Q11" s="422"/>
      <c r="R11" s="423"/>
    </row>
    <row r="12" spans="1:19" s="416" customFormat="1" x14ac:dyDescent="0.3">
      <c r="A12" s="418">
        <v>7.0000000000000007E-2</v>
      </c>
      <c r="B12" s="419">
        <v>1.4139999999999999</v>
      </c>
      <c r="D12" s="424"/>
      <c r="E12" s="425" t="s">
        <v>173</v>
      </c>
      <c r="F12" s="426">
        <f>Detailed_Analysis!C21</f>
        <v>0</v>
      </c>
      <c r="G12" s="416" t="s">
        <v>305</v>
      </c>
      <c r="H12" s="427"/>
      <c r="J12" s="428"/>
      <c r="M12" s="427"/>
      <c r="O12" s="428"/>
      <c r="R12" s="427"/>
    </row>
    <row r="13" spans="1:19" s="416" customFormat="1" x14ac:dyDescent="0.3">
      <c r="A13" s="418">
        <v>0.08</v>
      </c>
      <c r="B13" s="419">
        <v>1.4159999999999999</v>
      </c>
      <c r="D13" s="424"/>
      <c r="E13" s="425" t="s">
        <v>307</v>
      </c>
      <c r="F13" s="426">
        <f>Detailed_Analysis!D21</f>
        <v>0</v>
      </c>
      <c r="G13" s="416" t="s">
        <v>305</v>
      </c>
      <c r="H13" s="427"/>
      <c r="J13" s="605"/>
      <c r="K13" s="606"/>
      <c r="L13" s="606"/>
      <c r="M13" s="427"/>
      <c r="O13" s="428"/>
      <c r="R13" s="427"/>
    </row>
    <row r="14" spans="1:19" s="416" customFormat="1" x14ac:dyDescent="0.3">
      <c r="A14" s="418">
        <v>0.09</v>
      </c>
      <c r="B14" s="419">
        <v>1.4179999999999999</v>
      </c>
      <c r="D14" s="424"/>
      <c r="E14" s="425" t="s">
        <v>306</v>
      </c>
      <c r="F14" s="426">
        <f>Detailed_Analysis!E21</f>
        <v>0</v>
      </c>
      <c r="G14" s="416" t="s">
        <v>305</v>
      </c>
      <c r="H14" s="427"/>
      <c r="J14" s="606"/>
      <c r="K14" s="606"/>
      <c r="L14" s="606"/>
      <c r="M14" s="427"/>
      <c r="O14" s="428"/>
      <c r="R14" s="427"/>
    </row>
    <row r="15" spans="1:19" s="416" customFormat="1" x14ac:dyDescent="0.3">
      <c r="A15" s="418">
        <v>0.1</v>
      </c>
      <c r="B15" s="419">
        <v>1.42</v>
      </c>
      <c r="D15" s="424"/>
      <c r="E15" s="425" t="s">
        <v>176</v>
      </c>
      <c r="F15" s="426">
        <f>Detailed_Analysis!F21</f>
        <v>0</v>
      </c>
      <c r="G15" s="416" t="s">
        <v>305</v>
      </c>
      <c r="H15" s="427"/>
      <c r="J15" s="606"/>
      <c r="K15" s="606"/>
      <c r="L15" s="606"/>
      <c r="M15" s="427"/>
      <c r="O15" s="428"/>
      <c r="R15" s="427"/>
    </row>
    <row r="16" spans="1:19" s="416" customFormat="1" x14ac:dyDescent="0.3">
      <c r="A16" s="418">
        <v>0.11</v>
      </c>
      <c r="B16" s="419">
        <v>1.4219999999999999</v>
      </c>
      <c r="D16" s="424"/>
      <c r="E16" s="428"/>
      <c r="H16" s="427"/>
      <c r="J16" s="428"/>
      <c r="M16" s="427"/>
      <c r="O16" s="428"/>
      <c r="R16" s="427"/>
      <c r="S16" s="417"/>
    </row>
    <row r="17" spans="1:18" x14ac:dyDescent="0.3">
      <c r="A17" s="418">
        <v>0.12</v>
      </c>
      <c r="B17" s="419">
        <v>1.4239999999999999</v>
      </c>
      <c r="C17" s="416"/>
      <c r="D17" s="424"/>
      <c r="E17" s="425" t="s">
        <v>304</v>
      </c>
      <c r="F17" s="429" t="s">
        <v>302</v>
      </c>
      <c r="G17" s="429" t="s">
        <v>301</v>
      </c>
      <c r="H17" s="427"/>
      <c r="I17" s="416"/>
      <c r="J17" s="425" t="s">
        <v>303</v>
      </c>
      <c r="K17" s="429" t="s">
        <v>302</v>
      </c>
      <c r="L17" s="429" t="s">
        <v>301</v>
      </c>
      <c r="M17" s="427"/>
      <c r="N17" s="416"/>
      <c r="O17" s="428"/>
      <c r="P17" s="429" t="s">
        <v>300</v>
      </c>
      <c r="Q17" s="429" t="s">
        <v>299</v>
      </c>
      <c r="R17" s="427"/>
    </row>
    <row r="18" spans="1:18" x14ac:dyDescent="0.3">
      <c r="A18" s="418">
        <v>0.13</v>
      </c>
      <c r="B18" s="419">
        <v>1.4259999999999999</v>
      </c>
      <c r="C18" s="416"/>
      <c r="D18" s="424"/>
      <c r="E18" s="425"/>
      <c r="F18" s="430">
        <f>IF(F15=0,0,SUM(F13:F14)/F15)</f>
        <v>0</v>
      </c>
      <c r="G18" s="430">
        <f>IF(F15=0,0,F12/F15)</f>
        <v>0</v>
      </c>
      <c r="H18" s="427"/>
      <c r="I18" s="416"/>
      <c r="J18" s="425"/>
      <c r="K18" s="430">
        <v>0</v>
      </c>
      <c r="L18" s="430">
        <v>1</v>
      </c>
      <c r="M18" s="427"/>
      <c r="N18" s="416"/>
      <c r="O18" s="428"/>
      <c r="P18" s="431">
        <f>P33</f>
        <v>0</v>
      </c>
      <c r="Q18" s="432">
        <f>P42</f>
        <v>0</v>
      </c>
      <c r="R18" s="427"/>
    </row>
    <row r="19" spans="1:18" x14ac:dyDescent="0.3">
      <c r="A19" s="418">
        <v>0.14000000000000001</v>
      </c>
      <c r="B19" s="419">
        <v>1.4279999999999999</v>
      </c>
      <c r="C19" s="416"/>
      <c r="D19" s="433"/>
      <c r="E19" s="434"/>
      <c r="F19" s="435"/>
      <c r="G19" s="435"/>
      <c r="H19" s="436"/>
      <c r="I19" s="437"/>
      <c r="J19" s="434"/>
      <c r="K19" s="435"/>
      <c r="L19" s="435"/>
      <c r="M19" s="436"/>
      <c r="N19" s="437"/>
      <c r="O19" s="434"/>
      <c r="P19" s="435"/>
      <c r="Q19" s="435"/>
      <c r="R19" s="436"/>
    </row>
    <row r="20" spans="1:18" x14ac:dyDescent="0.3">
      <c r="A20" s="418">
        <v>0.15</v>
      </c>
      <c r="B20" s="419">
        <v>1.43</v>
      </c>
      <c r="C20" s="416"/>
      <c r="E20" s="438"/>
      <c r="F20" s="417"/>
      <c r="G20" s="417"/>
      <c r="J20" s="438"/>
      <c r="O20" s="438"/>
    </row>
    <row r="21" spans="1:18" x14ac:dyDescent="0.3">
      <c r="A21" s="418">
        <v>0.16</v>
      </c>
      <c r="B21" s="419">
        <v>1.4319999999999999</v>
      </c>
      <c r="C21" s="439"/>
      <c r="D21" s="420"/>
      <c r="E21" s="421" t="s">
        <v>10</v>
      </c>
      <c r="F21" s="422"/>
      <c r="G21" s="422"/>
      <c r="H21" s="422"/>
      <c r="I21" s="422"/>
      <c r="J21" s="440"/>
      <c r="K21" s="422"/>
      <c r="L21" s="422"/>
      <c r="M21" s="422"/>
      <c r="N21" s="422"/>
      <c r="O21" s="440"/>
      <c r="P21" s="422"/>
      <c r="Q21" s="422"/>
      <c r="R21" s="423"/>
    </row>
    <row r="22" spans="1:18" x14ac:dyDescent="0.3">
      <c r="A22" s="418">
        <v>0.17</v>
      </c>
      <c r="B22" s="419">
        <v>1.4339999999999999</v>
      </c>
      <c r="C22" s="439"/>
      <c r="D22" s="424"/>
      <c r="E22" s="425" t="s">
        <v>298</v>
      </c>
      <c r="F22" s="426">
        <f>Detailed_Analysis!G31</f>
        <v>0</v>
      </c>
      <c r="G22" s="416" t="s">
        <v>295</v>
      </c>
      <c r="H22" s="416"/>
      <c r="I22" s="416"/>
      <c r="J22" s="425" t="s">
        <v>297</v>
      </c>
      <c r="K22" s="426">
        <f>Detailed_Analysis!G82</f>
        <v>0</v>
      </c>
      <c r="L22" s="416" t="s">
        <v>295</v>
      </c>
      <c r="M22" s="416"/>
      <c r="N22" s="416"/>
      <c r="O22" s="425" t="s">
        <v>296</v>
      </c>
      <c r="P22" s="426">
        <f>F22+K22</f>
        <v>0</v>
      </c>
      <c r="Q22" s="416" t="s">
        <v>295</v>
      </c>
      <c r="R22" s="427"/>
    </row>
    <row r="23" spans="1:18" x14ac:dyDescent="0.3">
      <c r="A23" s="418">
        <v>0.18</v>
      </c>
      <c r="B23" s="419">
        <v>1.4359999999999999</v>
      </c>
      <c r="C23" s="439"/>
      <c r="D23" s="424"/>
      <c r="E23" s="425" t="s">
        <v>294</v>
      </c>
      <c r="F23" s="441">
        <f>IF(F15=0,0,SUM(F13:F14)/F15)</f>
        <v>0</v>
      </c>
      <c r="G23" s="416" t="s">
        <v>293</v>
      </c>
      <c r="H23" s="416"/>
      <c r="I23" s="416"/>
      <c r="J23" s="425" t="s">
        <v>294</v>
      </c>
      <c r="K23" s="441">
        <v>0</v>
      </c>
      <c r="L23" s="416" t="s">
        <v>293</v>
      </c>
      <c r="M23" s="416"/>
      <c r="N23" s="416"/>
      <c r="O23" s="425" t="s">
        <v>294</v>
      </c>
      <c r="P23" s="429" t="s">
        <v>275</v>
      </c>
      <c r="Q23" s="416" t="s">
        <v>293</v>
      </c>
      <c r="R23" s="427"/>
    </row>
    <row r="24" spans="1:18" x14ac:dyDescent="0.3">
      <c r="A24" s="418">
        <v>0.19</v>
      </c>
      <c r="B24" s="419">
        <v>1.4379999999999999</v>
      </c>
      <c r="C24" s="439"/>
      <c r="D24" s="442"/>
      <c r="E24" s="443"/>
      <c r="F24" s="435"/>
      <c r="G24" s="435"/>
      <c r="H24" s="435"/>
      <c r="I24" s="435"/>
      <c r="J24" s="443"/>
      <c r="K24" s="435"/>
      <c r="L24" s="435"/>
      <c r="M24" s="435"/>
      <c r="N24" s="435"/>
      <c r="O24" s="443"/>
      <c r="P24" s="435"/>
      <c r="Q24" s="435"/>
      <c r="R24" s="444"/>
    </row>
    <row r="25" spans="1:18" x14ac:dyDescent="0.3">
      <c r="A25" s="418">
        <v>0.2</v>
      </c>
      <c r="B25" s="419">
        <v>1.44</v>
      </c>
      <c r="C25" s="439"/>
      <c r="D25" s="416"/>
      <c r="E25" s="445"/>
      <c r="F25" s="446"/>
      <c r="G25" s="439"/>
      <c r="H25" s="416"/>
      <c r="I25" s="416"/>
      <c r="J25" s="428"/>
      <c r="K25" s="416"/>
      <c r="L25" s="416"/>
      <c r="M25" s="416"/>
      <c r="N25" s="416"/>
      <c r="O25" s="428"/>
      <c r="P25" s="416"/>
      <c r="Q25" s="416"/>
      <c r="R25" s="416"/>
    </row>
    <row r="26" spans="1:18" x14ac:dyDescent="0.3">
      <c r="A26" s="418">
        <v>0.21</v>
      </c>
      <c r="B26" s="419">
        <v>1.4419999999999999</v>
      </c>
      <c r="C26" s="439"/>
      <c r="D26" s="420"/>
      <c r="E26" s="440" t="s">
        <v>292</v>
      </c>
      <c r="F26" s="422"/>
      <c r="G26" s="422"/>
      <c r="H26" s="423"/>
      <c r="I26" s="420"/>
      <c r="J26" s="440" t="s">
        <v>291</v>
      </c>
      <c r="K26" s="422"/>
      <c r="L26" s="422"/>
      <c r="M26" s="423"/>
      <c r="N26" s="420"/>
      <c r="O26" s="440" t="s">
        <v>290</v>
      </c>
      <c r="P26" s="422"/>
      <c r="Q26" s="422"/>
      <c r="R26" s="423"/>
    </row>
    <row r="27" spans="1:18" x14ac:dyDescent="0.3">
      <c r="A27" s="418">
        <v>0.22</v>
      </c>
      <c r="B27" s="419">
        <v>1.444</v>
      </c>
      <c r="C27" s="439"/>
      <c r="D27" s="424"/>
      <c r="E27" s="425" t="s">
        <v>289</v>
      </c>
      <c r="F27" s="441">
        <f>G63</f>
        <v>0</v>
      </c>
      <c r="G27" s="447" t="s">
        <v>207</v>
      </c>
      <c r="H27" s="427"/>
      <c r="I27" s="424"/>
      <c r="J27" s="425" t="s">
        <v>288</v>
      </c>
      <c r="K27" s="441">
        <f>L63</f>
        <v>0</v>
      </c>
      <c r="L27" s="447" t="s">
        <v>207</v>
      </c>
      <c r="M27" s="427"/>
      <c r="N27" s="424"/>
      <c r="O27" s="425" t="s">
        <v>287</v>
      </c>
      <c r="P27" s="441">
        <f>Q59</f>
        <v>0</v>
      </c>
      <c r="Q27" s="447" t="s">
        <v>207</v>
      </c>
      <c r="R27" s="427"/>
    </row>
    <row r="28" spans="1:18" x14ac:dyDescent="0.3">
      <c r="A28" s="448">
        <v>0.23</v>
      </c>
      <c r="B28" s="449">
        <v>1.446</v>
      </c>
      <c r="C28" s="439"/>
      <c r="D28" s="433"/>
      <c r="E28" s="434"/>
      <c r="F28" s="450"/>
      <c r="G28" s="437"/>
      <c r="H28" s="436"/>
      <c r="I28" s="433"/>
      <c r="J28" s="434"/>
      <c r="K28" s="450"/>
      <c r="L28" s="437"/>
      <c r="M28" s="436"/>
      <c r="N28" s="433"/>
      <c r="O28" s="434"/>
      <c r="P28" s="450"/>
      <c r="Q28" s="437"/>
      <c r="R28" s="436"/>
    </row>
    <row r="29" spans="1:18" x14ac:dyDescent="0.3">
      <c r="A29" s="448">
        <v>0.24</v>
      </c>
      <c r="B29" s="449">
        <v>1.448</v>
      </c>
      <c r="C29" s="439"/>
      <c r="D29" s="424"/>
      <c r="E29" s="428" t="s">
        <v>286</v>
      </c>
      <c r="F29" s="451"/>
      <c r="G29" s="416"/>
      <c r="H29" s="427"/>
      <c r="I29" s="424"/>
      <c r="J29" s="428" t="s">
        <v>285</v>
      </c>
      <c r="K29" s="451"/>
      <c r="L29" s="416"/>
      <c r="M29" s="427"/>
      <c r="N29" s="424"/>
      <c r="O29" s="428" t="s">
        <v>284</v>
      </c>
      <c r="P29" s="451"/>
      <c r="Q29" s="416"/>
      <c r="R29" s="427"/>
    </row>
    <row r="30" spans="1:18" x14ac:dyDescent="0.3">
      <c r="A30" s="448">
        <v>0.25</v>
      </c>
      <c r="B30" s="449">
        <v>1.45</v>
      </c>
      <c r="C30" s="439"/>
      <c r="D30" s="424"/>
      <c r="E30" s="428" t="s">
        <v>283</v>
      </c>
      <c r="F30" s="416"/>
      <c r="G30" s="416"/>
      <c r="H30" s="427"/>
      <c r="I30" s="424"/>
      <c r="J30" s="428" t="s">
        <v>282</v>
      </c>
      <c r="K30" s="416"/>
      <c r="L30" s="416"/>
      <c r="M30" s="427"/>
      <c r="N30" s="424"/>
      <c r="O30" s="416" t="s">
        <v>281</v>
      </c>
      <c r="P30" s="416"/>
      <c r="Q30" s="416"/>
      <c r="R30" s="427"/>
    </row>
    <row r="31" spans="1:18" x14ac:dyDescent="0.3">
      <c r="A31" s="448">
        <v>0.26</v>
      </c>
      <c r="B31" s="449">
        <v>1.452</v>
      </c>
      <c r="C31" s="439"/>
      <c r="D31" s="424"/>
      <c r="E31" s="452" t="s">
        <v>280</v>
      </c>
      <c r="F31" s="426">
        <f>F22</f>
        <v>0</v>
      </c>
      <c r="G31" s="439"/>
      <c r="H31" s="427"/>
      <c r="I31" s="424"/>
      <c r="J31" s="452" t="s">
        <v>279</v>
      </c>
      <c r="K31" s="426">
        <f>K22</f>
        <v>0</v>
      </c>
      <c r="L31" s="439"/>
      <c r="M31" s="427"/>
      <c r="N31" s="424"/>
      <c r="O31" s="453" t="s">
        <v>278</v>
      </c>
      <c r="P31" s="454">
        <f>P22</f>
        <v>0</v>
      </c>
      <c r="Q31" s="439"/>
      <c r="R31" s="427"/>
    </row>
    <row r="32" spans="1:18" x14ac:dyDescent="0.3">
      <c r="A32" s="448">
        <v>0.27</v>
      </c>
      <c r="B32" s="449">
        <v>1.454</v>
      </c>
      <c r="C32" s="439"/>
      <c r="D32" s="424"/>
      <c r="E32" s="455" t="s">
        <v>276</v>
      </c>
      <c r="F32" s="441">
        <f>F23</f>
        <v>0</v>
      </c>
      <c r="G32" s="456" t="s">
        <v>277</v>
      </c>
      <c r="H32" s="427"/>
      <c r="I32" s="424"/>
      <c r="J32" s="457" t="s">
        <v>276</v>
      </c>
      <c r="K32" s="441">
        <f>K23</f>
        <v>0</v>
      </c>
      <c r="L32" s="439" t="s">
        <v>271</v>
      </c>
      <c r="M32" s="427"/>
      <c r="N32" s="424"/>
      <c r="O32" s="458" t="s">
        <v>276</v>
      </c>
      <c r="P32" s="459" t="s">
        <v>275</v>
      </c>
      <c r="Q32" s="439"/>
      <c r="R32" s="427"/>
    </row>
    <row r="33" spans="1:18" x14ac:dyDescent="0.3">
      <c r="A33" s="448">
        <v>0.28000000000000003</v>
      </c>
      <c r="B33" s="449">
        <v>1.456</v>
      </c>
      <c r="C33" s="439"/>
      <c r="D33" s="424"/>
      <c r="E33" s="425" t="s">
        <v>274</v>
      </c>
      <c r="F33" s="441">
        <f>VLOOKUP($F$32,A6:$B$105,2)</f>
        <v>1.4</v>
      </c>
      <c r="G33" s="456" t="s">
        <v>273</v>
      </c>
      <c r="H33" s="427"/>
      <c r="I33" s="424"/>
      <c r="J33" s="425" t="s">
        <v>272</v>
      </c>
      <c r="K33" s="441">
        <f>VLOOKUP($K$32,A6:$B$85,2)</f>
        <v>1.4</v>
      </c>
      <c r="L33" s="439" t="s">
        <v>271</v>
      </c>
      <c r="M33" s="427"/>
      <c r="N33" s="424"/>
      <c r="O33" s="460" t="s">
        <v>270</v>
      </c>
      <c r="P33" s="441">
        <f>IF(P31=0,0,P34/P31)</f>
        <v>0</v>
      </c>
      <c r="Q33" s="456" t="s">
        <v>269</v>
      </c>
      <c r="R33" s="427"/>
    </row>
    <row r="34" spans="1:18" x14ac:dyDescent="0.3">
      <c r="A34" s="448">
        <v>0.28999999999999998</v>
      </c>
      <c r="B34" s="449">
        <v>1.458</v>
      </c>
      <c r="C34" s="439"/>
      <c r="D34" s="424"/>
      <c r="E34" s="457" t="s">
        <v>268</v>
      </c>
      <c r="F34" s="426">
        <f>F31*F33</f>
        <v>0</v>
      </c>
      <c r="G34" s="439"/>
      <c r="H34" s="427"/>
      <c r="I34" s="424"/>
      <c r="J34" s="457" t="s">
        <v>267</v>
      </c>
      <c r="K34" s="426">
        <f>K31*K33</f>
        <v>0</v>
      </c>
      <c r="L34" s="439"/>
      <c r="M34" s="427"/>
      <c r="N34" s="424"/>
      <c r="O34" s="458" t="s">
        <v>266</v>
      </c>
      <c r="P34" s="454">
        <f>F34+K34</f>
        <v>0</v>
      </c>
      <c r="Q34" s="439"/>
      <c r="R34" s="427"/>
    </row>
    <row r="35" spans="1:18" x14ac:dyDescent="0.3">
      <c r="A35" s="448">
        <v>0.3</v>
      </c>
      <c r="B35" s="449">
        <v>1.46</v>
      </c>
      <c r="C35" s="439"/>
      <c r="D35" s="424"/>
      <c r="E35" s="457"/>
      <c r="F35" s="416"/>
      <c r="G35" s="439"/>
      <c r="H35" s="427"/>
      <c r="I35" s="424"/>
      <c r="J35" s="457"/>
      <c r="K35" s="416"/>
      <c r="L35" s="439"/>
      <c r="M35" s="427"/>
      <c r="N35" s="424"/>
      <c r="O35" s="458"/>
      <c r="P35" s="416"/>
      <c r="Q35" s="439"/>
      <c r="R35" s="427"/>
    </row>
    <row r="36" spans="1:18" x14ac:dyDescent="0.3">
      <c r="A36" s="448">
        <v>0.31</v>
      </c>
      <c r="B36" s="449">
        <v>1.462</v>
      </c>
      <c r="C36" s="439"/>
      <c r="D36" s="461"/>
      <c r="E36" s="457" t="s">
        <v>265</v>
      </c>
      <c r="F36" s="426">
        <f>F34</f>
        <v>0</v>
      </c>
      <c r="G36" s="439"/>
      <c r="H36" s="427"/>
      <c r="I36" s="424"/>
      <c r="J36" s="457" t="s">
        <v>264</v>
      </c>
      <c r="K36" s="426">
        <f>K34</f>
        <v>0</v>
      </c>
      <c r="L36" s="439"/>
      <c r="M36" s="427"/>
      <c r="N36" s="424"/>
      <c r="O36" s="458" t="s">
        <v>263</v>
      </c>
      <c r="P36" s="454">
        <f>P34</f>
        <v>0</v>
      </c>
      <c r="Q36" s="439"/>
      <c r="R36" s="427"/>
    </row>
    <row r="37" spans="1:18" x14ac:dyDescent="0.3">
      <c r="A37" s="448">
        <v>0.32</v>
      </c>
      <c r="B37" s="449">
        <v>1.464</v>
      </c>
      <c r="C37" s="439"/>
      <c r="D37" s="424"/>
      <c r="E37" s="462" t="s">
        <v>262</v>
      </c>
      <c r="F37" s="426">
        <f>-F31</f>
        <v>0</v>
      </c>
      <c r="G37" s="439"/>
      <c r="H37" s="427"/>
      <c r="I37" s="424"/>
      <c r="J37" s="462" t="s">
        <v>261</v>
      </c>
      <c r="K37" s="426">
        <f>-K31</f>
        <v>0</v>
      </c>
      <c r="L37" s="439"/>
      <c r="M37" s="427"/>
      <c r="N37" s="424"/>
      <c r="O37" s="463" t="s">
        <v>260</v>
      </c>
      <c r="P37" s="454">
        <f>-P31</f>
        <v>0</v>
      </c>
      <c r="Q37" s="439"/>
      <c r="R37" s="427"/>
    </row>
    <row r="38" spans="1:18" x14ac:dyDescent="0.3">
      <c r="A38" s="448">
        <v>0.33</v>
      </c>
      <c r="B38" s="449">
        <v>1.466</v>
      </c>
      <c r="C38" s="439"/>
      <c r="D38" s="424"/>
      <c r="E38" s="462" t="s">
        <v>259</v>
      </c>
      <c r="F38" s="426">
        <f>SUM(F36:F37)</f>
        <v>0</v>
      </c>
      <c r="G38" s="439"/>
      <c r="H38" s="427"/>
      <c r="I38" s="424"/>
      <c r="J38" s="462" t="s">
        <v>258</v>
      </c>
      <c r="K38" s="426">
        <f>SUM(K36:K37)</f>
        <v>0</v>
      </c>
      <c r="L38" s="439"/>
      <c r="M38" s="427"/>
      <c r="N38" s="424"/>
      <c r="O38" s="463" t="s">
        <v>257</v>
      </c>
      <c r="P38" s="454">
        <f>SUM(P36:P37)</f>
        <v>0</v>
      </c>
      <c r="Q38" s="439"/>
      <c r="R38" s="427"/>
    </row>
    <row r="39" spans="1:18" x14ac:dyDescent="0.3">
      <c r="A39" s="448">
        <v>0.34</v>
      </c>
      <c r="B39" s="449">
        <v>1.468</v>
      </c>
      <c r="C39" s="439"/>
      <c r="D39" s="424"/>
      <c r="E39" s="462"/>
      <c r="F39" s="416"/>
      <c r="G39" s="439"/>
      <c r="H39" s="427"/>
      <c r="I39" s="424"/>
      <c r="J39" s="462"/>
      <c r="K39" s="416"/>
      <c r="L39" s="439"/>
      <c r="M39" s="427"/>
      <c r="N39" s="424"/>
      <c r="O39" s="463"/>
      <c r="P39" s="416"/>
      <c r="Q39" s="439"/>
      <c r="R39" s="427"/>
    </row>
    <row r="40" spans="1:18" x14ac:dyDescent="0.3">
      <c r="A40" s="448">
        <v>0.35</v>
      </c>
      <c r="B40" s="449">
        <v>1.47</v>
      </c>
      <c r="C40" s="439"/>
      <c r="D40" s="424"/>
      <c r="E40" s="462" t="s">
        <v>256</v>
      </c>
      <c r="F40" s="426">
        <f>F38</f>
        <v>0</v>
      </c>
      <c r="G40" s="439"/>
      <c r="H40" s="427"/>
      <c r="I40" s="424"/>
      <c r="J40" s="462" t="s">
        <v>255</v>
      </c>
      <c r="K40" s="426">
        <f>K38</f>
        <v>0</v>
      </c>
      <c r="L40" s="439"/>
      <c r="M40" s="427"/>
      <c r="N40" s="424"/>
      <c r="O40" s="463" t="s">
        <v>254</v>
      </c>
      <c r="P40" s="454">
        <f>P38</f>
        <v>0</v>
      </c>
      <c r="Q40" s="439"/>
      <c r="R40" s="427"/>
    </row>
    <row r="41" spans="1:18" x14ac:dyDescent="0.3">
      <c r="A41" s="448">
        <v>0.36</v>
      </c>
      <c r="B41" s="449">
        <v>1.472</v>
      </c>
      <c r="C41" s="439"/>
      <c r="D41" s="424"/>
      <c r="E41" s="457" t="s">
        <v>253</v>
      </c>
      <c r="F41" s="426">
        <f>F36</f>
        <v>0</v>
      </c>
      <c r="G41" s="439"/>
      <c r="H41" s="427"/>
      <c r="I41" s="424"/>
      <c r="J41" s="457" t="s">
        <v>252</v>
      </c>
      <c r="K41" s="426">
        <f>K36</f>
        <v>0</v>
      </c>
      <c r="L41" s="439"/>
      <c r="M41" s="427"/>
      <c r="N41" s="424"/>
      <c r="O41" s="458" t="s">
        <v>251</v>
      </c>
      <c r="P41" s="454">
        <f>P36</f>
        <v>0</v>
      </c>
      <c r="Q41" s="439"/>
      <c r="R41" s="427"/>
    </row>
    <row r="42" spans="1:18" x14ac:dyDescent="0.3">
      <c r="A42" s="448">
        <v>0.37</v>
      </c>
      <c r="B42" s="449">
        <v>1.474</v>
      </c>
      <c r="C42" s="416"/>
      <c r="D42" s="424"/>
      <c r="E42" s="462" t="s">
        <v>250</v>
      </c>
      <c r="F42" s="464">
        <f>IF(F41=0,0,F40/F41)</f>
        <v>0</v>
      </c>
      <c r="G42" s="439"/>
      <c r="H42" s="427"/>
      <c r="I42" s="424"/>
      <c r="J42" s="462" t="s">
        <v>249</v>
      </c>
      <c r="K42" s="464">
        <f>IF(K41=0,0,K40/K41)</f>
        <v>0</v>
      </c>
      <c r="L42" s="439"/>
      <c r="M42" s="427"/>
      <c r="N42" s="424"/>
      <c r="O42" s="463" t="s">
        <v>248</v>
      </c>
      <c r="P42" s="464">
        <f>IF(P31=0,0,P40/P41)</f>
        <v>0</v>
      </c>
      <c r="Q42" s="456" t="s">
        <v>247</v>
      </c>
      <c r="R42" s="427"/>
    </row>
    <row r="43" spans="1:18" x14ac:dyDescent="0.3">
      <c r="A43" s="448">
        <v>0.38</v>
      </c>
      <c r="B43" s="449">
        <v>1.476</v>
      </c>
      <c r="C43" s="416"/>
      <c r="D43" s="424"/>
      <c r="E43" s="462"/>
      <c r="F43" s="416"/>
      <c r="G43" s="416"/>
      <c r="H43" s="427"/>
      <c r="I43" s="424"/>
      <c r="J43" s="462"/>
      <c r="K43" s="416"/>
      <c r="L43" s="416"/>
      <c r="M43" s="427"/>
      <c r="N43" s="424"/>
      <c r="O43" s="463"/>
      <c r="P43" s="416"/>
      <c r="Q43" s="416"/>
      <c r="R43" s="427"/>
    </row>
    <row r="44" spans="1:18" x14ac:dyDescent="0.3">
      <c r="A44" s="448">
        <v>0.39</v>
      </c>
      <c r="B44" s="449">
        <v>1.478</v>
      </c>
      <c r="C44" s="416"/>
      <c r="D44" s="424"/>
      <c r="E44" s="428" t="s">
        <v>246</v>
      </c>
      <c r="F44" s="416"/>
      <c r="G44" s="416"/>
      <c r="H44" s="427"/>
      <c r="I44" s="424"/>
      <c r="J44" s="428" t="s">
        <v>245</v>
      </c>
      <c r="K44" s="416"/>
      <c r="L44" s="416"/>
      <c r="M44" s="427"/>
      <c r="N44" s="424"/>
      <c r="O44" s="416" t="s">
        <v>244</v>
      </c>
      <c r="P44" s="416"/>
      <c r="Q44" s="416"/>
      <c r="R44" s="427"/>
    </row>
    <row r="45" spans="1:18" x14ac:dyDescent="0.3">
      <c r="A45" s="448">
        <v>0.4</v>
      </c>
      <c r="B45" s="449">
        <v>1.48</v>
      </c>
      <c r="C45" s="416"/>
      <c r="D45" s="424"/>
      <c r="E45" s="465" t="s">
        <v>243</v>
      </c>
      <c r="F45" s="466"/>
      <c r="G45" s="416"/>
      <c r="H45" s="427"/>
      <c r="I45" s="424"/>
      <c r="J45" s="465" t="s">
        <v>243</v>
      </c>
      <c r="K45" s="446"/>
      <c r="L45" s="416"/>
      <c r="M45" s="427"/>
      <c r="N45" s="424"/>
      <c r="O45" s="467"/>
      <c r="P45" s="416"/>
      <c r="Q45" s="416"/>
      <c r="R45" s="427"/>
    </row>
    <row r="46" spans="1:18" x14ac:dyDescent="0.3">
      <c r="A46" s="448">
        <v>0.41</v>
      </c>
      <c r="B46" s="449">
        <v>1.482</v>
      </c>
      <c r="C46" s="416"/>
      <c r="D46" s="424"/>
      <c r="E46" s="468" t="s">
        <v>242</v>
      </c>
      <c r="F46" s="425" t="s">
        <v>239</v>
      </c>
      <c r="G46" s="426">
        <f>$F$40</f>
        <v>0</v>
      </c>
      <c r="H46" s="427"/>
      <c r="I46" s="424"/>
      <c r="J46" s="468" t="s">
        <v>242</v>
      </c>
      <c r="K46" s="425" t="s">
        <v>239</v>
      </c>
      <c r="L46" s="426">
        <f>$K$40</f>
        <v>0</v>
      </c>
      <c r="M46" s="427"/>
      <c r="N46" s="424"/>
      <c r="O46" s="469"/>
      <c r="P46" s="416"/>
      <c r="Q46" s="416"/>
      <c r="R46" s="427"/>
    </row>
    <row r="47" spans="1:18" x14ac:dyDescent="0.3">
      <c r="A47" s="448">
        <v>0.42</v>
      </c>
      <c r="B47" s="449">
        <v>1.484</v>
      </c>
      <c r="C47" s="416"/>
      <c r="D47" s="424"/>
      <c r="E47" s="462" t="s">
        <v>241</v>
      </c>
      <c r="F47" s="470">
        <v>0.2</v>
      </c>
      <c r="G47" s="464">
        <f>$F$42</f>
        <v>0</v>
      </c>
      <c r="H47" s="427"/>
      <c r="I47" s="424"/>
      <c r="J47" s="462" t="s">
        <v>241</v>
      </c>
      <c r="K47" s="470">
        <v>0.2</v>
      </c>
      <c r="L47" s="464">
        <f>$K$42</f>
        <v>0</v>
      </c>
      <c r="M47" s="427"/>
      <c r="N47" s="424"/>
      <c r="O47" s="471"/>
      <c r="P47" s="416"/>
      <c r="Q47" s="472"/>
      <c r="R47" s="427"/>
    </row>
    <row r="48" spans="1:18" x14ac:dyDescent="0.3">
      <c r="A48" s="448">
        <v>0.43</v>
      </c>
      <c r="B48" s="449">
        <v>1.486</v>
      </c>
      <c r="C48" s="439"/>
      <c r="D48" s="424"/>
      <c r="E48" s="473"/>
      <c r="F48" s="416"/>
      <c r="G48" s="416"/>
      <c r="H48" s="427"/>
      <c r="I48" s="424"/>
      <c r="J48" s="473"/>
      <c r="K48" s="416"/>
      <c r="L48" s="416"/>
      <c r="M48" s="427"/>
      <c r="N48" s="424"/>
      <c r="O48" s="451"/>
      <c r="P48" s="416"/>
      <c r="Q48" s="472"/>
      <c r="R48" s="427"/>
    </row>
    <row r="49" spans="1:18" x14ac:dyDescent="0.3">
      <c r="A49" s="448">
        <v>0.44</v>
      </c>
      <c r="B49" s="449">
        <v>1.488</v>
      </c>
      <c r="C49" s="439"/>
      <c r="D49" s="424"/>
      <c r="E49" s="468" t="s">
        <v>240</v>
      </c>
      <c r="F49" s="425" t="s">
        <v>239</v>
      </c>
      <c r="G49" s="426">
        <f>IF(G47=0,0,F47*G46/G47)</f>
        <v>0</v>
      </c>
      <c r="H49" s="427"/>
      <c r="I49" s="424"/>
      <c r="J49" s="468" t="s">
        <v>240</v>
      </c>
      <c r="K49" s="425" t="s">
        <v>239</v>
      </c>
      <c r="L49" s="426">
        <f>IF(L47=0,0,K47*L46/L47)</f>
        <v>0</v>
      </c>
      <c r="M49" s="427"/>
      <c r="N49" s="424"/>
      <c r="O49" s="469" t="s">
        <v>238</v>
      </c>
      <c r="P49" s="426">
        <f>G49+L49</f>
        <v>0</v>
      </c>
      <c r="Q49" s="416" t="str">
        <f>IF(O59&lt;&gt;G49+L49,"Error","Check")</f>
        <v>Check</v>
      </c>
      <c r="R49" s="427"/>
    </row>
    <row r="50" spans="1:18" x14ac:dyDescent="0.3">
      <c r="A50" s="448">
        <v>0.45</v>
      </c>
      <c r="B50" s="449">
        <v>1.49</v>
      </c>
      <c r="C50" s="439"/>
      <c r="D50" s="424"/>
      <c r="E50" s="468"/>
      <c r="F50" s="428"/>
      <c r="G50" s="439"/>
      <c r="H50" s="427"/>
      <c r="I50" s="424"/>
      <c r="J50" s="468"/>
      <c r="K50" s="416"/>
      <c r="L50" s="439"/>
      <c r="M50" s="427"/>
      <c r="N50" s="424"/>
      <c r="O50" s="469"/>
      <c r="P50" s="416"/>
      <c r="Q50" s="416"/>
      <c r="R50" s="427"/>
    </row>
    <row r="51" spans="1:18" x14ac:dyDescent="0.3">
      <c r="A51" s="448">
        <v>0.46</v>
      </c>
      <c r="B51" s="449">
        <v>1.492</v>
      </c>
      <c r="C51" s="439"/>
      <c r="D51" s="424"/>
      <c r="E51" s="465" t="s">
        <v>237</v>
      </c>
      <c r="F51" s="428"/>
      <c r="G51" s="439"/>
      <c r="H51" s="427"/>
      <c r="I51" s="424"/>
      <c r="J51" s="465" t="s">
        <v>236</v>
      </c>
      <c r="K51" s="416"/>
      <c r="L51" s="439"/>
      <c r="M51" s="427"/>
      <c r="N51" s="424"/>
      <c r="O51" s="467"/>
      <c r="P51" s="416"/>
      <c r="Q51" s="416"/>
      <c r="R51" s="427"/>
    </row>
    <row r="52" spans="1:18" x14ac:dyDescent="0.3">
      <c r="A52" s="448">
        <v>0.47</v>
      </c>
      <c r="B52" s="449">
        <v>1.494</v>
      </c>
      <c r="C52" s="439"/>
      <c r="D52" s="424"/>
      <c r="E52" s="425" t="s">
        <v>235</v>
      </c>
      <c r="F52" s="425" t="s">
        <v>232</v>
      </c>
      <c r="G52" s="426">
        <f>$F$40</f>
        <v>0</v>
      </c>
      <c r="H52" s="427"/>
      <c r="I52" s="424"/>
      <c r="J52" s="425" t="s">
        <v>235</v>
      </c>
      <c r="K52" s="425" t="s">
        <v>232</v>
      </c>
      <c r="L52" s="426">
        <f>$K$40</f>
        <v>0</v>
      </c>
      <c r="M52" s="427"/>
      <c r="N52" s="424"/>
      <c r="O52" s="425"/>
      <c r="P52" s="416"/>
      <c r="Q52" s="416"/>
      <c r="R52" s="427"/>
    </row>
    <row r="53" spans="1:18" x14ac:dyDescent="0.3">
      <c r="A53" s="448">
        <v>0.48</v>
      </c>
      <c r="B53" s="449">
        <v>1.496</v>
      </c>
      <c r="C53" s="439"/>
      <c r="D53" s="424"/>
      <c r="E53" s="462" t="s">
        <v>234</v>
      </c>
      <c r="F53" s="464">
        <f>IF(G53=0,0,F42-F47)</f>
        <v>0</v>
      </c>
      <c r="G53" s="464">
        <f>$F$42</f>
        <v>0</v>
      </c>
      <c r="H53" s="427"/>
      <c r="I53" s="424"/>
      <c r="J53" s="462" t="s">
        <v>234</v>
      </c>
      <c r="K53" s="464">
        <f>IF(L53=0,0,K42-K47)</f>
        <v>0</v>
      </c>
      <c r="L53" s="464">
        <f>$K$42</f>
        <v>0</v>
      </c>
      <c r="M53" s="427"/>
      <c r="N53" s="424"/>
      <c r="O53" s="463"/>
      <c r="P53" s="416"/>
      <c r="Q53" s="416"/>
      <c r="R53" s="427"/>
    </row>
    <row r="54" spans="1:18" x14ac:dyDescent="0.3">
      <c r="A54" s="448">
        <v>0.49</v>
      </c>
      <c r="B54" s="449">
        <v>1.498</v>
      </c>
      <c r="C54" s="416"/>
      <c r="D54" s="424"/>
      <c r="E54" s="473"/>
      <c r="F54" s="416"/>
      <c r="G54" s="416"/>
      <c r="H54" s="427"/>
      <c r="I54" s="424"/>
      <c r="J54" s="473"/>
      <c r="K54" s="416"/>
      <c r="L54" s="416"/>
      <c r="M54" s="427"/>
      <c r="N54" s="424"/>
      <c r="O54" s="451"/>
      <c r="P54" s="416"/>
      <c r="Q54" s="416"/>
      <c r="R54" s="427"/>
    </row>
    <row r="55" spans="1:18" x14ac:dyDescent="0.3">
      <c r="A55" s="448">
        <v>0.5</v>
      </c>
      <c r="B55" s="449">
        <v>1.5</v>
      </c>
      <c r="C55" s="439"/>
      <c r="D55" s="424"/>
      <c r="E55" s="425" t="s">
        <v>233</v>
      </c>
      <c r="F55" s="425" t="s">
        <v>232</v>
      </c>
      <c r="G55" s="426">
        <f>IF(G53=0,0,F53*G52/G53)</f>
        <v>0</v>
      </c>
      <c r="H55" s="427"/>
      <c r="I55" s="424"/>
      <c r="J55" s="425" t="s">
        <v>233</v>
      </c>
      <c r="K55" s="425" t="s">
        <v>232</v>
      </c>
      <c r="L55" s="426">
        <f>IF(L53=0,0,K53*L52/L53)</f>
        <v>0</v>
      </c>
      <c r="M55" s="427"/>
      <c r="N55" s="424"/>
      <c r="O55" s="469" t="s">
        <v>231</v>
      </c>
      <c r="P55" s="426">
        <f>G55+L55</f>
        <v>0</v>
      </c>
      <c r="Q55" s="416" t="s">
        <v>230</v>
      </c>
      <c r="R55" s="427"/>
    </row>
    <row r="56" spans="1:18" x14ac:dyDescent="0.3">
      <c r="A56" s="448">
        <v>0.51</v>
      </c>
      <c r="B56" s="449">
        <v>1.502</v>
      </c>
      <c r="C56" s="439"/>
      <c r="D56" s="424"/>
      <c r="E56" s="473"/>
      <c r="F56" s="428"/>
      <c r="G56" s="439"/>
      <c r="H56" s="427"/>
      <c r="I56" s="424"/>
      <c r="J56" s="473"/>
      <c r="K56" s="416"/>
      <c r="L56" s="439"/>
      <c r="M56" s="427"/>
      <c r="N56" s="424"/>
      <c r="O56" s="451"/>
      <c r="P56" s="472"/>
      <c r="Q56" s="416"/>
      <c r="R56" s="427"/>
    </row>
    <row r="57" spans="1:18" x14ac:dyDescent="0.3">
      <c r="A57" s="448">
        <v>0.52</v>
      </c>
      <c r="B57" s="449">
        <v>1.504</v>
      </c>
      <c r="C57" s="439"/>
      <c r="D57" s="424"/>
      <c r="E57" s="428" t="s">
        <v>229</v>
      </c>
      <c r="F57" s="416"/>
      <c r="G57" s="416"/>
      <c r="H57" s="427"/>
      <c r="I57" s="424"/>
      <c r="J57" s="428" t="s">
        <v>228</v>
      </c>
      <c r="K57" s="416"/>
      <c r="L57" s="416"/>
      <c r="M57" s="427"/>
      <c r="N57" s="424"/>
      <c r="O57" s="416" t="s">
        <v>227</v>
      </c>
      <c r="P57" s="416"/>
      <c r="Q57" s="416"/>
      <c r="R57" s="427"/>
    </row>
    <row r="58" spans="1:18" x14ac:dyDescent="0.3">
      <c r="A58" s="448">
        <v>0.53</v>
      </c>
      <c r="B58" s="449">
        <v>1.506</v>
      </c>
      <c r="C58" s="439"/>
      <c r="D58" s="424"/>
      <c r="E58" s="465" t="s">
        <v>226</v>
      </c>
      <c r="F58" s="474"/>
      <c r="G58" s="475"/>
      <c r="H58" s="427"/>
      <c r="I58" s="424"/>
      <c r="J58" s="465" t="s">
        <v>225</v>
      </c>
      <c r="K58" s="474"/>
      <c r="L58" s="475"/>
      <c r="M58" s="427"/>
      <c r="N58" s="424"/>
      <c r="O58" s="476" t="s">
        <v>224</v>
      </c>
      <c r="P58" s="474"/>
      <c r="Q58" s="475"/>
      <c r="R58" s="427"/>
    </row>
    <row r="59" spans="1:18" x14ac:dyDescent="0.3">
      <c r="A59" s="448">
        <v>0.54</v>
      </c>
      <c r="B59" s="449">
        <v>1.508</v>
      </c>
      <c r="C59" s="439"/>
      <c r="D59" s="424"/>
      <c r="E59" s="426">
        <f>G49</f>
        <v>0</v>
      </c>
      <c r="F59" s="474" t="s">
        <v>220</v>
      </c>
      <c r="G59" s="441">
        <f>IF(E60=0,0,E59/E60)</f>
        <v>0</v>
      </c>
      <c r="H59" s="427"/>
      <c r="I59" s="424"/>
      <c r="J59" s="426">
        <f>L49</f>
        <v>0</v>
      </c>
      <c r="K59" s="474" t="s">
        <v>220</v>
      </c>
      <c r="L59" s="441">
        <f>IF(J60=0,0,J59/J60)</f>
        <v>0</v>
      </c>
      <c r="M59" s="427"/>
      <c r="N59" s="424"/>
      <c r="O59" s="426">
        <f>E59+J59</f>
        <v>0</v>
      </c>
      <c r="P59" s="475" t="s">
        <v>220</v>
      </c>
      <c r="Q59" s="441">
        <f>IF(O60=0,0,O59/O60)</f>
        <v>0</v>
      </c>
      <c r="R59" s="427"/>
    </row>
    <row r="60" spans="1:18" x14ac:dyDescent="0.3">
      <c r="A60" s="448">
        <v>0.55000000000000004</v>
      </c>
      <c r="B60" s="449">
        <v>1.51</v>
      </c>
      <c r="C60" s="416"/>
      <c r="D60" s="424"/>
      <c r="E60" s="426">
        <f>F31</f>
        <v>0</v>
      </c>
      <c r="F60" s="439"/>
      <c r="G60" s="416"/>
      <c r="H60" s="427"/>
      <c r="I60" s="424"/>
      <c r="J60" s="426">
        <f>K31</f>
        <v>0</v>
      </c>
      <c r="K60" s="439"/>
      <c r="L60" s="439"/>
      <c r="M60" s="427"/>
      <c r="N60" s="424"/>
      <c r="O60" s="426">
        <f>E60+J60</f>
        <v>0</v>
      </c>
      <c r="P60" s="416"/>
      <c r="Q60" s="416"/>
      <c r="R60" s="427"/>
    </row>
    <row r="61" spans="1:18" x14ac:dyDescent="0.3">
      <c r="A61" s="448">
        <v>0.56000000000000005</v>
      </c>
      <c r="B61" s="449">
        <v>1.512</v>
      </c>
      <c r="C61" s="416"/>
      <c r="D61" s="424"/>
      <c r="E61" s="451"/>
      <c r="F61" s="416"/>
      <c r="G61" s="416"/>
      <c r="H61" s="427"/>
      <c r="I61" s="424"/>
      <c r="J61" s="451"/>
      <c r="K61" s="416"/>
      <c r="L61" s="439"/>
      <c r="M61" s="427"/>
      <c r="N61" s="424"/>
      <c r="O61" s="416"/>
      <c r="P61" s="477"/>
      <c r="Q61" s="416"/>
      <c r="R61" s="427"/>
    </row>
    <row r="62" spans="1:18" x14ac:dyDescent="0.3">
      <c r="A62" s="448">
        <v>0.56999999999999995</v>
      </c>
      <c r="B62" s="449">
        <v>1.514</v>
      </c>
      <c r="C62" s="416"/>
      <c r="D62" s="424"/>
      <c r="E62" s="476" t="s">
        <v>223</v>
      </c>
      <c r="F62" s="474"/>
      <c r="G62" s="475"/>
      <c r="H62" s="427"/>
      <c r="I62" s="424"/>
      <c r="J62" s="476" t="s">
        <v>222</v>
      </c>
      <c r="K62" s="474"/>
      <c r="L62" s="475"/>
      <c r="M62" s="427"/>
      <c r="N62" s="424"/>
      <c r="O62" s="467" t="s">
        <v>221</v>
      </c>
      <c r="P62" s="416"/>
      <c r="Q62" s="416"/>
      <c r="R62" s="427"/>
    </row>
    <row r="63" spans="1:18" x14ac:dyDescent="0.3">
      <c r="A63" s="448">
        <v>0.57999999999999996</v>
      </c>
      <c r="B63" s="449">
        <v>1.516</v>
      </c>
      <c r="C63" s="416"/>
      <c r="D63" s="424"/>
      <c r="E63" s="426">
        <f>G55</f>
        <v>0</v>
      </c>
      <c r="F63" s="474" t="s">
        <v>220</v>
      </c>
      <c r="G63" s="441">
        <f>IF(E64=0,0,E63/E64)</f>
        <v>0</v>
      </c>
      <c r="H63" s="427"/>
      <c r="I63" s="424"/>
      <c r="J63" s="426">
        <f>L55</f>
        <v>0</v>
      </c>
      <c r="K63" s="474" t="s">
        <v>220</v>
      </c>
      <c r="L63" s="441">
        <f>IF(J64=0,0,J63/J64)</f>
        <v>0</v>
      </c>
      <c r="M63" s="427"/>
      <c r="N63" s="424"/>
      <c r="O63" s="426">
        <f>E63+J63</f>
        <v>0</v>
      </c>
      <c r="P63" s="475" t="s">
        <v>220</v>
      </c>
      <c r="Q63" s="441">
        <f>IF(O64=0,0,O63/O64)</f>
        <v>0</v>
      </c>
      <c r="R63" s="427"/>
    </row>
    <row r="64" spans="1:18" x14ac:dyDescent="0.3">
      <c r="A64" s="448">
        <v>0.59</v>
      </c>
      <c r="B64" s="449">
        <v>1.518</v>
      </c>
      <c r="C64" s="439"/>
      <c r="D64" s="424"/>
      <c r="E64" s="426">
        <f>E60</f>
        <v>0</v>
      </c>
      <c r="F64" s="446"/>
      <c r="G64" s="416"/>
      <c r="H64" s="427"/>
      <c r="I64" s="424"/>
      <c r="J64" s="426">
        <f>J60</f>
        <v>0</v>
      </c>
      <c r="K64" s="446"/>
      <c r="M64" s="427"/>
      <c r="N64" s="424"/>
      <c r="O64" s="426">
        <f>E64+J64</f>
        <v>0</v>
      </c>
      <c r="P64" s="416"/>
      <c r="Q64" s="416"/>
      <c r="R64" s="427"/>
    </row>
    <row r="65" spans="1:19" x14ac:dyDescent="0.3">
      <c r="A65" s="448">
        <v>0.6</v>
      </c>
      <c r="B65" s="449">
        <v>1.52</v>
      </c>
      <c r="C65" s="439"/>
      <c r="D65" s="433"/>
      <c r="E65" s="450"/>
      <c r="F65" s="437"/>
      <c r="G65" s="478"/>
      <c r="H65" s="479"/>
      <c r="I65" s="480"/>
      <c r="J65" s="450"/>
      <c r="K65" s="481"/>
      <c r="L65" s="482"/>
      <c r="M65" s="436"/>
      <c r="N65" s="433"/>
      <c r="O65" s="437"/>
      <c r="P65" s="437"/>
      <c r="Q65" s="437"/>
      <c r="R65" s="436"/>
    </row>
    <row r="66" spans="1:19" x14ac:dyDescent="0.3">
      <c r="A66" s="448">
        <v>0.61</v>
      </c>
      <c r="B66" s="449">
        <v>1.522</v>
      </c>
      <c r="C66" s="439"/>
      <c r="D66" s="416"/>
      <c r="E66" s="451"/>
      <c r="F66" s="416"/>
      <c r="G66" s="483"/>
      <c r="H66" s="451"/>
      <c r="I66" s="472"/>
      <c r="J66" s="451"/>
      <c r="K66" s="416"/>
      <c r="L66" s="416"/>
      <c r="M66" s="416"/>
      <c r="N66" s="416"/>
      <c r="O66" s="416"/>
      <c r="P66" s="416"/>
      <c r="Q66" s="416"/>
      <c r="R66" s="416"/>
    </row>
    <row r="67" spans="1:19" x14ac:dyDescent="0.3">
      <c r="A67" s="448">
        <v>0.62</v>
      </c>
      <c r="B67" s="449">
        <v>1.524</v>
      </c>
      <c r="C67" s="439"/>
      <c r="E67" s="446"/>
      <c r="F67" s="446"/>
      <c r="G67" s="439"/>
      <c r="H67" s="416"/>
      <c r="I67" s="420"/>
      <c r="J67" s="600" t="s">
        <v>219</v>
      </c>
      <c r="K67" s="601"/>
      <c r="L67" s="422"/>
      <c r="M67" s="422"/>
      <c r="N67" s="422"/>
      <c r="O67" s="600" t="s">
        <v>219</v>
      </c>
      <c r="P67" s="601"/>
      <c r="Q67" s="484"/>
      <c r="R67" s="485"/>
    </row>
    <row r="68" spans="1:19" x14ac:dyDescent="0.3">
      <c r="A68" s="448">
        <v>0.63</v>
      </c>
      <c r="B68" s="449">
        <v>1.526</v>
      </c>
      <c r="C68" s="439"/>
      <c r="E68" s="486"/>
      <c r="F68" s="446"/>
      <c r="G68" s="439"/>
      <c r="H68" s="416"/>
      <c r="I68" s="424"/>
      <c r="J68" s="460" t="s">
        <v>218</v>
      </c>
      <c r="K68" s="426">
        <f>P22</f>
        <v>0</v>
      </c>
      <c r="L68" s="416"/>
      <c r="M68" s="416"/>
      <c r="N68" s="416"/>
      <c r="O68" s="460" t="s">
        <v>218</v>
      </c>
      <c r="P68" s="426">
        <f>P22</f>
        <v>0</v>
      </c>
      <c r="R68" s="487"/>
    </row>
    <row r="69" spans="1:19" x14ac:dyDescent="0.3">
      <c r="A69" s="448">
        <v>0.64</v>
      </c>
      <c r="B69" s="449">
        <v>1.528</v>
      </c>
      <c r="C69" s="439"/>
      <c r="E69" s="446"/>
      <c r="F69" s="446"/>
      <c r="G69" s="439"/>
      <c r="H69" s="416"/>
      <c r="I69" s="424"/>
      <c r="J69" s="460" t="s">
        <v>217</v>
      </c>
      <c r="K69" s="488">
        <f>P33</f>
        <v>0</v>
      </c>
      <c r="L69" s="416"/>
      <c r="M69" s="416"/>
      <c r="N69" s="416"/>
      <c r="O69" s="460" t="s">
        <v>216</v>
      </c>
      <c r="P69" s="426">
        <f>P49+P55</f>
        <v>0</v>
      </c>
      <c r="R69" s="487"/>
    </row>
    <row r="70" spans="1:19" x14ac:dyDescent="0.3">
      <c r="A70" s="448">
        <v>0.65</v>
      </c>
      <c r="B70" s="449">
        <v>1.53</v>
      </c>
      <c r="C70" s="439"/>
      <c r="E70" s="446"/>
      <c r="F70" s="446"/>
      <c r="G70" s="439"/>
      <c r="H70" s="416"/>
      <c r="I70" s="424"/>
      <c r="J70" s="460" t="s">
        <v>215</v>
      </c>
      <c r="K70" s="426">
        <f>K68*K69</f>
        <v>0</v>
      </c>
      <c r="L70" s="416"/>
      <c r="M70" s="416"/>
      <c r="N70" s="416"/>
      <c r="O70" s="460" t="s">
        <v>215</v>
      </c>
      <c r="P70" s="426">
        <f>SUM(P68:P69)</f>
        <v>0</v>
      </c>
      <c r="R70" s="487"/>
    </row>
    <row r="71" spans="1:19" x14ac:dyDescent="0.3">
      <c r="A71" s="448">
        <v>0.66</v>
      </c>
      <c r="B71" s="449">
        <v>1.532</v>
      </c>
      <c r="C71" s="439"/>
      <c r="I71" s="442"/>
      <c r="J71" s="435"/>
      <c r="K71" s="435"/>
      <c r="L71" s="435"/>
      <c r="M71" s="435"/>
      <c r="N71" s="435"/>
      <c r="O71" s="435"/>
      <c r="P71" s="435"/>
      <c r="Q71" s="435"/>
      <c r="R71" s="444"/>
    </row>
    <row r="72" spans="1:19" x14ac:dyDescent="0.3">
      <c r="A72" s="448">
        <v>0.67</v>
      </c>
      <c r="B72" s="449">
        <v>1.534</v>
      </c>
      <c r="C72" s="439"/>
    </row>
    <row r="73" spans="1:19" x14ac:dyDescent="0.3">
      <c r="A73" s="448">
        <v>0.68</v>
      </c>
      <c r="B73" s="449">
        <v>1.536</v>
      </c>
      <c r="C73" s="439"/>
      <c r="G73" s="446"/>
      <c r="H73" s="439"/>
      <c r="I73" s="416"/>
      <c r="J73" s="416"/>
      <c r="K73" s="416"/>
    </row>
    <row r="74" spans="1:19" x14ac:dyDescent="0.3">
      <c r="A74" s="448">
        <v>0.69</v>
      </c>
      <c r="B74" s="449">
        <v>1.538</v>
      </c>
      <c r="C74" s="439"/>
      <c r="G74" s="446"/>
      <c r="H74" s="439"/>
      <c r="I74" s="416"/>
      <c r="J74" s="416"/>
      <c r="K74" s="416"/>
    </row>
    <row r="75" spans="1:19" x14ac:dyDescent="0.3">
      <c r="A75" s="448">
        <v>0.7</v>
      </c>
      <c r="B75" s="449">
        <v>1.54</v>
      </c>
      <c r="C75" s="439"/>
      <c r="G75" s="446"/>
      <c r="H75" s="439"/>
      <c r="I75" s="416"/>
      <c r="J75" s="416"/>
      <c r="K75" s="416"/>
    </row>
    <row r="76" spans="1:19" x14ac:dyDescent="0.3">
      <c r="A76" s="448">
        <v>0.71</v>
      </c>
      <c r="B76" s="449">
        <v>1.542</v>
      </c>
      <c r="C76" s="439"/>
      <c r="E76" s="446" t="s">
        <v>11</v>
      </c>
      <c r="G76" s="446"/>
      <c r="H76" s="439"/>
      <c r="I76" s="416"/>
      <c r="J76" s="416"/>
      <c r="K76" s="416"/>
      <c r="Q76" s="416"/>
      <c r="R76" s="416"/>
    </row>
    <row r="77" spans="1:19" x14ac:dyDescent="0.3">
      <c r="A77" s="448">
        <v>0.72</v>
      </c>
      <c r="B77" s="449">
        <v>1.544</v>
      </c>
      <c r="C77" s="439"/>
      <c r="D77" s="416">
        <v>1</v>
      </c>
      <c r="E77" s="446" t="s">
        <v>214</v>
      </c>
      <c r="G77" s="446"/>
      <c r="H77" s="439"/>
      <c r="I77" s="416"/>
      <c r="J77" s="416"/>
      <c r="K77" s="416"/>
      <c r="Q77" s="416"/>
      <c r="R77" s="416"/>
    </row>
    <row r="78" spans="1:19" x14ac:dyDescent="0.3">
      <c r="A78" s="448">
        <v>0.73</v>
      </c>
      <c r="B78" s="449">
        <v>1.546</v>
      </c>
      <c r="C78" s="439"/>
      <c r="D78" s="416">
        <v>2</v>
      </c>
      <c r="E78" s="446" t="s">
        <v>213</v>
      </c>
      <c r="G78" s="446"/>
      <c r="H78" s="439"/>
      <c r="I78" s="416"/>
      <c r="J78" s="416"/>
      <c r="K78" s="416"/>
      <c r="Q78" s="416"/>
      <c r="R78" s="416"/>
      <c r="S78" s="416"/>
    </row>
    <row r="79" spans="1:19" x14ac:dyDescent="0.3">
      <c r="A79" s="448">
        <v>0.74</v>
      </c>
      <c r="B79" s="449">
        <v>1.548</v>
      </c>
      <c r="C79" s="416"/>
      <c r="D79" s="416">
        <v>3</v>
      </c>
      <c r="E79" s="446" t="s">
        <v>212</v>
      </c>
      <c r="G79" s="446"/>
      <c r="H79" s="439"/>
      <c r="I79" s="416"/>
      <c r="J79" s="416"/>
      <c r="K79" s="416"/>
      <c r="Q79" s="416"/>
      <c r="R79" s="416"/>
      <c r="S79" s="416"/>
    </row>
    <row r="80" spans="1:19" x14ac:dyDescent="0.3">
      <c r="A80" s="448">
        <v>0.75</v>
      </c>
      <c r="B80" s="449">
        <v>1.55</v>
      </c>
      <c r="C80" s="416"/>
      <c r="G80" s="446"/>
      <c r="H80" s="439"/>
      <c r="I80" s="416"/>
      <c r="J80" s="416"/>
      <c r="K80" s="416"/>
      <c r="L80" s="416"/>
      <c r="M80" s="416"/>
      <c r="N80" s="416"/>
      <c r="O80" s="416"/>
      <c r="P80" s="416"/>
      <c r="Q80" s="416"/>
      <c r="R80" s="416"/>
      <c r="S80" s="416"/>
    </row>
    <row r="81" spans="1:19" x14ac:dyDescent="0.3">
      <c r="A81" s="448">
        <v>0.76</v>
      </c>
      <c r="B81" s="449">
        <v>1.552</v>
      </c>
      <c r="C81" s="416"/>
      <c r="D81" s="416"/>
      <c r="E81" s="446" t="s">
        <v>202</v>
      </c>
      <c r="G81" s="446"/>
      <c r="H81" s="439"/>
      <c r="I81" s="416"/>
      <c r="J81" s="416"/>
      <c r="K81" s="416"/>
      <c r="L81" s="416"/>
      <c r="M81" s="416"/>
      <c r="N81" s="416"/>
      <c r="O81" s="416"/>
      <c r="P81" s="416"/>
      <c r="Q81" s="416"/>
      <c r="R81" s="416"/>
      <c r="S81" s="416"/>
    </row>
    <row r="82" spans="1:19" x14ac:dyDescent="0.3">
      <c r="A82" s="448">
        <v>0.77</v>
      </c>
      <c r="B82" s="449">
        <v>1.554</v>
      </c>
      <c r="C82" s="416"/>
      <c r="D82" s="416">
        <v>1</v>
      </c>
      <c r="E82" s="446" t="s">
        <v>211</v>
      </c>
      <c r="G82" s="446"/>
      <c r="H82" s="439"/>
      <c r="I82" s="416"/>
      <c r="J82" s="416"/>
      <c r="K82" s="416"/>
      <c r="L82" s="416"/>
      <c r="M82" s="416"/>
      <c r="N82" s="416"/>
      <c r="O82" s="416"/>
      <c r="P82" s="416"/>
      <c r="Q82" s="416"/>
      <c r="R82" s="416"/>
      <c r="S82" s="416"/>
    </row>
    <row r="83" spans="1:19" x14ac:dyDescent="0.3">
      <c r="A83" s="448">
        <v>0.78</v>
      </c>
      <c r="B83" s="449">
        <v>1.556</v>
      </c>
      <c r="C83" s="416"/>
      <c r="D83" s="416"/>
      <c r="E83" s="446"/>
      <c r="G83" s="446"/>
      <c r="H83" s="439"/>
      <c r="I83" s="416"/>
      <c r="J83" s="416"/>
      <c r="K83" s="416"/>
      <c r="L83" s="416"/>
      <c r="M83" s="416"/>
      <c r="N83" s="416"/>
      <c r="O83" s="416"/>
      <c r="P83" s="416"/>
      <c r="Q83" s="416"/>
      <c r="R83" s="416"/>
      <c r="S83" s="416"/>
    </row>
    <row r="84" spans="1:19" x14ac:dyDescent="0.3">
      <c r="A84" s="448">
        <v>0.79</v>
      </c>
      <c r="B84" s="449">
        <v>1.5580000000000001</v>
      </c>
      <c r="C84" s="416"/>
      <c r="D84" s="416"/>
      <c r="E84" s="446" t="s">
        <v>210</v>
      </c>
      <c r="G84" s="446"/>
      <c r="H84" s="439"/>
      <c r="I84" s="416"/>
      <c r="J84" s="416"/>
      <c r="K84" s="416"/>
      <c r="L84" s="416"/>
      <c r="M84" s="416"/>
      <c r="N84" s="416"/>
      <c r="O84" s="416"/>
      <c r="P84" s="416"/>
      <c r="Q84" s="416"/>
      <c r="R84" s="416"/>
      <c r="S84" s="416"/>
    </row>
    <row r="85" spans="1:19" x14ac:dyDescent="0.3">
      <c r="A85" s="448">
        <v>0.8</v>
      </c>
      <c r="B85" s="449">
        <v>1.56</v>
      </c>
      <c r="D85" s="416">
        <v>1</v>
      </c>
      <c r="E85" s="446" t="s">
        <v>209</v>
      </c>
      <c r="G85" s="446"/>
      <c r="H85" s="439"/>
      <c r="I85" s="416"/>
      <c r="J85" s="416"/>
      <c r="K85" s="416"/>
      <c r="L85" s="416"/>
      <c r="M85" s="416"/>
      <c r="N85" s="416"/>
      <c r="O85" s="416"/>
      <c r="P85" s="416"/>
      <c r="Q85" s="416"/>
      <c r="R85" s="416"/>
      <c r="S85" s="416"/>
    </row>
    <row r="86" spans="1:19" x14ac:dyDescent="0.3">
      <c r="A86" s="448">
        <v>0.81</v>
      </c>
      <c r="B86" s="449">
        <v>1.5620000000000001</v>
      </c>
      <c r="D86" s="416"/>
      <c r="R86" s="460"/>
      <c r="S86" s="428"/>
    </row>
    <row r="87" spans="1:19" x14ac:dyDescent="0.3">
      <c r="A87" s="448">
        <v>0.82000000000000006</v>
      </c>
      <c r="B87" s="449">
        <v>1.5640000000000001</v>
      </c>
      <c r="E87" s="489" t="s">
        <v>506</v>
      </c>
    </row>
    <row r="88" spans="1:19" x14ac:dyDescent="0.3">
      <c r="A88" s="448">
        <v>0.83000000000000007</v>
      </c>
      <c r="B88" s="449">
        <v>1.5660000000000001</v>
      </c>
      <c r="E88" s="491" t="s">
        <v>507</v>
      </c>
    </row>
    <row r="89" spans="1:19" x14ac:dyDescent="0.3">
      <c r="A89" s="448">
        <v>0.84000000000000008</v>
      </c>
      <c r="B89" s="449">
        <v>1.5680000000000001</v>
      </c>
      <c r="E89" s="491" t="s">
        <v>508</v>
      </c>
    </row>
    <row r="90" spans="1:19" x14ac:dyDescent="0.3">
      <c r="A90" s="448">
        <v>0.85000000000000009</v>
      </c>
      <c r="B90" s="449">
        <v>1.57</v>
      </c>
    </row>
    <row r="91" spans="1:19" x14ac:dyDescent="0.3">
      <c r="A91" s="448">
        <v>0.8600000000000001</v>
      </c>
      <c r="B91" s="449">
        <v>1.5720000000000001</v>
      </c>
    </row>
    <row r="92" spans="1:19" x14ac:dyDescent="0.3">
      <c r="A92" s="448">
        <v>0.87000000000000011</v>
      </c>
      <c r="B92" s="449">
        <v>1.5740000000000001</v>
      </c>
    </row>
    <row r="93" spans="1:19" x14ac:dyDescent="0.3">
      <c r="A93" s="448">
        <v>0.88000000000000012</v>
      </c>
      <c r="B93" s="449">
        <v>1.5760000000000001</v>
      </c>
    </row>
    <row r="94" spans="1:19" x14ac:dyDescent="0.3">
      <c r="A94" s="448">
        <v>0.89000000000000012</v>
      </c>
      <c r="B94" s="449">
        <v>1.5780000000000001</v>
      </c>
    </row>
    <row r="95" spans="1:19" x14ac:dyDescent="0.3">
      <c r="A95" s="448">
        <v>0.90000000000000013</v>
      </c>
      <c r="B95" s="449">
        <v>1.58</v>
      </c>
    </row>
    <row r="96" spans="1:19" x14ac:dyDescent="0.3">
      <c r="A96" s="448">
        <v>0.91000000000000014</v>
      </c>
      <c r="B96" s="449">
        <v>1.5820000000000001</v>
      </c>
    </row>
    <row r="97" spans="1:19" x14ac:dyDescent="0.3">
      <c r="A97" s="448">
        <v>0.92000000000000015</v>
      </c>
      <c r="B97" s="449">
        <v>1.5840000000000001</v>
      </c>
    </row>
    <row r="98" spans="1:19" x14ac:dyDescent="0.3">
      <c r="A98" s="448">
        <v>0.93000000000000016</v>
      </c>
      <c r="B98" s="449">
        <v>1.5860000000000001</v>
      </c>
    </row>
    <row r="99" spans="1:19" x14ac:dyDescent="0.3">
      <c r="A99" s="448">
        <v>0.94000000000000017</v>
      </c>
      <c r="B99" s="449">
        <v>1.5880000000000001</v>
      </c>
    </row>
    <row r="100" spans="1:19" x14ac:dyDescent="0.3">
      <c r="A100" s="448">
        <v>0.95000000000000018</v>
      </c>
      <c r="B100" s="449">
        <v>1.59</v>
      </c>
    </row>
    <row r="101" spans="1:19" x14ac:dyDescent="0.3">
      <c r="A101" s="448">
        <v>0.96000000000000019</v>
      </c>
      <c r="B101" s="449">
        <v>1.5920000000000001</v>
      </c>
    </row>
    <row r="102" spans="1:19" x14ac:dyDescent="0.3">
      <c r="A102" s="448">
        <v>0.9700000000000002</v>
      </c>
      <c r="B102" s="449">
        <v>1.5940000000000001</v>
      </c>
    </row>
    <row r="103" spans="1:19" x14ac:dyDescent="0.3">
      <c r="A103" s="448">
        <v>0.98</v>
      </c>
      <c r="B103" s="449">
        <v>1.5960000000000001</v>
      </c>
    </row>
    <row r="104" spans="1:19" x14ac:dyDescent="0.3">
      <c r="A104" s="448">
        <v>0.99</v>
      </c>
      <c r="B104" s="449">
        <v>1.5980000000000001</v>
      </c>
    </row>
    <row r="105" spans="1:19" x14ac:dyDescent="0.3">
      <c r="A105" s="448">
        <v>1</v>
      </c>
      <c r="B105" s="449">
        <v>1.6</v>
      </c>
    </row>
    <row r="107" spans="1:19" x14ac:dyDescent="0.3">
      <c r="S107" s="492" t="s">
        <v>432</v>
      </c>
    </row>
  </sheetData>
  <sheetProtection algorithmName="SHA-512" hashValue="3+d+CI3GxuyD9qnzWTMRmK6a5sPN7upNKIHaq2hN9tuz6YjfImrlEvos3kXMHqOVICpFDQbEUT55XbaMSsfb0A==" saltValue="2yEu4Y/vXZW9B4x9jsZsLw==" spinCount="100000" sheet="1" objects="1" scenarios="1"/>
  <mergeCells count="7">
    <mergeCell ref="A2:S2"/>
    <mergeCell ref="J67:K67"/>
    <mergeCell ref="O67:P67"/>
    <mergeCell ref="E4:R9"/>
    <mergeCell ref="A4:A5"/>
    <mergeCell ref="B4:B5"/>
    <mergeCell ref="J13:L15"/>
  </mergeCells>
  <printOptions horizontalCentered="1"/>
  <pageMargins left="0.2" right="0.2" top="0.75" bottom="0.75" header="0.3" footer="0.3"/>
  <pageSetup scale="67" fitToHeight="2" orientation="portrait" r:id="rId1"/>
  <customProperties>
    <customPr name="SSC_SHEET_GUID" r:id="rId2"/>
  </customProperties>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X79"/>
  <sheetViews>
    <sheetView workbookViewId="0">
      <selection activeCell="A5" sqref="A5:B5"/>
    </sheetView>
  </sheetViews>
  <sheetFormatPr defaultColWidth="8" defaultRowHeight="13.2" x14ac:dyDescent="0.3"/>
  <cols>
    <col min="1" max="14" width="8.44140625" style="37" customWidth="1"/>
    <col min="15" max="15" width="8.5546875" style="37" bestFit="1" customWidth="1"/>
    <col min="16" max="16" width="12" style="37" hidden="1" customWidth="1"/>
    <col min="17" max="17" width="18" style="37" hidden="1" customWidth="1"/>
    <col min="18" max="18" width="18.6640625" style="37" hidden="1" customWidth="1"/>
    <col min="19" max="19" width="11.88671875" style="37" hidden="1" customWidth="1"/>
    <col min="20" max="20" width="12.44140625" style="37" hidden="1" customWidth="1"/>
    <col min="21" max="21" width="16.109375" style="37" hidden="1" customWidth="1"/>
    <col min="22" max="22" width="12.88671875" style="37" hidden="1" customWidth="1"/>
    <col min="23" max="23" width="12.5546875" style="37" hidden="1" customWidth="1"/>
    <col min="24" max="24" width="11.5546875" style="37" hidden="1" customWidth="1"/>
    <col min="25" max="16384" width="8" style="37"/>
  </cols>
  <sheetData>
    <row r="1" spans="1:24" ht="14.4" x14ac:dyDescent="0.3">
      <c r="A1" s="608" t="s">
        <v>336</v>
      </c>
      <c r="B1" s="609"/>
      <c r="C1" s="610"/>
      <c r="D1" s="610"/>
      <c r="E1" s="610"/>
      <c r="F1" s="610"/>
      <c r="G1" s="610"/>
      <c r="H1" s="610"/>
      <c r="I1" s="610"/>
      <c r="J1" s="610"/>
      <c r="K1" s="610"/>
      <c r="L1" s="610"/>
      <c r="M1" s="610"/>
      <c r="N1" s="610"/>
      <c r="O1" s="611"/>
    </row>
    <row r="2" spans="1:24" s="43" customFormat="1" x14ac:dyDescent="0.25"/>
    <row r="3" spans="1:24" ht="14.4" x14ac:dyDescent="0.3">
      <c r="A3" s="613" t="s">
        <v>335</v>
      </c>
      <c r="B3" s="613"/>
      <c r="C3" s="614"/>
      <c r="D3" s="250">
        <f>Detailed_Analysis!$F$21</f>
        <v>0</v>
      </c>
      <c r="E3" s="132"/>
      <c r="F3" s="46"/>
      <c r="G3" s="111"/>
      <c r="H3" s="613" t="s">
        <v>511</v>
      </c>
      <c r="I3" s="615"/>
      <c r="J3" s="615"/>
      <c r="K3" s="615"/>
      <c r="L3" s="615"/>
      <c r="M3" s="616"/>
      <c r="N3" s="250">
        <f>VLOOKUP(D3,Conference_Room_Table,15)</f>
        <v>0</v>
      </c>
      <c r="O3" s="131" t="s">
        <v>207</v>
      </c>
      <c r="P3" s="130"/>
      <c r="Q3" s="113"/>
      <c r="R3" s="116"/>
      <c r="S3" s="115"/>
      <c r="T3" s="115"/>
      <c r="U3" s="114"/>
      <c r="W3" s="130"/>
      <c r="X3" s="130"/>
    </row>
    <row r="4" spans="1:24" s="51" customFormat="1" x14ac:dyDescent="0.3">
      <c r="A4" s="126"/>
      <c r="B4" s="129"/>
      <c r="C4" s="128"/>
      <c r="D4" s="128"/>
      <c r="E4" s="128"/>
      <c r="F4" s="128"/>
      <c r="G4" s="128"/>
      <c r="I4" s="127"/>
      <c r="J4" s="127"/>
      <c r="K4" s="127"/>
      <c r="L4" s="127"/>
      <c r="M4" s="127"/>
      <c r="N4" s="127"/>
      <c r="O4" s="126"/>
      <c r="P4" s="122"/>
      <c r="Q4" s="122"/>
      <c r="R4" s="125"/>
      <c r="S4" s="124"/>
      <c r="T4" s="124"/>
      <c r="U4" s="123"/>
      <c r="W4" s="122"/>
      <c r="X4" s="122"/>
    </row>
    <row r="5" spans="1:24" s="112" customFormat="1" ht="60" customHeight="1" x14ac:dyDescent="0.3">
      <c r="A5" s="612" t="s">
        <v>334</v>
      </c>
      <c r="B5" s="612"/>
      <c r="C5" s="251" t="s">
        <v>331</v>
      </c>
      <c r="D5" s="612" t="s">
        <v>333</v>
      </c>
      <c r="E5" s="612"/>
      <c r="F5" s="612"/>
      <c r="G5" s="251" t="s">
        <v>331</v>
      </c>
      <c r="H5" s="612" t="s">
        <v>332</v>
      </c>
      <c r="I5" s="612"/>
      <c r="J5" s="612"/>
      <c r="K5" s="251" t="s">
        <v>331</v>
      </c>
      <c r="L5" s="612" t="s">
        <v>330</v>
      </c>
      <c r="M5" s="612"/>
      <c r="N5" s="612"/>
      <c r="O5" s="251" t="s">
        <v>87</v>
      </c>
      <c r="P5" s="251" t="s">
        <v>329</v>
      </c>
      <c r="Q5" s="251" t="s">
        <v>328</v>
      </c>
      <c r="R5" s="121" t="s">
        <v>327</v>
      </c>
      <c r="S5" s="120" t="s">
        <v>326</v>
      </c>
      <c r="T5" s="120" t="s">
        <v>325</v>
      </c>
      <c r="U5" s="120" t="s">
        <v>324</v>
      </c>
      <c r="W5" s="119" t="s">
        <v>323</v>
      </c>
      <c r="X5" s="119" t="s">
        <v>322</v>
      </c>
    </row>
    <row r="6" spans="1:24" ht="14.4" x14ac:dyDescent="0.3">
      <c r="A6" s="252" t="s">
        <v>321</v>
      </c>
      <c r="B6" s="252" t="s">
        <v>320</v>
      </c>
      <c r="C6" s="252" t="s">
        <v>319</v>
      </c>
      <c r="D6" s="252" t="s">
        <v>305</v>
      </c>
      <c r="E6" s="252" t="s">
        <v>317</v>
      </c>
      <c r="F6" s="252" t="s">
        <v>109</v>
      </c>
      <c r="G6" s="253" t="s">
        <v>319</v>
      </c>
      <c r="H6" s="253" t="s">
        <v>305</v>
      </c>
      <c r="I6" s="253" t="s">
        <v>317</v>
      </c>
      <c r="J6" s="252" t="s">
        <v>109</v>
      </c>
      <c r="K6" s="252" t="s">
        <v>319</v>
      </c>
      <c r="L6" s="252" t="s">
        <v>305</v>
      </c>
      <c r="M6" s="252" t="s">
        <v>317</v>
      </c>
      <c r="N6" s="252" t="s">
        <v>109</v>
      </c>
      <c r="O6" s="254" t="s">
        <v>109</v>
      </c>
      <c r="P6" s="255" t="s">
        <v>109</v>
      </c>
      <c r="Q6" s="256" t="s">
        <v>109</v>
      </c>
      <c r="R6" s="116" t="s">
        <v>318</v>
      </c>
      <c r="S6" s="115" t="s">
        <v>317</v>
      </c>
      <c r="T6" s="115" t="s">
        <v>317</v>
      </c>
      <c r="U6" s="114"/>
      <c r="W6" s="113" t="s">
        <v>316</v>
      </c>
      <c r="X6" s="113" t="s">
        <v>315</v>
      </c>
    </row>
    <row r="7" spans="1:24" ht="14.4" x14ac:dyDescent="0.3">
      <c r="A7" s="117">
        <v>0</v>
      </c>
      <c r="B7" s="117">
        <v>9</v>
      </c>
      <c r="C7" s="118">
        <v>0</v>
      </c>
      <c r="D7" s="117">
        <v>0</v>
      </c>
      <c r="E7" s="117">
        <v>0</v>
      </c>
      <c r="F7" s="250">
        <f t="shared" ref="F7:F40" si="0">C7*D7*E7</f>
        <v>0</v>
      </c>
      <c r="G7" s="118">
        <v>0</v>
      </c>
      <c r="H7" s="118">
        <v>0</v>
      </c>
      <c r="I7" s="118">
        <v>0</v>
      </c>
      <c r="J7" s="250">
        <v>0</v>
      </c>
      <c r="K7" s="117">
        <v>0</v>
      </c>
      <c r="L7" s="117">
        <v>0</v>
      </c>
      <c r="M7" s="117">
        <v>0</v>
      </c>
      <c r="N7" s="250">
        <v>0</v>
      </c>
      <c r="O7" s="250">
        <f t="shared" ref="O7:O40" si="1">F7+J7+N7</f>
        <v>0</v>
      </c>
      <c r="P7" s="158">
        <v>0</v>
      </c>
      <c r="Q7" s="249">
        <f t="shared" ref="Q7:Q15" si="2" xml:space="preserve"> 0.25*(B7)*18</f>
        <v>40.5</v>
      </c>
      <c r="R7" s="116">
        <f t="shared" ref="R7:R40" si="3">((C7*D7)+(G7*H7)+(K7*L7))/B7</f>
        <v>0</v>
      </c>
      <c r="S7" s="115">
        <v>0</v>
      </c>
      <c r="T7" s="115">
        <v>0</v>
      </c>
      <c r="U7" s="114">
        <v>0</v>
      </c>
      <c r="W7" s="113">
        <v>0</v>
      </c>
      <c r="X7" s="113">
        <f t="shared" ref="X7:X40" si="4">0.25*(B7)*(T7)</f>
        <v>0</v>
      </c>
    </row>
    <row r="8" spans="1:24" ht="14.4" x14ac:dyDescent="0.3">
      <c r="A8" s="117">
        <v>10</v>
      </c>
      <c r="B8" s="117">
        <v>24</v>
      </c>
      <c r="C8" s="118">
        <v>1</v>
      </c>
      <c r="D8" s="117">
        <v>5</v>
      </c>
      <c r="E8" s="117">
        <v>15</v>
      </c>
      <c r="F8" s="250">
        <f t="shared" si="0"/>
        <v>75</v>
      </c>
      <c r="G8" s="118">
        <v>0</v>
      </c>
      <c r="H8" s="118">
        <v>0</v>
      </c>
      <c r="I8" s="118">
        <v>0</v>
      </c>
      <c r="J8" s="250">
        <v>0</v>
      </c>
      <c r="K8" s="117">
        <v>0</v>
      </c>
      <c r="L8" s="117">
        <v>0</v>
      </c>
      <c r="M8" s="117">
        <v>0</v>
      </c>
      <c r="N8" s="250">
        <v>0</v>
      </c>
      <c r="O8" s="250">
        <f t="shared" si="1"/>
        <v>75</v>
      </c>
      <c r="P8" s="158">
        <v>90</v>
      </c>
      <c r="Q8" s="249">
        <f t="shared" si="2"/>
        <v>108</v>
      </c>
      <c r="R8" s="116">
        <f t="shared" si="3"/>
        <v>0.20833333333333334</v>
      </c>
      <c r="S8" s="115">
        <f t="shared" ref="S8:S40" si="5">O8/B8</f>
        <v>3.125</v>
      </c>
      <c r="T8" s="115">
        <f t="shared" ref="T8:T40" si="6">O8/((C8*D8)+(G8*H8)+(K8*L8))</f>
        <v>15</v>
      </c>
      <c r="U8" s="114">
        <f t="shared" ref="U8:U40" si="7">O8/(B8*120)</f>
        <v>2.6041666666666668E-2</v>
      </c>
      <c r="W8" s="113">
        <f t="shared" ref="W8:W40" si="8">-0.0003*(B8)^2+4.7098*(B8)</f>
        <v>112.86240000000001</v>
      </c>
      <c r="X8" s="113">
        <f t="shared" si="4"/>
        <v>90</v>
      </c>
    </row>
    <row r="9" spans="1:24" ht="14.4" x14ac:dyDescent="0.3">
      <c r="A9" s="117">
        <v>25</v>
      </c>
      <c r="B9" s="117">
        <v>49</v>
      </c>
      <c r="C9" s="118">
        <v>0</v>
      </c>
      <c r="D9" s="117">
        <v>10</v>
      </c>
      <c r="E9" s="117">
        <v>15</v>
      </c>
      <c r="F9" s="250">
        <f t="shared" si="0"/>
        <v>0</v>
      </c>
      <c r="G9" s="118">
        <v>1</v>
      </c>
      <c r="H9" s="118">
        <v>12</v>
      </c>
      <c r="I9" s="118">
        <v>20</v>
      </c>
      <c r="J9" s="250">
        <f t="shared" ref="J9:J40" si="9">G9*H9*I9</f>
        <v>240</v>
      </c>
      <c r="K9" s="117">
        <v>0</v>
      </c>
      <c r="L9" s="117">
        <v>0</v>
      </c>
      <c r="M9" s="117">
        <v>0</v>
      </c>
      <c r="N9" s="250">
        <v>0</v>
      </c>
      <c r="O9" s="250">
        <f t="shared" si="1"/>
        <v>240</v>
      </c>
      <c r="P9" s="158">
        <v>150</v>
      </c>
      <c r="Q9" s="249">
        <f t="shared" si="2"/>
        <v>220.5</v>
      </c>
      <c r="R9" s="116">
        <f t="shared" si="3"/>
        <v>0.24489795918367346</v>
      </c>
      <c r="S9" s="115">
        <f t="shared" si="5"/>
        <v>4.8979591836734695</v>
      </c>
      <c r="T9" s="115">
        <f t="shared" si="6"/>
        <v>20</v>
      </c>
      <c r="U9" s="114">
        <f t="shared" si="7"/>
        <v>4.0816326530612242E-2</v>
      </c>
      <c r="W9" s="113">
        <f t="shared" si="8"/>
        <v>230.0599</v>
      </c>
      <c r="X9" s="113">
        <f t="shared" si="4"/>
        <v>245</v>
      </c>
    </row>
    <row r="10" spans="1:24" ht="14.4" x14ac:dyDescent="0.3">
      <c r="A10" s="117">
        <v>50</v>
      </c>
      <c r="B10" s="117">
        <v>99</v>
      </c>
      <c r="C10" s="118">
        <v>1</v>
      </c>
      <c r="D10" s="117">
        <v>10</v>
      </c>
      <c r="E10" s="117">
        <v>15</v>
      </c>
      <c r="F10" s="250">
        <f t="shared" si="0"/>
        <v>150</v>
      </c>
      <c r="G10" s="118">
        <v>1</v>
      </c>
      <c r="H10" s="118">
        <v>15</v>
      </c>
      <c r="I10" s="118">
        <v>20</v>
      </c>
      <c r="J10" s="250">
        <f t="shared" si="9"/>
        <v>300</v>
      </c>
      <c r="K10" s="117">
        <v>0</v>
      </c>
      <c r="L10" s="117">
        <v>0</v>
      </c>
      <c r="M10" s="117">
        <v>0</v>
      </c>
      <c r="N10" s="250">
        <v>0</v>
      </c>
      <c r="O10" s="250">
        <f t="shared" si="1"/>
        <v>450</v>
      </c>
      <c r="P10" s="158">
        <v>650</v>
      </c>
      <c r="Q10" s="249">
        <f t="shared" si="2"/>
        <v>445.5</v>
      </c>
      <c r="R10" s="116">
        <f t="shared" si="3"/>
        <v>0.25252525252525254</v>
      </c>
      <c r="S10" s="115">
        <f t="shared" si="5"/>
        <v>4.5454545454545459</v>
      </c>
      <c r="T10" s="115">
        <f t="shared" si="6"/>
        <v>18</v>
      </c>
      <c r="U10" s="114">
        <f t="shared" si="7"/>
        <v>3.787878787878788E-2</v>
      </c>
      <c r="W10" s="113">
        <f t="shared" si="8"/>
        <v>463.32990000000007</v>
      </c>
      <c r="X10" s="113">
        <f t="shared" si="4"/>
        <v>445.5</v>
      </c>
    </row>
    <row r="11" spans="1:24" ht="14.4" x14ac:dyDescent="0.3">
      <c r="A11" s="117">
        <v>100</v>
      </c>
      <c r="B11" s="117">
        <v>149</v>
      </c>
      <c r="C11" s="118">
        <v>1</v>
      </c>
      <c r="D11" s="117">
        <v>10</v>
      </c>
      <c r="E11" s="117">
        <v>15</v>
      </c>
      <c r="F11" s="250">
        <f t="shared" si="0"/>
        <v>150</v>
      </c>
      <c r="G11" s="118">
        <v>2</v>
      </c>
      <c r="H11" s="118">
        <v>15</v>
      </c>
      <c r="I11" s="118">
        <v>20</v>
      </c>
      <c r="J11" s="250">
        <f t="shared" si="9"/>
        <v>600</v>
      </c>
      <c r="K11" s="117">
        <v>0</v>
      </c>
      <c r="L11" s="117">
        <v>0</v>
      </c>
      <c r="M11" s="117">
        <v>0</v>
      </c>
      <c r="N11" s="250">
        <v>0</v>
      </c>
      <c r="O11" s="250">
        <f t="shared" si="1"/>
        <v>750</v>
      </c>
      <c r="P11" s="158">
        <v>1450</v>
      </c>
      <c r="Q11" s="249">
        <f t="shared" si="2"/>
        <v>670.5</v>
      </c>
      <c r="R11" s="116">
        <f t="shared" si="3"/>
        <v>0.26845637583892618</v>
      </c>
      <c r="S11" s="115">
        <f t="shared" si="5"/>
        <v>5.0335570469798654</v>
      </c>
      <c r="T11" s="115">
        <f t="shared" si="6"/>
        <v>18.75</v>
      </c>
      <c r="U11" s="114">
        <f t="shared" si="7"/>
        <v>4.1946308724832217E-2</v>
      </c>
      <c r="W11" s="113">
        <f t="shared" si="8"/>
        <v>695.09990000000005</v>
      </c>
      <c r="X11" s="113">
        <f t="shared" si="4"/>
        <v>698.4375</v>
      </c>
    </row>
    <row r="12" spans="1:24" ht="14.4" x14ac:dyDescent="0.3">
      <c r="A12" s="117">
        <v>150</v>
      </c>
      <c r="B12" s="117">
        <v>249</v>
      </c>
      <c r="C12" s="118">
        <v>2</v>
      </c>
      <c r="D12" s="117">
        <v>10</v>
      </c>
      <c r="E12" s="117">
        <v>15</v>
      </c>
      <c r="F12" s="250">
        <f t="shared" si="0"/>
        <v>300</v>
      </c>
      <c r="G12" s="118">
        <v>2</v>
      </c>
      <c r="H12" s="118">
        <v>25</v>
      </c>
      <c r="I12" s="118">
        <v>20</v>
      </c>
      <c r="J12" s="250">
        <f t="shared" si="9"/>
        <v>1000</v>
      </c>
      <c r="K12" s="117">
        <v>0</v>
      </c>
      <c r="L12" s="117">
        <v>0</v>
      </c>
      <c r="M12" s="117">
        <v>0</v>
      </c>
      <c r="N12" s="250">
        <v>0</v>
      </c>
      <c r="O12" s="250">
        <f t="shared" si="1"/>
        <v>1300</v>
      </c>
      <c r="P12" s="158">
        <v>1800</v>
      </c>
      <c r="Q12" s="249">
        <f t="shared" si="2"/>
        <v>1120.5</v>
      </c>
      <c r="R12" s="116">
        <f t="shared" si="3"/>
        <v>0.28112449799196787</v>
      </c>
      <c r="S12" s="115">
        <f t="shared" si="5"/>
        <v>5.2208835341365463</v>
      </c>
      <c r="T12" s="115">
        <f t="shared" si="6"/>
        <v>18.571428571428573</v>
      </c>
      <c r="U12" s="114">
        <f t="shared" si="7"/>
        <v>4.3507362784471218E-2</v>
      </c>
      <c r="W12" s="113">
        <f t="shared" si="8"/>
        <v>1154.1399000000001</v>
      </c>
      <c r="X12" s="113">
        <f t="shared" si="4"/>
        <v>1156.0714285714287</v>
      </c>
    </row>
    <row r="13" spans="1:24" ht="14.4" x14ac:dyDescent="0.3">
      <c r="A13" s="117">
        <v>250</v>
      </c>
      <c r="B13" s="117">
        <v>349</v>
      </c>
      <c r="C13" s="118">
        <v>4</v>
      </c>
      <c r="D13" s="117">
        <v>10</v>
      </c>
      <c r="E13" s="117">
        <v>15</v>
      </c>
      <c r="F13" s="250">
        <f t="shared" si="0"/>
        <v>600</v>
      </c>
      <c r="G13" s="118">
        <v>2</v>
      </c>
      <c r="H13" s="118">
        <v>25</v>
      </c>
      <c r="I13" s="118">
        <v>20</v>
      </c>
      <c r="J13" s="250">
        <f t="shared" si="9"/>
        <v>1000</v>
      </c>
      <c r="K13" s="117">
        <v>0</v>
      </c>
      <c r="L13" s="117">
        <v>0</v>
      </c>
      <c r="M13" s="117">
        <v>0</v>
      </c>
      <c r="N13" s="250">
        <v>0</v>
      </c>
      <c r="O13" s="250">
        <f t="shared" si="1"/>
        <v>1600</v>
      </c>
      <c r="P13" s="158">
        <v>2150</v>
      </c>
      <c r="Q13" s="249">
        <f t="shared" si="2"/>
        <v>1570.5</v>
      </c>
      <c r="R13" s="116">
        <f t="shared" si="3"/>
        <v>0.25787965616045844</v>
      </c>
      <c r="S13" s="115">
        <f t="shared" si="5"/>
        <v>4.5845272206303722</v>
      </c>
      <c r="T13" s="115">
        <f t="shared" si="6"/>
        <v>17.777777777777779</v>
      </c>
      <c r="U13" s="114">
        <f t="shared" si="7"/>
        <v>3.8204393505253106E-2</v>
      </c>
      <c r="W13" s="113">
        <f t="shared" si="8"/>
        <v>1607.1799000000003</v>
      </c>
      <c r="X13" s="113">
        <f t="shared" si="4"/>
        <v>1551.1111111111111</v>
      </c>
    </row>
    <row r="14" spans="1:24" ht="14.4" x14ac:dyDescent="0.3">
      <c r="A14" s="117">
        <v>350</v>
      </c>
      <c r="B14" s="117">
        <v>449</v>
      </c>
      <c r="C14" s="118">
        <v>5</v>
      </c>
      <c r="D14" s="117">
        <v>10</v>
      </c>
      <c r="E14" s="117">
        <v>15</v>
      </c>
      <c r="F14" s="250">
        <f t="shared" si="0"/>
        <v>750</v>
      </c>
      <c r="G14" s="118">
        <v>1</v>
      </c>
      <c r="H14" s="118">
        <v>15</v>
      </c>
      <c r="I14" s="118">
        <v>20</v>
      </c>
      <c r="J14" s="250">
        <f t="shared" si="9"/>
        <v>300</v>
      </c>
      <c r="K14" s="117">
        <v>1</v>
      </c>
      <c r="L14" s="117">
        <v>50</v>
      </c>
      <c r="M14" s="117">
        <v>20</v>
      </c>
      <c r="N14" s="250">
        <f t="shared" ref="N14:N40" si="10">K14*L14*M14+150</f>
        <v>1150</v>
      </c>
      <c r="O14" s="250">
        <f t="shared" si="1"/>
        <v>2200</v>
      </c>
      <c r="P14" s="158">
        <v>2500</v>
      </c>
      <c r="Q14" s="249">
        <f t="shared" si="2"/>
        <v>2020.5</v>
      </c>
      <c r="R14" s="116">
        <f t="shared" si="3"/>
        <v>0.25612472160356348</v>
      </c>
      <c r="S14" s="115">
        <f t="shared" si="5"/>
        <v>4.8997772828507795</v>
      </c>
      <c r="T14" s="115">
        <f t="shared" si="6"/>
        <v>19.130434782608695</v>
      </c>
      <c r="U14" s="114">
        <f t="shared" si="7"/>
        <v>4.0831477357089828E-2</v>
      </c>
      <c r="W14" s="113">
        <f t="shared" si="8"/>
        <v>2054.2199000000001</v>
      </c>
      <c r="X14" s="113">
        <f t="shared" si="4"/>
        <v>2147.391304347826</v>
      </c>
    </row>
    <row r="15" spans="1:24" ht="14.4" x14ac:dyDescent="0.3">
      <c r="A15" s="117">
        <v>450</v>
      </c>
      <c r="B15" s="117">
        <v>549</v>
      </c>
      <c r="C15" s="118">
        <v>6</v>
      </c>
      <c r="D15" s="117">
        <v>10</v>
      </c>
      <c r="E15" s="117">
        <v>15</v>
      </c>
      <c r="F15" s="250">
        <f t="shared" si="0"/>
        <v>900</v>
      </c>
      <c r="G15" s="118">
        <v>2</v>
      </c>
      <c r="H15" s="118">
        <v>15</v>
      </c>
      <c r="I15" s="118">
        <v>20</v>
      </c>
      <c r="J15" s="250">
        <f t="shared" si="9"/>
        <v>600</v>
      </c>
      <c r="K15" s="117">
        <v>1</v>
      </c>
      <c r="L15" s="117">
        <v>50</v>
      </c>
      <c r="M15" s="117">
        <v>20</v>
      </c>
      <c r="N15" s="250">
        <f t="shared" si="10"/>
        <v>1150</v>
      </c>
      <c r="O15" s="250">
        <f t="shared" si="1"/>
        <v>2650</v>
      </c>
      <c r="P15" s="158">
        <v>2850</v>
      </c>
      <c r="Q15" s="257">
        <f t="shared" si="2"/>
        <v>2470.5</v>
      </c>
      <c r="R15" s="116">
        <f t="shared" si="3"/>
        <v>0.25500910746812389</v>
      </c>
      <c r="S15" s="115">
        <f t="shared" si="5"/>
        <v>4.8269581056466304</v>
      </c>
      <c r="T15" s="115">
        <f t="shared" si="6"/>
        <v>18.928571428571427</v>
      </c>
      <c r="U15" s="114">
        <f t="shared" si="7"/>
        <v>4.0224650880388582E-2</v>
      </c>
      <c r="W15" s="113">
        <f t="shared" si="8"/>
        <v>2495.2599</v>
      </c>
      <c r="X15" s="113">
        <f t="shared" si="4"/>
        <v>2597.9464285714284</v>
      </c>
    </row>
    <row r="16" spans="1:24" ht="14.4" x14ac:dyDescent="0.3">
      <c r="A16" s="117">
        <v>550</v>
      </c>
      <c r="B16" s="117">
        <v>649</v>
      </c>
      <c r="C16" s="118">
        <v>7</v>
      </c>
      <c r="D16" s="117">
        <v>10</v>
      </c>
      <c r="E16" s="117">
        <v>15</v>
      </c>
      <c r="F16" s="250">
        <f t="shared" si="0"/>
        <v>1050</v>
      </c>
      <c r="G16" s="118">
        <v>5</v>
      </c>
      <c r="H16" s="118">
        <v>10</v>
      </c>
      <c r="I16" s="118">
        <v>20</v>
      </c>
      <c r="J16" s="250">
        <f t="shared" si="9"/>
        <v>1000</v>
      </c>
      <c r="K16" s="117">
        <v>1</v>
      </c>
      <c r="L16" s="117">
        <v>50</v>
      </c>
      <c r="M16" s="117">
        <v>20</v>
      </c>
      <c r="N16" s="250">
        <f t="shared" si="10"/>
        <v>1150</v>
      </c>
      <c r="O16" s="250">
        <f t="shared" si="1"/>
        <v>3200</v>
      </c>
      <c r="P16" s="158">
        <v>3200</v>
      </c>
      <c r="Q16" s="257">
        <f t="shared" ref="Q16:Q40" si="11" xml:space="preserve"> 0.2*(B16)*18.5</f>
        <v>2401.3000000000002</v>
      </c>
      <c r="R16" s="116">
        <f t="shared" si="3"/>
        <v>0.26194144838212635</v>
      </c>
      <c r="S16" s="115">
        <f t="shared" si="5"/>
        <v>4.9306625577812015</v>
      </c>
      <c r="T16" s="115">
        <f t="shared" si="6"/>
        <v>18.823529411764707</v>
      </c>
      <c r="U16" s="114">
        <f t="shared" si="7"/>
        <v>4.108885464817668E-2</v>
      </c>
      <c r="W16" s="113">
        <f t="shared" si="8"/>
        <v>2930.2999000000004</v>
      </c>
      <c r="X16" s="113">
        <f t="shared" si="4"/>
        <v>3054.1176470588234</v>
      </c>
    </row>
    <row r="17" spans="1:24" ht="14.4" x14ac:dyDescent="0.3">
      <c r="A17" s="117">
        <v>650</v>
      </c>
      <c r="B17" s="117">
        <v>749</v>
      </c>
      <c r="C17" s="118">
        <v>8</v>
      </c>
      <c r="D17" s="117">
        <v>10</v>
      </c>
      <c r="E17" s="117">
        <v>15</v>
      </c>
      <c r="F17" s="250">
        <f t="shared" si="0"/>
        <v>1200</v>
      </c>
      <c r="G17" s="118">
        <v>6</v>
      </c>
      <c r="H17" s="118">
        <v>10</v>
      </c>
      <c r="I17" s="118">
        <v>20</v>
      </c>
      <c r="J17" s="250">
        <f t="shared" si="9"/>
        <v>1200</v>
      </c>
      <c r="K17" s="117">
        <v>1</v>
      </c>
      <c r="L17" s="117">
        <v>50</v>
      </c>
      <c r="M17" s="117">
        <v>20</v>
      </c>
      <c r="N17" s="250">
        <f t="shared" si="10"/>
        <v>1150</v>
      </c>
      <c r="O17" s="250">
        <f t="shared" si="1"/>
        <v>3550</v>
      </c>
      <c r="P17" s="158">
        <v>3550</v>
      </c>
      <c r="Q17" s="249">
        <f t="shared" si="11"/>
        <v>2771.3</v>
      </c>
      <c r="R17" s="116">
        <f t="shared" si="3"/>
        <v>0.25367156208277702</v>
      </c>
      <c r="S17" s="115">
        <f t="shared" si="5"/>
        <v>4.739652870493992</v>
      </c>
      <c r="T17" s="115">
        <f t="shared" si="6"/>
        <v>18.684210526315791</v>
      </c>
      <c r="U17" s="114">
        <f t="shared" si="7"/>
        <v>3.9497107254116599E-2</v>
      </c>
      <c r="W17" s="113">
        <f t="shared" si="8"/>
        <v>3359.3399000000004</v>
      </c>
      <c r="X17" s="113">
        <f t="shared" si="4"/>
        <v>3498.6184210526317</v>
      </c>
    </row>
    <row r="18" spans="1:24" ht="14.4" x14ac:dyDescent="0.3">
      <c r="A18" s="117">
        <v>750</v>
      </c>
      <c r="B18" s="117">
        <v>849</v>
      </c>
      <c r="C18" s="118">
        <v>9</v>
      </c>
      <c r="D18" s="117">
        <v>10</v>
      </c>
      <c r="E18" s="117">
        <v>15</v>
      </c>
      <c r="F18" s="250">
        <f t="shared" si="0"/>
        <v>1350</v>
      </c>
      <c r="G18" s="118">
        <v>7</v>
      </c>
      <c r="H18" s="118">
        <v>10</v>
      </c>
      <c r="I18" s="118">
        <v>20</v>
      </c>
      <c r="J18" s="250">
        <f t="shared" si="9"/>
        <v>1400</v>
      </c>
      <c r="K18" s="117">
        <v>1</v>
      </c>
      <c r="L18" s="117">
        <v>50</v>
      </c>
      <c r="M18" s="117">
        <v>20</v>
      </c>
      <c r="N18" s="250">
        <f t="shared" si="10"/>
        <v>1150</v>
      </c>
      <c r="O18" s="250">
        <f t="shared" si="1"/>
        <v>3900</v>
      </c>
      <c r="P18" s="158">
        <v>3900</v>
      </c>
      <c r="Q18" s="249">
        <f t="shared" si="11"/>
        <v>3141.3</v>
      </c>
      <c r="R18" s="116">
        <f t="shared" si="3"/>
        <v>0.24734982332155478</v>
      </c>
      <c r="S18" s="115">
        <f t="shared" si="5"/>
        <v>4.5936395759717312</v>
      </c>
      <c r="T18" s="115">
        <f t="shared" si="6"/>
        <v>18.571428571428573</v>
      </c>
      <c r="U18" s="114">
        <f t="shared" si="7"/>
        <v>3.828032979976443E-2</v>
      </c>
      <c r="W18" s="113">
        <f t="shared" si="8"/>
        <v>3782.3799000000004</v>
      </c>
      <c r="X18" s="113">
        <f t="shared" si="4"/>
        <v>3941.7857142857147</v>
      </c>
    </row>
    <row r="19" spans="1:24" ht="14.4" x14ac:dyDescent="0.3">
      <c r="A19" s="117">
        <v>850</v>
      </c>
      <c r="B19" s="117">
        <v>949</v>
      </c>
      <c r="C19" s="118">
        <v>10</v>
      </c>
      <c r="D19" s="117">
        <v>10</v>
      </c>
      <c r="E19" s="117">
        <v>15</v>
      </c>
      <c r="F19" s="250">
        <f t="shared" si="0"/>
        <v>1500</v>
      </c>
      <c r="G19" s="118">
        <v>8</v>
      </c>
      <c r="H19" s="118">
        <v>10</v>
      </c>
      <c r="I19" s="118">
        <v>20</v>
      </c>
      <c r="J19" s="250">
        <f t="shared" si="9"/>
        <v>1600</v>
      </c>
      <c r="K19" s="117">
        <v>1</v>
      </c>
      <c r="L19" s="117">
        <v>50</v>
      </c>
      <c r="M19" s="117">
        <v>20</v>
      </c>
      <c r="N19" s="250">
        <f t="shared" si="10"/>
        <v>1150</v>
      </c>
      <c r="O19" s="250">
        <f t="shared" si="1"/>
        <v>4250</v>
      </c>
      <c r="P19" s="158">
        <v>4250</v>
      </c>
      <c r="Q19" s="249">
        <f t="shared" si="11"/>
        <v>3511.3</v>
      </c>
      <c r="R19" s="116">
        <f t="shared" si="3"/>
        <v>0.24236037934668073</v>
      </c>
      <c r="S19" s="115">
        <f t="shared" si="5"/>
        <v>4.4783983140147523</v>
      </c>
      <c r="T19" s="115">
        <f t="shared" si="6"/>
        <v>18.478260869565219</v>
      </c>
      <c r="U19" s="114">
        <f t="shared" si="7"/>
        <v>3.7319985950122939E-2</v>
      </c>
      <c r="W19" s="113">
        <f t="shared" si="8"/>
        <v>4199.4199000000008</v>
      </c>
      <c r="X19" s="113">
        <f t="shared" si="4"/>
        <v>4383.967391304348</v>
      </c>
    </row>
    <row r="20" spans="1:24" ht="14.4" x14ac:dyDescent="0.3">
      <c r="A20" s="117">
        <v>950</v>
      </c>
      <c r="B20" s="117">
        <v>1049</v>
      </c>
      <c r="C20" s="118">
        <v>11</v>
      </c>
      <c r="D20" s="117">
        <v>10</v>
      </c>
      <c r="E20" s="117">
        <v>15</v>
      </c>
      <c r="F20" s="250">
        <f t="shared" si="0"/>
        <v>1650</v>
      </c>
      <c r="G20" s="118">
        <v>9</v>
      </c>
      <c r="H20" s="118">
        <v>10</v>
      </c>
      <c r="I20" s="118">
        <v>20</v>
      </c>
      <c r="J20" s="250">
        <f t="shared" si="9"/>
        <v>1800</v>
      </c>
      <c r="K20" s="117">
        <v>1</v>
      </c>
      <c r="L20" s="117">
        <v>50</v>
      </c>
      <c r="M20" s="117">
        <v>20</v>
      </c>
      <c r="N20" s="250">
        <f t="shared" si="10"/>
        <v>1150</v>
      </c>
      <c r="O20" s="250">
        <f t="shared" si="1"/>
        <v>4600</v>
      </c>
      <c r="P20" s="158">
        <v>4750</v>
      </c>
      <c r="Q20" s="249">
        <f t="shared" si="11"/>
        <v>3881.3</v>
      </c>
      <c r="R20" s="116">
        <f t="shared" si="3"/>
        <v>0.23832221163012393</v>
      </c>
      <c r="S20" s="115">
        <f t="shared" si="5"/>
        <v>4.3851286939942806</v>
      </c>
      <c r="T20" s="115">
        <f t="shared" si="6"/>
        <v>18.399999999999999</v>
      </c>
      <c r="U20" s="114">
        <f t="shared" si="7"/>
        <v>3.6542739116619004E-2</v>
      </c>
      <c r="W20" s="113">
        <f t="shared" si="8"/>
        <v>4610.4599000000007</v>
      </c>
      <c r="X20" s="113">
        <f t="shared" si="4"/>
        <v>4825.3999999999996</v>
      </c>
    </row>
    <row r="21" spans="1:24" ht="14.4" x14ac:dyDescent="0.3">
      <c r="A21" s="117">
        <v>1050</v>
      </c>
      <c r="B21" s="117">
        <v>1149</v>
      </c>
      <c r="C21" s="118">
        <v>12</v>
      </c>
      <c r="D21" s="117">
        <v>10</v>
      </c>
      <c r="E21" s="117">
        <v>15</v>
      </c>
      <c r="F21" s="250">
        <f t="shared" si="0"/>
        <v>1800</v>
      </c>
      <c r="G21" s="118">
        <v>10</v>
      </c>
      <c r="H21" s="118">
        <v>10</v>
      </c>
      <c r="I21" s="118">
        <v>20</v>
      </c>
      <c r="J21" s="250">
        <f t="shared" si="9"/>
        <v>2000</v>
      </c>
      <c r="K21" s="117">
        <v>1</v>
      </c>
      <c r="L21" s="117">
        <v>50</v>
      </c>
      <c r="M21" s="117">
        <v>20</v>
      </c>
      <c r="N21" s="250">
        <f t="shared" si="10"/>
        <v>1150</v>
      </c>
      <c r="O21" s="250">
        <f t="shared" si="1"/>
        <v>4950</v>
      </c>
      <c r="P21" s="158">
        <v>4950</v>
      </c>
      <c r="Q21" s="249">
        <f t="shared" si="11"/>
        <v>4251.3</v>
      </c>
      <c r="R21" s="116">
        <f t="shared" si="3"/>
        <v>0.2349869451697128</v>
      </c>
      <c r="S21" s="115">
        <f t="shared" si="5"/>
        <v>4.3080939947780683</v>
      </c>
      <c r="T21" s="115">
        <f t="shared" si="6"/>
        <v>18.333333333333332</v>
      </c>
      <c r="U21" s="114">
        <f t="shared" si="7"/>
        <v>3.5900783289817231E-2</v>
      </c>
      <c r="W21" s="113">
        <f t="shared" si="8"/>
        <v>5015.4999000000007</v>
      </c>
      <c r="X21" s="113">
        <f t="shared" si="4"/>
        <v>5266.25</v>
      </c>
    </row>
    <row r="22" spans="1:24" ht="14.4" x14ac:dyDescent="0.3">
      <c r="A22" s="117">
        <v>1150</v>
      </c>
      <c r="B22" s="117">
        <v>1249</v>
      </c>
      <c r="C22" s="118">
        <v>13</v>
      </c>
      <c r="D22" s="117">
        <v>10</v>
      </c>
      <c r="E22" s="117">
        <v>15</v>
      </c>
      <c r="F22" s="250">
        <f t="shared" si="0"/>
        <v>1950</v>
      </c>
      <c r="G22" s="118">
        <v>11</v>
      </c>
      <c r="H22" s="118">
        <v>10</v>
      </c>
      <c r="I22" s="118">
        <v>20</v>
      </c>
      <c r="J22" s="250">
        <f t="shared" si="9"/>
        <v>2200</v>
      </c>
      <c r="K22" s="117">
        <v>1</v>
      </c>
      <c r="L22" s="117">
        <v>50</v>
      </c>
      <c r="M22" s="117">
        <v>20</v>
      </c>
      <c r="N22" s="250">
        <f t="shared" si="10"/>
        <v>1150</v>
      </c>
      <c r="O22" s="250">
        <f t="shared" si="1"/>
        <v>5300</v>
      </c>
      <c r="P22" s="158">
        <v>5300</v>
      </c>
      <c r="Q22" s="249">
        <f t="shared" si="11"/>
        <v>4621.3</v>
      </c>
      <c r="R22" s="116">
        <f t="shared" si="3"/>
        <v>0.23218574859887911</v>
      </c>
      <c r="S22" s="115">
        <f t="shared" si="5"/>
        <v>4.2433947157726184</v>
      </c>
      <c r="T22" s="115">
        <f t="shared" si="6"/>
        <v>18.275862068965516</v>
      </c>
      <c r="U22" s="114">
        <f t="shared" si="7"/>
        <v>3.5361622631438487E-2</v>
      </c>
      <c r="W22" s="113">
        <f t="shared" si="8"/>
        <v>5414.5399000000007</v>
      </c>
      <c r="X22" s="113">
        <f t="shared" si="4"/>
        <v>5706.6379310344828</v>
      </c>
    </row>
    <row r="23" spans="1:24" ht="14.4" x14ac:dyDescent="0.3">
      <c r="A23" s="117">
        <v>1250</v>
      </c>
      <c r="B23" s="117">
        <v>1349</v>
      </c>
      <c r="C23" s="118">
        <v>14</v>
      </c>
      <c r="D23" s="117">
        <v>10</v>
      </c>
      <c r="E23" s="117">
        <v>15</v>
      </c>
      <c r="F23" s="250">
        <f t="shared" si="0"/>
        <v>2100</v>
      </c>
      <c r="G23" s="118">
        <v>12</v>
      </c>
      <c r="H23" s="118">
        <v>10</v>
      </c>
      <c r="I23" s="118">
        <v>20</v>
      </c>
      <c r="J23" s="250">
        <f t="shared" si="9"/>
        <v>2400</v>
      </c>
      <c r="K23" s="117">
        <v>1</v>
      </c>
      <c r="L23" s="117">
        <v>50</v>
      </c>
      <c r="M23" s="117">
        <v>20</v>
      </c>
      <c r="N23" s="250">
        <f t="shared" si="10"/>
        <v>1150</v>
      </c>
      <c r="O23" s="250">
        <f t="shared" si="1"/>
        <v>5650</v>
      </c>
      <c r="P23" s="158">
        <v>5650</v>
      </c>
      <c r="Q23" s="249">
        <f t="shared" si="11"/>
        <v>4991.3</v>
      </c>
      <c r="R23" s="116">
        <f t="shared" si="3"/>
        <v>0.22979985174203113</v>
      </c>
      <c r="S23" s="115">
        <f t="shared" si="5"/>
        <v>4.1882876204596</v>
      </c>
      <c r="T23" s="115">
        <f t="shared" si="6"/>
        <v>18.225806451612904</v>
      </c>
      <c r="U23" s="114">
        <f t="shared" si="7"/>
        <v>3.4902396837163334E-2</v>
      </c>
      <c r="W23" s="113">
        <f t="shared" si="8"/>
        <v>5807.5799000000006</v>
      </c>
      <c r="X23" s="113">
        <f t="shared" si="4"/>
        <v>6146.6532258064517</v>
      </c>
    </row>
    <row r="24" spans="1:24" ht="14.4" x14ac:dyDescent="0.3">
      <c r="A24" s="117">
        <v>1350</v>
      </c>
      <c r="B24" s="117">
        <v>1449</v>
      </c>
      <c r="C24" s="118">
        <v>15</v>
      </c>
      <c r="D24" s="117">
        <v>10</v>
      </c>
      <c r="E24" s="117">
        <v>15</v>
      </c>
      <c r="F24" s="250">
        <f t="shared" si="0"/>
        <v>2250</v>
      </c>
      <c r="G24" s="118">
        <v>13</v>
      </c>
      <c r="H24" s="118">
        <v>10</v>
      </c>
      <c r="I24" s="118">
        <v>20</v>
      </c>
      <c r="J24" s="250">
        <f t="shared" si="9"/>
        <v>2600</v>
      </c>
      <c r="K24" s="117">
        <v>1</v>
      </c>
      <c r="L24" s="117">
        <v>50</v>
      </c>
      <c r="M24" s="117">
        <v>20</v>
      </c>
      <c r="N24" s="250">
        <f t="shared" si="10"/>
        <v>1150</v>
      </c>
      <c r="O24" s="250">
        <f t="shared" si="1"/>
        <v>6000</v>
      </c>
      <c r="P24" s="158">
        <v>6000</v>
      </c>
      <c r="Q24" s="249">
        <f t="shared" si="11"/>
        <v>5361.3</v>
      </c>
      <c r="R24" s="116">
        <f t="shared" si="3"/>
        <v>0.2277432712215321</v>
      </c>
      <c r="S24" s="115">
        <f t="shared" si="5"/>
        <v>4.1407867494824018</v>
      </c>
      <c r="T24" s="115">
        <f t="shared" si="6"/>
        <v>18.181818181818183</v>
      </c>
      <c r="U24" s="114">
        <f t="shared" si="7"/>
        <v>3.450655624568668E-2</v>
      </c>
      <c r="W24" s="113">
        <f t="shared" si="8"/>
        <v>6194.6199000000006</v>
      </c>
      <c r="X24" s="113">
        <f t="shared" si="4"/>
        <v>6586.3636363636369</v>
      </c>
    </row>
    <row r="25" spans="1:24" ht="14.4" x14ac:dyDescent="0.3">
      <c r="A25" s="117">
        <v>1450</v>
      </c>
      <c r="B25" s="117">
        <v>1549</v>
      </c>
      <c r="C25" s="118">
        <v>16</v>
      </c>
      <c r="D25" s="117">
        <v>10</v>
      </c>
      <c r="E25" s="117">
        <v>15</v>
      </c>
      <c r="F25" s="250">
        <f t="shared" si="0"/>
        <v>2400</v>
      </c>
      <c r="G25" s="118">
        <v>14</v>
      </c>
      <c r="H25" s="118">
        <v>10</v>
      </c>
      <c r="I25" s="118">
        <v>20</v>
      </c>
      <c r="J25" s="250">
        <f t="shared" si="9"/>
        <v>2800</v>
      </c>
      <c r="K25" s="117">
        <v>1</v>
      </c>
      <c r="L25" s="117">
        <v>50</v>
      </c>
      <c r="M25" s="117">
        <v>20</v>
      </c>
      <c r="N25" s="250">
        <f t="shared" si="10"/>
        <v>1150</v>
      </c>
      <c r="O25" s="250">
        <f t="shared" si="1"/>
        <v>6350</v>
      </c>
      <c r="P25" s="158">
        <v>6350</v>
      </c>
      <c r="Q25" s="249">
        <f t="shared" si="11"/>
        <v>5731.3</v>
      </c>
      <c r="R25" s="116">
        <f t="shared" si="3"/>
        <v>0.22595222724338282</v>
      </c>
      <c r="S25" s="115">
        <f t="shared" si="5"/>
        <v>4.0994189799870888</v>
      </c>
      <c r="T25" s="115">
        <f t="shared" si="6"/>
        <v>18.142857142857142</v>
      </c>
      <c r="U25" s="114">
        <f t="shared" si="7"/>
        <v>3.4161824833225739E-2</v>
      </c>
      <c r="W25" s="113">
        <f t="shared" si="8"/>
        <v>6575.6599000000006</v>
      </c>
      <c r="X25" s="113">
        <f t="shared" si="4"/>
        <v>7025.8214285714284</v>
      </c>
    </row>
    <row r="26" spans="1:24" ht="14.4" x14ac:dyDescent="0.3">
      <c r="A26" s="117">
        <v>1550</v>
      </c>
      <c r="B26" s="117">
        <v>1649</v>
      </c>
      <c r="C26" s="118">
        <v>17</v>
      </c>
      <c r="D26" s="117">
        <v>10</v>
      </c>
      <c r="E26" s="117">
        <v>15</v>
      </c>
      <c r="F26" s="250">
        <f t="shared" si="0"/>
        <v>2550</v>
      </c>
      <c r="G26" s="118">
        <v>15</v>
      </c>
      <c r="H26" s="118">
        <v>10</v>
      </c>
      <c r="I26" s="118">
        <v>20</v>
      </c>
      <c r="J26" s="250">
        <f t="shared" si="9"/>
        <v>3000</v>
      </c>
      <c r="K26" s="117">
        <v>1</v>
      </c>
      <c r="L26" s="117">
        <v>50</v>
      </c>
      <c r="M26" s="117">
        <v>20</v>
      </c>
      <c r="N26" s="250">
        <f t="shared" si="10"/>
        <v>1150</v>
      </c>
      <c r="O26" s="250">
        <f t="shared" si="1"/>
        <v>6700</v>
      </c>
      <c r="P26" s="158">
        <v>6700</v>
      </c>
      <c r="Q26" s="249">
        <f t="shared" si="11"/>
        <v>6101.3</v>
      </c>
      <c r="R26" s="116">
        <f t="shared" si="3"/>
        <v>0.22437841115827775</v>
      </c>
      <c r="S26" s="115">
        <f t="shared" si="5"/>
        <v>4.0630685263796238</v>
      </c>
      <c r="T26" s="115">
        <f t="shared" si="6"/>
        <v>18.108108108108109</v>
      </c>
      <c r="U26" s="114">
        <f t="shared" si="7"/>
        <v>3.3858904386496864E-2</v>
      </c>
      <c r="W26" s="113">
        <f t="shared" si="8"/>
        <v>6950.6999000000005</v>
      </c>
      <c r="X26" s="113">
        <f t="shared" si="4"/>
        <v>7465.0675675675675</v>
      </c>
    </row>
    <row r="27" spans="1:24" ht="14.4" x14ac:dyDescent="0.3">
      <c r="A27" s="117">
        <v>1650</v>
      </c>
      <c r="B27" s="117">
        <v>1749</v>
      </c>
      <c r="C27" s="118">
        <v>18</v>
      </c>
      <c r="D27" s="117">
        <v>10</v>
      </c>
      <c r="E27" s="117">
        <v>15</v>
      </c>
      <c r="F27" s="250">
        <f t="shared" si="0"/>
        <v>2700</v>
      </c>
      <c r="G27" s="118">
        <v>16</v>
      </c>
      <c r="H27" s="118">
        <v>10</v>
      </c>
      <c r="I27" s="118">
        <v>20</v>
      </c>
      <c r="J27" s="250">
        <f t="shared" si="9"/>
        <v>3200</v>
      </c>
      <c r="K27" s="117">
        <v>1</v>
      </c>
      <c r="L27" s="117">
        <v>50</v>
      </c>
      <c r="M27" s="117">
        <v>20</v>
      </c>
      <c r="N27" s="250">
        <f t="shared" si="10"/>
        <v>1150</v>
      </c>
      <c r="O27" s="250">
        <f t="shared" si="1"/>
        <v>7050</v>
      </c>
      <c r="P27" s="158">
        <v>7050</v>
      </c>
      <c r="Q27" s="249">
        <f t="shared" si="11"/>
        <v>6471.3</v>
      </c>
      <c r="R27" s="116">
        <f t="shared" si="3"/>
        <v>0.22298456260720412</v>
      </c>
      <c r="S27" s="115">
        <f t="shared" si="5"/>
        <v>4.0308747855917666</v>
      </c>
      <c r="T27" s="115">
        <f t="shared" si="6"/>
        <v>18.076923076923077</v>
      </c>
      <c r="U27" s="114">
        <f t="shared" si="7"/>
        <v>3.3590623213264725E-2</v>
      </c>
      <c r="W27" s="113">
        <f t="shared" si="8"/>
        <v>7319.7399000000005</v>
      </c>
      <c r="X27" s="113">
        <f t="shared" si="4"/>
        <v>7904.1346153846152</v>
      </c>
    </row>
    <row r="28" spans="1:24" ht="14.4" x14ac:dyDescent="0.3">
      <c r="A28" s="117">
        <v>1750</v>
      </c>
      <c r="B28" s="117">
        <v>1849</v>
      </c>
      <c r="C28" s="118">
        <v>19</v>
      </c>
      <c r="D28" s="117">
        <v>10</v>
      </c>
      <c r="E28" s="117">
        <v>15</v>
      </c>
      <c r="F28" s="250">
        <f t="shared" si="0"/>
        <v>2850</v>
      </c>
      <c r="G28" s="118">
        <v>17</v>
      </c>
      <c r="H28" s="118">
        <v>10</v>
      </c>
      <c r="I28" s="118">
        <v>20</v>
      </c>
      <c r="J28" s="250">
        <f t="shared" si="9"/>
        <v>3400</v>
      </c>
      <c r="K28" s="117">
        <v>1</v>
      </c>
      <c r="L28" s="117">
        <v>50</v>
      </c>
      <c r="M28" s="117">
        <v>20</v>
      </c>
      <c r="N28" s="250">
        <f t="shared" si="10"/>
        <v>1150</v>
      </c>
      <c r="O28" s="250">
        <f t="shared" si="1"/>
        <v>7400</v>
      </c>
      <c r="P28" s="158">
        <v>7400</v>
      </c>
      <c r="Q28" s="249">
        <f t="shared" si="11"/>
        <v>6841.3</v>
      </c>
      <c r="R28" s="116">
        <f t="shared" si="3"/>
        <v>0.22174148188209844</v>
      </c>
      <c r="S28" s="115">
        <f t="shared" si="5"/>
        <v>4.0021633315305571</v>
      </c>
      <c r="T28" s="115">
        <f t="shared" si="6"/>
        <v>18.048780487804876</v>
      </c>
      <c r="U28" s="114">
        <f t="shared" si="7"/>
        <v>3.3351361096087974E-2</v>
      </c>
      <c r="W28" s="113">
        <f t="shared" si="8"/>
        <v>7682.7799000000005</v>
      </c>
      <c r="X28" s="113">
        <f t="shared" si="4"/>
        <v>8343.0487804878048</v>
      </c>
    </row>
    <row r="29" spans="1:24" ht="14.4" x14ac:dyDescent="0.3">
      <c r="A29" s="117">
        <v>1850</v>
      </c>
      <c r="B29" s="117">
        <v>1949</v>
      </c>
      <c r="C29" s="118">
        <v>20</v>
      </c>
      <c r="D29" s="117">
        <v>10</v>
      </c>
      <c r="E29" s="117">
        <v>15</v>
      </c>
      <c r="F29" s="250">
        <f t="shared" si="0"/>
        <v>3000</v>
      </c>
      <c r="G29" s="118">
        <v>18</v>
      </c>
      <c r="H29" s="118">
        <v>10</v>
      </c>
      <c r="I29" s="118">
        <v>20</v>
      </c>
      <c r="J29" s="250">
        <f t="shared" si="9"/>
        <v>3600</v>
      </c>
      <c r="K29" s="117">
        <v>1</v>
      </c>
      <c r="L29" s="117">
        <v>50</v>
      </c>
      <c r="M29" s="117">
        <v>20</v>
      </c>
      <c r="N29" s="250">
        <f t="shared" si="10"/>
        <v>1150</v>
      </c>
      <c r="O29" s="250">
        <f t="shared" si="1"/>
        <v>7750</v>
      </c>
      <c r="P29" s="158">
        <v>7750</v>
      </c>
      <c r="Q29" s="249">
        <f t="shared" si="11"/>
        <v>7211.3</v>
      </c>
      <c r="R29" s="116">
        <f t="shared" si="3"/>
        <v>0.22062596203181117</v>
      </c>
      <c r="S29" s="115">
        <f t="shared" si="5"/>
        <v>3.9763981528989225</v>
      </c>
      <c r="T29" s="115">
        <f t="shared" si="6"/>
        <v>18.023255813953487</v>
      </c>
      <c r="U29" s="114">
        <f t="shared" si="7"/>
        <v>3.3136651274157686E-2</v>
      </c>
      <c r="W29" s="113">
        <f t="shared" si="8"/>
        <v>8039.8199000000004</v>
      </c>
      <c r="X29" s="113">
        <f t="shared" si="4"/>
        <v>8781.8313953488359</v>
      </c>
    </row>
    <row r="30" spans="1:24" ht="14.4" x14ac:dyDescent="0.3">
      <c r="A30" s="117">
        <v>1950</v>
      </c>
      <c r="B30" s="117">
        <v>2049</v>
      </c>
      <c r="C30" s="118">
        <v>21</v>
      </c>
      <c r="D30" s="117">
        <v>10</v>
      </c>
      <c r="E30" s="117">
        <v>15</v>
      </c>
      <c r="F30" s="250">
        <f t="shared" si="0"/>
        <v>3150</v>
      </c>
      <c r="G30" s="118">
        <v>19</v>
      </c>
      <c r="H30" s="118">
        <v>10</v>
      </c>
      <c r="I30" s="118">
        <v>20</v>
      </c>
      <c r="J30" s="250">
        <f t="shared" si="9"/>
        <v>3800</v>
      </c>
      <c r="K30" s="117">
        <v>1</v>
      </c>
      <c r="L30" s="117">
        <v>50</v>
      </c>
      <c r="M30" s="117">
        <v>20</v>
      </c>
      <c r="N30" s="250">
        <f t="shared" si="10"/>
        <v>1150</v>
      </c>
      <c r="O30" s="250">
        <f t="shared" si="1"/>
        <v>8100</v>
      </c>
      <c r="P30" s="158">
        <v>8100</v>
      </c>
      <c r="Q30" s="249">
        <f t="shared" si="11"/>
        <v>7581.3</v>
      </c>
      <c r="R30" s="116">
        <f t="shared" si="3"/>
        <v>0.21961932650073207</v>
      </c>
      <c r="S30" s="115">
        <f t="shared" si="5"/>
        <v>3.9531478770131772</v>
      </c>
      <c r="T30" s="115">
        <f t="shared" si="6"/>
        <v>18</v>
      </c>
      <c r="U30" s="114">
        <f t="shared" si="7"/>
        <v>3.2942898975109811E-2</v>
      </c>
      <c r="W30" s="113">
        <f t="shared" si="8"/>
        <v>8390.8599000000013</v>
      </c>
      <c r="X30" s="113">
        <f t="shared" si="4"/>
        <v>9220.5</v>
      </c>
    </row>
    <row r="31" spans="1:24" ht="14.4" x14ac:dyDescent="0.3">
      <c r="A31" s="117">
        <v>2050</v>
      </c>
      <c r="B31" s="117">
        <v>2149</v>
      </c>
      <c r="C31" s="118">
        <v>22</v>
      </c>
      <c r="D31" s="117">
        <v>10</v>
      </c>
      <c r="E31" s="117">
        <v>15</v>
      </c>
      <c r="F31" s="250">
        <f t="shared" si="0"/>
        <v>3300</v>
      </c>
      <c r="G31" s="118">
        <v>20</v>
      </c>
      <c r="H31" s="118">
        <v>10</v>
      </c>
      <c r="I31" s="118">
        <v>20</v>
      </c>
      <c r="J31" s="250">
        <f t="shared" si="9"/>
        <v>4000</v>
      </c>
      <c r="K31" s="117">
        <v>1</v>
      </c>
      <c r="L31" s="117">
        <v>50</v>
      </c>
      <c r="M31" s="117">
        <v>20</v>
      </c>
      <c r="N31" s="250">
        <f t="shared" si="10"/>
        <v>1150</v>
      </c>
      <c r="O31" s="250">
        <f t="shared" si="1"/>
        <v>8450</v>
      </c>
      <c r="P31" s="158">
        <v>8450</v>
      </c>
      <c r="Q31" s="249">
        <f t="shared" si="11"/>
        <v>7951.3</v>
      </c>
      <c r="R31" s="116">
        <f t="shared" si="3"/>
        <v>0.21870637505816659</v>
      </c>
      <c r="S31" s="115">
        <f t="shared" si="5"/>
        <v>3.9320614239181015</v>
      </c>
      <c r="T31" s="115">
        <f t="shared" si="6"/>
        <v>17.978723404255319</v>
      </c>
      <c r="U31" s="114">
        <f t="shared" si="7"/>
        <v>3.2767178532650848E-2</v>
      </c>
      <c r="W31" s="113">
        <f t="shared" si="8"/>
        <v>8735.8999000000003</v>
      </c>
      <c r="X31" s="113">
        <f t="shared" si="4"/>
        <v>9659.0691489361707</v>
      </c>
    </row>
    <row r="32" spans="1:24" ht="14.4" x14ac:dyDescent="0.3">
      <c r="A32" s="117">
        <v>2150</v>
      </c>
      <c r="B32" s="117">
        <v>2249</v>
      </c>
      <c r="C32" s="118">
        <v>23</v>
      </c>
      <c r="D32" s="117">
        <v>10</v>
      </c>
      <c r="E32" s="117">
        <v>15</v>
      </c>
      <c r="F32" s="250">
        <f t="shared" si="0"/>
        <v>3450</v>
      </c>
      <c r="G32" s="118">
        <v>21</v>
      </c>
      <c r="H32" s="118">
        <v>10</v>
      </c>
      <c r="I32" s="118">
        <v>20</v>
      </c>
      <c r="J32" s="250">
        <f t="shared" si="9"/>
        <v>4200</v>
      </c>
      <c r="K32" s="117">
        <v>1</v>
      </c>
      <c r="L32" s="117">
        <v>50</v>
      </c>
      <c r="M32" s="117">
        <v>20</v>
      </c>
      <c r="N32" s="250">
        <f t="shared" si="10"/>
        <v>1150</v>
      </c>
      <c r="O32" s="250">
        <f t="shared" si="1"/>
        <v>8800</v>
      </c>
      <c r="P32" s="158">
        <v>8800</v>
      </c>
      <c r="Q32" s="249">
        <f t="shared" si="11"/>
        <v>8321.3000000000011</v>
      </c>
      <c r="R32" s="116">
        <f t="shared" si="3"/>
        <v>0.21787461093819474</v>
      </c>
      <c r="S32" s="115">
        <f t="shared" si="5"/>
        <v>3.9128501556247222</v>
      </c>
      <c r="T32" s="115">
        <f t="shared" si="6"/>
        <v>17.959183673469386</v>
      </c>
      <c r="U32" s="114">
        <f t="shared" si="7"/>
        <v>3.2607084630206021E-2</v>
      </c>
      <c r="W32" s="113">
        <f t="shared" si="8"/>
        <v>9074.9399000000012</v>
      </c>
      <c r="X32" s="113">
        <f t="shared" si="4"/>
        <v>10097.551020408162</v>
      </c>
    </row>
    <row r="33" spans="1:24" ht="14.4" x14ac:dyDescent="0.3">
      <c r="A33" s="117">
        <v>2250</v>
      </c>
      <c r="B33" s="117">
        <v>2349</v>
      </c>
      <c r="C33" s="118">
        <v>24</v>
      </c>
      <c r="D33" s="117">
        <v>10</v>
      </c>
      <c r="E33" s="117">
        <v>15</v>
      </c>
      <c r="F33" s="250">
        <f t="shared" si="0"/>
        <v>3600</v>
      </c>
      <c r="G33" s="118">
        <v>22</v>
      </c>
      <c r="H33" s="118">
        <v>10</v>
      </c>
      <c r="I33" s="118">
        <v>20</v>
      </c>
      <c r="J33" s="250">
        <f t="shared" si="9"/>
        <v>4400</v>
      </c>
      <c r="K33" s="117">
        <v>1</v>
      </c>
      <c r="L33" s="117">
        <v>50</v>
      </c>
      <c r="M33" s="117">
        <v>20</v>
      </c>
      <c r="N33" s="250">
        <f t="shared" si="10"/>
        <v>1150</v>
      </c>
      <c r="O33" s="250">
        <f t="shared" si="1"/>
        <v>9150</v>
      </c>
      <c r="P33" s="158">
        <v>9150</v>
      </c>
      <c r="Q33" s="249">
        <f t="shared" si="11"/>
        <v>8691.3000000000011</v>
      </c>
      <c r="R33" s="116">
        <f t="shared" si="3"/>
        <v>0.21711366538952745</v>
      </c>
      <c r="S33" s="115">
        <f t="shared" si="5"/>
        <v>3.8952745849297572</v>
      </c>
      <c r="T33" s="115">
        <f t="shared" si="6"/>
        <v>17.941176470588236</v>
      </c>
      <c r="U33" s="114">
        <f t="shared" si="7"/>
        <v>3.2460621541081314E-2</v>
      </c>
      <c r="W33" s="113">
        <f t="shared" si="8"/>
        <v>9407.9799000000003</v>
      </c>
      <c r="X33" s="113">
        <f t="shared" si="4"/>
        <v>10535.955882352941</v>
      </c>
    </row>
    <row r="34" spans="1:24" ht="14.4" x14ac:dyDescent="0.3">
      <c r="A34" s="117">
        <v>2350</v>
      </c>
      <c r="B34" s="117">
        <v>2449</v>
      </c>
      <c r="C34" s="118">
        <v>25</v>
      </c>
      <c r="D34" s="117">
        <v>10</v>
      </c>
      <c r="E34" s="117">
        <v>15</v>
      </c>
      <c r="F34" s="250">
        <f t="shared" si="0"/>
        <v>3750</v>
      </c>
      <c r="G34" s="118">
        <v>23</v>
      </c>
      <c r="H34" s="118">
        <v>10</v>
      </c>
      <c r="I34" s="118">
        <v>20</v>
      </c>
      <c r="J34" s="250">
        <f t="shared" si="9"/>
        <v>4600</v>
      </c>
      <c r="K34" s="117">
        <v>1</v>
      </c>
      <c r="L34" s="117">
        <v>50</v>
      </c>
      <c r="M34" s="117">
        <v>20</v>
      </c>
      <c r="N34" s="250">
        <f t="shared" si="10"/>
        <v>1150</v>
      </c>
      <c r="O34" s="250">
        <f t="shared" si="1"/>
        <v>9500</v>
      </c>
      <c r="P34" s="158">
        <v>9500</v>
      </c>
      <c r="Q34" s="249">
        <f t="shared" si="11"/>
        <v>9061.3000000000011</v>
      </c>
      <c r="R34" s="116">
        <f t="shared" si="3"/>
        <v>0.21641486320947326</v>
      </c>
      <c r="S34" s="115">
        <f t="shared" si="5"/>
        <v>3.8791343405471621</v>
      </c>
      <c r="T34" s="115">
        <f t="shared" si="6"/>
        <v>17.924528301886792</v>
      </c>
      <c r="U34" s="114">
        <f t="shared" si="7"/>
        <v>3.2326119504559686E-2</v>
      </c>
      <c r="W34" s="113">
        <f t="shared" si="8"/>
        <v>9735.0199000000011</v>
      </c>
      <c r="X34" s="113">
        <f t="shared" si="4"/>
        <v>10974.292452830188</v>
      </c>
    </row>
    <row r="35" spans="1:24" ht="14.4" x14ac:dyDescent="0.3">
      <c r="A35" s="117">
        <v>2450</v>
      </c>
      <c r="B35" s="117">
        <v>2549</v>
      </c>
      <c r="C35" s="118">
        <v>26</v>
      </c>
      <c r="D35" s="117">
        <v>10</v>
      </c>
      <c r="E35" s="117">
        <v>15</v>
      </c>
      <c r="F35" s="250">
        <f t="shared" si="0"/>
        <v>3900</v>
      </c>
      <c r="G35" s="118">
        <v>24</v>
      </c>
      <c r="H35" s="118">
        <v>10</v>
      </c>
      <c r="I35" s="118">
        <v>20</v>
      </c>
      <c r="J35" s="250">
        <f t="shared" si="9"/>
        <v>4800</v>
      </c>
      <c r="K35" s="117">
        <v>1</v>
      </c>
      <c r="L35" s="117">
        <v>50</v>
      </c>
      <c r="M35" s="117">
        <v>20</v>
      </c>
      <c r="N35" s="250">
        <f t="shared" si="10"/>
        <v>1150</v>
      </c>
      <c r="O35" s="250">
        <f t="shared" si="1"/>
        <v>9850</v>
      </c>
      <c r="P35" s="158">
        <v>9850</v>
      </c>
      <c r="Q35" s="249">
        <f t="shared" si="11"/>
        <v>9431.3000000000011</v>
      </c>
      <c r="R35" s="116">
        <f t="shared" si="3"/>
        <v>0.2157708905453119</v>
      </c>
      <c r="S35" s="115">
        <f t="shared" si="5"/>
        <v>3.8642604943114947</v>
      </c>
      <c r="T35" s="115">
        <f t="shared" si="6"/>
        <v>17.90909090909091</v>
      </c>
      <c r="U35" s="114">
        <f t="shared" si="7"/>
        <v>3.2202170785929123E-2</v>
      </c>
      <c r="W35" s="113">
        <f t="shared" si="8"/>
        <v>10056.059900000002</v>
      </c>
      <c r="X35" s="113">
        <f t="shared" si="4"/>
        <v>11412.568181818182</v>
      </c>
    </row>
    <row r="36" spans="1:24" ht="14.4" x14ac:dyDescent="0.3">
      <c r="A36" s="117">
        <v>2550</v>
      </c>
      <c r="B36" s="117">
        <v>2649</v>
      </c>
      <c r="C36" s="118">
        <v>27</v>
      </c>
      <c r="D36" s="117">
        <v>10</v>
      </c>
      <c r="E36" s="117">
        <v>15</v>
      </c>
      <c r="F36" s="250">
        <f t="shared" si="0"/>
        <v>4050</v>
      </c>
      <c r="G36" s="118">
        <v>25</v>
      </c>
      <c r="H36" s="118">
        <v>10</v>
      </c>
      <c r="I36" s="118">
        <v>20</v>
      </c>
      <c r="J36" s="250">
        <f t="shared" si="9"/>
        <v>5000</v>
      </c>
      <c r="K36" s="117">
        <v>1</v>
      </c>
      <c r="L36" s="117">
        <v>50</v>
      </c>
      <c r="M36" s="117">
        <v>20</v>
      </c>
      <c r="N36" s="250">
        <f t="shared" si="10"/>
        <v>1150</v>
      </c>
      <c r="O36" s="250">
        <f t="shared" si="1"/>
        <v>10200</v>
      </c>
      <c r="P36" s="158">
        <v>10200</v>
      </c>
      <c r="Q36" s="249">
        <f t="shared" si="11"/>
        <v>9801.3000000000011</v>
      </c>
      <c r="R36" s="116">
        <f t="shared" si="3"/>
        <v>0.21517553793884484</v>
      </c>
      <c r="S36" s="115">
        <f t="shared" si="5"/>
        <v>3.8505096262740657</v>
      </c>
      <c r="T36" s="115">
        <f t="shared" si="6"/>
        <v>17.894736842105264</v>
      </c>
      <c r="U36" s="114">
        <f t="shared" si="7"/>
        <v>3.208758021895055E-2</v>
      </c>
      <c r="W36" s="113">
        <f t="shared" si="8"/>
        <v>10371.099900000001</v>
      </c>
      <c r="X36" s="113">
        <f t="shared" si="4"/>
        <v>11850.789473684212</v>
      </c>
    </row>
    <row r="37" spans="1:24" ht="14.4" x14ac:dyDescent="0.3">
      <c r="A37" s="117">
        <v>2650</v>
      </c>
      <c r="B37" s="117">
        <v>2749</v>
      </c>
      <c r="C37" s="118">
        <v>28</v>
      </c>
      <c r="D37" s="117">
        <v>10</v>
      </c>
      <c r="E37" s="117">
        <v>15</v>
      </c>
      <c r="F37" s="250">
        <f t="shared" si="0"/>
        <v>4200</v>
      </c>
      <c r="G37" s="118">
        <v>26</v>
      </c>
      <c r="H37" s="118">
        <v>10</v>
      </c>
      <c r="I37" s="118">
        <v>20</v>
      </c>
      <c r="J37" s="250">
        <f t="shared" si="9"/>
        <v>5200</v>
      </c>
      <c r="K37" s="117">
        <v>1</v>
      </c>
      <c r="L37" s="117">
        <v>50</v>
      </c>
      <c r="M37" s="117">
        <v>20</v>
      </c>
      <c r="N37" s="250">
        <f t="shared" si="10"/>
        <v>1150</v>
      </c>
      <c r="O37" s="250">
        <f t="shared" si="1"/>
        <v>10550</v>
      </c>
      <c r="P37" s="158">
        <v>10550</v>
      </c>
      <c r="Q37" s="249">
        <f t="shared" si="11"/>
        <v>10171.300000000001</v>
      </c>
      <c r="R37" s="116">
        <f t="shared" si="3"/>
        <v>0.21462349945434703</v>
      </c>
      <c r="S37" s="115">
        <f t="shared" si="5"/>
        <v>3.8377591851582395</v>
      </c>
      <c r="T37" s="115">
        <f t="shared" si="6"/>
        <v>17.881355932203391</v>
      </c>
      <c r="U37" s="114">
        <f t="shared" si="7"/>
        <v>3.1981326542985328E-2</v>
      </c>
      <c r="W37" s="113">
        <f t="shared" si="8"/>
        <v>10680.139900000002</v>
      </c>
      <c r="X37" s="113">
        <f t="shared" si="4"/>
        <v>12288.961864406781</v>
      </c>
    </row>
    <row r="38" spans="1:24" ht="14.4" x14ac:dyDescent="0.3">
      <c r="A38" s="117">
        <v>2750</v>
      </c>
      <c r="B38" s="117">
        <v>2849</v>
      </c>
      <c r="C38" s="118">
        <v>29</v>
      </c>
      <c r="D38" s="117">
        <v>10</v>
      </c>
      <c r="E38" s="117">
        <v>15</v>
      </c>
      <c r="F38" s="250">
        <f t="shared" si="0"/>
        <v>4350</v>
      </c>
      <c r="G38" s="118">
        <v>27</v>
      </c>
      <c r="H38" s="118">
        <v>10</v>
      </c>
      <c r="I38" s="118">
        <v>20</v>
      </c>
      <c r="J38" s="250">
        <f t="shared" si="9"/>
        <v>5400</v>
      </c>
      <c r="K38" s="117">
        <v>1</v>
      </c>
      <c r="L38" s="117">
        <v>50</v>
      </c>
      <c r="M38" s="117">
        <v>20</v>
      </c>
      <c r="N38" s="250">
        <f t="shared" si="10"/>
        <v>1150</v>
      </c>
      <c r="O38" s="250">
        <f t="shared" si="1"/>
        <v>10900</v>
      </c>
      <c r="P38" s="158">
        <v>10900</v>
      </c>
      <c r="Q38" s="249">
        <f t="shared" si="11"/>
        <v>10541.300000000001</v>
      </c>
      <c r="R38" s="116">
        <f t="shared" si="3"/>
        <v>0.21411021411021411</v>
      </c>
      <c r="S38" s="115">
        <f t="shared" si="5"/>
        <v>3.825903825903826</v>
      </c>
      <c r="T38" s="115">
        <f t="shared" si="6"/>
        <v>17.868852459016395</v>
      </c>
      <c r="U38" s="114">
        <f t="shared" si="7"/>
        <v>3.188253188253188E-2</v>
      </c>
      <c r="W38" s="113">
        <f t="shared" si="8"/>
        <v>10983.179900000003</v>
      </c>
      <c r="X38" s="113">
        <f t="shared" si="4"/>
        <v>12727.090163934427</v>
      </c>
    </row>
    <row r="39" spans="1:24" ht="14.4" x14ac:dyDescent="0.3">
      <c r="A39" s="117">
        <v>2850</v>
      </c>
      <c r="B39" s="117">
        <v>2949</v>
      </c>
      <c r="C39" s="118">
        <v>30</v>
      </c>
      <c r="D39" s="117">
        <v>10</v>
      </c>
      <c r="E39" s="117">
        <v>15</v>
      </c>
      <c r="F39" s="250">
        <f t="shared" si="0"/>
        <v>4500</v>
      </c>
      <c r="G39" s="118">
        <v>28</v>
      </c>
      <c r="H39" s="118">
        <v>10</v>
      </c>
      <c r="I39" s="118">
        <v>20</v>
      </c>
      <c r="J39" s="250">
        <f t="shared" si="9"/>
        <v>5600</v>
      </c>
      <c r="K39" s="117">
        <v>1</v>
      </c>
      <c r="L39" s="117">
        <v>50</v>
      </c>
      <c r="M39" s="117">
        <v>20</v>
      </c>
      <c r="N39" s="250">
        <f t="shared" si="10"/>
        <v>1150</v>
      </c>
      <c r="O39" s="250">
        <f t="shared" si="1"/>
        <v>11250</v>
      </c>
      <c r="P39" s="158">
        <v>11250</v>
      </c>
      <c r="Q39" s="249">
        <f t="shared" si="11"/>
        <v>10911.300000000001</v>
      </c>
      <c r="R39" s="116">
        <f t="shared" si="3"/>
        <v>0.21363173957273651</v>
      </c>
      <c r="S39" s="115">
        <f t="shared" si="5"/>
        <v>3.8148524923702949</v>
      </c>
      <c r="T39" s="115">
        <f t="shared" si="6"/>
        <v>17.857142857142858</v>
      </c>
      <c r="U39" s="114">
        <f t="shared" si="7"/>
        <v>3.1790437436419128E-2</v>
      </c>
      <c r="W39" s="113">
        <f t="shared" si="8"/>
        <v>11280.219900000002</v>
      </c>
      <c r="X39" s="113">
        <f t="shared" si="4"/>
        <v>13165.178571428572</v>
      </c>
    </row>
    <row r="40" spans="1:24" ht="14.4" x14ac:dyDescent="0.3">
      <c r="A40" s="117">
        <v>2950</v>
      </c>
      <c r="B40" s="117">
        <v>3049</v>
      </c>
      <c r="C40" s="118">
        <v>31</v>
      </c>
      <c r="D40" s="117">
        <v>10</v>
      </c>
      <c r="E40" s="117">
        <v>15</v>
      </c>
      <c r="F40" s="250">
        <f t="shared" si="0"/>
        <v>4650</v>
      </c>
      <c r="G40" s="118">
        <v>29</v>
      </c>
      <c r="H40" s="118">
        <v>10</v>
      </c>
      <c r="I40" s="118">
        <v>20</v>
      </c>
      <c r="J40" s="250">
        <f t="shared" si="9"/>
        <v>5800</v>
      </c>
      <c r="K40" s="117">
        <v>1</v>
      </c>
      <c r="L40" s="117">
        <v>50</v>
      </c>
      <c r="M40" s="117">
        <v>20</v>
      </c>
      <c r="N40" s="250">
        <f t="shared" si="10"/>
        <v>1150</v>
      </c>
      <c r="O40" s="250">
        <f t="shared" si="1"/>
        <v>11600</v>
      </c>
      <c r="P40" s="158">
        <v>11600</v>
      </c>
      <c r="Q40" s="249">
        <f t="shared" si="11"/>
        <v>11281.300000000001</v>
      </c>
      <c r="R40" s="116">
        <f t="shared" si="3"/>
        <v>0.21318465070514922</v>
      </c>
      <c r="S40" s="115">
        <f t="shared" si="5"/>
        <v>3.8045260741226632</v>
      </c>
      <c r="T40" s="115">
        <f t="shared" si="6"/>
        <v>17.846153846153847</v>
      </c>
      <c r="U40" s="114">
        <f t="shared" si="7"/>
        <v>3.1704383951022194E-2</v>
      </c>
      <c r="W40" s="113">
        <f t="shared" si="8"/>
        <v>11571.259900000001</v>
      </c>
      <c r="X40" s="113">
        <f t="shared" si="4"/>
        <v>13603.23076923077</v>
      </c>
    </row>
    <row r="45" spans="1:24" ht="30" customHeight="1" x14ac:dyDescent="0.3">
      <c r="A45" s="493" t="s">
        <v>320</v>
      </c>
      <c r="B45" s="619" t="s">
        <v>109</v>
      </c>
      <c r="C45" s="620"/>
      <c r="D45" s="618" t="s">
        <v>510</v>
      </c>
      <c r="E45" s="618"/>
      <c r="H45" s="613" t="s">
        <v>511</v>
      </c>
      <c r="I45" s="615"/>
      <c r="J45" s="615"/>
      <c r="K45" s="615"/>
      <c r="L45" s="615"/>
      <c r="M45" s="616"/>
      <c r="N45" s="250">
        <f xml:space="preserve"> -0.0003*(D3)^2 + 4.6007*(D3)</f>
        <v>0</v>
      </c>
      <c r="O45" s="131" t="s">
        <v>207</v>
      </c>
    </row>
    <row r="46" spans="1:24" ht="14.4" x14ac:dyDescent="0.3">
      <c r="A46" s="494">
        <v>9</v>
      </c>
      <c r="B46" s="607">
        <v>0</v>
      </c>
      <c r="C46" s="617"/>
      <c r="D46" s="607">
        <f>-0.0003*(A46)^2+4.6007*(A46)</f>
        <v>41.382000000000005</v>
      </c>
      <c r="E46" s="555"/>
    </row>
    <row r="47" spans="1:24" ht="14.4" x14ac:dyDescent="0.3">
      <c r="A47" s="494">
        <v>24</v>
      </c>
      <c r="B47" s="607">
        <v>75</v>
      </c>
      <c r="C47" s="617"/>
      <c r="D47" s="607">
        <f t="shared" ref="D47:D79" si="12">-0.0003*(A47)^2+4.6007*(A47)</f>
        <v>110.244</v>
      </c>
      <c r="E47" s="555"/>
    </row>
    <row r="48" spans="1:24" ht="14.4" x14ac:dyDescent="0.3">
      <c r="A48" s="494">
        <v>49</v>
      </c>
      <c r="B48" s="607">
        <v>240</v>
      </c>
      <c r="C48" s="617"/>
      <c r="D48" s="607">
        <f t="shared" si="12"/>
        <v>224.71399999999997</v>
      </c>
      <c r="E48" s="555"/>
    </row>
    <row r="49" spans="1:5" ht="14.4" x14ac:dyDescent="0.3">
      <c r="A49" s="494">
        <v>99</v>
      </c>
      <c r="B49" s="607">
        <v>450</v>
      </c>
      <c r="C49" s="617"/>
      <c r="D49" s="607">
        <f t="shared" si="12"/>
        <v>452.529</v>
      </c>
      <c r="E49" s="555"/>
    </row>
    <row r="50" spans="1:5" ht="14.4" x14ac:dyDescent="0.3">
      <c r="A50" s="494">
        <v>149</v>
      </c>
      <c r="B50" s="607">
        <v>750</v>
      </c>
      <c r="C50" s="617"/>
      <c r="D50" s="607">
        <f t="shared" si="12"/>
        <v>678.84399999999994</v>
      </c>
      <c r="E50" s="555"/>
    </row>
    <row r="51" spans="1:5" ht="14.4" x14ac:dyDescent="0.3">
      <c r="A51" s="494">
        <v>249</v>
      </c>
      <c r="B51" s="607">
        <v>1300</v>
      </c>
      <c r="C51" s="617"/>
      <c r="D51" s="607">
        <f t="shared" si="12"/>
        <v>1126.9739999999999</v>
      </c>
      <c r="E51" s="555"/>
    </row>
    <row r="52" spans="1:5" ht="14.4" x14ac:dyDescent="0.3">
      <c r="A52" s="494">
        <v>349</v>
      </c>
      <c r="B52" s="607">
        <v>1600</v>
      </c>
      <c r="C52" s="617"/>
      <c r="D52" s="607">
        <f t="shared" si="12"/>
        <v>1569.104</v>
      </c>
      <c r="E52" s="555"/>
    </row>
    <row r="53" spans="1:5" ht="14.4" x14ac:dyDescent="0.3">
      <c r="A53" s="494">
        <v>449</v>
      </c>
      <c r="B53" s="607">
        <v>2200</v>
      </c>
      <c r="C53" s="617"/>
      <c r="D53" s="607">
        <f t="shared" si="12"/>
        <v>2005.2340000000002</v>
      </c>
      <c r="E53" s="555"/>
    </row>
    <row r="54" spans="1:5" ht="14.4" x14ac:dyDescent="0.3">
      <c r="A54" s="494">
        <v>549</v>
      </c>
      <c r="B54" s="607">
        <v>2650</v>
      </c>
      <c r="C54" s="617"/>
      <c r="D54" s="607">
        <f t="shared" si="12"/>
        <v>2435.3639999999996</v>
      </c>
      <c r="E54" s="555"/>
    </row>
    <row r="55" spans="1:5" ht="14.4" x14ac:dyDescent="0.3">
      <c r="A55" s="494">
        <v>649</v>
      </c>
      <c r="B55" s="607">
        <v>3200</v>
      </c>
      <c r="C55" s="617"/>
      <c r="D55" s="607">
        <f t="shared" si="12"/>
        <v>2859.4940000000001</v>
      </c>
      <c r="E55" s="555"/>
    </row>
    <row r="56" spans="1:5" ht="14.4" x14ac:dyDescent="0.3">
      <c r="A56" s="494">
        <v>749</v>
      </c>
      <c r="B56" s="607">
        <v>3550</v>
      </c>
      <c r="C56" s="617"/>
      <c r="D56" s="607">
        <f t="shared" si="12"/>
        <v>3277.6239999999998</v>
      </c>
      <c r="E56" s="555"/>
    </row>
    <row r="57" spans="1:5" ht="14.4" x14ac:dyDescent="0.3">
      <c r="A57" s="494">
        <v>849</v>
      </c>
      <c r="B57" s="607">
        <v>3900</v>
      </c>
      <c r="C57" s="617"/>
      <c r="D57" s="607">
        <f t="shared" si="12"/>
        <v>3689.7539999999999</v>
      </c>
      <c r="E57" s="555"/>
    </row>
    <row r="58" spans="1:5" ht="14.4" x14ac:dyDescent="0.3">
      <c r="A58" s="494">
        <v>949</v>
      </c>
      <c r="B58" s="607">
        <v>4250</v>
      </c>
      <c r="C58" s="617"/>
      <c r="D58" s="607">
        <f t="shared" si="12"/>
        <v>4095.884</v>
      </c>
      <c r="E58" s="555"/>
    </row>
    <row r="59" spans="1:5" ht="14.4" x14ac:dyDescent="0.3">
      <c r="A59" s="494">
        <v>1049</v>
      </c>
      <c r="B59" s="607">
        <v>4600</v>
      </c>
      <c r="C59" s="617"/>
      <c r="D59" s="607">
        <f t="shared" si="12"/>
        <v>4496.0140000000001</v>
      </c>
      <c r="E59" s="555"/>
    </row>
    <row r="60" spans="1:5" ht="14.4" x14ac:dyDescent="0.3">
      <c r="A60" s="494">
        <v>1149</v>
      </c>
      <c r="B60" s="607">
        <v>4950</v>
      </c>
      <c r="C60" s="617"/>
      <c r="D60" s="607">
        <f t="shared" si="12"/>
        <v>4890.1439999999993</v>
      </c>
      <c r="E60" s="555"/>
    </row>
    <row r="61" spans="1:5" ht="14.4" x14ac:dyDescent="0.3">
      <c r="A61" s="494">
        <v>1249</v>
      </c>
      <c r="B61" s="607">
        <v>5300</v>
      </c>
      <c r="C61" s="617"/>
      <c r="D61" s="607">
        <f t="shared" si="12"/>
        <v>5278.2740000000003</v>
      </c>
      <c r="E61" s="555"/>
    </row>
    <row r="62" spans="1:5" ht="14.4" x14ac:dyDescent="0.3">
      <c r="A62" s="494">
        <v>1349</v>
      </c>
      <c r="B62" s="607">
        <v>5650</v>
      </c>
      <c r="C62" s="617"/>
      <c r="D62" s="607">
        <f t="shared" si="12"/>
        <v>5660.4039999999995</v>
      </c>
      <c r="E62" s="555"/>
    </row>
    <row r="63" spans="1:5" ht="14.4" x14ac:dyDescent="0.3">
      <c r="A63" s="494">
        <v>1449</v>
      </c>
      <c r="B63" s="607">
        <v>6000</v>
      </c>
      <c r="C63" s="617"/>
      <c r="D63" s="607">
        <f t="shared" si="12"/>
        <v>6036.5339999999997</v>
      </c>
      <c r="E63" s="555"/>
    </row>
    <row r="64" spans="1:5" ht="14.4" x14ac:dyDescent="0.3">
      <c r="A64" s="494">
        <v>1549</v>
      </c>
      <c r="B64" s="607">
        <v>6350</v>
      </c>
      <c r="C64" s="617"/>
      <c r="D64" s="607">
        <f t="shared" si="12"/>
        <v>6406.6639999999998</v>
      </c>
      <c r="E64" s="555"/>
    </row>
    <row r="65" spans="1:5" ht="14.4" x14ac:dyDescent="0.3">
      <c r="A65" s="494">
        <v>1649</v>
      </c>
      <c r="B65" s="607">
        <v>6700</v>
      </c>
      <c r="C65" s="617"/>
      <c r="D65" s="607">
        <f t="shared" si="12"/>
        <v>6770.7939999999999</v>
      </c>
      <c r="E65" s="555"/>
    </row>
    <row r="66" spans="1:5" ht="14.4" x14ac:dyDescent="0.3">
      <c r="A66" s="494">
        <v>1749</v>
      </c>
      <c r="B66" s="607">
        <v>7050</v>
      </c>
      <c r="C66" s="617"/>
      <c r="D66" s="607">
        <f t="shared" si="12"/>
        <v>7128.9239999999991</v>
      </c>
      <c r="E66" s="555"/>
    </row>
    <row r="67" spans="1:5" ht="14.4" x14ac:dyDescent="0.3">
      <c r="A67" s="494">
        <v>1849</v>
      </c>
      <c r="B67" s="607">
        <v>7400</v>
      </c>
      <c r="C67" s="617"/>
      <c r="D67" s="607">
        <f t="shared" si="12"/>
        <v>7481.0539999999992</v>
      </c>
      <c r="E67" s="555"/>
    </row>
    <row r="68" spans="1:5" ht="14.4" x14ac:dyDescent="0.3">
      <c r="A68" s="494">
        <v>1949</v>
      </c>
      <c r="B68" s="607">
        <v>7750</v>
      </c>
      <c r="C68" s="617"/>
      <c r="D68" s="607">
        <f t="shared" si="12"/>
        <v>7827.1839999999993</v>
      </c>
      <c r="E68" s="555"/>
    </row>
    <row r="69" spans="1:5" ht="14.4" x14ac:dyDescent="0.3">
      <c r="A69" s="494">
        <v>2049</v>
      </c>
      <c r="B69" s="607">
        <v>8100</v>
      </c>
      <c r="C69" s="617"/>
      <c r="D69" s="607">
        <f t="shared" si="12"/>
        <v>8167.3140000000003</v>
      </c>
      <c r="E69" s="555"/>
    </row>
    <row r="70" spans="1:5" ht="14.4" x14ac:dyDescent="0.3">
      <c r="A70" s="494">
        <v>2149</v>
      </c>
      <c r="B70" s="607">
        <v>8450</v>
      </c>
      <c r="C70" s="617"/>
      <c r="D70" s="607">
        <f t="shared" si="12"/>
        <v>8501.4439999999995</v>
      </c>
      <c r="E70" s="555"/>
    </row>
    <row r="71" spans="1:5" ht="14.4" x14ac:dyDescent="0.3">
      <c r="A71" s="494">
        <v>2249</v>
      </c>
      <c r="B71" s="607">
        <v>8800</v>
      </c>
      <c r="C71" s="617"/>
      <c r="D71" s="607">
        <f t="shared" si="12"/>
        <v>8829.5740000000005</v>
      </c>
      <c r="E71" s="555"/>
    </row>
    <row r="72" spans="1:5" ht="14.4" x14ac:dyDescent="0.3">
      <c r="A72" s="494">
        <v>2349</v>
      </c>
      <c r="B72" s="607">
        <v>9150</v>
      </c>
      <c r="C72" s="617"/>
      <c r="D72" s="607">
        <f t="shared" si="12"/>
        <v>9151.7039999999997</v>
      </c>
      <c r="E72" s="555"/>
    </row>
    <row r="73" spans="1:5" ht="14.4" x14ac:dyDescent="0.3">
      <c r="A73" s="494">
        <v>2449</v>
      </c>
      <c r="B73" s="607">
        <v>9500</v>
      </c>
      <c r="C73" s="617"/>
      <c r="D73" s="607">
        <f t="shared" si="12"/>
        <v>9467.8339999999989</v>
      </c>
      <c r="E73" s="555"/>
    </row>
    <row r="74" spans="1:5" ht="14.4" x14ac:dyDescent="0.3">
      <c r="A74" s="494">
        <v>2549</v>
      </c>
      <c r="B74" s="607">
        <v>9850</v>
      </c>
      <c r="C74" s="617"/>
      <c r="D74" s="607">
        <f t="shared" si="12"/>
        <v>9777.9639999999999</v>
      </c>
      <c r="E74" s="555"/>
    </row>
    <row r="75" spans="1:5" ht="14.4" x14ac:dyDescent="0.3">
      <c r="A75" s="494">
        <v>2649</v>
      </c>
      <c r="B75" s="607">
        <v>10200</v>
      </c>
      <c r="C75" s="617"/>
      <c r="D75" s="607">
        <f t="shared" si="12"/>
        <v>10082.093999999999</v>
      </c>
      <c r="E75" s="555"/>
    </row>
    <row r="76" spans="1:5" ht="14.4" x14ac:dyDescent="0.3">
      <c r="A76" s="494">
        <v>2749</v>
      </c>
      <c r="B76" s="607">
        <v>10550</v>
      </c>
      <c r="C76" s="617"/>
      <c r="D76" s="607">
        <f t="shared" si="12"/>
        <v>10380.224</v>
      </c>
      <c r="E76" s="555"/>
    </row>
    <row r="77" spans="1:5" ht="14.4" x14ac:dyDescent="0.3">
      <c r="A77" s="494">
        <v>2849</v>
      </c>
      <c r="B77" s="607">
        <v>10900</v>
      </c>
      <c r="C77" s="617"/>
      <c r="D77" s="607">
        <f t="shared" si="12"/>
        <v>10672.353999999999</v>
      </c>
      <c r="E77" s="555"/>
    </row>
    <row r="78" spans="1:5" ht="14.4" x14ac:dyDescent="0.3">
      <c r="A78" s="494">
        <v>2949</v>
      </c>
      <c r="B78" s="607">
        <v>11250</v>
      </c>
      <c r="C78" s="617"/>
      <c r="D78" s="607">
        <f t="shared" si="12"/>
        <v>10958.484</v>
      </c>
      <c r="E78" s="555"/>
    </row>
    <row r="79" spans="1:5" ht="14.4" x14ac:dyDescent="0.3">
      <c r="A79" s="494">
        <v>3049</v>
      </c>
      <c r="B79" s="607">
        <v>11600</v>
      </c>
      <c r="C79" s="617"/>
      <c r="D79" s="607">
        <f t="shared" si="12"/>
        <v>11238.614</v>
      </c>
      <c r="E79" s="555"/>
    </row>
  </sheetData>
  <sheetProtection algorithmName="SHA-512" hashValue="U74SeSahZjxOpIUh+BvUFKxFA79vhxeSRtRD/4AXyqVT+WuqR0MRCFunwBbfzbcoKI0/WmtmA1h6mfKOVP5UPQ==" saltValue="BKjMNTDRXDtpb0K6ErRWmw==" spinCount="100000" sheet="1" objects="1" scenarios="1"/>
  <mergeCells count="78">
    <mergeCell ref="B76:C76"/>
    <mergeCell ref="B77:C77"/>
    <mergeCell ref="B78:C78"/>
    <mergeCell ref="B79:C79"/>
    <mergeCell ref="B45:C45"/>
    <mergeCell ref="B71:C71"/>
    <mergeCell ref="B72:C72"/>
    <mergeCell ref="B73:C73"/>
    <mergeCell ref="B74:C74"/>
    <mergeCell ref="B75:C75"/>
    <mergeCell ref="B66:C66"/>
    <mergeCell ref="B67:C67"/>
    <mergeCell ref="B68:C68"/>
    <mergeCell ref="B69:C69"/>
    <mergeCell ref="B70:C70"/>
    <mergeCell ref="B62:C62"/>
    <mergeCell ref="B63:C63"/>
    <mergeCell ref="B64:C64"/>
    <mergeCell ref="B65:C65"/>
    <mergeCell ref="H45:M45"/>
    <mergeCell ref="B57:C57"/>
    <mergeCell ref="B58:C58"/>
    <mergeCell ref="B59:C59"/>
    <mergeCell ref="B60:C60"/>
    <mergeCell ref="B61:C61"/>
    <mergeCell ref="B52:C52"/>
    <mergeCell ref="B53:C53"/>
    <mergeCell ref="B54:C54"/>
    <mergeCell ref="B55:C55"/>
    <mergeCell ref="B56:C56"/>
    <mergeCell ref="D62:E62"/>
    <mergeCell ref="D63:E63"/>
    <mergeCell ref="D76:E76"/>
    <mergeCell ref="D77:E77"/>
    <mergeCell ref="D78:E78"/>
    <mergeCell ref="D79:E79"/>
    <mergeCell ref="D45:E45"/>
    <mergeCell ref="D71:E71"/>
    <mergeCell ref="D72:E72"/>
    <mergeCell ref="D73:E73"/>
    <mergeCell ref="D74:E74"/>
    <mergeCell ref="D75:E75"/>
    <mergeCell ref="D66:E66"/>
    <mergeCell ref="D67:E67"/>
    <mergeCell ref="D68:E68"/>
    <mergeCell ref="D69:E69"/>
    <mergeCell ref="D70:E70"/>
    <mergeCell ref="D61:E61"/>
    <mergeCell ref="D64:E64"/>
    <mergeCell ref="D65:E6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A1:O1"/>
    <mergeCell ref="A5:B5"/>
    <mergeCell ref="D5:F5"/>
    <mergeCell ref="H5:J5"/>
    <mergeCell ref="L5:N5"/>
    <mergeCell ref="A3:C3"/>
    <mergeCell ref="H3:M3"/>
    <mergeCell ref="B46:C46"/>
    <mergeCell ref="B47:C47"/>
    <mergeCell ref="B48:C48"/>
    <mergeCell ref="B49:C49"/>
    <mergeCell ref="B50:C50"/>
    <mergeCell ref="B51:C51"/>
  </mergeCells>
  <printOptions horizontalCentered="1"/>
  <pageMargins left="0.75" right="0.7" top="0.75" bottom="0.75" header="0.3" footer="0.3"/>
  <pageSetup scale="77" orientation="portrait" r:id="rId1"/>
  <customProperties>
    <customPr name="SSC_SHEET_GUID" r:id="rId2"/>
  </customProperties>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L62"/>
  <sheetViews>
    <sheetView workbookViewId="0">
      <selection activeCell="A2" sqref="A2"/>
    </sheetView>
  </sheetViews>
  <sheetFormatPr defaultColWidth="9.109375" defaultRowHeight="14.4" x14ac:dyDescent="0.3"/>
  <cols>
    <col min="1" max="1" width="12.6640625" style="1" customWidth="1"/>
    <col min="2" max="2" width="16.6640625" style="1" customWidth="1"/>
    <col min="3" max="12" width="12.6640625" style="1" customWidth="1"/>
    <col min="13" max="16384" width="9.109375" style="1"/>
  </cols>
  <sheetData>
    <row r="1" spans="1:12" ht="15.6" x14ac:dyDescent="0.3">
      <c r="A1" s="623" t="s">
        <v>382</v>
      </c>
      <c r="B1" s="624"/>
      <c r="C1" s="624"/>
      <c r="D1" s="624"/>
      <c r="E1" s="624"/>
      <c r="F1" s="624"/>
      <c r="G1" s="624"/>
      <c r="H1" s="624"/>
      <c r="I1" s="624"/>
      <c r="J1" s="624"/>
      <c r="K1" s="624"/>
      <c r="L1" s="625"/>
    </row>
    <row r="3" spans="1:12" x14ac:dyDescent="0.3">
      <c r="B3" s="138" t="s">
        <v>10</v>
      </c>
      <c r="E3" s="138" t="s">
        <v>11</v>
      </c>
      <c r="L3" s="276" t="s">
        <v>371</v>
      </c>
    </row>
    <row r="4" spans="1:12" x14ac:dyDescent="0.3">
      <c r="B4" s="5" t="s">
        <v>12</v>
      </c>
      <c r="C4" s="135">
        <f>Detailed_Analysis!H88</f>
        <v>0</v>
      </c>
      <c r="E4" s="5" t="s">
        <v>14</v>
      </c>
      <c r="F4" s="10">
        <v>12</v>
      </c>
      <c r="K4" s="5" t="s">
        <v>372</v>
      </c>
      <c r="L4" s="279">
        <f>IF(Net_To_Gross!B107,IF(Net_To_Gross!B92,Net_To_Gross!D92,IF((C4&lt;23821),1,INDEX(A15:A24,MATCH(MAX(L15:L24),L15:L24,0)-3))),IF(Net_To_Gross!B92,Net_To_Gross!D92,IF((C4&lt;23821),1,INDEX(A15:A24,MATCH(MAX(L15:L24),L15:L24,0)-2))))</f>
        <v>1</v>
      </c>
    </row>
    <row r="5" spans="1:12" x14ac:dyDescent="0.3">
      <c r="B5" s="5" t="s">
        <v>20</v>
      </c>
      <c r="C5" s="134">
        <f>IF(Net_To_Gross!B107,Net_To_Gross!D107,SQRT(C4))</f>
        <v>50</v>
      </c>
      <c r="E5" s="14" t="s">
        <v>363</v>
      </c>
      <c r="F5" s="137">
        <v>1.33</v>
      </c>
      <c r="K5" s="5" t="s">
        <v>373</v>
      </c>
      <c r="L5" s="140">
        <f>C4/L4</f>
        <v>0</v>
      </c>
    </row>
    <row r="6" spans="1:12" x14ac:dyDescent="0.3">
      <c r="B6" s="5" t="s">
        <v>368</v>
      </c>
      <c r="C6" s="136" t="str">
        <f>IF(Net_To_Gross!B107,"Rectangular","Square")</f>
        <v>Rectangular</v>
      </c>
      <c r="E6" s="5"/>
      <c r="K6" s="5" t="s">
        <v>13</v>
      </c>
      <c r="L6" s="223">
        <f>IF(Net_To_Gross!B112,Floors!L29,Floors!C46)</f>
        <v>0</v>
      </c>
    </row>
    <row r="7" spans="1:12" x14ac:dyDescent="0.3">
      <c r="A7" s="5"/>
      <c r="B7" s="25" t="s">
        <v>369</v>
      </c>
      <c r="C7" s="136" t="str">
        <f>IF(Net_To_Gross!B92,"Yes","No")</f>
        <v>No</v>
      </c>
      <c r="K7" s="14" t="s">
        <v>381</v>
      </c>
      <c r="L7" s="133">
        <f>IF(Net_To_Gross!B112,Floors!L30,C45)</f>
        <v>0</v>
      </c>
    </row>
    <row r="8" spans="1:12" x14ac:dyDescent="0.3">
      <c r="A8" s="5"/>
      <c r="B8" s="25" t="s">
        <v>205</v>
      </c>
      <c r="C8" s="136" t="str">
        <f>IF(Net_To_Gross!B107,"Yes","No")</f>
        <v>Yes</v>
      </c>
      <c r="K8" s="5" t="s">
        <v>374</v>
      </c>
      <c r="L8" s="133">
        <f>L7/L4</f>
        <v>0</v>
      </c>
    </row>
    <row r="9" spans="1:12" x14ac:dyDescent="0.3">
      <c r="B9" s="25" t="s">
        <v>204</v>
      </c>
      <c r="C9" s="136" t="str">
        <f>IF(Net_To_Gross!B112,"Yes","No")</f>
        <v>No</v>
      </c>
      <c r="K9" s="14" t="s">
        <v>21</v>
      </c>
      <c r="L9" s="7">
        <f>IF(Net_To_Gross!$B$112,Floors!L33,Floors!C42)</f>
        <v>50</v>
      </c>
    </row>
    <row r="10" spans="1:12" x14ac:dyDescent="0.3">
      <c r="K10" s="14" t="s">
        <v>23</v>
      </c>
      <c r="L10" s="7">
        <f>IF(Net_To_Gross!$B$112,Floors!L34,Floors!C43)</f>
        <v>0</v>
      </c>
    </row>
    <row r="11" spans="1:12" x14ac:dyDescent="0.3">
      <c r="K11" s="14" t="s">
        <v>367</v>
      </c>
      <c r="L11" s="7">
        <f>IF(Net_To_Gross!$B$112,0,Floors!C44)</f>
        <v>0</v>
      </c>
    </row>
    <row r="13" spans="1:12" x14ac:dyDescent="0.3">
      <c r="A13" s="621" t="s">
        <v>0</v>
      </c>
      <c r="B13" s="621" t="s">
        <v>17</v>
      </c>
      <c r="C13" s="621" t="s">
        <v>18</v>
      </c>
      <c r="D13" s="621" t="s">
        <v>1</v>
      </c>
      <c r="E13" s="621" t="s">
        <v>2</v>
      </c>
      <c r="F13" s="621" t="s">
        <v>4</v>
      </c>
      <c r="G13" s="621" t="s">
        <v>3</v>
      </c>
      <c r="H13" s="621" t="s">
        <v>15</v>
      </c>
      <c r="I13" s="621" t="s">
        <v>16</v>
      </c>
      <c r="J13" s="621" t="s">
        <v>5</v>
      </c>
      <c r="K13" s="621" t="s">
        <v>6</v>
      </c>
      <c r="L13" s="621" t="s">
        <v>7</v>
      </c>
    </row>
    <row r="14" spans="1:12" x14ac:dyDescent="0.3">
      <c r="A14" s="622"/>
      <c r="B14" s="622"/>
      <c r="C14" s="622"/>
      <c r="D14" s="622"/>
      <c r="E14" s="622"/>
      <c r="F14" s="622"/>
      <c r="G14" s="622"/>
      <c r="H14" s="622"/>
      <c r="I14" s="622"/>
      <c r="J14" s="622"/>
      <c r="K14" s="622"/>
      <c r="L14" s="622"/>
    </row>
    <row r="15" spans="1:12" x14ac:dyDescent="0.3">
      <c r="A15" s="3">
        <v>1</v>
      </c>
      <c r="B15" s="6">
        <f t="shared" ref="B15:B24" si="0">$C$4</f>
        <v>0</v>
      </c>
      <c r="C15" s="6">
        <f>B15/A15</f>
        <v>0</v>
      </c>
      <c r="D15" s="11">
        <f t="shared" ref="D15:D24" si="1">$F$4</f>
        <v>12</v>
      </c>
      <c r="E15" s="11">
        <f>A15*D15</f>
        <v>12</v>
      </c>
      <c r="F15" s="11">
        <f>IF(Net_To_Gross!$B$107,$C$5,SQRT(Floors!C15))</f>
        <v>50</v>
      </c>
      <c r="G15" s="11">
        <f>IF(Net_To_Gross!$B$107,Floors!C15/$C$5,SQRT(Floors!C15))</f>
        <v>0</v>
      </c>
      <c r="H15" s="12">
        <f>2*E15*F15</f>
        <v>1200</v>
      </c>
      <c r="I15" s="12">
        <f>2*E15*G15</f>
        <v>0</v>
      </c>
      <c r="J15" s="12">
        <f>C15</f>
        <v>0</v>
      </c>
      <c r="K15" s="2">
        <f>SUM(H15:J15)</f>
        <v>1200</v>
      </c>
      <c r="L15" s="4">
        <f>IF(B15=0,0,B15/K15)</f>
        <v>0</v>
      </c>
    </row>
    <row r="16" spans="1:12" x14ac:dyDescent="0.3">
      <c r="A16" s="3">
        <v>2</v>
      </c>
      <c r="B16" s="6">
        <f t="shared" si="0"/>
        <v>0</v>
      </c>
      <c r="C16" s="6">
        <f t="shared" ref="C16:C24" si="2">B16/A16</f>
        <v>0</v>
      </c>
      <c r="D16" s="11">
        <f t="shared" si="1"/>
        <v>12</v>
      </c>
      <c r="E16" s="11">
        <f t="shared" ref="E16:E24" si="3">A16*D16</f>
        <v>24</v>
      </c>
      <c r="F16" s="11">
        <f>IF(Net_To_Gross!$B$107,$C$5,SQRT(Floors!C16))</f>
        <v>50</v>
      </c>
      <c r="G16" s="11">
        <f>IF(Net_To_Gross!$B$107,Floors!C16/$C$5,SQRT(Floors!C16))</f>
        <v>0</v>
      </c>
      <c r="H16" s="12">
        <f t="shared" ref="H16:H24" si="4">2*E16*F16</f>
        <v>2400</v>
      </c>
      <c r="I16" s="12">
        <f t="shared" ref="I16:I24" si="5">2*E16*G16</f>
        <v>0</v>
      </c>
      <c r="J16" s="12">
        <f t="shared" ref="J16:J24" si="6">C16</f>
        <v>0</v>
      </c>
      <c r="K16" s="2">
        <f t="shared" ref="K16:K24" si="7">SUM(H16:J16)</f>
        <v>2400</v>
      </c>
      <c r="L16" s="4">
        <f t="shared" ref="L16:L24" si="8">IF(B16=0,0,B16/K16)</f>
        <v>0</v>
      </c>
    </row>
    <row r="17" spans="1:12" x14ac:dyDescent="0.3">
      <c r="A17" s="3">
        <v>3</v>
      </c>
      <c r="B17" s="6">
        <f t="shared" si="0"/>
        <v>0</v>
      </c>
      <c r="C17" s="6">
        <f t="shared" si="2"/>
        <v>0</v>
      </c>
      <c r="D17" s="11">
        <f t="shared" si="1"/>
        <v>12</v>
      </c>
      <c r="E17" s="11">
        <f t="shared" si="3"/>
        <v>36</v>
      </c>
      <c r="F17" s="11">
        <f>IF(Net_To_Gross!$B$107,$C$5,SQRT(Floors!C17))</f>
        <v>50</v>
      </c>
      <c r="G17" s="11">
        <f>IF(Net_To_Gross!$B$107,Floors!C17/$C$5,SQRT(Floors!C17))</f>
        <v>0</v>
      </c>
      <c r="H17" s="12">
        <f t="shared" si="4"/>
        <v>3600</v>
      </c>
      <c r="I17" s="12">
        <f t="shared" si="5"/>
        <v>0</v>
      </c>
      <c r="J17" s="12">
        <f t="shared" si="6"/>
        <v>0</v>
      </c>
      <c r="K17" s="2">
        <f t="shared" si="7"/>
        <v>3600</v>
      </c>
      <c r="L17" s="4">
        <f t="shared" si="8"/>
        <v>0</v>
      </c>
    </row>
    <row r="18" spans="1:12" x14ac:dyDescent="0.3">
      <c r="A18" s="3">
        <v>4</v>
      </c>
      <c r="B18" s="6">
        <f t="shared" si="0"/>
        <v>0</v>
      </c>
      <c r="C18" s="6">
        <f t="shared" si="2"/>
        <v>0</v>
      </c>
      <c r="D18" s="11">
        <f t="shared" si="1"/>
        <v>12</v>
      </c>
      <c r="E18" s="11">
        <f t="shared" si="3"/>
        <v>48</v>
      </c>
      <c r="F18" s="11">
        <f>IF(Net_To_Gross!$B$107,$C$5,SQRT(Floors!C18))</f>
        <v>50</v>
      </c>
      <c r="G18" s="11">
        <f>IF(Net_To_Gross!$B$107,Floors!C18/$C$5,SQRT(Floors!C18))</f>
        <v>0</v>
      </c>
      <c r="H18" s="12">
        <f t="shared" si="4"/>
        <v>4800</v>
      </c>
      <c r="I18" s="12">
        <f t="shared" si="5"/>
        <v>0</v>
      </c>
      <c r="J18" s="12">
        <f t="shared" si="6"/>
        <v>0</v>
      </c>
      <c r="K18" s="2">
        <f t="shared" si="7"/>
        <v>4800</v>
      </c>
      <c r="L18" s="4">
        <f t="shared" si="8"/>
        <v>0</v>
      </c>
    </row>
    <row r="19" spans="1:12" x14ac:dyDescent="0.3">
      <c r="A19" s="3">
        <v>5</v>
      </c>
      <c r="B19" s="6">
        <f t="shared" si="0"/>
        <v>0</v>
      </c>
      <c r="C19" s="6">
        <f t="shared" si="2"/>
        <v>0</v>
      </c>
      <c r="D19" s="11">
        <f t="shared" si="1"/>
        <v>12</v>
      </c>
      <c r="E19" s="11">
        <f t="shared" si="3"/>
        <v>60</v>
      </c>
      <c r="F19" s="11">
        <f>IF(Net_To_Gross!$B$107,$C$5,SQRT(Floors!C19))</f>
        <v>50</v>
      </c>
      <c r="G19" s="11">
        <f>IF(Net_To_Gross!$B$107,Floors!C19/$C$5,SQRT(Floors!C19))</f>
        <v>0</v>
      </c>
      <c r="H19" s="12">
        <f t="shared" si="4"/>
        <v>6000</v>
      </c>
      <c r="I19" s="12">
        <f t="shared" si="5"/>
        <v>0</v>
      </c>
      <c r="J19" s="12">
        <f t="shared" si="6"/>
        <v>0</v>
      </c>
      <c r="K19" s="2">
        <f t="shared" si="7"/>
        <v>6000</v>
      </c>
      <c r="L19" s="4">
        <f t="shared" si="8"/>
        <v>0</v>
      </c>
    </row>
    <row r="20" spans="1:12" x14ac:dyDescent="0.3">
      <c r="A20" s="3">
        <v>6</v>
      </c>
      <c r="B20" s="6">
        <f t="shared" si="0"/>
        <v>0</v>
      </c>
      <c r="C20" s="6">
        <f t="shared" si="2"/>
        <v>0</v>
      </c>
      <c r="D20" s="11">
        <f t="shared" si="1"/>
        <v>12</v>
      </c>
      <c r="E20" s="11">
        <f t="shared" si="3"/>
        <v>72</v>
      </c>
      <c r="F20" s="11">
        <f>IF(Net_To_Gross!$B$107,$C$5,SQRT(Floors!C20))</f>
        <v>50</v>
      </c>
      <c r="G20" s="11">
        <f>IF(Net_To_Gross!$B$107,Floors!C20/$C$5,SQRT(Floors!C20))</f>
        <v>0</v>
      </c>
      <c r="H20" s="12">
        <f t="shared" si="4"/>
        <v>7200</v>
      </c>
      <c r="I20" s="12">
        <f t="shared" si="5"/>
        <v>0</v>
      </c>
      <c r="J20" s="12">
        <f t="shared" si="6"/>
        <v>0</v>
      </c>
      <c r="K20" s="2">
        <f t="shared" si="7"/>
        <v>7200</v>
      </c>
      <c r="L20" s="4">
        <f t="shared" si="8"/>
        <v>0</v>
      </c>
    </row>
    <row r="21" spans="1:12" x14ac:dyDescent="0.3">
      <c r="A21" s="3">
        <v>7</v>
      </c>
      <c r="B21" s="6">
        <f t="shared" si="0"/>
        <v>0</v>
      </c>
      <c r="C21" s="6">
        <f t="shared" si="2"/>
        <v>0</v>
      </c>
      <c r="D21" s="11">
        <f t="shared" si="1"/>
        <v>12</v>
      </c>
      <c r="E21" s="11">
        <f t="shared" si="3"/>
        <v>84</v>
      </c>
      <c r="F21" s="11">
        <f>IF(Net_To_Gross!$B$107,$C$5,SQRT(Floors!C21))</f>
        <v>50</v>
      </c>
      <c r="G21" s="11">
        <f>IF(Net_To_Gross!$B$107,Floors!C21/$C$5,SQRT(Floors!C21))</f>
        <v>0</v>
      </c>
      <c r="H21" s="12">
        <f t="shared" si="4"/>
        <v>8400</v>
      </c>
      <c r="I21" s="12">
        <f t="shared" si="5"/>
        <v>0</v>
      </c>
      <c r="J21" s="12">
        <f t="shared" si="6"/>
        <v>0</v>
      </c>
      <c r="K21" s="2">
        <f t="shared" si="7"/>
        <v>8400</v>
      </c>
      <c r="L21" s="4">
        <f t="shared" si="8"/>
        <v>0</v>
      </c>
    </row>
    <row r="22" spans="1:12" x14ac:dyDescent="0.3">
      <c r="A22" s="3">
        <v>8</v>
      </c>
      <c r="B22" s="6">
        <f t="shared" si="0"/>
        <v>0</v>
      </c>
      <c r="C22" s="6">
        <f t="shared" si="2"/>
        <v>0</v>
      </c>
      <c r="D22" s="11">
        <f t="shared" si="1"/>
        <v>12</v>
      </c>
      <c r="E22" s="11">
        <f t="shared" si="3"/>
        <v>96</v>
      </c>
      <c r="F22" s="11">
        <f>IF(Net_To_Gross!$B$107,$C$5,SQRT(Floors!C22))</f>
        <v>50</v>
      </c>
      <c r="G22" s="11">
        <f>IF(Net_To_Gross!$B$107,Floors!C22/$C$5,SQRT(Floors!C22))</f>
        <v>0</v>
      </c>
      <c r="H22" s="12">
        <f t="shared" si="4"/>
        <v>9600</v>
      </c>
      <c r="I22" s="12">
        <f t="shared" si="5"/>
        <v>0</v>
      </c>
      <c r="J22" s="12">
        <f t="shared" si="6"/>
        <v>0</v>
      </c>
      <c r="K22" s="2">
        <f t="shared" si="7"/>
        <v>9600</v>
      </c>
      <c r="L22" s="4">
        <f t="shared" si="8"/>
        <v>0</v>
      </c>
    </row>
    <row r="23" spans="1:12" x14ac:dyDescent="0.3">
      <c r="A23" s="3">
        <v>9</v>
      </c>
      <c r="B23" s="6">
        <f t="shared" si="0"/>
        <v>0</v>
      </c>
      <c r="C23" s="6">
        <f t="shared" si="2"/>
        <v>0</v>
      </c>
      <c r="D23" s="11">
        <f t="shared" si="1"/>
        <v>12</v>
      </c>
      <c r="E23" s="11">
        <f t="shared" si="3"/>
        <v>108</v>
      </c>
      <c r="F23" s="11">
        <f>IF(Net_To_Gross!$B$107,$C$5,SQRT(Floors!C23))</f>
        <v>50</v>
      </c>
      <c r="G23" s="11">
        <f>IF(Net_To_Gross!$B$107,Floors!C23/$C$5,SQRT(Floors!C23))</f>
        <v>0</v>
      </c>
      <c r="H23" s="12">
        <f t="shared" si="4"/>
        <v>10800</v>
      </c>
      <c r="I23" s="12">
        <f t="shared" si="5"/>
        <v>0</v>
      </c>
      <c r="J23" s="12">
        <f t="shared" si="6"/>
        <v>0</v>
      </c>
      <c r="K23" s="2">
        <f t="shared" si="7"/>
        <v>10800</v>
      </c>
      <c r="L23" s="4">
        <f t="shared" si="8"/>
        <v>0</v>
      </c>
    </row>
    <row r="24" spans="1:12" x14ac:dyDescent="0.3">
      <c r="A24" s="3">
        <v>10</v>
      </c>
      <c r="B24" s="6">
        <f t="shared" si="0"/>
        <v>0</v>
      </c>
      <c r="C24" s="6">
        <f t="shared" si="2"/>
        <v>0</v>
      </c>
      <c r="D24" s="11">
        <f t="shared" si="1"/>
        <v>12</v>
      </c>
      <c r="E24" s="11">
        <f t="shared" si="3"/>
        <v>120</v>
      </c>
      <c r="F24" s="11">
        <f>IF(Net_To_Gross!$B$107,$C$5,SQRT(Floors!C24))</f>
        <v>50</v>
      </c>
      <c r="G24" s="11">
        <f>IF(Net_To_Gross!$B$107,Floors!C24/$C$5,SQRT(Floors!C24))</f>
        <v>0</v>
      </c>
      <c r="H24" s="12">
        <f t="shared" si="4"/>
        <v>12000</v>
      </c>
      <c r="I24" s="12">
        <f t="shared" si="5"/>
        <v>0</v>
      </c>
      <c r="J24" s="12">
        <f t="shared" si="6"/>
        <v>0</v>
      </c>
      <c r="K24" s="2">
        <f t="shared" si="7"/>
        <v>12000</v>
      </c>
      <c r="L24" s="4">
        <f t="shared" si="8"/>
        <v>0</v>
      </c>
    </row>
    <row r="27" spans="1:12" x14ac:dyDescent="0.3">
      <c r="A27" s="202" t="s">
        <v>383</v>
      </c>
      <c r="B27" s="334"/>
      <c r="C27" s="334"/>
      <c r="J27" s="334" t="s">
        <v>384</v>
      </c>
      <c r="K27" s="334"/>
      <c r="L27" s="334"/>
    </row>
    <row r="28" spans="1:12" x14ac:dyDescent="0.3">
      <c r="B28" s="5" t="s">
        <v>12</v>
      </c>
      <c r="C28" s="140">
        <f>Detailed_Analysis!H88</f>
        <v>0</v>
      </c>
      <c r="I28" s="277"/>
      <c r="K28" s="5" t="s">
        <v>12</v>
      </c>
      <c r="L28" s="140">
        <f>Detailed_Analysis!H88</f>
        <v>0</v>
      </c>
    </row>
    <row r="29" spans="1:12" x14ac:dyDescent="0.3">
      <c r="B29" s="13" t="s">
        <v>9</v>
      </c>
      <c r="C29" s="8">
        <f>MAX(L15:L24)</f>
        <v>0</v>
      </c>
      <c r="I29" s="280"/>
      <c r="K29" s="14" t="s">
        <v>376</v>
      </c>
      <c r="L29" s="223">
        <f>Net_To_Gross!C112</f>
        <v>1.5</v>
      </c>
    </row>
    <row r="30" spans="1:12" x14ac:dyDescent="0.3">
      <c r="B30" s="13" t="s">
        <v>8</v>
      </c>
      <c r="C30" s="9">
        <f>INDEX(A15:A24,MATCH(MAX(L15:L24),L15:L24,0))</f>
        <v>1</v>
      </c>
      <c r="K30" s="14" t="s">
        <v>381</v>
      </c>
      <c r="L30" s="133">
        <f>L28*L29</f>
        <v>0</v>
      </c>
    </row>
    <row r="31" spans="1:12" x14ac:dyDescent="0.3">
      <c r="B31" s="13" t="s">
        <v>206</v>
      </c>
      <c r="C31" s="9">
        <f>IF(Net_To_Gross!B92,Net_To_Gross!D92,IF((C4&lt;23821),1,INDEX(A15:A24,MATCH(MAX(L15:L24),L15:L24,0)-2)))</f>
        <v>1</v>
      </c>
      <c r="K31" s="278" t="s">
        <v>206</v>
      </c>
      <c r="L31" s="9">
        <f>IF(Net_To_Gross!B92,Net_To_Gross!D92,IF((C4&lt;23821),1,INDEX(A15:A24,MATCH(MAX(L15:L24),L15:L24,0)-2)))</f>
        <v>1</v>
      </c>
    </row>
    <row r="32" spans="1:12" x14ac:dyDescent="0.3">
      <c r="B32" s="13" t="s">
        <v>377</v>
      </c>
      <c r="C32" s="140">
        <f>C4/C31</f>
        <v>0</v>
      </c>
      <c r="K32" s="278" t="s">
        <v>379</v>
      </c>
      <c r="L32" s="133">
        <f>L30/L31</f>
        <v>0</v>
      </c>
    </row>
    <row r="33" spans="2:12" x14ac:dyDescent="0.3">
      <c r="B33" s="14" t="s">
        <v>20</v>
      </c>
      <c r="C33" s="7">
        <f>IF(Net_To_Gross!B107,Floors!C5,SQRT(Floors!C32))</f>
        <v>50</v>
      </c>
      <c r="K33" s="14" t="s">
        <v>21</v>
      </c>
      <c r="L33" s="7">
        <f>IF(Net_To_Gross!B107,Net_To_Gross!D107,SQRT(L32))</f>
        <v>50</v>
      </c>
    </row>
    <row r="34" spans="2:12" x14ac:dyDescent="0.3">
      <c r="B34" s="14" t="s">
        <v>22</v>
      </c>
      <c r="C34" s="7">
        <f>C32/C33</f>
        <v>0</v>
      </c>
      <c r="K34" s="14" t="s">
        <v>23</v>
      </c>
      <c r="L34" s="7">
        <f>IF(Net_To_Gross!$B$107,L32/L33,SQRT(Floors!L32))</f>
        <v>0</v>
      </c>
    </row>
    <row r="35" spans="2:12" x14ac:dyDescent="0.3">
      <c r="B35" s="14" t="s">
        <v>380</v>
      </c>
      <c r="C35" s="133">
        <f>(Detailed_Analysis!H88+SUM(Detailed_Analysis!H94:H105))</f>
        <v>0</v>
      </c>
      <c r="D35" s="1" t="s">
        <v>24</v>
      </c>
    </row>
    <row r="36" spans="2:12" x14ac:dyDescent="0.3">
      <c r="B36" s="13" t="s">
        <v>378</v>
      </c>
      <c r="C36" s="133">
        <f>C35/C31</f>
        <v>0</v>
      </c>
      <c r="D36" s="1" t="s">
        <v>24</v>
      </c>
    </row>
    <row r="37" spans="2:12" x14ac:dyDescent="0.3">
      <c r="B37" s="14" t="s">
        <v>21</v>
      </c>
      <c r="C37" s="7">
        <f>IF(Net_To_Gross!$B$107,$C$5,SQRT(Floors!C36))</f>
        <v>50</v>
      </c>
      <c r="D37" s="1" t="s">
        <v>26</v>
      </c>
    </row>
    <row r="38" spans="2:12" x14ac:dyDescent="0.3">
      <c r="B38" s="14" t="s">
        <v>23</v>
      </c>
      <c r="C38" s="7">
        <f>IF(Net_To_Gross!$B$107,C36/C37,SQRT(Floors!C36))</f>
        <v>0</v>
      </c>
      <c r="D38" s="1" t="s">
        <v>25</v>
      </c>
      <c r="J38" s="314"/>
    </row>
    <row r="39" spans="2:12" x14ac:dyDescent="0.3">
      <c r="B39" s="14" t="s">
        <v>365</v>
      </c>
      <c r="C39" s="7">
        <f>C37+2*F5</f>
        <v>52.66</v>
      </c>
      <c r="D39" s="1" t="s">
        <v>366</v>
      </c>
      <c r="J39" s="314"/>
    </row>
    <row r="40" spans="2:12" x14ac:dyDescent="0.3">
      <c r="B40" s="14" t="s">
        <v>364</v>
      </c>
      <c r="C40" s="7">
        <f>IF(C28=0,0,C38+2*F5)</f>
        <v>0</v>
      </c>
      <c r="D40" s="1" t="s">
        <v>366</v>
      </c>
      <c r="J40" s="314"/>
    </row>
    <row r="41" spans="2:12" x14ac:dyDescent="0.3">
      <c r="B41" s="278" t="s">
        <v>379</v>
      </c>
      <c r="C41" s="133">
        <f>C39*C40</f>
        <v>0</v>
      </c>
      <c r="D41" s="1" t="s">
        <v>366</v>
      </c>
    </row>
    <row r="42" spans="2:12" x14ac:dyDescent="0.3">
      <c r="B42" s="14" t="s">
        <v>21</v>
      </c>
      <c r="C42" s="7">
        <f>IF(Net_To_Gross!$B$107,$C$5,SQRT(Floors!C41))</f>
        <v>50</v>
      </c>
      <c r="D42" s="1" t="s">
        <v>366</v>
      </c>
    </row>
    <row r="43" spans="2:12" x14ac:dyDescent="0.3">
      <c r="B43" s="14" t="s">
        <v>23</v>
      </c>
      <c r="C43" s="7">
        <f>IF(Net_To_Gross!$B$107,C41/C42,SQRT(Floors!C41))</f>
        <v>0</v>
      </c>
      <c r="D43" s="1" t="s">
        <v>366</v>
      </c>
    </row>
    <row r="44" spans="2:12" x14ac:dyDescent="0.3">
      <c r="B44" s="14" t="s">
        <v>367</v>
      </c>
      <c r="C44" s="140">
        <f>IF(C4=0,0,((2*C42+2*C43)*F5)*(C31))</f>
        <v>0</v>
      </c>
      <c r="D44" s="139"/>
    </row>
    <row r="45" spans="2:12" x14ac:dyDescent="0.3">
      <c r="B45" s="14" t="s">
        <v>381</v>
      </c>
      <c r="C45" s="133">
        <f>C42*C43*C31</f>
        <v>0</v>
      </c>
      <c r="D45" s="139"/>
    </row>
    <row r="46" spans="2:12" x14ac:dyDescent="0.3">
      <c r="B46" s="14" t="s">
        <v>375</v>
      </c>
      <c r="C46" s="223">
        <f>IF(C28=0,0,C45/C28)</f>
        <v>0</v>
      </c>
    </row>
    <row r="49" spans="1:12" x14ac:dyDescent="0.3">
      <c r="B49" s="360"/>
    </row>
    <row r="50" spans="1:12" x14ac:dyDescent="0.3">
      <c r="B50" s="361"/>
    </row>
    <row r="51" spans="1:12" x14ac:dyDescent="0.3">
      <c r="A51" s="283"/>
      <c r="B51" s="106" t="s">
        <v>11</v>
      </c>
      <c r="C51" s="282"/>
      <c r="D51" s="282"/>
      <c r="E51" s="282"/>
      <c r="F51" s="283"/>
      <c r="G51" s="283"/>
      <c r="H51" s="283"/>
      <c r="I51" s="283"/>
      <c r="J51" s="283"/>
      <c r="K51" s="283"/>
      <c r="L51" s="283"/>
    </row>
    <row r="52" spans="1:12" x14ac:dyDescent="0.3">
      <c r="A52" s="282">
        <v>1</v>
      </c>
      <c r="B52" s="583" t="s">
        <v>203</v>
      </c>
      <c r="C52" s="583"/>
      <c r="D52" s="583"/>
      <c r="E52" s="583"/>
      <c r="F52" s="583"/>
      <c r="G52" s="583"/>
      <c r="H52" s="583"/>
      <c r="I52" s="583"/>
      <c r="J52" s="583"/>
      <c r="K52" s="583"/>
      <c r="L52" s="583"/>
    </row>
    <row r="53" spans="1:12" x14ac:dyDescent="0.3">
      <c r="A53" s="283"/>
      <c r="B53" s="283"/>
      <c r="C53" s="283"/>
      <c r="D53" s="283"/>
      <c r="E53" s="283"/>
      <c r="F53" s="283"/>
      <c r="G53" s="283"/>
      <c r="H53" s="283"/>
      <c r="I53" s="283"/>
      <c r="J53" s="283"/>
      <c r="K53" s="283"/>
      <c r="L53" s="283"/>
    </row>
    <row r="54" spans="1:12" x14ac:dyDescent="0.3">
      <c r="A54" s="283"/>
      <c r="B54" s="106" t="s">
        <v>202</v>
      </c>
      <c r="C54" s="283"/>
      <c r="D54" s="283"/>
      <c r="E54" s="283"/>
      <c r="F54" s="283"/>
      <c r="G54" s="283"/>
      <c r="H54" s="283"/>
      <c r="I54" s="283"/>
      <c r="J54" s="283"/>
      <c r="K54" s="283"/>
      <c r="L54" s="283"/>
    </row>
    <row r="55" spans="1:12" x14ac:dyDescent="0.3">
      <c r="A55" s="24">
        <v>1</v>
      </c>
      <c r="B55" s="593" t="s">
        <v>201</v>
      </c>
      <c r="C55" s="593"/>
      <c r="D55" s="593"/>
      <c r="E55" s="593"/>
      <c r="F55" s="593"/>
      <c r="G55" s="593"/>
      <c r="H55" s="593"/>
      <c r="I55" s="593"/>
      <c r="J55" s="593"/>
      <c r="K55" s="593"/>
      <c r="L55" s="593"/>
    </row>
    <row r="56" spans="1:12" x14ac:dyDescent="0.3">
      <c r="A56" s="24">
        <v>2</v>
      </c>
      <c r="B56" s="593" t="s">
        <v>200</v>
      </c>
      <c r="C56" s="593"/>
      <c r="D56" s="593"/>
      <c r="E56" s="593"/>
      <c r="F56" s="593"/>
      <c r="G56" s="593"/>
      <c r="H56" s="593"/>
      <c r="I56" s="593"/>
      <c r="J56" s="593"/>
      <c r="K56" s="593"/>
      <c r="L56" s="593"/>
    </row>
    <row r="57" spans="1:12" x14ac:dyDescent="0.3">
      <c r="A57" s="24">
        <v>3</v>
      </c>
      <c r="B57" s="593" t="s">
        <v>199</v>
      </c>
      <c r="C57" s="593"/>
      <c r="D57" s="593"/>
      <c r="E57" s="593"/>
      <c r="F57" s="593"/>
      <c r="G57" s="593"/>
      <c r="H57" s="593"/>
      <c r="I57" s="593"/>
      <c r="J57" s="593"/>
      <c r="K57" s="593"/>
      <c r="L57" s="593"/>
    </row>
    <row r="58" spans="1:12" x14ac:dyDescent="0.3">
      <c r="A58" s="24">
        <v>4</v>
      </c>
      <c r="B58" s="593" t="s">
        <v>198</v>
      </c>
      <c r="C58" s="593"/>
      <c r="D58" s="593"/>
      <c r="E58" s="593"/>
      <c r="F58" s="593"/>
      <c r="G58" s="593"/>
      <c r="H58" s="593"/>
      <c r="I58" s="593"/>
      <c r="J58" s="593"/>
      <c r="K58" s="593"/>
      <c r="L58" s="593"/>
    </row>
    <row r="59" spans="1:12" x14ac:dyDescent="0.3">
      <c r="A59" s="24">
        <v>5</v>
      </c>
      <c r="B59" s="593" t="s">
        <v>197</v>
      </c>
      <c r="C59" s="593"/>
      <c r="D59" s="593"/>
      <c r="E59" s="593"/>
      <c r="F59" s="593"/>
      <c r="G59" s="593"/>
      <c r="H59" s="593"/>
      <c r="I59" s="593"/>
      <c r="J59" s="593"/>
      <c r="K59" s="593"/>
      <c r="L59" s="593"/>
    </row>
    <row r="60" spans="1:12" x14ac:dyDescent="0.3">
      <c r="A60" s="283"/>
      <c r="B60" s="39"/>
      <c r="C60" s="283"/>
      <c r="D60" s="283"/>
      <c r="E60" s="283"/>
      <c r="F60" s="283"/>
      <c r="G60" s="283"/>
      <c r="H60" s="283"/>
      <c r="I60" s="283"/>
      <c r="J60" s="283"/>
      <c r="K60" s="283"/>
      <c r="L60" s="283"/>
    </row>
    <row r="61" spans="1:12" x14ac:dyDescent="0.3">
      <c r="A61" s="283"/>
      <c r="B61" s="106" t="s">
        <v>196</v>
      </c>
      <c r="C61" s="283"/>
      <c r="D61" s="283"/>
      <c r="E61" s="283"/>
      <c r="F61" s="283"/>
      <c r="G61" s="283"/>
      <c r="H61" s="283"/>
      <c r="I61" s="283"/>
      <c r="J61" s="283"/>
      <c r="K61" s="283"/>
      <c r="L61" s="283"/>
    </row>
    <row r="62" spans="1:12" x14ac:dyDescent="0.3">
      <c r="A62" s="281">
        <v>1</v>
      </c>
      <c r="B62" s="626" t="str">
        <f>HYPERLINK("https://www.buildingscience.com/documents/insights/bsi-061-function-form-building-shape-and-energy","BSD-061: The Function of Form—Building Shape and Energy, by John Straube, 2012.")</f>
        <v>BSD-061: The Function of Form—Building Shape and Energy, by John Straube, 2012.</v>
      </c>
      <c r="C62" s="626"/>
      <c r="D62" s="626"/>
      <c r="E62" s="626"/>
      <c r="F62" s="626"/>
      <c r="G62" s="626"/>
      <c r="H62" s="626"/>
      <c r="I62" s="626"/>
      <c r="J62" s="626"/>
      <c r="K62" s="626"/>
      <c r="L62" s="626"/>
    </row>
  </sheetData>
  <sheetProtection algorithmName="SHA-512" hashValue="ukK82zFFdsPde5/fldB2JTBX+PdV04iOqyGiS2WxXk/cxmODtnmIwfjfwRGO+CPjsrg/fHHpiGBs8pzNGScXeQ==" saltValue="xmWl0/uMVDvUOBk+36IcWA==" spinCount="100000" sheet="1" objects="1" scenarios="1"/>
  <mergeCells count="20">
    <mergeCell ref="B59:L59"/>
    <mergeCell ref="B62:L62"/>
    <mergeCell ref="B52:L52"/>
    <mergeCell ref="B55:L55"/>
    <mergeCell ref="B56:L56"/>
    <mergeCell ref="B57:L57"/>
    <mergeCell ref="B58:L58"/>
    <mergeCell ref="J13:J14"/>
    <mergeCell ref="K13:K14"/>
    <mergeCell ref="L13:L14"/>
    <mergeCell ref="A1:L1"/>
    <mergeCell ref="A13:A14"/>
    <mergeCell ref="B13:B14"/>
    <mergeCell ref="C13:C14"/>
    <mergeCell ref="D13:D14"/>
    <mergeCell ref="E13:E14"/>
    <mergeCell ref="G13:G14"/>
    <mergeCell ref="F13:F14"/>
    <mergeCell ref="H13:H14"/>
    <mergeCell ref="I13:I14"/>
  </mergeCells>
  <pageMargins left="0.7" right="0.7" top="0.75" bottom="0.75" header="0.3" footer="0.3"/>
  <pageSetup orientation="portrait" r:id="rId1"/>
  <customProperties>
    <customPr name="SSC_SHEET_GUID" r:id="rId2"/>
  </customPropertie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FFFF00"/>
    <pageSetUpPr fitToPage="1"/>
  </sheetPr>
  <dimension ref="A1:N61"/>
  <sheetViews>
    <sheetView zoomScaleNormal="100" workbookViewId="0">
      <selection sqref="A1:M1"/>
    </sheetView>
  </sheetViews>
  <sheetFormatPr defaultColWidth="10.5546875" defaultRowHeight="15" customHeight="1" x14ac:dyDescent="0.3"/>
  <cols>
    <col min="1" max="4" width="9.33203125" style="110" customWidth="1"/>
    <col min="5" max="7" width="9.33203125" style="143" customWidth="1"/>
    <col min="8" max="13" width="9.33203125" style="110" customWidth="1"/>
    <col min="14" max="16384" width="10.5546875" style="272"/>
  </cols>
  <sheetData>
    <row r="1" spans="1:13" ht="15" customHeight="1" x14ac:dyDescent="0.3">
      <c r="A1" s="633" t="s">
        <v>362</v>
      </c>
      <c r="B1" s="634"/>
      <c r="C1" s="634"/>
      <c r="D1" s="634"/>
      <c r="E1" s="634"/>
      <c r="F1" s="634"/>
      <c r="G1" s="634"/>
      <c r="H1" s="634"/>
      <c r="I1" s="634"/>
      <c r="J1" s="634"/>
      <c r="K1" s="634"/>
      <c r="L1" s="634"/>
      <c r="M1" s="635"/>
    </row>
    <row r="2" spans="1:13" s="19" customFormat="1" ht="15" customHeight="1" x14ac:dyDescent="0.3"/>
    <row r="3" spans="1:13" s="19" customFormat="1" ht="15" customHeight="1" x14ac:dyDescent="0.3">
      <c r="A3" s="630" t="s">
        <v>208</v>
      </c>
      <c r="B3" s="630" t="s">
        <v>344</v>
      </c>
      <c r="C3" s="630" t="s">
        <v>361</v>
      </c>
      <c r="D3" s="637" t="s">
        <v>360</v>
      </c>
      <c r="E3" s="637"/>
      <c r="F3" s="637"/>
      <c r="G3" s="637"/>
      <c r="H3" s="637"/>
      <c r="I3" s="637"/>
      <c r="J3" s="637"/>
      <c r="K3" s="637"/>
      <c r="L3" s="637"/>
      <c r="M3" s="637"/>
    </row>
    <row r="4" spans="1:13" s="19" customFormat="1" ht="15" customHeight="1" x14ac:dyDescent="0.3">
      <c r="A4" s="631"/>
      <c r="B4" s="631"/>
      <c r="C4" s="631"/>
      <c r="D4" s="637"/>
      <c r="E4" s="637"/>
      <c r="F4" s="637"/>
      <c r="G4" s="637"/>
      <c r="H4" s="637"/>
      <c r="I4" s="637"/>
      <c r="J4" s="637"/>
      <c r="K4" s="637"/>
      <c r="L4" s="637"/>
      <c r="M4" s="637"/>
    </row>
    <row r="5" spans="1:13" s="19" customFormat="1" ht="15" customHeight="1" x14ac:dyDescent="0.3">
      <c r="A5" s="631"/>
      <c r="B5" s="631"/>
      <c r="C5" s="631"/>
      <c r="D5" s="637"/>
      <c r="E5" s="637"/>
      <c r="F5" s="637"/>
      <c r="G5" s="637"/>
      <c r="H5" s="637"/>
      <c r="I5" s="637"/>
      <c r="J5" s="637"/>
      <c r="K5" s="637"/>
      <c r="L5" s="637"/>
      <c r="M5" s="637"/>
    </row>
    <row r="6" spans="1:13" s="19" customFormat="1" ht="15" customHeight="1" x14ac:dyDescent="0.3">
      <c r="A6" s="632"/>
      <c r="B6" s="632"/>
      <c r="C6" s="632"/>
      <c r="D6" s="637"/>
      <c r="E6" s="637"/>
      <c r="F6" s="637"/>
      <c r="G6" s="637"/>
      <c r="H6" s="637"/>
      <c r="I6" s="637"/>
      <c r="J6" s="637"/>
      <c r="K6" s="637"/>
      <c r="L6" s="637"/>
      <c r="M6" s="637"/>
    </row>
    <row r="7" spans="1:13" s="19" customFormat="1" ht="15" customHeight="1" x14ac:dyDescent="0.3">
      <c r="A7" s="249">
        <f>Detailed_Analysis!$H$88</f>
        <v>0</v>
      </c>
      <c r="B7" s="249">
        <f>Floors!L4</f>
        <v>1</v>
      </c>
      <c r="C7" s="249">
        <f>A7/B7</f>
        <v>0</v>
      </c>
      <c r="D7" s="637"/>
      <c r="E7" s="637"/>
      <c r="F7" s="637"/>
      <c r="G7" s="637"/>
      <c r="H7" s="637"/>
      <c r="I7" s="637"/>
      <c r="J7" s="637"/>
      <c r="K7" s="637"/>
      <c r="L7" s="637"/>
      <c r="M7" s="637"/>
    </row>
    <row r="8" spans="1:13" s="19" customFormat="1" ht="15" customHeight="1" x14ac:dyDescent="0.3"/>
    <row r="9" spans="1:13" ht="15" customHeight="1" x14ac:dyDescent="0.3">
      <c r="A9" s="636" t="s">
        <v>359</v>
      </c>
      <c r="B9" s="627" t="s">
        <v>357</v>
      </c>
      <c r="C9" s="630" t="s">
        <v>356</v>
      </c>
      <c r="D9" s="627" t="s">
        <v>355</v>
      </c>
      <c r="E9" s="627" t="s">
        <v>354</v>
      </c>
      <c r="F9" s="627" t="s">
        <v>353</v>
      </c>
      <c r="G9" s="627" t="s">
        <v>352</v>
      </c>
      <c r="H9" s="630" t="s">
        <v>351</v>
      </c>
      <c r="I9" s="630" t="s">
        <v>350</v>
      </c>
      <c r="J9" s="627" t="s">
        <v>349</v>
      </c>
      <c r="K9" s="627" t="s">
        <v>348</v>
      </c>
      <c r="L9" s="630" t="s">
        <v>347</v>
      </c>
      <c r="M9" s="630" t="s">
        <v>346</v>
      </c>
    </row>
    <row r="10" spans="1:13" ht="15" customHeight="1" x14ac:dyDescent="0.3">
      <c r="A10" s="636"/>
      <c r="B10" s="628"/>
      <c r="C10" s="631"/>
      <c r="D10" s="628"/>
      <c r="E10" s="628"/>
      <c r="F10" s="628"/>
      <c r="G10" s="628"/>
      <c r="H10" s="631"/>
      <c r="I10" s="631"/>
      <c r="J10" s="628"/>
      <c r="K10" s="628"/>
      <c r="L10" s="631"/>
      <c r="M10" s="631"/>
    </row>
    <row r="11" spans="1:13" ht="15" customHeight="1" x14ac:dyDescent="0.3">
      <c r="A11" s="636"/>
      <c r="B11" s="628"/>
      <c r="C11" s="631"/>
      <c r="D11" s="628"/>
      <c r="E11" s="628"/>
      <c r="F11" s="628"/>
      <c r="G11" s="628"/>
      <c r="H11" s="631"/>
      <c r="I11" s="631"/>
      <c r="J11" s="628"/>
      <c r="K11" s="628"/>
      <c r="L11" s="631"/>
      <c r="M11" s="631"/>
    </row>
    <row r="12" spans="1:13" ht="15" customHeight="1" x14ac:dyDescent="0.3">
      <c r="A12" s="636"/>
      <c r="B12" s="629"/>
      <c r="C12" s="632"/>
      <c r="D12" s="629"/>
      <c r="E12" s="629"/>
      <c r="F12" s="629"/>
      <c r="G12" s="629"/>
      <c r="H12" s="632"/>
      <c r="I12" s="632"/>
      <c r="J12" s="629"/>
      <c r="K12" s="629"/>
      <c r="L12" s="632"/>
      <c r="M12" s="632"/>
    </row>
    <row r="13" spans="1:13" ht="15" customHeight="1" x14ac:dyDescent="0.3">
      <c r="A13" s="636"/>
      <c r="B13" s="249">
        <f>(1+(INT(C7/10000)))*(B7)</f>
        <v>1</v>
      </c>
      <c r="C13" s="228">
        <f>VLOOKUP($C$7,NTG_Space_Table,2)*VLOOKUP($C$7,NTG_Space_Table,3)*$B$7</f>
        <v>0</v>
      </c>
      <c r="D13" s="228">
        <f>IF(B7&gt;1,(1+(INT(C7/10000)))*(B7),0)</f>
        <v>0</v>
      </c>
      <c r="E13" s="228">
        <f>IF(B7&gt;1,VLOOKUP($C$7,NTG_Space_Table,4)*VLOOKUP($C$7,NTG_Space_Table,5)*$B$7,0)</f>
        <v>0</v>
      </c>
      <c r="F13" s="228">
        <f>IF(B7&gt;1,1+(INT(C7/10000)),0)</f>
        <v>0</v>
      </c>
      <c r="G13" s="228">
        <f>IF(B7&gt;1,VLOOKUP($C$7,NTG_Space_Table,6)*VLOOKUP($C$7,NTG_Space_Table,7),0)</f>
        <v>0</v>
      </c>
      <c r="H13" s="228">
        <f>IF(B7&gt;1,(1+(INT(C7/10000)))*(B7),0)</f>
        <v>0</v>
      </c>
      <c r="I13" s="228">
        <f>IF(B7&gt;1,VLOOKUP($C$7,NTG_Space_Table,8)*VLOOKUP($C$7,NTG_Space_Table,9)*$B$7,0)</f>
        <v>0</v>
      </c>
      <c r="J13" s="228">
        <f>(1+(INT($B$7/10000)))*(B7)</f>
        <v>1</v>
      </c>
      <c r="K13" s="158">
        <f>VLOOKUP($C$7,NTG_Space_Table,10)*VLOOKUP($C$7,NTG_Space_Table,11)*$B$7</f>
        <v>0</v>
      </c>
      <c r="L13" s="249">
        <f>1+(INT(C7/10000))</f>
        <v>1</v>
      </c>
      <c r="M13" s="249">
        <f>VLOOKUP($C$7,NTG_Space_Table,12)*VLOOKUP($C$7,NTG_Space_Table,13)</f>
        <v>0</v>
      </c>
    </row>
    <row r="15" spans="1:13" s="29" customFormat="1" ht="15" customHeight="1" x14ac:dyDescent="0.3">
      <c r="A15" s="143">
        <v>1</v>
      </c>
      <c r="B15" s="143">
        <v>2</v>
      </c>
      <c r="C15" s="143">
        <v>3</v>
      </c>
      <c r="D15" s="143">
        <v>4</v>
      </c>
      <c r="E15" s="143">
        <v>5</v>
      </c>
      <c r="F15" s="143">
        <v>6</v>
      </c>
      <c r="G15" s="143">
        <v>7</v>
      </c>
      <c r="H15" s="143">
        <v>8</v>
      </c>
      <c r="I15" s="143">
        <v>9</v>
      </c>
      <c r="J15" s="143">
        <v>10</v>
      </c>
      <c r="K15" s="143">
        <v>11</v>
      </c>
      <c r="L15" s="143">
        <v>12</v>
      </c>
      <c r="M15" s="143">
        <v>13</v>
      </c>
    </row>
    <row r="16" spans="1:13" ht="15" customHeight="1" x14ac:dyDescent="0.3">
      <c r="A16" s="627" t="s">
        <v>358</v>
      </c>
      <c r="B16" s="627" t="s">
        <v>357</v>
      </c>
      <c r="C16" s="630" t="s">
        <v>356</v>
      </c>
      <c r="D16" s="627" t="s">
        <v>355</v>
      </c>
      <c r="E16" s="627" t="s">
        <v>354</v>
      </c>
      <c r="F16" s="627" t="s">
        <v>353</v>
      </c>
      <c r="G16" s="627" t="s">
        <v>352</v>
      </c>
      <c r="H16" s="630" t="s">
        <v>351</v>
      </c>
      <c r="I16" s="630" t="s">
        <v>350</v>
      </c>
      <c r="J16" s="627" t="s">
        <v>349</v>
      </c>
      <c r="K16" s="627" t="s">
        <v>348</v>
      </c>
      <c r="L16" s="630" t="s">
        <v>347</v>
      </c>
      <c r="M16" s="630" t="s">
        <v>346</v>
      </c>
    </row>
    <row r="17" spans="1:14" ht="15" customHeight="1" x14ac:dyDescent="0.3">
      <c r="A17" s="628"/>
      <c r="B17" s="628"/>
      <c r="C17" s="631"/>
      <c r="D17" s="628"/>
      <c r="E17" s="628"/>
      <c r="F17" s="628"/>
      <c r="G17" s="628"/>
      <c r="H17" s="631"/>
      <c r="I17" s="631"/>
      <c r="J17" s="628"/>
      <c r="K17" s="628"/>
      <c r="L17" s="631"/>
      <c r="M17" s="631"/>
    </row>
    <row r="18" spans="1:14" ht="15" customHeight="1" x14ac:dyDescent="0.3">
      <c r="A18" s="628"/>
      <c r="B18" s="628"/>
      <c r="C18" s="631"/>
      <c r="D18" s="628"/>
      <c r="E18" s="628"/>
      <c r="F18" s="628"/>
      <c r="G18" s="628"/>
      <c r="H18" s="631"/>
      <c r="I18" s="631"/>
      <c r="J18" s="628"/>
      <c r="K18" s="628"/>
      <c r="L18" s="631"/>
      <c r="M18" s="631"/>
    </row>
    <row r="19" spans="1:14" ht="15" customHeight="1" x14ac:dyDescent="0.3">
      <c r="A19" s="629"/>
      <c r="B19" s="629"/>
      <c r="C19" s="632"/>
      <c r="D19" s="629"/>
      <c r="E19" s="629"/>
      <c r="F19" s="629"/>
      <c r="G19" s="629"/>
      <c r="H19" s="632"/>
      <c r="I19" s="632"/>
      <c r="J19" s="629"/>
      <c r="K19" s="629"/>
      <c r="L19" s="632"/>
      <c r="M19" s="632"/>
    </row>
    <row r="20" spans="1:14" ht="15" customHeight="1" x14ac:dyDescent="0.3">
      <c r="A20" s="247">
        <v>0</v>
      </c>
      <c r="B20" s="247">
        <v>0</v>
      </c>
      <c r="C20" s="247">
        <v>0</v>
      </c>
      <c r="D20" s="247">
        <v>0</v>
      </c>
      <c r="E20" s="247">
        <v>0</v>
      </c>
      <c r="F20" s="247">
        <v>0</v>
      </c>
      <c r="G20" s="247">
        <v>0</v>
      </c>
      <c r="H20" s="247">
        <v>0</v>
      </c>
      <c r="I20" s="247">
        <v>0</v>
      </c>
      <c r="J20" s="247">
        <v>0</v>
      </c>
      <c r="K20" s="247">
        <v>0</v>
      </c>
      <c r="L20" s="247">
        <v>0</v>
      </c>
      <c r="M20" s="109">
        <v>0</v>
      </c>
    </row>
    <row r="21" spans="1:14" ht="15" customHeight="1" x14ac:dyDescent="0.3">
      <c r="A21" s="108">
        <v>1</v>
      </c>
      <c r="B21" s="108">
        <v>1</v>
      </c>
      <c r="C21" s="108">
        <v>110</v>
      </c>
      <c r="D21" s="108">
        <v>1</v>
      </c>
      <c r="E21" s="108">
        <f t="shared" ref="E21:E61" si="0">IF($B$7&lt;5,82,91)</f>
        <v>82</v>
      </c>
      <c r="F21" s="108">
        <v>1</v>
      </c>
      <c r="G21" s="248">
        <f t="shared" ref="G21:G61" si="1">IF($B$7&lt;5,72,152)</f>
        <v>72</v>
      </c>
      <c r="H21" s="108">
        <v>1</v>
      </c>
      <c r="I21" s="108">
        <v>200</v>
      </c>
      <c r="J21" s="108">
        <v>1</v>
      </c>
      <c r="K21" s="273">
        <v>20</v>
      </c>
      <c r="L21" s="108">
        <v>1</v>
      </c>
      <c r="M21" s="108">
        <v>60</v>
      </c>
    </row>
    <row r="22" spans="1:14" ht="15" customHeight="1" x14ac:dyDescent="0.3">
      <c r="A22" s="108">
        <v>5001</v>
      </c>
      <c r="B22" s="108">
        <v>1</v>
      </c>
      <c r="C22" s="108">
        <v>110</v>
      </c>
      <c r="D22" s="108">
        <v>1</v>
      </c>
      <c r="E22" s="108">
        <f t="shared" si="0"/>
        <v>82</v>
      </c>
      <c r="F22" s="108">
        <v>1</v>
      </c>
      <c r="G22" s="248">
        <f t="shared" si="1"/>
        <v>72</v>
      </c>
      <c r="H22" s="274">
        <v>2</v>
      </c>
      <c r="I22" s="108">
        <v>200</v>
      </c>
      <c r="J22" s="108">
        <v>1</v>
      </c>
      <c r="K22" s="273">
        <v>20</v>
      </c>
      <c r="L22" s="108">
        <v>1</v>
      </c>
      <c r="M22" s="108">
        <v>60</v>
      </c>
      <c r="N22" s="275"/>
    </row>
    <row r="23" spans="1:14" ht="15" customHeight="1" x14ac:dyDescent="0.3">
      <c r="A23" s="108">
        <v>10001</v>
      </c>
      <c r="B23" s="108">
        <v>2</v>
      </c>
      <c r="C23" s="108">
        <v>110</v>
      </c>
      <c r="D23" s="108">
        <v>2</v>
      </c>
      <c r="E23" s="108">
        <f t="shared" si="0"/>
        <v>82</v>
      </c>
      <c r="F23" s="108">
        <v>2</v>
      </c>
      <c r="G23" s="248">
        <f t="shared" si="1"/>
        <v>72</v>
      </c>
      <c r="H23" s="108">
        <v>2</v>
      </c>
      <c r="I23" s="108">
        <v>200</v>
      </c>
      <c r="J23" s="108">
        <v>2</v>
      </c>
      <c r="K23" s="273">
        <v>20</v>
      </c>
      <c r="L23" s="108">
        <v>2</v>
      </c>
      <c r="M23" s="108">
        <v>60</v>
      </c>
      <c r="N23" s="275"/>
    </row>
    <row r="24" spans="1:14" ht="15" customHeight="1" x14ac:dyDescent="0.3">
      <c r="A24" s="108">
        <v>20001</v>
      </c>
      <c r="B24" s="108">
        <v>3</v>
      </c>
      <c r="C24" s="108">
        <v>110</v>
      </c>
      <c r="D24" s="108">
        <v>3</v>
      </c>
      <c r="E24" s="108">
        <f t="shared" si="0"/>
        <v>82</v>
      </c>
      <c r="F24" s="108">
        <v>3</v>
      </c>
      <c r="G24" s="248">
        <f t="shared" si="1"/>
        <v>72</v>
      </c>
      <c r="H24" s="108">
        <v>3</v>
      </c>
      <c r="I24" s="108">
        <v>200</v>
      </c>
      <c r="J24" s="108">
        <v>3</v>
      </c>
      <c r="K24" s="273">
        <v>20</v>
      </c>
      <c r="L24" s="108">
        <v>3</v>
      </c>
      <c r="M24" s="108">
        <v>60</v>
      </c>
    </row>
    <row r="25" spans="1:14" ht="15" customHeight="1" x14ac:dyDescent="0.3">
      <c r="A25" s="108">
        <v>30001</v>
      </c>
      <c r="B25" s="108">
        <v>4</v>
      </c>
      <c r="C25" s="108">
        <v>110</v>
      </c>
      <c r="D25" s="108">
        <v>4</v>
      </c>
      <c r="E25" s="108">
        <f t="shared" si="0"/>
        <v>82</v>
      </c>
      <c r="F25" s="108">
        <v>4</v>
      </c>
      <c r="G25" s="248">
        <f t="shared" si="1"/>
        <v>72</v>
      </c>
      <c r="H25" s="108">
        <v>4</v>
      </c>
      <c r="I25" s="108">
        <v>200</v>
      </c>
      <c r="J25" s="108">
        <v>4</v>
      </c>
      <c r="K25" s="273">
        <v>20</v>
      </c>
      <c r="L25" s="108">
        <v>4</v>
      </c>
      <c r="M25" s="108">
        <v>60</v>
      </c>
    </row>
    <row r="26" spans="1:14" ht="15" customHeight="1" x14ac:dyDescent="0.3">
      <c r="A26" s="108">
        <v>40001</v>
      </c>
      <c r="B26" s="108">
        <v>5</v>
      </c>
      <c r="C26" s="108">
        <v>110</v>
      </c>
      <c r="D26" s="108">
        <v>5</v>
      </c>
      <c r="E26" s="108">
        <f t="shared" si="0"/>
        <v>82</v>
      </c>
      <c r="F26" s="108">
        <v>5</v>
      </c>
      <c r="G26" s="248">
        <f t="shared" si="1"/>
        <v>72</v>
      </c>
      <c r="H26" s="108">
        <v>5</v>
      </c>
      <c r="I26" s="108">
        <v>200</v>
      </c>
      <c r="J26" s="108">
        <v>5</v>
      </c>
      <c r="K26" s="273">
        <v>20</v>
      </c>
      <c r="L26" s="108">
        <v>5</v>
      </c>
      <c r="M26" s="108">
        <v>60</v>
      </c>
    </row>
    <row r="27" spans="1:14" ht="15" customHeight="1" x14ac:dyDescent="0.3">
      <c r="A27" s="108">
        <v>50001</v>
      </c>
      <c r="B27" s="108">
        <v>6</v>
      </c>
      <c r="C27" s="108">
        <v>110</v>
      </c>
      <c r="D27" s="108">
        <v>6</v>
      </c>
      <c r="E27" s="108">
        <f t="shared" si="0"/>
        <v>82</v>
      </c>
      <c r="F27" s="108">
        <v>6</v>
      </c>
      <c r="G27" s="248">
        <f t="shared" si="1"/>
        <v>72</v>
      </c>
      <c r="H27" s="108">
        <v>6</v>
      </c>
      <c r="I27" s="108">
        <v>200</v>
      </c>
      <c r="J27" s="108">
        <v>6</v>
      </c>
      <c r="K27" s="273">
        <v>20</v>
      </c>
      <c r="L27" s="108">
        <v>6</v>
      </c>
      <c r="M27" s="108">
        <v>60</v>
      </c>
    </row>
    <row r="28" spans="1:14" ht="15" customHeight="1" x14ac:dyDescent="0.3">
      <c r="A28" s="108">
        <v>60001</v>
      </c>
      <c r="B28" s="108">
        <v>7</v>
      </c>
      <c r="C28" s="108">
        <v>110</v>
      </c>
      <c r="D28" s="108">
        <v>7</v>
      </c>
      <c r="E28" s="108">
        <f t="shared" si="0"/>
        <v>82</v>
      </c>
      <c r="F28" s="108">
        <v>7</v>
      </c>
      <c r="G28" s="248">
        <f t="shared" si="1"/>
        <v>72</v>
      </c>
      <c r="H28" s="108">
        <v>7</v>
      </c>
      <c r="I28" s="108">
        <v>200</v>
      </c>
      <c r="J28" s="108">
        <v>7</v>
      </c>
      <c r="K28" s="273">
        <v>20</v>
      </c>
      <c r="L28" s="108">
        <v>7</v>
      </c>
      <c r="M28" s="108">
        <v>60</v>
      </c>
    </row>
    <row r="29" spans="1:14" ht="15" customHeight="1" x14ac:dyDescent="0.3">
      <c r="A29" s="108">
        <v>70001</v>
      </c>
      <c r="B29" s="108">
        <v>8</v>
      </c>
      <c r="C29" s="108">
        <v>110</v>
      </c>
      <c r="D29" s="108">
        <v>8</v>
      </c>
      <c r="E29" s="108">
        <f t="shared" si="0"/>
        <v>82</v>
      </c>
      <c r="F29" s="108">
        <v>8</v>
      </c>
      <c r="G29" s="248">
        <f t="shared" si="1"/>
        <v>72</v>
      </c>
      <c r="H29" s="108">
        <v>8</v>
      </c>
      <c r="I29" s="108">
        <v>200</v>
      </c>
      <c r="J29" s="108">
        <v>8</v>
      </c>
      <c r="K29" s="273">
        <v>20</v>
      </c>
      <c r="L29" s="108">
        <v>8</v>
      </c>
      <c r="M29" s="108">
        <v>60</v>
      </c>
    </row>
    <row r="30" spans="1:14" ht="15" customHeight="1" x14ac:dyDescent="0.3">
      <c r="A30" s="108">
        <v>80001</v>
      </c>
      <c r="B30" s="108">
        <v>9</v>
      </c>
      <c r="C30" s="108">
        <v>110</v>
      </c>
      <c r="D30" s="108">
        <v>9</v>
      </c>
      <c r="E30" s="108">
        <f t="shared" si="0"/>
        <v>82</v>
      </c>
      <c r="F30" s="108">
        <v>9</v>
      </c>
      <c r="G30" s="248">
        <f t="shared" si="1"/>
        <v>72</v>
      </c>
      <c r="H30" s="108">
        <v>9</v>
      </c>
      <c r="I30" s="108">
        <v>200</v>
      </c>
      <c r="J30" s="108">
        <v>9</v>
      </c>
      <c r="K30" s="273">
        <v>20</v>
      </c>
      <c r="L30" s="108">
        <v>9</v>
      </c>
      <c r="M30" s="108">
        <v>60</v>
      </c>
    </row>
    <row r="31" spans="1:14" ht="15" customHeight="1" x14ac:dyDescent="0.3">
      <c r="A31" s="108">
        <v>90001</v>
      </c>
      <c r="B31" s="108">
        <v>10</v>
      </c>
      <c r="C31" s="108">
        <v>110</v>
      </c>
      <c r="D31" s="108">
        <v>10</v>
      </c>
      <c r="E31" s="108">
        <f t="shared" si="0"/>
        <v>82</v>
      </c>
      <c r="F31" s="108">
        <v>10</v>
      </c>
      <c r="G31" s="248">
        <f t="shared" si="1"/>
        <v>72</v>
      </c>
      <c r="H31" s="108">
        <v>10</v>
      </c>
      <c r="I31" s="108">
        <v>200</v>
      </c>
      <c r="J31" s="108">
        <v>10</v>
      </c>
      <c r="K31" s="273">
        <v>20</v>
      </c>
      <c r="L31" s="108">
        <v>10</v>
      </c>
      <c r="M31" s="108">
        <v>60</v>
      </c>
    </row>
    <row r="32" spans="1:14" ht="15" customHeight="1" x14ac:dyDescent="0.3">
      <c r="A32" s="108">
        <v>100001</v>
      </c>
      <c r="B32" s="108">
        <v>11</v>
      </c>
      <c r="C32" s="108">
        <v>110</v>
      </c>
      <c r="D32" s="108">
        <v>11</v>
      </c>
      <c r="E32" s="108">
        <f t="shared" si="0"/>
        <v>82</v>
      </c>
      <c r="F32" s="108">
        <v>11</v>
      </c>
      <c r="G32" s="248">
        <f t="shared" si="1"/>
        <v>72</v>
      </c>
      <c r="H32" s="108">
        <v>11</v>
      </c>
      <c r="I32" s="108">
        <v>200</v>
      </c>
      <c r="J32" s="108">
        <v>11</v>
      </c>
      <c r="K32" s="273">
        <v>20</v>
      </c>
      <c r="L32" s="108">
        <v>11</v>
      </c>
      <c r="M32" s="108">
        <v>60</v>
      </c>
    </row>
    <row r="33" spans="1:13" ht="15" customHeight="1" x14ac:dyDescent="0.3">
      <c r="A33" s="108">
        <v>110001</v>
      </c>
      <c r="B33" s="108">
        <v>12</v>
      </c>
      <c r="C33" s="108">
        <v>110</v>
      </c>
      <c r="D33" s="108">
        <v>12</v>
      </c>
      <c r="E33" s="108">
        <f t="shared" si="0"/>
        <v>82</v>
      </c>
      <c r="F33" s="108">
        <v>12</v>
      </c>
      <c r="G33" s="248">
        <f t="shared" si="1"/>
        <v>72</v>
      </c>
      <c r="H33" s="108">
        <v>12</v>
      </c>
      <c r="I33" s="108">
        <v>200</v>
      </c>
      <c r="J33" s="108">
        <v>12</v>
      </c>
      <c r="K33" s="273">
        <v>20</v>
      </c>
      <c r="L33" s="108">
        <v>12</v>
      </c>
      <c r="M33" s="108">
        <v>60</v>
      </c>
    </row>
    <row r="34" spans="1:13" ht="15" customHeight="1" x14ac:dyDescent="0.3">
      <c r="A34" s="108">
        <v>120001</v>
      </c>
      <c r="B34" s="108">
        <v>13</v>
      </c>
      <c r="C34" s="108">
        <v>110</v>
      </c>
      <c r="D34" s="108">
        <v>13</v>
      </c>
      <c r="E34" s="108">
        <f t="shared" si="0"/>
        <v>82</v>
      </c>
      <c r="F34" s="108">
        <v>13</v>
      </c>
      <c r="G34" s="248">
        <f t="shared" si="1"/>
        <v>72</v>
      </c>
      <c r="H34" s="108">
        <v>13</v>
      </c>
      <c r="I34" s="108">
        <v>200</v>
      </c>
      <c r="J34" s="108">
        <v>13</v>
      </c>
      <c r="K34" s="273">
        <v>20</v>
      </c>
      <c r="L34" s="108">
        <v>13</v>
      </c>
      <c r="M34" s="108">
        <v>60</v>
      </c>
    </row>
    <row r="35" spans="1:13" ht="15" customHeight="1" x14ac:dyDescent="0.3">
      <c r="A35" s="108">
        <v>130001</v>
      </c>
      <c r="B35" s="108">
        <v>14</v>
      </c>
      <c r="C35" s="108">
        <v>110</v>
      </c>
      <c r="D35" s="108">
        <v>14</v>
      </c>
      <c r="E35" s="108">
        <f t="shared" si="0"/>
        <v>82</v>
      </c>
      <c r="F35" s="108">
        <v>14</v>
      </c>
      <c r="G35" s="248">
        <f t="shared" si="1"/>
        <v>72</v>
      </c>
      <c r="H35" s="108">
        <v>14</v>
      </c>
      <c r="I35" s="108">
        <v>200</v>
      </c>
      <c r="J35" s="108">
        <v>14</v>
      </c>
      <c r="K35" s="273">
        <v>20</v>
      </c>
      <c r="L35" s="108">
        <v>14</v>
      </c>
      <c r="M35" s="108">
        <v>60</v>
      </c>
    </row>
    <row r="36" spans="1:13" ht="15" customHeight="1" x14ac:dyDescent="0.3">
      <c r="A36" s="108">
        <v>140001</v>
      </c>
      <c r="B36" s="108">
        <v>15</v>
      </c>
      <c r="C36" s="108">
        <v>110</v>
      </c>
      <c r="D36" s="108">
        <v>15</v>
      </c>
      <c r="E36" s="108">
        <f t="shared" si="0"/>
        <v>82</v>
      </c>
      <c r="F36" s="108">
        <v>15</v>
      </c>
      <c r="G36" s="248">
        <f t="shared" si="1"/>
        <v>72</v>
      </c>
      <c r="H36" s="108">
        <v>15</v>
      </c>
      <c r="I36" s="108">
        <v>200</v>
      </c>
      <c r="J36" s="108">
        <v>15</v>
      </c>
      <c r="K36" s="273">
        <v>20</v>
      </c>
      <c r="L36" s="108">
        <v>15</v>
      </c>
      <c r="M36" s="108">
        <v>60</v>
      </c>
    </row>
    <row r="37" spans="1:13" ht="15" customHeight="1" x14ac:dyDescent="0.3">
      <c r="A37" s="108">
        <v>150001</v>
      </c>
      <c r="B37" s="108">
        <v>16</v>
      </c>
      <c r="C37" s="108">
        <v>110</v>
      </c>
      <c r="D37" s="108">
        <v>16</v>
      </c>
      <c r="E37" s="108">
        <f t="shared" si="0"/>
        <v>82</v>
      </c>
      <c r="F37" s="108">
        <v>16</v>
      </c>
      <c r="G37" s="248">
        <f t="shared" si="1"/>
        <v>72</v>
      </c>
      <c r="H37" s="108">
        <v>16</v>
      </c>
      <c r="I37" s="108">
        <v>200</v>
      </c>
      <c r="J37" s="108">
        <v>16</v>
      </c>
      <c r="K37" s="273">
        <v>20</v>
      </c>
      <c r="L37" s="108">
        <v>16</v>
      </c>
      <c r="M37" s="108">
        <v>60</v>
      </c>
    </row>
    <row r="38" spans="1:13" ht="15" customHeight="1" x14ac:dyDescent="0.3">
      <c r="A38" s="108">
        <v>160001</v>
      </c>
      <c r="B38" s="108">
        <v>17</v>
      </c>
      <c r="C38" s="108">
        <v>110</v>
      </c>
      <c r="D38" s="108">
        <v>17</v>
      </c>
      <c r="E38" s="108">
        <f t="shared" si="0"/>
        <v>82</v>
      </c>
      <c r="F38" s="108">
        <v>17</v>
      </c>
      <c r="G38" s="248">
        <f t="shared" si="1"/>
        <v>72</v>
      </c>
      <c r="H38" s="108">
        <v>17</v>
      </c>
      <c r="I38" s="108">
        <v>200</v>
      </c>
      <c r="J38" s="108">
        <v>17</v>
      </c>
      <c r="K38" s="273">
        <v>20</v>
      </c>
      <c r="L38" s="108">
        <v>17</v>
      </c>
      <c r="M38" s="108">
        <v>60</v>
      </c>
    </row>
    <row r="39" spans="1:13" ht="15" customHeight="1" x14ac:dyDescent="0.3">
      <c r="A39" s="108">
        <v>170001</v>
      </c>
      <c r="B39" s="108">
        <v>18</v>
      </c>
      <c r="C39" s="108">
        <v>110</v>
      </c>
      <c r="D39" s="108">
        <v>18</v>
      </c>
      <c r="E39" s="108">
        <f t="shared" si="0"/>
        <v>82</v>
      </c>
      <c r="F39" s="108">
        <v>18</v>
      </c>
      <c r="G39" s="248">
        <f t="shared" si="1"/>
        <v>72</v>
      </c>
      <c r="H39" s="108">
        <v>18</v>
      </c>
      <c r="I39" s="108">
        <v>200</v>
      </c>
      <c r="J39" s="108">
        <v>18</v>
      </c>
      <c r="K39" s="273">
        <v>20</v>
      </c>
      <c r="L39" s="108">
        <v>18</v>
      </c>
      <c r="M39" s="108">
        <v>60</v>
      </c>
    </row>
    <row r="40" spans="1:13" ht="15" customHeight="1" x14ac:dyDescent="0.3">
      <c r="A40" s="108">
        <v>180001</v>
      </c>
      <c r="B40" s="108">
        <v>19</v>
      </c>
      <c r="C40" s="108">
        <v>110</v>
      </c>
      <c r="D40" s="108">
        <v>19</v>
      </c>
      <c r="E40" s="108">
        <f t="shared" si="0"/>
        <v>82</v>
      </c>
      <c r="F40" s="108">
        <v>19</v>
      </c>
      <c r="G40" s="248">
        <f t="shared" si="1"/>
        <v>72</v>
      </c>
      <c r="H40" s="108">
        <v>19</v>
      </c>
      <c r="I40" s="108">
        <v>200</v>
      </c>
      <c r="J40" s="108">
        <v>19</v>
      </c>
      <c r="K40" s="273">
        <v>20</v>
      </c>
      <c r="L40" s="108">
        <v>19</v>
      </c>
      <c r="M40" s="108">
        <v>60</v>
      </c>
    </row>
    <row r="41" spans="1:13" ht="15" customHeight="1" x14ac:dyDescent="0.3">
      <c r="A41" s="108">
        <v>190001</v>
      </c>
      <c r="B41" s="108">
        <v>20</v>
      </c>
      <c r="C41" s="108">
        <v>110</v>
      </c>
      <c r="D41" s="108">
        <v>20</v>
      </c>
      <c r="E41" s="108">
        <f t="shared" si="0"/>
        <v>82</v>
      </c>
      <c r="F41" s="108">
        <v>20</v>
      </c>
      <c r="G41" s="248">
        <f t="shared" si="1"/>
        <v>72</v>
      </c>
      <c r="H41" s="108">
        <v>20</v>
      </c>
      <c r="I41" s="108">
        <v>200</v>
      </c>
      <c r="J41" s="108">
        <v>20</v>
      </c>
      <c r="K41" s="273">
        <v>20</v>
      </c>
      <c r="L41" s="108">
        <v>20</v>
      </c>
      <c r="M41" s="108">
        <v>60</v>
      </c>
    </row>
    <row r="42" spans="1:13" ht="15" customHeight="1" x14ac:dyDescent="0.3">
      <c r="A42" s="108">
        <v>200001</v>
      </c>
      <c r="B42" s="108">
        <v>21</v>
      </c>
      <c r="C42" s="108">
        <v>110</v>
      </c>
      <c r="D42" s="108">
        <v>21</v>
      </c>
      <c r="E42" s="108">
        <f t="shared" si="0"/>
        <v>82</v>
      </c>
      <c r="F42" s="108">
        <v>21</v>
      </c>
      <c r="G42" s="248">
        <f t="shared" si="1"/>
        <v>72</v>
      </c>
      <c r="H42" s="108">
        <v>21</v>
      </c>
      <c r="I42" s="108">
        <v>200</v>
      </c>
      <c r="J42" s="108">
        <v>21</v>
      </c>
      <c r="K42" s="273">
        <v>20</v>
      </c>
      <c r="L42" s="108">
        <v>21</v>
      </c>
      <c r="M42" s="108">
        <v>60</v>
      </c>
    </row>
    <row r="43" spans="1:13" ht="15" customHeight="1" x14ac:dyDescent="0.3">
      <c r="A43" s="108">
        <v>210001</v>
      </c>
      <c r="B43" s="108">
        <v>22</v>
      </c>
      <c r="C43" s="108">
        <v>110</v>
      </c>
      <c r="D43" s="108">
        <v>22</v>
      </c>
      <c r="E43" s="108">
        <f t="shared" si="0"/>
        <v>82</v>
      </c>
      <c r="F43" s="108">
        <v>22</v>
      </c>
      <c r="G43" s="248">
        <f t="shared" si="1"/>
        <v>72</v>
      </c>
      <c r="H43" s="108">
        <v>22</v>
      </c>
      <c r="I43" s="108">
        <v>200</v>
      </c>
      <c r="J43" s="108">
        <v>22</v>
      </c>
      <c r="K43" s="273">
        <v>20</v>
      </c>
      <c r="L43" s="108">
        <v>22</v>
      </c>
      <c r="M43" s="108">
        <v>60</v>
      </c>
    </row>
    <row r="44" spans="1:13" ht="15" customHeight="1" x14ac:dyDescent="0.3">
      <c r="A44" s="108">
        <v>220001</v>
      </c>
      <c r="B44" s="108">
        <v>23</v>
      </c>
      <c r="C44" s="108">
        <v>110</v>
      </c>
      <c r="D44" s="108">
        <v>23</v>
      </c>
      <c r="E44" s="108">
        <f t="shared" si="0"/>
        <v>82</v>
      </c>
      <c r="F44" s="108">
        <v>23</v>
      </c>
      <c r="G44" s="248">
        <f t="shared" si="1"/>
        <v>72</v>
      </c>
      <c r="H44" s="108">
        <v>23</v>
      </c>
      <c r="I44" s="108">
        <v>200</v>
      </c>
      <c r="J44" s="108">
        <v>23</v>
      </c>
      <c r="K44" s="273">
        <v>20</v>
      </c>
      <c r="L44" s="108">
        <v>23</v>
      </c>
      <c r="M44" s="108">
        <v>60</v>
      </c>
    </row>
    <row r="45" spans="1:13" ht="15" customHeight="1" x14ac:dyDescent="0.3">
      <c r="A45" s="108">
        <v>230001</v>
      </c>
      <c r="B45" s="108">
        <v>24</v>
      </c>
      <c r="C45" s="108">
        <v>110</v>
      </c>
      <c r="D45" s="108">
        <v>24</v>
      </c>
      <c r="E45" s="108">
        <f t="shared" si="0"/>
        <v>82</v>
      </c>
      <c r="F45" s="108">
        <v>24</v>
      </c>
      <c r="G45" s="248">
        <f t="shared" si="1"/>
        <v>72</v>
      </c>
      <c r="H45" s="108">
        <v>24</v>
      </c>
      <c r="I45" s="108">
        <v>200</v>
      </c>
      <c r="J45" s="108">
        <v>24</v>
      </c>
      <c r="K45" s="273">
        <v>20</v>
      </c>
      <c r="L45" s="108">
        <v>24</v>
      </c>
      <c r="M45" s="108">
        <v>60</v>
      </c>
    </row>
    <row r="46" spans="1:13" ht="15" customHeight="1" x14ac:dyDescent="0.3">
      <c r="A46" s="108">
        <v>240001</v>
      </c>
      <c r="B46" s="108">
        <v>25</v>
      </c>
      <c r="C46" s="108">
        <v>110</v>
      </c>
      <c r="D46" s="108">
        <v>25</v>
      </c>
      <c r="E46" s="108">
        <f t="shared" si="0"/>
        <v>82</v>
      </c>
      <c r="F46" s="108">
        <v>25</v>
      </c>
      <c r="G46" s="248">
        <f t="shared" si="1"/>
        <v>72</v>
      </c>
      <c r="H46" s="108">
        <v>25</v>
      </c>
      <c r="I46" s="108">
        <v>200</v>
      </c>
      <c r="J46" s="108">
        <v>25</v>
      </c>
      <c r="K46" s="273">
        <v>20</v>
      </c>
      <c r="L46" s="108">
        <v>25</v>
      </c>
      <c r="M46" s="108">
        <v>60</v>
      </c>
    </row>
    <row r="47" spans="1:13" ht="15" customHeight="1" x14ac:dyDescent="0.3">
      <c r="A47" s="108">
        <v>250001</v>
      </c>
      <c r="B47" s="108">
        <v>26</v>
      </c>
      <c r="C47" s="108">
        <v>110</v>
      </c>
      <c r="D47" s="108">
        <v>26</v>
      </c>
      <c r="E47" s="108">
        <f t="shared" si="0"/>
        <v>82</v>
      </c>
      <c r="F47" s="108">
        <v>26</v>
      </c>
      <c r="G47" s="248">
        <f t="shared" si="1"/>
        <v>72</v>
      </c>
      <c r="H47" s="108">
        <v>26</v>
      </c>
      <c r="I47" s="108">
        <v>200</v>
      </c>
      <c r="J47" s="108">
        <v>26</v>
      </c>
      <c r="K47" s="273">
        <v>20</v>
      </c>
      <c r="L47" s="108">
        <v>26</v>
      </c>
      <c r="M47" s="108">
        <v>60</v>
      </c>
    </row>
    <row r="48" spans="1:13" ht="15" customHeight="1" x14ac:dyDescent="0.3">
      <c r="A48" s="108">
        <v>260001</v>
      </c>
      <c r="B48" s="108">
        <v>27</v>
      </c>
      <c r="C48" s="108">
        <v>110</v>
      </c>
      <c r="D48" s="108">
        <v>27</v>
      </c>
      <c r="E48" s="108">
        <f t="shared" si="0"/>
        <v>82</v>
      </c>
      <c r="F48" s="108">
        <v>27</v>
      </c>
      <c r="G48" s="248">
        <f t="shared" si="1"/>
        <v>72</v>
      </c>
      <c r="H48" s="108">
        <v>27</v>
      </c>
      <c r="I48" s="108">
        <v>200</v>
      </c>
      <c r="J48" s="108">
        <v>27</v>
      </c>
      <c r="K48" s="273">
        <v>20</v>
      </c>
      <c r="L48" s="108">
        <v>27</v>
      </c>
      <c r="M48" s="108">
        <v>60</v>
      </c>
    </row>
    <row r="49" spans="1:13" ht="15" customHeight="1" x14ac:dyDescent="0.3">
      <c r="A49" s="108">
        <v>270001</v>
      </c>
      <c r="B49" s="108">
        <v>28</v>
      </c>
      <c r="C49" s="108">
        <v>110</v>
      </c>
      <c r="D49" s="108">
        <v>28</v>
      </c>
      <c r="E49" s="108">
        <f t="shared" si="0"/>
        <v>82</v>
      </c>
      <c r="F49" s="108">
        <v>28</v>
      </c>
      <c r="G49" s="248">
        <f t="shared" si="1"/>
        <v>72</v>
      </c>
      <c r="H49" s="108">
        <v>28</v>
      </c>
      <c r="I49" s="108">
        <v>200</v>
      </c>
      <c r="J49" s="108">
        <v>28</v>
      </c>
      <c r="K49" s="273">
        <v>20</v>
      </c>
      <c r="L49" s="108">
        <v>28</v>
      </c>
      <c r="M49" s="108">
        <v>60</v>
      </c>
    </row>
    <row r="50" spans="1:13" ht="15" customHeight="1" x14ac:dyDescent="0.3">
      <c r="A50" s="108">
        <v>280001</v>
      </c>
      <c r="B50" s="108">
        <v>29</v>
      </c>
      <c r="C50" s="108">
        <v>110</v>
      </c>
      <c r="D50" s="108">
        <v>29</v>
      </c>
      <c r="E50" s="108">
        <f t="shared" si="0"/>
        <v>82</v>
      </c>
      <c r="F50" s="108">
        <v>29</v>
      </c>
      <c r="G50" s="248">
        <f t="shared" si="1"/>
        <v>72</v>
      </c>
      <c r="H50" s="108">
        <v>29</v>
      </c>
      <c r="I50" s="108">
        <v>200</v>
      </c>
      <c r="J50" s="108">
        <v>29</v>
      </c>
      <c r="K50" s="273">
        <v>20</v>
      </c>
      <c r="L50" s="108">
        <v>29</v>
      </c>
      <c r="M50" s="108">
        <v>60</v>
      </c>
    </row>
    <row r="51" spans="1:13" ht="15" customHeight="1" x14ac:dyDescent="0.3">
      <c r="A51" s="108">
        <v>290001</v>
      </c>
      <c r="B51" s="108">
        <v>30</v>
      </c>
      <c r="C51" s="108">
        <v>110</v>
      </c>
      <c r="D51" s="108">
        <v>30</v>
      </c>
      <c r="E51" s="108">
        <f t="shared" si="0"/>
        <v>82</v>
      </c>
      <c r="F51" s="108">
        <v>30</v>
      </c>
      <c r="G51" s="248">
        <f t="shared" si="1"/>
        <v>72</v>
      </c>
      <c r="H51" s="108">
        <v>30</v>
      </c>
      <c r="I51" s="108">
        <v>200</v>
      </c>
      <c r="J51" s="108">
        <v>30</v>
      </c>
      <c r="K51" s="273">
        <v>20</v>
      </c>
      <c r="L51" s="108">
        <v>30</v>
      </c>
      <c r="M51" s="108">
        <v>60</v>
      </c>
    </row>
    <row r="52" spans="1:13" ht="15" customHeight="1" x14ac:dyDescent="0.3">
      <c r="A52" s="108">
        <v>300001</v>
      </c>
      <c r="B52" s="108">
        <v>31</v>
      </c>
      <c r="C52" s="108">
        <v>110</v>
      </c>
      <c r="D52" s="108">
        <v>31</v>
      </c>
      <c r="E52" s="108">
        <f t="shared" si="0"/>
        <v>82</v>
      </c>
      <c r="F52" s="108">
        <v>31</v>
      </c>
      <c r="G52" s="248">
        <f t="shared" si="1"/>
        <v>72</v>
      </c>
      <c r="H52" s="108">
        <v>31</v>
      </c>
      <c r="I52" s="108">
        <v>200</v>
      </c>
      <c r="J52" s="108">
        <v>31</v>
      </c>
      <c r="K52" s="273">
        <v>20</v>
      </c>
      <c r="L52" s="108">
        <v>31</v>
      </c>
      <c r="M52" s="108">
        <v>60</v>
      </c>
    </row>
    <row r="53" spans="1:13" ht="15" customHeight="1" x14ac:dyDescent="0.3">
      <c r="A53" s="108">
        <v>310001</v>
      </c>
      <c r="B53" s="108">
        <v>32</v>
      </c>
      <c r="C53" s="108">
        <v>110</v>
      </c>
      <c r="D53" s="108">
        <v>32</v>
      </c>
      <c r="E53" s="108">
        <f t="shared" si="0"/>
        <v>82</v>
      </c>
      <c r="F53" s="108">
        <v>32</v>
      </c>
      <c r="G53" s="248">
        <f t="shared" si="1"/>
        <v>72</v>
      </c>
      <c r="H53" s="108">
        <v>32</v>
      </c>
      <c r="I53" s="108">
        <v>200</v>
      </c>
      <c r="J53" s="108">
        <v>32</v>
      </c>
      <c r="K53" s="273">
        <v>20</v>
      </c>
      <c r="L53" s="108">
        <v>32</v>
      </c>
      <c r="M53" s="108">
        <v>60</v>
      </c>
    </row>
    <row r="54" spans="1:13" ht="15" customHeight="1" x14ac:dyDescent="0.3">
      <c r="A54" s="108">
        <v>320001</v>
      </c>
      <c r="B54" s="108">
        <v>33</v>
      </c>
      <c r="C54" s="108">
        <v>110</v>
      </c>
      <c r="D54" s="108">
        <v>33</v>
      </c>
      <c r="E54" s="108">
        <f t="shared" si="0"/>
        <v>82</v>
      </c>
      <c r="F54" s="108">
        <v>33</v>
      </c>
      <c r="G54" s="248">
        <f t="shared" si="1"/>
        <v>72</v>
      </c>
      <c r="H54" s="108">
        <v>33</v>
      </c>
      <c r="I54" s="108">
        <v>200</v>
      </c>
      <c r="J54" s="108">
        <v>33</v>
      </c>
      <c r="K54" s="273">
        <v>20</v>
      </c>
      <c r="L54" s="108">
        <v>33</v>
      </c>
      <c r="M54" s="108">
        <v>60</v>
      </c>
    </row>
    <row r="55" spans="1:13" ht="15" customHeight="1" x14ac:dyDescent="0.3">
      <c r="A55" s="108">
        <v>330001</v>
      </c>
      <c r="B55" s="108">
        <v>34</v>
      </c>
      <c r="C55" s="108">
        <v>110</v>
      </c>
      <c r="D55" s="108">
        <v>34</v>
      </c>
      <c r="E55" s="108">
        <f t="shared" si="0"/>
        <v>82</v>
      </c>
      <c r="F55" s="108">
        <v>34</v>
      </c>
      <c r="G55" s="248">
        <f t="shared" si="1"/>
        <v>72</v>
      </c>
      <c r="H55" s="108">
        <v>34</v>
      </c>
      <c r="I55" s="108">
        <v>200</v>
      </c>
      <c r="J55" s="108">
        <v>34</v>
      </c>
      <c r="K55" s="273">
        <v>20</v>
      </c>
      <c r="L55" s="108">
        <v>34</v>
      </c>
      <c r="M55" s="108">
        <v>60</v>
      </c>
    </row>
    <row r="56" spans="1:13" ht="15" customHeight="1" x14ac:dyDescent="0.3">
      <c r="A56" s="108">
        <v>340001</v>
      </c>
      <c r="B56" s="108">
        <v>35</v>
      </c>
      <c r="C56" s="108">
        <v>110</v>
      </c>
      <c r="D56" s="108">
        <v>35</v>
      </c>
      <c r="E56" s="108">
        <f t="shared" si="0"/>
        <v>82</v>
      </c>
      <c r="F56" s="108">
        <v>35</v>
      </c>
      <c r="G56" s="248">
        <f t="shared" si="1"/>
        <v>72</v>
      </c>
      <c r="H56" s="108">
        <v>35</v>
      </c>
      <c r="I56" s="108">
        <v>200</v>
      </c>
      <c r="J56" s="108">
        <v>35</v>
      </c>
      <c r="K56" s="273">
        <v>20</v>
      </c>
      <c r="L56" s="108">
        <v>35</v>
      </c>
      <c r="M56" s="108">
        <v>60</v>
      </c>
    </row>
    <row r="57" spans="1:13" ht="15" customHeight="1" x14ac:dyDescent="0.3">
      <c r="A57" s="108">
        <v>350001</v>
      </c>
      <c r="B57" s="108">
        <v>36</v>
      </c>
      <c r="C57" s="108">
        <v>110</v>
      </c>
      <c r="D57" s="108">
        <v>36</v>
      </c>
      <c r="E57" s="108">
        <f t="shared" si="0"/>
        <v>82</v>
      </c>
      <c r="F57" s="108">
        <v>36</v>
      </c>
      <c r="G57" s="248">
        <f t="shared" si="1"/>
        <v>72</v>
      </c>
      <c r="H57" s="108">
        <v>36</v>
      </c>
      <c r="I57" s="108">
        <v>200</v>
      </c>
      <c r="J57" s="108">
        <v>36</v>
      </c>
      <c r="K57" s="273">
        <v>20</v>
      </c>
      <c r="L57" s="108">
        <v>36</v>
      </c>
      <c r="M57" s="108">
        <v>60</v>
      </c>
    </row>
    <row r="58" spans="1:13" ht="15" customHeight="1" x14ac:dyDescent="0.3">
      <c r="A58" s="108">
        <v>360001</v>
      </c>
      <c r="B58" s="108">
        <v>37</v>
      </c>
      <c r="C58" s="108">
        <v>110</v>
      </c>
      <c r="D58" s="108">
        <v>37</v>
      </c>
      <c r="E58" s="108">
        <f t="shared" si="0"/>
        <v>82</v>
      </c>
      <c r="F58" s="108">
        <v>37</v>
      </c>
      <c r="G58" s="248">
        <f t="shared" si="1"/>
        <v>72</v>
      </c>
      <c r="H58" s="108">
        <v>37</v>
      </c>
      <c r="I58" s="108">
        <v>200</v>
      </c>
      <c r="J58" s="108">
        <v>37</v>
      </c>
      <c r="K58" s="273">
        <v>20</v>
      </c>
      <c r="L58" s="108">
        <v>37</v>
      </c>
      <c r="M58" s="108">
        <v>60</v>
      </c>
    </row>
    <row r="59" spans="1:13" ht="15" customHeight="1" x14ac:dyDescent="0.3">
      <c r="A59" s="108">
        <v>370001</v>
      </c>
      <c r="B59" s="108">
        <v>38</v>
      </c>
      <c r="C59" s="108">
        <v>110</v>
      </c>
      <c r="D59" s="108">
        <v>38</v>
      </c>
      <c r="E59" s="108">
        <f t="shared" si="0"/>
        <v>82</v>
      </c>
      <c r="F59" s="108">
        <v>38</v>
      </c>
      <c r="G59" s="248">
        <f t="shared" si="1"/>
        <v>72</v>
      </c>
      <c r="H59" s="108">
        <v>38</v>
      </c>
      <c r="I59" s="108">
        <v>200</v>
      </c>
      <c r="J59" s="108">
        <v>38</v>
      </c>
      <c r="K59" s="273">
        <v>20</v>
      </c>
      <c r="L59" s="108">
        <v>38</v>
      </c>
      <c r="M59" s="108">
        <v>60</v>
      </c>
    </row>
    <row r="60" spans="1:13" ht="15" customHeight="1" x14ac:dyDescent="0.3">
      <c r="A60" s="108">
        <v>380001</v>
      </c>
      <c r="B60" s="108">
        <v>39</v>
      </c>
      <c r="C60" s="108">
        <v>110</v>
      </c>
      <c r="D60" s="108">
        <v>39</v>
      </c>
      <c r="E60" s="108">
        <f t="shared" si="0"/>
        <v>82</v>
      </c>
      <c r="F60" s="108">
        <v>39</v>
      </c>
      <c r="G60" s="248">
        <f t="shared" si="1"/>
        <v>72</v>
      </c>
      <c r="H60" s="108">
        <v>39</v>
      </c>
      <c r="I60" s="108">
        <v>200</v>
      </c>
      <c r="J60" s="108">
        <v>39</v>
      </c>
      <c r="K60" s="273">
        <v>20</v>
      </c>
      <c r="L60" s="108">
        <v>39</v>
      </c>
      <c r="M60" s="108">
        <v>60</v>
      </c>
    </row>
    <row r="61" spans="1:13" ht="15" customHeight="1" x14ac:dyDescent="0.3">
      <c r="A61" s="108">
        <v>390001</v>
      </c>
      <c r="B61" s="108">
        <v>40</v>
      </c>
      <c r="C61" s="108">
        <v>110</v>
      </c>
      <c r="D61" s="108">
        <v>40</v>
      </c>
      <c r="E61" s="108">
        <f t="shared" si="0"/>
        <v>82</v>
      </c>
      <c r="F61" s="108">
        <v>40</v>
      </c>
      <c r="G61" s="248">
        <f t="shared" si="1"/>
        <v>72</v>
      </c>
      <c r="H61" s="108">
        <v>40</v>
      </c>
      <c r="I61" s="108">
        <v>200</v>
      </c>
      <c r="J61" s="108">
        <v>40</v>
      </c>
      <c r="K61" s="273">
        <v>20</v>
      </c>
      <c r="L61" s="108">
        <v>40</v>
      </c>
      <c r="M61" s="108">
        <v>60</v>
      </c>
    </row>
  </sheetData>
  <sheetProtection algorithmName="SHA-512" hashValue="OmqRWS5IkaBRR+fLdxY+x9T70xQmYH5tiznrTvqDG7r+MHYpJ18b5GrUBliefA1LDeveBIw+/tFZ5bYhHIwG+g==" saltValue="31gCt0p9Cckqnx+aPSJVBw==" spinCount="100000" sheet="1" objects="1" scenarios="1"/>
  <mergeCells count="31">
    <mergeCell ref="A1:M1"/>
    <mergeCell ref="A9:A13"/>
    <mergeCell ref="K16:K19"/>
    <mergeCell ref="L16:L19"/>
    <mergeCell ref="M16:M19"/>
    <mergeCell ref="I9:I12"/>
    <mergeCell ref="J9:J12"/>
    <mergeCell ref="K9:K12"/>
    <mergeCell ref="L9:L12"/>
    <mergeCell ref="F9:F12"/>
    <mergeCell ref="C3:C6"/>
    <mergeCell ref="D3:M7"/>
    <mergeCell ref="D16:D19"/>
    <mergeCell ref="E16:E19"/>
    <mergeCell ref="F16:F19"/>
    <mergeCell ref="G16:G19"/>
    <mergeCell ref="A16:A19"/>
    <mergeCell ref="A3:A6"/>
    <mergeCell ref="B3:B6"/>
    <mergeCell ref="M9:M12"/>
    <mergeCell ref="B16:B19"/>
    <mergeCell ref="C16:C19"/>
    <mergeCell ref="H16:H19"/>
    <mergeCell ref="B9:B12"/>
    <mergeCell ref="C9:C12"/>
    <mergeCell ref="D9:D12"/>
    <mergeCell ref="E9:E12"/>
    <mergeCell ref="I16:I19"/>
    <mergeCell ref="J16:J19"/>
    <mergeCell ref="G9:G12"/>
    <mergeCell ref="H9:H12"/>
  </mergeCells>
  <printOptions horizontalCentered="1"/>
  <pageMargins left="0.7" right="0.7" top="0.75" bottom="0.75" header="0.3" footer="0.3"/>
  <pageSetup scale="81" orientation="portrait" r:id="rId1"/>
  <customProperties>
    <customPr name="SSC_SHEET_GUID" r:id="rId2"/>
  </customProperties>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24"/>
  <sheetViews>
    <sheetView workbookViewId="0"/>
  </sheetViews>
  <sheetFormatPr defaultRowHeight="14.4" x14ac:dyDescent="0.3"/>
  <sheetData>
    <row r="1" spans="1:5" x14ac:dyDescent="0.3">
      <c r="A1" t="s">
        <v>390</v>
      </c>
      <c r="B1" t="s">
        <v>452</v>
      </c>
      <c r="C1" t="s">
        <v>488</v>
      </c>
      <c r="D1" t="s">
        <v>489</v>
      </c>
      <c r="E1" t="s">
        <v>385</v>
      </c>
    </row>
    <row r="2" spans="1:5" x14ac:dyDescent="0.3">
      <c r="A2" t="s">
        <v>392</v>
      </c>
      <c r="B2" t="s">
        <v>454</v>
      </c>
      <c r="C2" t="s">
        <v>413</v>
      </c>
    </row>
    <row r="3" spans="1:5" x14ac:dyDescent="0.3">
      <c r="A3" t="s">
        <v>455</v>
      </c>
      <c r="B3" t="s">
        <v>456</v>
      </c>
      <c r="C3" t="s">
        <v>414</v>
      </c>
    </row>
    <row r="4" spans="1:5" x14ac:dyDescent="0.3">
      <c r="A4" t="s">
        <v>457</v>
      </c>
      <c r="B4" t="s">
        <v>458</v>
      </c>
      <c r="C4" t="s">
        <v>415</v>
      </c>
    </row>
    <row r="5" spans="1:5" x14ac:dyDescent="0.3">
      <c r="A5" t="s">
        <v>459</v>
      </c>
      <c r="B5" t="s">
        <v>460</v>
      </c>
      <c r="C5" t="s">
        <v>416</v>
      </c>
    </row>
    <row r="6" spans="1:5" x14ac:dyDescent="0.3">
      <c r="A6" t="s">
        <v>461</v>
      </c>
      <c r="B6" t="s">
        <v>462</v>
      </c>
      <c r="C6" t="s">
        <v>417</v>
      </c>
    </row>
    <row r="7" spans="1:5" x14ac:dyDescent="0.3">
      <c r="A7" t="s">
        <v>463</v>
      </c>
      <c r="B7" t="s">
        <v>464</v>
      </c>
      <c r="C7" t="s">
        <v>418</v>
      </c>
    </row>
    <row r="8" spans="1:5" x14ac:dyDescent="0.3">
      <c r="A8" t="s">
        <v>465</v>
      </c>
      <c r="B8" t="s">
        <v>466</v>
      </c>
      <c r="C8" t="s">
        <v>419</v>
      </c>
    </row>
    <row r="9" spans="1:5" x14ac:dyDescent="0.3">
      <c r="A9" t="s">
        <v>467</v>
      </c>
      <c r="B9" t="s">
        <v>468</v>
      </c>
      <c r="C9" t="s">
        <v>386</v>
      </c>
    </row>
    <row r="10" spans="1:5" x14ac:dyDescent="0.3">
      <c r="A10" t="s">
        <v>469</v>
      </c>
      <c r="B10" t="s">
        <v>470</v>
      </c>
      <c r="C10" t="s">
        <v>387</v>
      </c>
    </row>
    <row r="11" spans="1:5" x14ac:dyDescent="0.3">
      <c r="A11" t="s">
        <v>471</v>
      </c>
      <c r="B11" t="s">
        <v>472</v>
      </c>
      <c r="C11" t="s">
        <v>503</v>
      </c>
    </row>
    <row r="12" spans="1:5" x14ac:dyDescent="0.3">
      <c r="A12" t="s">
        <v>473</v>
      </c>
      <c r="B12" t="s">
        <v>474</v>
      </c>
      <c r="C12" t="s">
        <v>504</v>
      </c>
    </row>
    <row r="13" spans="1:5" x14ac:dyDescent="0.3">
      <c r="A13" t="s">
        <v>475</v>
      </c>
      <c r="B13" t="s">
        <v>476</v>
      </c>
      <c r="C13" t="s">
        <v>505</v>
      </c>
    </row>
    <row r="14" spans="1:5" x14ac:dyDescent="0.3">
      <c r="A14" t="s">
        <v>477</v>
      </c>
      <c r="B14" t="s">
        <v>478</v>
      </c>
    </row>
    <row r="15" spans="1:5" x14ac:dyDescent="0.3">
      <c r="A15" t="s">
        <v>479</v>
      </c>
      <c r="B15" t="s">
        <v>480</v>
      </c>
    </row>
    <row r="16" spans="1:5" x14ac:dyDescent="0.3">
      <c r="A16" t="s">
        <v>481</v>
      </c>
    </row>
    <row r="17" spans="1:2" x14ac:dyDescent="0.3">
      <c r="A17" t="s">
        <v>482</v>
      </c>
      <c r="B17" t="s">
        <v>483</v>
      </c>
    </row>
    <row r="18" spans="1:2" x14ac:dyDescent="0.3">
      <c r="A18" t="s">
        <v>484</v>
      </c>
      <c r="B18" t="s">
        <v>485</v>
      </c>
    </row>
    <row r="19" spans="1:2" x14ac:dyDescent="0.3">
      <c r="A19" t="s">
        <v>486</v>
      </c>
      <c r="B19" t="s">
        <v>487</v>
      </c>
    </row>
    <row r="20" spans="1:2" x14ac:dyDescent="0.3">
      <c r="A20" t="s">
        <v>490</v>
      </c>
      <c r="B20" t="s">
        <v>491</v>
      </c>
    </row>
    <row r="21" spans="1:2" x14ac:dyDescent="0.3">
      <c r="A21" t="s">
        <v>493</v>
      </c>
      <c r="B21" t="s">
        <v>494</v>
      </c>
    </row>
    <row r="22" spans="1:2" x14ac:dyDescent="0.3">
      <c r="A22" t="s">
        <v>495</v>
      </c>
      <c r="B22" t="s">
        <v>496</v>
      </c>
    </row>
    <row r="23" spans="1:2" x14ac:dyDescent="0.3">
      <c r="A23" t="s">
        <v>497</v>
      </c>
      <c r="B23" t="s">
        <v>498</v>
      </c>
    </row>
    <row r="24" spans="1:2" x14ac:dyDescent="0.3">
      <c r="A24" t="s">
        <v>501</v>
      </c>
      <c r="B24" t="s">
        <v>502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2"/>
  <sheetViews>
    <sheetView workbookViewId="0"/>
  </sheetViews>
  <sheetFormatPr defaultRowHeight="14.4" x14ac:dyDescent="0.3"/>
  <cols>
    <col min="1" max="3" width="11" bestFit="1" customWidth="1"/>
  </cols>
  <sheetData>
    <row r="1" spans="1:3" x14ac:dyDescent="0.3">
      <c r="A1" s="300" t="s">
        <v>391</v>
      </c>
      <c r="B1" s="300" t="s">
        <v>391</v>
      </c>
      <c r="C1" s="300" t="s">
        <v>391</v>
      </c>
    </row>
    <row r="2" spans="1:3" x14ac:dyDescent="0.3">
      <c r="A2" s="300" t="s">
        <v>86</v>
      </c>
      <c r="B2" s="300" t="s">
        <v>86</v>
      </c>
      <c r="C2" s="300" t="s">
        <v>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H30"/>
  <sheetViews>
    <sheetView showGridLines="0" zoomScaleNormal="100" zoomScaleSheetLayoutView="100" workbookViewId="0">
      <selection activeCell="C21" sqref="C21"/>
    </sheetView>
  </sheetViews>
  <sheetFormatPr defaultColWidth="8" defaultRowHeight="14.4" x14ac:dyDescent="0.3"/>
  <cols>
    <col min="1" max="1" width="25.6640625" style="19" customWidth="1"/>
    <col min="2" max="2" width="7.6640625" style="19" customWidth="1"/>
    <col min="3" max="5" width="15.6640625" style="19" customWidth="1"/>
    <col min="6" max="6" width="30.6640625" style="19" customWidth="1"/>
    <col min="7" max="7" width="22.6640625" style="19" customWidth="1"/>
    <col min="8" max="8" width="18.6640625" style="19" customWidth="1"/>
    <col min="9" max="16384" width="8" style="19"/>
  </cols>
  <sheetData>
    <row r="1" spans="1:8" s="84" customFormat="1" ht="39.9" customHeight="1" x14ac:dyDescent="0.3">
      <c r="A1" s="347" t="s">
        <v>48</v>
      </c>
      <c r="C1" s="512" t="str">
        <f>Detailed_Analysis!C1</f>
        <v>Baseline BFR Scenario is Active</v>
      </c>
      <c r="D1" s="513"/>
      <c r="E1" s="513"/>
      <c r="F1" s="513"/>
      <c r="G1" s="358" t="s">
        <v>444</v>
      </c>
      <c r="H1" s="351" t="str">
        <f>Detailed_Analysis!H20</f>
        <v>Legend:</v>
      </c>
    </row>
    <row r="2" spans="1:8" ht="15" customHeight="1" x14ac:dyDescent="0.3">
      <c r="A2" s="145" t="str">
        <f>Detailed_Analysis!A2</f>
        <v>Activity Data:</v>
      </c>
      <c r="B2" s="146"/>
      <c r="C2" s="509" t="str">
        <f>CONCATENATE("for BFR_",$C$3,"_",$C$4,"_",$C$5,"_",$C$6)</f>
        <v>for BFR____CCN 61010 - Administrative Office Building</v>
      </c>
      <c r="D2" s="510"/>
      <c r="E2" s="510"/>
      <c r="F2" s="511"/>
      <c r="G2" s="25"/>
      <c r="H2" s="156" t="str">
        <f>Detailed_Analysis!H21</f>
        <v>Headers</v>
      </c>
    </row>
    <row r="3" spans="1:8" x14ac:dyDescent="0.3">
      <c r="A3" s="25" t="str">
        <f>Detailed_Analysis!A3</f>
        <v>Installation:</v>
      </c>
      <c r="C3" s="147"/>
      <c r="D3" s="514"/>
      <c r="E3" s="514"/>
      <c r="F3" s="514"/>
      <c r="G3" s="27"/>
      <c r="H3" s="157" t="str">
        <f>Detailed_Analysis!H22</f>
        <v>Inputs</v>
      </c>
    </row>
    <row r="4" spans="1:8" x14ac:dyDescent="0.3">
      <c r="A4" s="25" t="str">
        <f>Detailed_Analysis!A4</f>
        <v>Planning Area:</v>
      </c>
      <c r="C4" s="147"/>
      <c r="D4" s="514"/>
      <c r="E4" s="514"/>
      <c r="F4" s="514"/>
      <c r="G4" s="27"/>
      <c r="H4" s="158" t="str">
        <f>Detailed_Analysis!H23</f>
        <v>Outputs</v>
      </c>
    </row>
    <row r="5" spans="1:8" x14ac:dyDescent="0.3">
      <c r="A5" s="396" t="str">
        <f>Detailed_Analysis!A5</f>
        <v>Activity:</v>
      </c>
      <c r="C5" s="404"/>
      <c r="D5" s="514"/>
      <c r="E5" s="514"/>
      <c r="F5" s="514"/>
      <c r="G5" s="27"/>
      <c r="H5" s="159" t="s">
        <v>45</v>
      </c>
    </row>
    <row r="6" spans="1:8" x14ac:dyDescent="0.3">
      <c r="A6" s="25" t="str">
        <f>Detailed_Analysis!A6</f>
        <v>Category Code:</v>
      </c>
      <c r="B6" s="27"/>
      <c r="C6" s="514" t="s">
        <v>47</v>
      </c>
      <c r="D6" s="514"/>
      <c r="E6" s="514"/>
      <c r="F6" s="514"/>
      <c r="H6" s="35" t="s">
        <v>44</v>
      </c>
    </row>
    <row r="7" spans="1:8" x14ac:dyDescent="0.3">
      <c r="A7" s="24" t="str">
        <f>Detailed_Analysis!A7</f>
        <v>Mission Description:</v>
      </c>
      <c r="B7" s="27"/>
      <c r="C7" s="515"/>
      <c r="D7" s="516"/>
      <c r="E7" s="516"/>
      <c r="F7" s="516"/>
      <c r="G7" s="27"/>
      <c r="H7" s="34" t="s">
        <v>43</v>
      </c>
    </row>
    <row r="8" spans="1:8" x14ac:dyDescent="0.3">
      <c r="A8" s="32"/>
      <c r="B8" s="27"/>
      <c r="C8" s="517"/>
      <c r="D8" s="517"/>
      <c r="E8" s="517"/>
      <c r="F8" s="517"/>
      <c r="H8" s="33" t="s">
        <v>42</v>
      </c>
    </row>
    <row r="9" spans="1:8" x14ac:dyDescent="0.3">
      <c r="A9" s="32"/>
      <c r="B9" s="27"/>
      <c r="C9" s="517"/>
      <c r="D9" s="517"/>
      <c r="E9" s="517"/>
      <c r="F9" s="517"/>
      <c r="G9" s="27"/>
    </row>
    <row r="10" spans="1:8" x14ac:dyDescent="0.3">
      <c r="A10" s="32"/>
      <c r="B10" s="27"/>
      <c r="C10" s="517"/>
      <c r="D10" s="517"/>
      <c r="E10" s="517"/>
      <c r="F10" s="517"/>
      <c r="G10" s="398"/>
      <c r="H10" s="397"/>
    </row>
    <row r="11" spans="1:8" x14ac:dyDescent="0.3">
      <c r="A11" s="24" t="str">
        <f>Detailed_Analysis!A11</f>
        <v>BFR Description:</v>
      </c>
      <c r="B11" s="27"/>
      <c r="C11" s="515"/>
      <c r="D11" s="516"/>
      <c r="E11" s="516"/>
      <c r="F11" s="516"/>
      <c r="G11" s="27"/>
    </row>
    <row r="12" spans="1:8" x14ac:dyDescent="0.3">
      <c r="A12" s="31"/>
      <c r="B12" s="27"/>
      <c r="C12" s="517"/>
      <c r="D12" s="517"/>
      <c r="E12" s="517"/>
      <c r="F12" s="517"/>
      <c r="G12" s="27"/>
    </row>
    <row r="13" spans="1:8" x14ac:dyDescent="0.3">
      <c r="A13" s="31"/>
      <c r="B13" s="27"/>
      <c r="C13" s="517"/>
      <c r="D13" s="517"/>
      <c r="E13" s="517"/>
      <c r="F13" s="517"/>
      <c r="G13" s="27"/>
    </row>
    <row r="14" spans="1:8" x14ac:dyDescent="0.3">
      <c r="A14" s="31"/>
      <c r="B14" s="27"/>
      <c r="C14" s="517"/>
      <c r="D14" s="517"/>
      <c r="E14" s="517"/>
      <c r="F14" s="517"/>
      <c r="G14" s="27"/>
    </row>
    <row r="15" spans="1:8" x14ac:dyDescent="0.3">
      <c r="A15" s="30"/>
      <c r="B15" s="27"/>
      <c r="C15" s="517"/>
      <c r="D15" s="517"/>
      <c r="E15" s="517"/>
      <c r="F15" s="517"/>
      <c r="G15" s="27"/>
    </row>
    <row r="16" spans="1:8" x14ac:dyDescent="0.3">
      <c r="A16" s="27"/>
      <c r="B16" s="27"/>
      <c r="C16" s="517"/>
      <c r="D16" s="517"/>
      <c r="E16" s="517"/>
      <c r="F16" s="517"/>
      <c r="G16" s="27"/>
    </row>
    <row r="17" spans="1:8" x14ac:dyDescent="0.3">
      <c r="A17" s="27"/>
      <c r="B17" s="27"/>
      <c r="C17" s="517"/>
      <c r="D17" s="517"/>
      <c r="E17" s="517"/>
      <c r="F17" s="517"/>
      <c r="G17" s="27"/>
    </row>
    <row r="18" spans="1:8" x14ac:dyDescent="0.3">
      <c r="A18" s="27"/>
      <c r="B18" s="27"/>
      <c r="C18" s="517"/>
      <c r="D18" s="517"/>
      <c r="E18" s="517"/>
      <c r="F18" s="517"/>
      <c r="G18" s="27"/>
    </row>
    <row r="19" spans="1:8" x14ac:dyDescent="0.3">
      <c r="A19" s="27"/>
      <c r="B19" s="27"/>
      <c r="G19" s="27"/>
    </row>
    <row r="20" spans="1:8" x14ac:dyDescent="0.3">
      <c r="A20" s="145" t="str">
        <f>Detailed_Analysis!A20</f>
        <v xml:space="preserve">Space Loading </v>
      </c>
      <c r="B20" s="148"/>
      <c r="C20" s="149" t="str">
        <f>Detailed_Analysis!C20</f>
        <v>Private:</v>
      </c>
      <c r="D20" s="149" t="str">
        <f>Detailed_Analysis!D20</f>
        <v>WST1:</v>
      </c>
      <c r="E20" s="149" t="str">
        <f>Detailed_Analysis!E20</f>
        <v>WST2:</v>
      </c>
      <c r="F20" s="150" t="str">
        <f>Detailed_Analysis!F20</f>
        <v>Space Loading:</v>
      </c>
      <c r="G20" s="27"/>
      <c r="H20" s="27"/>
    </row>
    <row r="21" spans="1:8" ht="30" customHeight="1" x14ac:dyDescent="0.3">
      <c r="A21" s="25" t="str">
        <f>Detailed_Analysis!A22</f>
        <v>Baseline BFR Inputs</v>
      </c>
      <c r="B21" s="27"/>
      <c r="C21" s="151">
        <v>0</v>
      </c>
      <c r="D21" s="151">
        <v>0</v>
      </c>
      <c r="E21" s="151">
        <v>0</v>
      </c>
      <c r="F21" s="152">
        <f>Detailed_Analysis!F22</f>
        <v>0</v>
      </c>
      <c r="G21" s="29"/>
    </row>
    <row r="22" spans="1:8" s="28" customFormat="1" ht="15" hidden="1" customHeight="1" x14ac:dyDescent="0.3">
      <c r="C22" s="100"/>
      <c r="D22" s="100"/>
      <c r="E22" s="100"/>
    </row>
    <row r="23" spans="1:8" s="28" customFormat="1" ht="15" hidden="1" customHeight="1" x14ac:dyDescent="0.3">
      <c r="C23" s="100"/>
      <c r="D23" s="100"/>
      <c r="E23" s="100"/>
    </row>
    <row r="24" spans="1:8" x14ac:dyDescent="0.3">
      <c r="C24" s="394"/>
      <c r="D24" s="85"/>
      <c r="E24" s="85"/>
    </row>
    <row r="25" spans="1:8" ht="30" customHeight="1" x14ac:dyDescent="0.3">
      <c r="A25" s="25" t="str">
        <f>Detailed_Analysis!A25</f>
        <v>Workspace Sizes:</v>
      </c>
      <c r="B25" s="345"/>
      <c r="C25" s="395">
        <v>120</v>
      </c>
      <c r="D25" s="395">
        <v>64</v>
      </c>
      <c r="E25" s="395">
        <v>48</v>
      </c>
      <c r="F25" s="415" t="str">
        <f>Detailed_Analysis!F25</f>
        <v/>
      </c>
      <c r="G25" s="25" t="str">
        <f>Detailed_Analysis!G17</f>
        <v>Admin GSF/PN:</v>
      </c>
      <c r="H25" s="155">
        <f>Detailed_Analysis!H17</f>
        <v>0</v>
      </c>
    </row>
    <row r="26" spans="1:8" x14ac:dyDescent="0.3">
      <c r="C26" s="287"/>
      <c r="F26" s="15"/>
      <c r="H26" s="22"/>
    </row>
    <row r="27" spans="1:8" ht="60" customHeight="1" x14ac:dyDescent="0.3">
      <c r="A27" s="363" t="s">
        <v>443</v>
      </c>
      <c r="B27" s="23"/>
      <c r="C27" s="506" t="s">
        <v>441</v>
      </c>
      <c r="D27" s="506"/>
      <c r="E27" s="506"/>
      <c r="F27" s="506"/>
      <c r="G27" s="365"/>
    </row>
    <row r="28" spans="1:8" ht="60" customHeight="1" x14ac:dyDescent="0.3">
      <c r="A28" s="363" t="s">
        <v>442</v>
      </c>
      <c r="B28" s="23"/>
      <c r="C28" s="506" t="s">
        <v>445</v>
      </c>
      <c r="D28" s="506"/>
      <c r="E28" s="506"/>
      <c r="F28" s="506"/>
      <c r="H28" s="20"/>
    </row>
    <row r="30" spans="1:8" x14ac:dyDescent="0.3">
      <c r="H30" s="413" t="str">
        <f>HYPERLINK("#Space_Table","Next ")</f>
        <v xml:space="preserve">Next </v>
      </c>
    </row>
  </sheetData>
  <sheetProtection algorithmName="SHA-512" hashValue="4igIL39YorHAe7JqGbsV1se88qnnGmY+y2N2iFQO5hfLzExF0BI6AL2qi0c9DIt6xqMULFngqyzpypKYezNrEw==" saltValue="fAzBgYHMitJwA7tPizObhw==" spinCount="100000" sheet="1"/>
  <mergeCells count="10">
    <mergeCell ref="C2:F2"/>
    <mergeCell ref="C1:F1"/>
    <mergeCell ref="C28:F28"/>
    <mergeCell ref="C6:F6"/>
    <mergeCell ref="C7:F10"/>
    <mergeCell ref="C11:F18"/>
    <mergeCell ref="D3:F3"/>
    <mergeCell ref="D4:F4"/>
    <mergeCell ref="D5:F5"/>
    <mergeCell ref="C27:F27"/>
  </mergeCells>
  <conditionalFormatting sqref="H5">
    <cfRule type="expression" dxfId="69" priority="120">
      <formula>SUM(#REF!)=$C$26</formula>
    </cfRule>
  </conditionalFormatting>
  <dataValidations count="3">
    <dataValidation type="list" allowBlank="1" showInputMessage="1" showErrorMessage="1" sqref="C25">
      <formula1>"200,150,120,110,100,90,80"</formula1>
    </dataValidation>
    <dataValidation type="list" allowBlank="1" showInputMessage="1" showErrorMessage="1" sqref="E25">
      <formula1>"64,60,56,48,36,20,16"</formula1>
    </dataValidation>
    <dataValidation type="list" allowBlank="1" showInputMessage="1" showErrorMessage="1" sqref="D25:E25">
      <formula1>"90,72,64,60,56,48,36"</formula1>
    </dataValidation>
  </dataValidations>
  <pageMargins left="0.25" right="0.25" top="0.75" bottom="0.75" header="0.3" footer="0.3"/>
  <pageSetup scale="66" fitToHeight="0" orientation="portrait" r:id="rId1"/>
  <headerFooter>
    <oddHeader>&amp;C&amp;"Calibri,Bold"&amp;16Basic Facilities Requirement</oddHeader>
  </headerFooter>
  <customProperties>
    <customPr name="SSC_SHEET_GUID" r:id="rId2"/>
  </customProperties>
  <legacyDrawing r:id="rId3"/>
  <extLst>
    <ext xmlns:x14="http://schemas.microsoft.com/office/spreadsheetml/2009/9/main" uri="{78C0D931-6437-407d-A8EE-F0AAD7539E65}">
      <x14:conditionalFormattings>
        <x14:conditionalFormatting xmlns:xm="http://schemas.microsoft.com/office/excel/2006/main">
          <x14:cfRule type="expression" priority="2" id="{C50776E1-E0BC-4CEE-9EB9-69324B462F5A}">
            <xm:f>Detailed_Analysis!H115&lt;162.5</xm:f>
            <x14:dxf>
              <font>
                <strike val="0"/>
                <color rgb="FFFA7D00"/>
              </font>
              <fill>
                <patternFill>
                  <bgColor rgb="FFF2F2F2"/>
                </patternFill>
              </fill>
            </x14:dxf>
          </x14:cfRule>
          <x14:cfRule type="expression" priority="3" id="{4E0ACD18-9350-4CF2-A1DD-8F184F8FAB34}">
            <xm:f>Detailed_Analysis!H115&gt;162.5</xm:f>
            <x14:dxf>
              <font>
                <strike val="0"/>
                <color rgb="FFC00000"/>
              </font>
              <fill>
                <patternFill>
                  <bgColor rgb="FFFFC7CE"/>
                </patternFill>
              </fill>
              <border>
                <left style="thin">
                  <color theme="0" tint="-0.499984740745262"/>
                </left>
                <right style="thin">
                  <color theme="0" tint="-0.499984740745262"/>
                </right>
                <top style="thin">
                  <color theme="0" tint="-0.499984740745262"/>
                </top>
                <bottom style="thin">
                  <color theme="0" tint="-0.499984740745262"/>
                </bottom>
                <vertical/>
                <horizontal/>
              </border>
            </x14:dxf>
          </x14:cfRule>
          <xm:sqref>H25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91"/>
  <sheetViews>
    <sheetView showGridLines="0" zoomScaleNormal="100" zoomScaleSheetLayoutView="100" workbookViewId="0">
      <selection activeCell="E24" sqref="E24"/>
    </sheetView>
  </sheetViews>
  <sheetFormatPr defaultColWidth="8" defaultRowHeight="12.75" customHeight="1" x14ac:dyDescent="0.3"/>
  <cols>
    <col min="1" max="1" width="25.6640625" style="37" customWidth="1"/>
    <col min="2" max="2" width="7.6640625" style="38" customWidth="1"/>
    <col min="3" max="5" width="15.6640625" style="37" customWidth="1"/>
    <col min="6" max="6" width="30.6640625" style="37" customWidth="1"/>
    <col min="7" max="7" width="22.6640625" style="37" customWidth="1"/>
    <col min="8" max="8" width="18.6640625" style="37" customWidth="1"/>
    <col min="9" max="16384" width="8" style="37"/>
  </cols>
  <sheetData>
    <row r="1" spans="1:8" s="84" customFormat="1" ht="39.9" customHeight="1" x14ac:dyDescent="0.3">
      <c r="A1" s="347" t="s">
        <v>70</v>
      </c>
      <c r="B1" s="353"/>
      <c r="C1" s="522" t="str">
        <f>Detailed_Analysis!C1</f>
        <v>Baseline BFR Scenario is Active</v>
      </c>
      <c r="D1" s="522"/>
      <c r="E1" s="522"/>
      <c r="F1" s="522"/>
      <c r="G1" s="352"/>
      <c r="H1" s="348" t="str">
        <f>Detailed_Analysis!H1</f>
        <v>Totals:</v>
      </c>
    </row>
    <row r="2" spans="1:8" ht="15" customHeight="1" x14ac:dyDescent="0.3">
      <c r="A2" s="145" t="str">
        <f>Detailed_Analysis!A2</f>
        <v>Activity Data:</v>
      </c>
      <c r="B2" s="160"/>
      <c r="C2" s="525"/>
      <c r="D2" s="525"/>
      <c r="E2" s="525"/>
      <c r="F2" s="526"/>
      <c r="G2" s="25" t="str">
        <f>Detailed_Analysis!G3</f>
        <v>Private:</v>
      </c>
      <c r="H2" s="161">
        <f>Detailed_Analysis!H3</f>
        <v>0</v>
      </c>
    </row>
    <row r="3" spans="1:8" ht="15" customHeight="1" x14ac:dyDescent="0.3">
      <c r="A3" s="25" t="str">
        <f>Detailed_Analysis!A3</f>
        <v>Installation:</v>
      </c>
      <c r="B3" s="48"/>
      <c r="C3" s="519" t="str">
        <f>Detailed_Analysis!C3</f>
        <v xml:space="preserve">  - </v>
      </c>
      <c r="D3" s="519"/>
      <c r="E3" s="519"/>
      <c r="F3" s="519"/>
      <c r="G3" s="25" t="str">
        <f>Detailed_Analysis!G4</f>
        <v>WST1:</v>
      </c>
      <c r="H3" s="161">
        <f>Detailed_Analysis!H4</f>
        <v>0</v>
      </c>
    </row>
    <row r="4" spans="1:8" ht="15" customHeight="1" x14ac:dyDescent="0.3">
      <c r="A4" s="25" t="str">
        <f>Detailed_Analysis!A4</f>
        <v>Planning Area:</v>
      </c>
      <c r="B4" s="48"/>
      <c r="C4" s="519" t="str">
        <f>Detailed_Analysis!C4</f>
        <v xml:space="preserve">  - </v>
      </c>
      <c r="D4" s="519"/>
      <c r="E4" s="519"/>
      <c r="F4" s="519"/>
      <c r="G4" s="25" t="str">
        <f>Detailed_Analysis!G5</f>
        <v>WST2:</v>
      </c>
      <c r="H4" s="161">
        <f>Detailed_Analysis!H5</f>
        <v>0</v>
      </c>
    </row>
    <row r="5" spans="1:8" ht="15" customHeight="1" x14ac:dyDescent="0.3">
      <c r="A5" s="25" t="str">
        <f>Detailed_Analysis!A5</f>
        <v>Activity:</v>
      </c>
      <c r="B5" s="48"/>
      <c r="C5" s="519" t="str">
        <f>Detailed_Analysis!C5</f>
        <v xml:space="preserve">  - </v>
      </c>
      <c r="D5" s="519"/>
      <c r="E5" s="519"/>
      <c r="F5" s="519"/>
      <c r="G5" s="25" t="str">
        <f>Detailed_Analysis!G6</f>
        <v>Space Loading:</v>
      </c>
      <c r="H5" s="161">
        <f>Detailed_Analysis!H6</f>
        <v>0</v>
      </c>
    </row>
    <row r="6" spans="1:8" ht="14.4" x14ac:dyDescent="0.3">
      <c r="A6" s="25" t="str">
        <f>Detailed_Analysis!A6</f>
        <v>Category Code:</v>
      </c>
      <c r="B6" s="48"/>
      <c r="C6" s="519" t="str">
        <f>Detailed_Analysis!C6</f>
        <v xml:space="preserve"> CCN 61010 - Administrative Office Building</v>
      </c>
      <c r="D6" s="519"/>
      <c r="E6" s="519"/>
      <c r="F6" s="519"/>
      <c r="G6" s="25" t="str">
        <f>Detailed_Analysis!G17</f>
        <v>Admin GSF/PN:</v>
      </c>
      <c r="H6" s="155">
        <f>Detailed_Analysis!H17</f>
        <v>0</v>
      </c>
    </row>
    <row r="7" spans="1:8" s="43" customFormat="1" ht="5.0999999999999996" customHeight="1" x14ac:dyDescent="0.25">
      <c r="A7" s="50"/>
      <c r="B7" s="27"/>
      <c r="C7" s="27"/>
      <c r="D7" s="27"/>
      <c r="E7" s="27"/>
      <c r="F7" s="27"/>
      <c r="G7" s="27"/>
      <c r="H7" s="27"/>
    </row>
    <row r="8" spans="1:8" s="43" customFormat="1" ht="14.4" hidden="1" x14ac:dyDescent="0.25">
      <c r="A8" s="27"/>
      <c r="B8" s="27"/>
      <c r="C8" s="27"/>
      <c r="D8" s="27"/>
      <c r="E8" s="27"/>
      <c r="F8" s="27"/>
      <c r="G8" s="27"/>
      <c r="H8" s="27"/>
    </row>
    <row r="9" spans="1:8" ht="14.4" hidden="1" x14ac:dyDescent="0.3">
      <c r="A9" s="27"/>
      <c r="B9" s="41"/>
      <c r="C9" s="27"/>
      <c r="D9" s="27"/>
      <c r="E9" s="27"/>
      <c r="F9" s="27"/>
      <c r="G9" s="27"/>
      <c r="H9" s="27"/>
    </row>
    <row r="10" spans="1:8" ht="14.4" hidden="1" x14ac:dyDescent="0.3">
      <c r="A10" s="27"/>
      <c r="B10" s="41"/>
      <c r="C10" s="27"/>
      <c r="D10" s="27"/>
      <c r="E10" s="27"/>
      <c r="F10" s="27"/>
      <c r="G10" s="52"/>
      <c r="H10" s="168" t="str">
        <f>Detailed_Analysis!H27</f>
        <v>NSF</v>
      </c>
    </row>
    <row r="11" spans="1:8" ht="14.4" hidden="1" x14ac:dyDescent="0.3">
      <c r="A11" s="27"/>
      <c r="B11" s="41"/>
      <c r="C11" s="27"/>
      <c r="D11" s="27"/>
      <c r="E11" s="27"/>
      <c r="F11" s="27"/>
      <c r="G11" s="27"/>
      <c r="H11" s="27"/>
    </row>
    <row r="12" spans="1:8" ht="14.4" hidden="1" x14ac:dyDescent="0.3">
      <c r="A12" s="27"/>
      <c r="B12" s="27"/>
      <c r="C12" s="27"/>
      <c r="D12" s="27"/>
      <c r="E12" s="27"/>
      <c r="F12" s="27"/>
      <c r="G12" s="27"/>
      <c r="H12" s="27"/>
    </row>
    <row r="13" spans="1:8" ht="14.4" hidden="1" x14ac:dyDescent="0.3">
      <c r="A13" s="27"/>
      <c r="B13" s="27"/>
      <c r="C13" s="27"/>
      <c r="D13" s="27"/>
      <c r="E13" s="27"/>
      <c r="F13" s="27"/>
      <c r="G13" s="27"/>
      <c r="H13" s="27"/>
    </row>
    <row r="14" spans="1:8" ht="14.4" hidden="1" x14ac:dyDescent="0.3">
      <c r="A14" s="25"/>
      <c r="B14" s="52"/>
      <c r="C14" s="27"/>
      <c r="D14" s="27"/>
      <c r="E14" s="27"/>
      <c r="F14" s="27"/>
      <c r="G14" s="27"/>
      <c r="H14" s="27"/>
    </row>
    <row r="15" spans="1:8" ht="14.4" hidden="1" x14ac:dyDescent="0.3">
      <c r="A15" s="25"/>
      <c r="B15" s="52"/>
      <c r="C15" s="27"/>
      <c r="D15" s="27"/>
      <c r="E15" s="27"/>
      <c r="F15" s="27"/>
      <c r="G15" s="27"/>
      <c r="H15" s="27"/>
    </row>
    <row r="16" spans="1:8" ht="14.4" hidden="1" x14ac:dyDescent="0.3">
      <c r="A16" s="25"/>
      <c r="B16" s="52"/>
      <c r="C16" s="27"/>
      <c r="D16" s="27"/>
      <c r="E16" s="27"/>
      <c r="F16" s="27"/>
      <c r="G16" s="27"/>
      <c r="H16" s="27"/>
    </row>
    <row r="17" spans="1:8" ht="14.4" hidden="1" x14ac:dyDescent="0.3">
      <c r="A17" s="25"/>
      <c r="B17" s="52"/>
      <c r="C17" s="27"/>
      <c r="D17" s="27"/>
      <c r="E17" s="27"/>
      <c r="F17" s="27"/>
      <c r="G17" s="27"/>
      <c r="H17" s="27"/>
    </row>
    <row r="18" spans="1:8" ht="14.4" hidden="1" x14ac:dyDescent="0.3">
      <c r="A18" s="25"/>
      <c r="B18" s="52"/>
      <c r="C18" s="27"/>
      <c r="D18" s="27"/>
      <c r="E18" s="27"/>
      <c r="F18" s="27"/>
      <c r="G18" s="27"/>
      <c r="H18" s="27"/>
    </row>
    <row r="19" spans="1:8" ht="14.4" hidden="1" x14ac:dyDescent="0.3">
      <c r="A19" s="25"/>
      <c r="B19" s="52"/>
      <c r="C19" s="27"/>
      <c r="D19" s="27"/>
      <c r="E19" s="27"/>
      <c r="F19" s="27"/>
      <c r="G19" s="27"/>
      <c r="H19" s="27"/>
    </row>
    <row r="20" spans="1:8" ht="14.4" hidden="1" x14ac:dyDescent="0.3">
      <c r="A20" s="25"/>
      <c r="B20" s="52"/>
      <c r="C20" s="27"/>
      <c r="D20" s="27"/>
      <c r="E20" s="27"/>
      <c r="F20" s="27"/>
      <c r="G20" s="27"/>
      <c r="H20" s="27"/>
    </row>
    <row r="21" spans="1:8" ht="14.4" hidden="1" x14ac:dyDescent="0.3">
      <c r="A21" s="25"/>
      <c r="B21" s="52"/>
      <c r="C21" s="27"/>
      <c r="D21" s="27"/>
      <c r="E21" s="27"/>
      <c r="F21" s="27"/>
      <c r="G21" s="27"/>
      <c r="H21" s="27"/>
    </row>
    <row r="22" spans="1:8" ht="14.4" hidden="1" x14ac:dyDescent="0.3">
      <c r="A22" s="25"/>
      <c r="B22" s="52"/>
      <c r="C22" s="27"/>
      <c r="D22" s="27"/>
      <c r="E22" s="27"/>
      <c r="F22" s="27"/>
      <c r="G22" s="27"/>
      <c r="H22" s="27"/>
    </row>
    <row r="23" spans="1:8" ht="14.4" hidden="1" x14ac:dyDescent="0.3">
      <c r="A23" s="25"/>
      <c r="B23" s="52"/>
      <c r="C23" s="27"/>
      <c r="D23" s="27"/>
      <c r="E23" s="27"/>
      <c r="F23" s="27"/>
      <c r="G23" s="27"/>
      <c r="H23" s="27"/>
    </row>
    <row r="24" spans="1:8" ht="14.4" hidden="1" x14ac:dyDescent="0.3">
      <c r="A24" s="25"/>
      <c r="B24" s="52"/>
      <c r="C24" s="27"/>
      <c r="D24" s="27"/>
      <c r="E24" s="27"/>
      <c r="F24" s="27"/>
      <c r="G24" s="27"/>
      <c r="H24" s="27"/>
    </row>
    <row r="25" spans="1:8" ht="14.4" hidden="1" x14ac:dyDescent="0.3">
      <c r="A25" s="25"/>
      <c r="B25" s="52"/>
      <c r="C25" s="27"/>
      <c r="D25" s="27"/>
      <c r="E25" s="27"/>
      <c r="F25" s="27"/>
      <c r="G25" s="27"/>
      <c r="H25" s="27"/>
    </row>
    <row r="26" spans="1:8" ht="14.4" hidden="1" x14ac:dyDescent="0.3">
      <c r="A26" s="25"/>
      <c r="B26" s="52"/>
      <c r="C26" s="27"/>
      <c r="D26" s="27"/>
      <c r="E26" s="27"/>
      <c r="F26" s="27"/>
      <c r="G26" s="27"/>
      <c r="H26" s="27"/>
    </row>
    <row r="27" spans="1:8" ht="14.4" x14ac:dyDescent="0.3">
      <c r="A27" s="164" t="str">
        <f>Detailed_Analysis!A27</f>
        <v>General Admin Space:</v>
      </c>
      <c r="B27" s="165" t="s">
        <v>69</v>
      </c>
      <c r="C27" s="166" t="str">
        <f>Detailed_Analysis!C27</f>
        <v>Factor1</v>
      </c>
      <c r="D27" s="520" t="str">
        <f>Detailed_Analysis!D27</f>
        <v>Planning Factor</v>
      </c>
      <c r="E27" s="521"/>
      <c r="F27" s="521"/>
      <c r="G27" s="168" t="str">
        <f>Detailed_Analysis!G27</f>
        <v>Factor2</v>
      </c>
    </row>
    <row r="28" spans="1:8" ht="15" customHeight="1" x14ac:dyDescent="0.3">
      <c r="A28" s="25" t="str">
        <f>Detailed_Analysis!A28</f>
        <v>Private Office:</v>
      </c>
      <c r="B28" s="26" t="b">
        <v>1</v>
      </c>
      <c r="C28" s="152">
        <f>IF(B28,Detailed_Analysis!C28,0)</f>
        <v>0</v>
      </c>
      <c r="D28" s="519" t="str">
        <f>Detailed_Analysis!D28</f>
        <v xml:space="preserve"> Allocate private office space</v>
      </c>
      <c r="E28" s="519"/>
      <c r="F28" s="519"/>
      <c r="G28" s="154">
        <f>IF(Detailed_Analysis!C28&gt;0,Detailed_Analysis!G28,0)</f>
        <v>0</v>
      </c>
      <c r="H28" s="162">
        <f>Detailed_Analysis!H28</f>
        <v>0</v>
      </c>
    </row>
    <row r="29" spans="1:8" ht="15" customHeight="1" x14ac:dyDescent="0.3">
      <c r="A29" s="25" t="str">
        <f>Detailed_Analysis!A29</f>
        <v>WS Type 1:</v>
      </c>
      <c r="B29" s="26" t="b">
        <v>1</v>
      </c>
      <c r="C29" s="152">
        <f>IF(B29,Detailed_Analysis!C29,0)</f>
        <v>0</v>
      </c>
      <c r="D29" s="519" t="str">
        <f>Detailed_Analysis!D29</f>
        <v xml:space="preserve"> Allocate WS Type 1 space</v>
      </c>
      <c r="E29" s="519"/>
      <c r="F29" s="519"/>
      <c r="G29" s="154">
        <f>IF(Detailed_Analysis!C29&gt;0,Detailed_Analysis!G29,0)</f>
        <v>0</v>
      </c>
      <c r="H29" s="162">
        <f>Detailed_Analysis!H29</f>
        <v>0</v>
      </c>
    </row>
    <row r="30" spans="1:8" ht="15" customHeight="1" x14ac:dyDescent="0.3">
      <c r="A30" s="25" t="str">
        <f>Detailed_Analysis!A30</f>
        <v>WS Type 2:</v>
      </c>
      <c r="B30" s="26" t="b">
        <v>1</v>
      </c>
      <c r="C30" s="152">
        <f>IF(B30,Detailed_Analysis!C30,0)</f>
        <v>0</v>
      </c>
      <c r="D30" s="519" t="str">
        <f>Detailed_Analysis!D30</f>
        <v xml:space="preserve"> Allocate WS Type 2 space</v>
      </c>
      <c r="E30" s="519"/>
      <c r="F30" s="519"/>
      <c r="G30" s="154">
        <f>IF(Detailed_Analysis!C30&gt;0,Detailed_Analysis!G30,0)</f>
        <v>0</v>
      </c>
      <c r="H30" s="162">
        <f>Detailed_Analysis!H30</f>
        <v>0</v>
      </c>
    </row>
    <row r="31" spans="1:8" ht="15" customHeight="1" x14ac:dyDescent="0.3">
      <c r="A31" s="25" t="str">
        <f>Detailed_Analysis!A31</f>
        <v>Admin Circulation:</v>
      </c>
      <c r="B31" s="26" t="b">
        <v>1</v>
      </c>
      <c r="C31" s="163">
        <f>IF(B31,Detailed_Analysis!C31,0)</f>
        <v>0</v>
      </c>
      <c r="D31" s="519" t="str">
        <f>Detailed_Analysis!D31</f>
        <v xml:space="preserve"> (secondary circ. multiplier) (general admin space)</v>
      </c>
      <c r="E31" s="519"/>
      <c r="F31" s="519"/>
      <c r="G31" s="162">
        <f>IF(Detailed_Analysis!C31&gt;0,Detailed_Analysis!G31,0)</f>
        <v>0</v>
      </c>
      <c r="H31" s="162">
        <f>Detailed_Analysis!H31</f>
        <v>0</v>
      </c>
    </row>
    <row r="32" spans="1:8" ht="15" customHeight="1" x14ac:dyDescent="0.3">
      <c r="B32" s="49"/>
      <c r="C32" s="523" t="str">
        <f>Detailed_Analysis!D32</f>
        <v>General Admin Space Subtotal:</v>
      </c>
      <c r="D32" s="523"/>
      <c r="E32" s="523"/>
      <c r="F32" s="523"/>
      <c r="G32" s="524"/>
      <c r="H32" s="162">
        <f>Detailed_Analysis!H32</f>
        <v>0</v>
      </c>
    </row>
    <row r="33" spans="1:8" ht="5.0999999999999996" customHeight="1" x14ac:dyDescent="0.3">
      <c r="B33" s="49"/>
      <c r="C33" s="25"/>
      <c r="D33" s="25"/>
      <c r="E33" s="25"/>
      <c r="F33" s="25"/>
      <c r="G33" s="25"/>
    </row>
    <row r="34" spans="1:8" ht="15" customHeight="1" x14ac:dyDescent="0.3">
      <c r="A34" s="145" t="str">
        <f>Detailed_Analysis!A34</f>
        <v>Special Purpose Space:</v>
      </c>
      <c r="B34" s="146" t="s">
        <v>69</v>
      </c>
      <c r="C34" s="149" t="str">
        <f>Detailed_Analysis!C34</f>
        <v>Factor1</v>
      </c>
      <c r="D34" s="520" t="str">
        <f>Detailed_Analysis!D34</f>
        <v>Planning Factor</v>
      </c>
      <c r="E34" s="521"/>
      <c r="F34" s="521"/>
      <c r="G34" s="149" t="str">
        <f>Detailed_Analysis!G34</f>
        <v>Factor2</v>
      </c>
      <c r="H34" s="150" t="str">
        <f>Detailed_Analysis!H34</f>
        <v>NSF</v>
      </c>
    </row>
    <row r="35" spans="1:8" s="43" customFormat="1" ht="15" customHeight="1" x14ac:dyDescent="0.25">
      <c r="A35" s="45" t="str">
        <f>Detailed_Analysis!A35</f>
        <v>Basic Allowances Group</v>
      </c>
      <c r="B35" s="49"/>
      <c r="C35" s="27"/>
      <c r="D35" s="27"/>
      <c r="E35" s="27"/>
      <c r="F35" s="27"/>
      <c r="G35" s="27"/>
      <c r="H35" s="27"/>
    </row>
    <row r="36" spans="1:8" ht="15" customHeight="1" x14ac:dyDescent="0.3">
      <c r="A36" s="25" t="str">
        <f>Detailed_Analysis!A36</f>
        <v>Admin Support Space:</v>
      </c>
      <c r="B36" s="26" t="b">
        <v>1</v>
      </c>
      <c r="C36" s="152">
        <f>IF(B36,Detailed_Analysis!C36,0)</f>
        <v>0</v>
      </c>
      <c r="D36" s="519" t="str">
        <f>Detailed_Analysis!D36</f>
        <v xml:space="preserve"> Allocate admin support space</v>
      </c>
      <c r="E36" s="519"/>
      <c r="F36" s="519"/>
      <c r="G36" s="154">
        <f>IF(Detailed_Analysis!C36&gt;0,Detailed_Analysis!G36,0)</f>
        <v>0</v>
      </c>
      <c r="H36" s="162">
        <f>Detailed_Analysis!H36</f>
        <v>0</v>
      </c>
    </row>
    <row r="37" spans="1:8" ht="15" customHeight="1" x14ac:dyDescent="0.3">
      <c r="A37" s="25" t="s">
        <v>430</v>
      </c>
      <c r="B37" s="26" t="b">
        <v>1</v>
      </c>
      <c r="C37" s="170">
        <f>IF(B37,Detailed_Analysis!C37,0)</f>
        <v>0</v>
      </c>
      <c r="D37" s="519" t="str">
        <f>Detailed_Analysis!D37</f>
        <v xml:space="preserve"> Allocate conference room space</v>
      </c>
      <c r="E37" s="519"/>
      <c r="F37" s="519"/>
      <c r="G37" s="162">
        <f>IF(Detailed_Analysis!C37&gt;0,Detailed_Analysis!G37,0)</f>
        <v>0</v>
      </c>
      <c r="H37" s="162">
        <f>Detailed_Analysis!H37</f>
        <v>0</v>
      </c>
    </row>
    <row r="38" spans="1:8" ht="15" customHeight="1" x14ac:dyDescent="0.3">
      <c r="A38" s="25" t="str">
        <f>Detailed_Analysis!A38</f>
        <v>Basic Circulation:</v>
      </c>
      <c r="B38" s="26" t="b">
        <v>1</v>
      </c>
      <c r="C38" s="163">
        <f>IF(B38,0.12,0)</f>
        <v>0.12</v>
      </c>
      <c r="D38" s="519" t="str">
        <f>Detailed_Analysis!D38</f>
        <v xml:space="preserve"> (secondary circ. multiplier) (basic allowances)</v>
      </c>
      <c r="E38" s="519"/>
      <c r="F38" s="519"/>
      <c r="G38" s="162">
        <f>IF(Detailed_Analysis!C38&gt;0,Detailed_Analysis!G38,0)</f>
        <v>0</v>
      </c>
      <c r="H38" s="162">
        <f>Detailed_Analysis!H38</f>
        <v>0</v>
      </c>
    </row>
    <row r="39" spans="1:8" s="43" customFormat="1" ht="14.4" x14ac:dyDescent="0.25">
      <c r="A39" s="42"/>
      <c r="B39" s="49"/>
      <c r="C39" s="523" t="str">
        <f>Detailed_Analysis!D39</f>
        <v xml:space="preserve"> Basic Allowances Group Subtotal:</v>
      </c>
      <c r="D39" s="523"/>
      <c r="E39" s="523"/>
      <c r="F39" s="523"/>
      <c r="G39" s="524"/>
      <c r="H39" s="162">
        <f>Detailed_Analysis!H39</f>
        <v>0</v>
      </c>
    </row>
    <row r="40" spans="1:8" s="43" customFormat="1" ht="5.0999999999999996" customHeight="1" x14ac:dyDescent="0.3">
      <c r="A40" s="42"/>
      <c r="B40" s="49"/>
      <c r="C40" s="25"/>
      <c r="D40" s="25"/>
      <c r="E40" s="25"/>
      <c r="F40" s="25"/>
      <c r="G40" s="25"/>
      <c r="H40" s="16"/>
    </row>
    <row r="41" spans="1:8" ht="14.4" x14ac:dyDescent="0.3">
      <c r="A41" s="145" t="str">
        <f>Detailed_Analysis!A41</f>
        <v>Special Purpose Space:</v>
      </c>
      <c r="B41" s="146" t="s">
        <v>69</v>
      </c>
      <c r="C41" s="149" t="str">
        <f>Detailed_Analysis!C41</f>
        <v>Factor1</v>
      </c>
      <c r="D41" s="520" t="str">
        <f>Detailed_Analysis!D41</f>
        <v>Planning Factor</v>
      </c>
      <c r="E41" s="521"/>
      <c r="F41" s="521"/>
      <c r="G41" s="149" t="str">
        <f>Detailed_Analysis!G41</f>
        <v>Factor2</v>
      </c>
      <c r="H41" s="150" t="str">
        <f>Detailed_Analysis!H41</f>
        <v>NSF</v>
      </c>
    </row>
    <row r="42" spans="1:8" ht="15" customHeight="1" x14ac:dyDescent="0.3">
      <c r="A42" s="45" t="str">
        <f>Detailed_Analysis!A42</f>
        <v>Functional Support Group</v>
      </c>
      <c r="B42" s="49"/>
      <c r="C42" s="27"/>
      <c r="D42" s="27"/>
      <c r="E42" s="27"/>
      <c r="F42" s="27"/>
      <c r="G42" s="27"/>
      <c r="H42" s="27"/>
    </row>
    <row r="43" spans="1:8" ht="15" customHeight="1" x14ac:dyDescent="0.3">
      <c r="A43" s="25" t="str">
        <f>Detailed_Analysis!A43</f>
        <v>Archive Storage:</v>
      </c>
      <c r="B43" s="26" t="b">
        <v>0</v>
      </c>
      <c r="C43" s="170">
        <f>IF(B43,1,0)</f>
        <v>0</v>
      </c>
      <c r="D43" s="518" t="str">
        <f>Detailed_Analysis!D43</f>
        <v xml:space="preserve"> Allocate NSF based on a space analysis</v>
      </c>
      <c r="E43" s="518"/>
      <c r="F43" s="518"/>
      <c r="G43" s="173">
        <v>0</v>
      </c>
      <c r="H43" s="162">
        <f>IF(B43,Detailed_Analysis!H43,0)</f>
        <v>0</v>
      </c>
    </row>
    <row r="44" spans="1:8" ht="15" customHeight="1" x14ac:dyDescent="0.3">
      <c r="A44" s="50" t="str">
        <f>Detailed_Analysis!A44</f>
        <v>Command Suite Plus Up:</v>
      </c>
      <c r="B44" s="26" t="b">
        <v>0</v>
      </c>
      <c r="C44" s="151">
        <v>0</v>
      </c>
      <c r="D44" s="518" t="str">
        <f>Detailed_Analysis!D44</f>
        <v xml:space="preserve"> Allocate additional 80 NSF for each ICO, O7 or SES</v>
      </c>
      <c r="E44" s="518"/>
      <c r="F44" s="518"/>
      <c r="G44" s="154">
        <f>IF(B44,Detailed_Analysis!G44,0)</f>
        <v>0</v>
      </c>
      <c r="H44" s="162">
        <f>IF(B44,Detailed_Analysis!H44,0)</f>
        <v>0</v>
      </c>
    </row>
    <row r="45" spans="1:8" ht="15" customHeight="1" x14ac:dyDescent="0.3">
      <c r="A45" s="25" t="str">
        <f>Detailed_Analysis!A45</f>
        <v>Locker Room:</v>
      </c>
      <c r="B45" s="26" t="b">
        <v>0</v>
      </c>
      <c r="C45" s="172">
        <v>0</v>
      </c>
      <c r="D45" s="518" t="str">
        <f>Detailed_Analysis!D45</f>
        <v xml:space="preserve"> Allocate 8 NSF per locker</v>
      </c>
      <c r="E45" s="518"/>
      <c r="F45" s="518"/>
      <c r="G45" s="174">
        <f>IF(B45,Detailed_Analysis!G45,0)</f>
        <v>0</v>
      </c>
      <c r="H45" s="162">
        <f>IF(B45,Detailed_Analysis!H45,0)</f>
        <v>0</v>
      </c>
    </row>
    <row r="46" spans="1:8" ht="15" customHeight="1" x14ac:dyDescent="0.3">
      <c r="A46" s="25" t="str">
        <f>Detailed_Analysis!A46</f>
        <v>Mail Room:</v>
      </c>
      <c r="B46" s="26" t="b">
        <v>0</v>
      </c>
      <c r="C46" s="170">
        <f>IF(B46,Detailed_Analysis!C46,0)</f>
        <v>0</v>
      </c>
      <c r="D46" s="518" t="str">
        <f>Detailed_Analysis!D46</f>
        <v xml:space="preserve"> Allocate 20 NSF for every 50 PN assigned</v>
      </c>
      <c r="E46" s="518"/>
      <c r="F46" s="518"/>
      <c r="G46" s="162">
        <f>IF(B46,Detailed_Analysis!G46,0)</f>
        <v>0</v>
      </c>
      <c r="H46" s="162">
        <f>IF(B46,Detailed_Analysis!H46,0)</f>
        <v>0</v>
      </c>
    </row>
    <row r="47" spans="1:8" ht="15" customHeight="1" x14ac:dyDescent="0.3">
      <c r="A47" s="25" t="str">
        <f>Detailed_Analysis!A47</f>
        <v>Shipping/Receiving Area:</v>
      </c>
      <c r="B47" s="26" t="b">
        <v>0</v>
      </c>
      <c r="C47" s="170">
        <f>IF(B47,Detailed_Analysis!C47,0)</f>
        <v>0</v>
      </c>
      <c r="D47" s="518" t="str">
        <f>Detailed_Analysis!D47</f>
        <v xml:space="preserve"> Allocate 80 NSF for every 50 PN assigned</v>
      </c>
      <c r="E47" s="518"/>
      <c r="F47" s="518"/>
      <c r="G47" s="162">
        <f>IF(B47,Detailed_Analysis!G47,0)</f>
        <v>0</v>
      </c>
      <c r="H47" s="162">
        <f>IF(B47,Detailed_Analysis!H47,0)</f>
        <v>0</v>
      </c>
    </row>
    <row r="48" spans="1:8" ht="15" customHeight="1" x14ac:dyDescent="0.3">
      <c r="A48" s="25" t="str">
        <f>Detailed_Analysis!A48</f>
        <v>Shower Room:</v>
      </c>
      <c r="B48" s="26" t="b">
        <v>0</v>
      </c>
      <c r="C48" s="172">
        <v>0</v>
      </c>
      <c r="D48" s="518" t="str">
        <f>Detailed_Analysis!D48</f>
        <v xml:space="preserve"> Allocate 20 NSF per shower</v>
      </c>
      <c r="E48" s="518"/>
      <c r="F48" s="518"/>
      <c r="G48" s="174">
        <f>IF(B48,Detailed_Analysis!G48,0)</f>
        <v>0</v>
      </c>
      <c r="H48" s="162">
        <f>IF(B48,Detailed_Analysis!H48,0)</f>
        <v>0</v>
      </c>
    </row>
    <row r="49" spans="1:8" ht="15" customHeight="1" x14ac:dyDescent="0.3">
      <c r="A49" s="339" t="str">
        <f>Detailed_Analysis!A49</f>
        <v>Collaboration Space:</v>
      </c>
      <c r="B49" s="301" t="b">
        <v>1</v>
      </c>
      <c r="C49" s="152">
        <f>IF(B49,Detailed_Analysis!C49,0)</f>
        <v>0</v>
      </c>
      <c r="D49" s="519" t="str">
        <f>Detailed_Analysis!D49</f>
        <v xml:space="preserve"> Allocate: (Baseline PN - Distributed PN) (16 NSF/PN)</v>
      </c>
      <c r="E49" s="519"/>
      <c r="F49" s="519"/>
      <c r="G49" s="154">
        <f>IF(Detailed_Analysis!C49&gt;0,Detailed_Analysis!G49,0)</f>
        <v>0</v>
      </c>
      <c r="H49" s="162">
        <f>Detailed_Analysis!H49</f>
        <v>0</v>
      </c>
    </row>
    <row r="50" spans="1:8" ht="15" customHeight="1" x14ac:dyDescent="0.3">
      <c r="A50" s="27"/>
      <c r="B50" s="49"/>
      <c r="C50" s="527" t="str">
        <f>Detailed_Analysis!D50</f>
        <v>Functional Support Group Subtotal:</v>
      </c>
      <c r="D50" s="527"/>
      <c r="E50" s="527"/>
      <c r="F50" s="527"/>
      <c r="G50" s="527"/>
      <c r="H50" s="162">
        <f>Detailed_Analysis!H50</f>
        <v>0</v>
      </c>
    </row>
    <row r="51" spans="1:8" ht="15" customHeight="1" x14ac:dyDescent="0.3">
      <c r="A51" s="45" t="str">
        <f>Detailed_Analysis!A51</f>
        <v>Security Group</v>
      </c>
      <c r="B51" s="48"/>
      <c r="D51" s="18"/>
      <c r="E51" s="18"/>
      <c r="F51" s="18"/>
      <c r="G51" s="47"/>
      <c r="H51" s="27"/>
    </row>
    <row r="52" spans="1:8" ht="15" customHeight="1" x14ac:dyDescent="0.3">
      <c r="A52" s="25" t="str">
        <f>Detailed_Analysis!A52</f>
        <v>Entry Control Area:</v>
      </c>
      <c r="B52" s="26" t="b">
        <v>0</v>
      </c>
      <c r="C52" s="170">
        <f>IF(B52,Detailed_Analysis!C52,0)</f>
        <v>0</v>
      </c>
      <c r="D52" s="518" t="str">
        <f>Detailed_Analysis!D52</f>
        <v xml:space="preserve"> Allocate 100 NSF + 20 NSF for every 50 PN assigned</v>
      </c>
      <c r="E52" s="518"/>
      <c r="F52" s="518"/>
      <c r="G52" s="162">
        <f>IF(B52,Detailed_Analysis!G52,0)</f>
        <v>0</v>
      </c>
      <c r="H52" s="162">
        <f>IF(B52,Detailed_Analysis!H52,0)</f>
        <v>0</v>
      </c>
    </row>
    <row r="53" spans="1:8" ht="15" customHeight="1" x14ac:dyDescent="0.3">
      <c r="A53" s="25" t="str">
        <f>Detailed_Analysis!A53</f>
        <v>Secure Waiting Area:</v>
      </c>
      <c r="B53" s="26" t="b">
        <v>0</v>
      </c>
      <c r="C53" s="170">
        <f>IF(B53,Detailed_Analysis!C53,0)</f>
        <v>0</v>
      </c>
      <c r="D53" s="518" t="str">
        <f>Detailed_Analysis!D53</f>
        <v xml:space="preserve"> Allocate one secure waiting area at 120 NSF</v>
      </c>
      <c r="E53" s="518"/>
      <c r="F53" s="518"/>
      <c r="G53" s="162">
        <f>IF(B53,Detailed_Analysis!G53,0)</f>
        <v>0</v>
      </c>
      <c r="H53" s="162">
        <f>IF(B53,Detailed_Analysis!H53,0)</f>
        <v>0</v>
      </c>
    </row>
    <row r="54" spans="1:8" ht="15" customHeight="1" x14ac:dyDescent="0.3">
      <c r="A54" s="25" t="str">
        <f>Detailed_Analysis!A54</f>
        <v>Security Watch Station:</v>
      </c>
      <c r="B54" s="26" t="b">
        <v>0</v>
      </c>
      <c r="C54" s="170">
        <f>IF(B54,Detailed_Analysis!C54,0)</f>
        <v>0</v>
      </c>
      <c r="D54" s="518" t="str">
        <f>Detailed_Analysis!D54</f>
        <v xml:space="preserve"> Allocate NSF based on watch station requirements</v>
      </c>
      <c r="E54" s="518"/>
      <c r="F54" s="518"/>
      <c r="G54" s="173">
        <v>0</v>
      </c>
      <c r="H54" s="162">
        <f>IF(B54,Detailed_Analysis!H54,0)</f>
        <v>0</v>
      </c>
    </row>
    <row r="55" spans="1:8" ht="15" customHeight="1" x14ac:dyDescent="0.3">
      <c r="A55" s="25" t="str">
        <f>Detailed_Analysis!A55</f>
        <v>SSO Suite:</v>
      </c>
      <c r="B55" s="26" t="b">
        <v>0</v>
      </c>
      <c r="C55" s="170">
        <f>IF(B55,Detailed_Analysis!C55,0)</f>
        <v>0</v>
      </c>
      <c r="D55" s="518" t="str">
        <f>Detailed_Analysis!D55</f>
        <v xml:space="preserve"> Allocate NSF based on 131 series criteria</v>
      </c>
      <c r="E55" s="518"/>
      <c r="F55" s="518"/>
      <c r="G55" s="173">
        <v>0</v>
      </c>
      <c r="H55" s="162">
        <f>IF(B55,Detailed_Analysis!H55,0)</f>
        <v>0</v>
      </c>
    </row>
    <row r="56" spans="1:8" ht="15" customHeight="1" x14ac:dyDescent="0.3">
      <c r="A56" s="25" t="str">
        <f>Detailed_Analysis!A56</f>
        <v>Weapons Vault:</v>
      </c>
      <c r="B56" s="26" t="b">
        <v>0</v>
      </c>
      <c r="C56" s="172">
        <v>0</v>
      </c>
      <c r="D56" s="518" t="str">
        <f>Detailed_Analysis!D56</f>
        <v xml:space="preserve"> Allocate one weapons vault at 120 NSF each</v>
      </c>
      <c r="E56" s="518"/>
      <c r="F56" s="518"/>
      <c r="G56" s="174">
        <f>IF(B56,Detailed_Analysis!G56,0)</f>
        <v>0</v>
      </c>
      <c r="H56" s="162">
        <f>IF(B56,Detailed_Analysis!H56,0)</f>
        <v>0</v>
      </c>
    </row>
    <row r="57" spans="1:8" ht="15" customHeight="1" x14ac:dyDescent="0.3">
      <c r="A57" s="27"/>
      <c r="B57" s="41"/>
      <c r="C57" s="523" t="str">
        <f>Detailed_Analysis!D57</f>
        <v>Security Group Subtotal:</v>
      </c>
      <c r="D57" s="523"/>
      <c r="E57" s="523"/>
      <c r="F57" s="523"/>
      <c r="G57" s="524"/>
      <c r="H57" s="162">
        <f>Detailed_Analysis!H57</f>
        <v>0</v>
      </c>
    </row>
    <row r="58" spans="1:8" s="43" customFormat="1" ht="15" customHeight="1" x14ac:dyDescent="0.25">
      <c r="A58" s="45" t="str">
        <f>Detailed_Analysis!A58</f>
        <v>User Defined Group</v>
      </c>
      <c r="B58" s="27"/>
      <c r="D58" s="27"/>
      <c r="E58" s="27"/>
      <c r="F58" s="27"/>
      <c r="G58" s="44"/>
      <c r="H58" s="27"/>
    </row>
    <row r="59" spans="1:8" s="43" customFormat="1" ht="15" customHeight="1" x14ac:dyDescent="0.25">
      <c r="A59" s="285" t="s">
        <v>68</v>
      </c>
      <c r="B59" s="26" t="b">
        <v>0</v>
      </c>
      <c r="C59" s="170">
        <f>IF(B59,Detailed_Analysis!C59,0)</f>
        <v>0</v>
      </c>
      <c r="D59" s="518" t="str">
        <f>Detailed_Analysis!D59</f>
        <v xml:space="preserve"> Allocate NSF based on user-defined space requirement</v>
      </c>
      <c r="E59" s="518"/>
      <c r="F59" s="518"/>
      <c r="G59" s="173">
        <v>0</v>
      </c>
      <c r="H59" s="162">
        <f>IF(B59,Detailed_Analysis!H59,0)</f>
        <v>0</v>
      </c>
    </row>
    <row r="60" spans="1:8" s="43" customFormat="1" ht="15" customHeight="1" x14ac:dyDescent="0.25">
      <c r="A60" s="285" t="s">
        <v>67</v>
      </c>
      <c r="B60" s="26" t="b">
        <v>0</v>
      </c>
      <c r="C60" s="170">
        <f>IF(B60,Detailed_Analysis!C60,0)</f>
        <v>0</v>
      </c>
      <c r="D60" s="518" t="str">
        <f>Detailed_Analysis!D60</f>
        <v xml:space="preserve"> Allocate NSF based on user-defined space requirement</v>
      </c>
      <c r="E60" s="518"/>
      <c r="F60" s="518"/>
      <c r="G60" s="173">
        <v>0</v>
      </c>
      <c r="H60" s="162">
        <f>IF(B60,Detailed_Analysis!H60,0)</f>
        <v>0</v>
      </c>
    </row>
    <row r="61" spans="1:8" s="43" customFormat="1" ht="15" customHeight="1" x14ac:dyDescent="0.25">
      <c r="A61" s="285" t="s">
        <v>66</v>
      </c>
      <c r="B61" s="26" t="b">
        <v>0</v>
      </c>
      <c r="C61" s="170">
        <f>IF(B61,Detailed_Analysis!C61,0)</f>
        <v>0</v>
      </c>
      <c r="D61" s="518" t="str">
        <f>Detailed_Analysis!D61</f>
        <v xml:space="preserve"> Allocate NSF based on user-defined space requirement</v>
      </c>
      <c r="E61" s="518"/>
      <c r="F61" s="518"/>
      <c r="G61" s="173">
        <v>0</v>
      </c>
      <c r="H61" s="162">
        <f>IF(B61,Detailed_Analysis!H61,0)</f>
        <v>0</v>
      </c>
    </row>
    <row r="62" spans="1:8" s="43" customFormat="1" ht="15" customHeight="1" x14ac:dyDescent="0.25">
      <c r="A62" s="285" t="s">
        <v>65</v>
      </c>
      <c r="B62" s="26" t="b">
        <v>0</v>
      </c>
      <c r="C62" s="170">
        <f>IF(B62,Detailed_Analysis!C62,0)</f>
        <v>0</v>
      </c>
      <c r="D62" s="518" t="str">
        <f>Detailed_Analysis!D62</f>
        <v xml:space="preserve"> Allocate NSF based on user-defined space requirement</v>
      </c>
      <c r="E62" s="518"/>
      <c r="F62" s="518"/>
      <c r="G62" s="173">
        <v>0</v>
      </c>
      <c r="H62" s="162">
        <f>IF(B62,Detailed_Analysis!H62,0)</f>
        <v>0</v>
      </c>
    </row>
    <row r="63" spans="1:8" s="43" customFormat="1" ht="15" customHeight="1" x14ac:dyDescent="0.25">
      <c r="A63" s="285" t="s">
        <v>64</v>
      </c>
      <c r="B63" s="26" t="b">
        <v>0</v>
      </c>
      <c r="C63" s="170">
        <f>IF(B63,Detailed_Analysis!C63,0)</f>
        <v>0</v>
      </c>
      <c r="D63" s="518" t="str">
        <f>Detailed_Analysis!D63</f>
        <v xml:space="preserve"> Allocate NSF based on user-defined space requirement</v>
      </c>
      <c r="E63" s="518"/>
      <c r="F63" s="518"/>
      <c r="G63" s="173">
        <v>0</v>
      </c>
      <c r="H63" s="162">
        <f>IF(B63,Detailed_Analysis!H63,0)</f>
        <v>0</v>
      </c>
    </row>
    <row r="64" spans="1:8" s="43" customFormat="1" ht="15" customHeight="1" x14ac:dyDescent="0.25">
      <c r="A64" s="285" t="s">
        <v>63</v>
      </c>
      <c r="B64" s="26" t="b">
        <v>0</v>
      </c>
      <c r="C64" s="170">
        <f>IF(B64,Detailed_Analysis!C64,0)</f>
        <v>0</v>
      </c>
      <c r="D64" s="518" t="str">
        <f>Detailed_Analysis!D64</f>
        <v xml:space="preserve"> Allocate NSF based on user-defined space requirement</v>
      </c>
      <c r="E64" s="518"/>
      <c r="F64" s="518"/>
      <c r="G64" s="173">
        <v>0</v>
      </c>
      <c r="H64" s="162">
        <f>IF(B64,Detailed_Analysis!H64,0)</f>
        <v>0</v>
      </c>
    </row>
    <row r="65" spans="1:8" s="43" customFormat="1" ht="15" customHeight="1" x14ac:dyDescent="0.25">
      <c r="A65" s="285" t="s">
        <v>62</v>
      </c>
      <c r="B65" s="26" t="b">
        <v>0</v>
      </c>
      <c r="C65" s="170">
        <f>IF(B65,Detailed_Analysis!C65,0)</f>
        <v>0</v>
      </c>
      <c r="D65" s="518" t="str">
        <f>Detailed_Analysis!D65</f>
        <v xml:space="preserve"> Allocate NSF based on user-defined space requirement</v>
      </c>
      <c r="E65" s="518"/>
      <c r="F65" s="518"/>
      <c r="G65" s="173">
        <v>0</v>
      </c>
      <c r="H65" s="162">
        <f>IF(B65,Detailed_Analysis!H65,0)</f>
        <v>0</v>
      </c>
    </row>
    <row r="66" spans="1:8" s="43" customFormat="1" ht="15" customHeight="1" x14ac:dyDescent="0.25">
      <c r="A66" s="285" t="s">
        <v>61</v>
      </c>
      <c r="B66" s="26" t="b">
        <v>0</v>
      </c>
      <c r="C66" s="170">
        <f>IF(B66,Detailed_Analysis!C66,0)</f>
        <v>0</v>
      </c>
      <c r="D66" s="518" t="str">
        <f>Detailed_Analysis!D66</f>
        <v xml:space="preserve"> Allocate NSF based on user-defined space requirement</v>
      </c>
      <c r="E66" s="518"/>
      <c r="F66" s="518"/>
      <c r="G66" s="173">
        <v>0</v>
      </c>
      <c r="H66" s="162">
        <f>IF(B66,Detailed_Analysis!H66,0)</f>
        <v>0</v>
      </c>
    </row>
    <row r="67" spans="1:8" s="43" customFormat="1" ht="15" customHeight="1" x14ac:dyDescent="0.25">
      <c r="A67" s="285" t="s">
        <v>60</v>
      </c>
      <c r="B67" s="26" t="b">
        <v>0</v>
      </c>
      <c r="C67" s="170">
        <f>IF(B67,Detailed_Analysis!C67,0)</f>
        <v>0</v>
      </c>
      <c r="D67" s="518" t="str">
        <f>Detailed_Analysis!D67</f>
        <v xml:space="preserve"> Allocate NSF based on user-defined space requirement</v>
      </c>
      <c r="E67" s="518"/>
      <c r="F67" s="518"/>
      <c r="G67" s="173">
        <v>0</v>
      </c>
      <c r="H67" s="162">
        <f>IF(B67,Detailed_Analysis!H67,0)</f>
        <v>0</v>
      </c>
    </row>
    <row r="68" spans="1:8" s="43" customFormat="1" ht="14.4" hidden="1" x14ac:dyDescent="0.25">
      <c r="A68" s="285" t="s">
        <v>59</v>
      </c>
      <c r="B68" s="286" t="b">
        <v>0</v>
      </c>
      <c r="C68" s="170">
        <f>IF(B68,Detailed_Analysis!C68,0)</f>
        <v>0</v>
      </c>
      <c r="D68" s="518" t="str">
        <f>Detailed_Analysis!D68</f>
        <v xml:space="preserve"> Allocate NSF based on user-defined space requirement</v>
      </c>
      <c r="E68" s="518"/>
      <c r="F68" s="518"/>
      <c r="G68" s="173">
        <v>0</v>
      </c>
      <c r="H68" s="162">
        <f>IF(B68,Detailed_Analysis!H68,0)</f>
        <v>0</v>
      </c>
    </row>
    <row r="69" spans="1:8" s="43" customFormat="1" ht="14.4" hidden="1" x14ac:dyDescent="0.25">
      <c r="A69" s="285" t="s">
        <v>58</v>
      </c>
      <c r="B69" s="286" t="b">
        <v>0</v>
      </c>
      <c r="C69" s="170">
        <f>IF(B69,Detailed_Analysis!C69,0)</f>
        <v>0</v>
      </c>
      <c r="D69" s="518" t="str">
        <f>Detailed_Analysis!D69</f>
        <v xml:space="preserve"> Allocate NSF based on user-defined space requirement</v>
      </c>
      <c r="E69" s="518"/>
      <c r="F69" s="518"/>
      <c r="G69" s="173">
        <v>0</v>
      </c>
      <c r="H69" s="162">
        <f>IF(B69,Detailed_Analysis!H69,0)</f>
        <v>0</v>
      </c>
    </row>
    <row r="70" spans="1:8" s="43" customFormat="1" ht="14.4" hidden="1" x14ac:dyDescent="0.25">
      <c r="A70" s="285" t="s">
        <v>57</v>
      </c>
      <c r="B70" s="286" t="b">
        <v>0</v>
      </c>
      <c r="C70" s="170">
        <f>IF(B70,Detailed_Analysis!C70,0)</f>
        <v>0</v>
      </c>
      <c r="D70" s="518" t="str">
        <f>Detailed_Analysis!D70</f>
        <v xml:space="preserve"> Allocate NSF based on user-defined space requirement</v>
      </c>
      <c r="E70" s="518"/>
      <c r="F70" s="518"/>
      <c r="G70" s="173">
        <v>0</v>
      </c>
      <c r="H70" s="162">
        <f>IF(B70,Detailed_Analysis!H70,0)</f>
        <v>0</v>
      </c>
    </row>
    <row r="71" spans="1:8" s="43" customFormat="1" ht="14.4" hidden="1" x14ac:dyDescent="0.25">
      <c r="A71" s="285" t="s">
        <v>56</v>
      </c>
      <c r="B71" s="286" t="b">
        <v>0</v>
      </c>
      <c r="C71" s="170">
        <f>IF(B71,Detailed_Analysis!C71,0)</f>
        <v>0</v>
      </c>
      <c r="D71" s="518" t="str">
        <f>Detailed_Analysis!D71</f>
        <v xml:space="preserve"> Allocate NSF based on user-defined space requirement</v>
      </c>
      <c r="E71" s="518"/>
      <c r="F71" s="518"/>
      <c r="G71" s="173">
        <v>0</v>
      </c>
      <c r="H71" s="162">
        <f>IF(B71,Detailed_Analysis!H71,0)</f>
        <v>0</v>
      </c>
    </row>
    <row r="72" spans="1:8" s="43" customFormat="1" ht="14.4" hidden="1" x14ac:dyDescent="0.25">
      <c r="A72" s="285" t="s">
        <v>55</v>
      </c>
      <c r="B72" s="286" t="b">
        <v>0</v>
      </c>
      <c r="C72" s="170">
        <f>IF(B72,Detailed_Analysis!C72,0)</f>
        <v>0</v>
      </c>
      <c r="D72" s="518" t="str">
        <f>Detailed_Analysis!D72</f>
        <v xml:space="preserve"> Allocate NSF based on user-defined space requirement</v>
      </c>
      <c r="E72" s="518"/>
      <c r="F72" s="518"/>
      <c r="G72" s="173">
        <v>0</v>
      </c>
      <c r="H72" s="162">
        <f>IF(B72,Detailed_Analysis!H72,0)</f>
        <v>0</v>
      </c>
    </row>
    <row r="73" spans="1:8" s="43" customFormat="1" ht="14.4" hidden="1" x14ac:dyDescent="0.25">
      <c r="A73" s="285" t="s">
        <v>54</v>
      </c>
      <c r="B73" s="286" t="b">
        <v>0</v>
      </c>
      <c r="C73" s="170">
        <f>IF(B73,Detailed_Analysis!C73,0)</f>
        <v>0</v>
      </c>
      <c r="D73" s="518" t="str">
        <f>Detailed_Analysis!D73</f>
        <v xml:space="preserve"> Allocate NSF based on user-defined space requirement</v>
      </c>
      <c r="E73" s="518"/>
      <c r="F73" s="518"/>
      <c r="G73" s="173">
        <v>0</v>
      </c>
      <c r="H73" s="162">
        <f>IF(B73,Detailed_Analysis!H73,0)</f>
        <v>0</v>
      </c>
    </row>
    <row r="74" spans="1:8" s="43" customFormat="1" ht="14.4" hidden="1" x14ac:dyDescent="0.25">
      <c r="A74" s="285" t="s">
        <v>53</v>
      </c>
      <c r="B74" s="286" t="b">
        <v>0</v>
      </c>
      <c r="C74" s="170">
        <f>IF(B74,Detailed_Analysis!C74,0)</f>
        <v>0</v>
      </c>
      <c r="D74" s="518" t="str">
        <f>Detailed_Analysis!D74</f>
        <v xml:space="preserve"> Allocate NSF based on user-defined space requirement</v>
      </c>
      <c r="E74" s="518"/>
      <c r="F74" s="518"/>
      <c r="G74" s="173">
        <v>0</v>
      </c>
      <c r="H74" s="162">
        <f>IF(B74,Detailed_Analysis!H74,0)</f>
        <v>0</v>
      </c>
    </row>
    <row r="75" spans="1:8" s="43" customFormat="1" ht="14.4" hidden="1" x14ac:dyDescent="0.25">
      <c r="A75" s="285" t="s">
        <v>52</v>
      </c>
      <c r="B75" s="286" t="b">
        <v>0</v>
      </c>
      <c r="C75" s="170">
        <f>IF(B75,Detailed_Analysis!C75,0)</f>
        <v>0</v>
      </c>
      <c r="D75" s="518" t="str">
        <f>Detailed_Analysis!D75</f>
        <v xml:space="preserve"> Allocate NSF based on user-defined space requirement</v>
      </c>
      <c r="E75" s="518"/>
      <c r="F75" s="518"/>
      <c r="G75" s="173">
        <v>0</v>
      </c>
      <c r="H75" s="162">
        <f>IF(B75,Detailed_Analysis!H75,0)</f>
        <v>0</v>
      </c>
    </row>
    <row r="76" spans="1:8" s="43" customFormat="1" ht="14.4" hidden="1" x14ac:dyDescent="0.25">
      <c r="A76" s="285" t="s">
        <v>51</v>
      </c>
      <c r="B76" s="286" t="b">
        <v>0</v>
      </c>
      <c r="C76" s="170">
        <f>IF(B76,Detailed_Analysis!C76,0)</f>
        <v>0</v>
      </c>
      <c r="D76" s="518" t="str">
        <f>Detailed_Analysis!D76</f>
        <v xml:space="preserve"> Allocate NSF based on user-defined space requirement</v>
      </c>
      <c r="E76" s="518"/>
      <c r="F76" s="518"/>
      <c r="G76" s="173">
        <v>0</v>
      </c>
      <c r="H76" s="162">
        <f>IF(B76,Detailed_Analysis!H76,0)</f>
        <v>0</v>
      </c>
    </row>
    <row r="77" spans="1:8" s="43" customFormat="1" ht="14.4" hidden="1" x14ac:dyDescent="0.25">
      <c r="A77" s="285" t="s">
        <v>50</v>
      </c>
      <c r="B77" s="286" t="b">
        <v>0</v>
      </c>
      <c r="C77" s="170">
        <f>IF(B77,Detailed_Analysis!C77,0)</f>
        <v>0</v>
      </c>
      <c r="D77" s="518" t="str">
        <f>Detailed_Analysis!D77</f>
        <v xml:space="preserve"> Allocate NSF based on user-defined space requirement</v>
      </c>
      <c r="E77" s="518"/>
      <c r="F77" s="518"/>
      <c r="G77" s="173">
        <v>0</v>
      </c>
      <c r="H77" s="162">
        <f>IF(B77,Detailed_Analysis!H77,0)</f>
        <v>0</v>
      </c>
    </row>
    <row r="78" spans="1:8" s="43" customFormat="1" ht="14.4" hidden="1" x14ac:dyDescent="0.25">
      <c r="A78" s="285" t="s">
        <v>49</v>
      </c>
      <c r="B78" s="286" t="b">
        <v>0</v>
      </c>
      <c r="C78" s="170">
        <f>IF(B78,Detailed_Analysis!C78,0)</f>
        <v>0</v>
      </c>
      <c r="D78" s="518" t="str">
        <f>Detailed_Analysis!D78</f>
        <v xml:space="preserve"> Allocate NSF based on user-defined space requirement</v>
      </c>
      <c r="E78" s="518"/>
      <c r="F78" s="518"/>
      <c r="G78" s="173">
        <v>0</v>
      </c>
      <c r="H78" s="162">
        <f>IF(B78,Detailed_Analysis!H78,0)</f>
        <v>0</v>
      </c>
    </row>
    <row r="79" spans="1:8" s="43" customFormat="1" ht="14.4" x14ac:dyDescent="0.3">
      <c r="A79" s="337"/>
      <c r="B79" s="27"/>
      <c r="C79" s="523" t="str">
        <f>Detailed_Analysis!D79</f>
        <v>User Defined Group Subtotal:</v>
      </c>
      <c r="D79" s="523"/>
      <c r="E79" s="523"/>
      <c r="F79" s="523"/>
      <c r="G79" s="524"/>
      <c r="H79" s="162">
        <f>Detailed_Analysis!H79</f>
        <v>0</v>
      </c>
    </row>
    <row r="80" spans="1:8" ht="5.0999999999999996" customHeight="1" x14ac:dyDescent="0.3">
      <c r="A80" s="27"/>
      <c r="B80" s="27"/>
      <c r="C80" s="27"/>
      <c r="D80" s="27"/>
      <c r="E80" s="27"/>
      <c r="F80" s="27"/>
      <c r="G80" s="27"/>
      <c r="H80" s="27"/>
    </row>
    <row r="81" spans="1:8" ht="14.4" x14ac:dyDescent="0.3">
      <c r="A81" s="80"/>
      <c r="B81" s="27"/>
      <c r="C81" s="527" t="str">
        <f>Detailed_Analysis!D81</f>
        <v>Special Purpose Space Subtotal:</v>
      </c>
      <c r="D81" s="527"/>
      <c r="E81" s="527"/>
      <c r="F81" s="527"/>
      <c r="G81" s="527"/>
      <c r="H81" s="162">
        <f>Detailed_Analysis!H81</f>
        <v>0</v>
      </c>
    </row>
    <row r="82" spans="1:8" ht="15" customHeight="1" x14ac:dyDescent="0.3">
      <c r="A82" s="25" t="s">
        <v>431</v>
      </c>
      <c r="B82" s="26" t="b">
        <v>1</v>
      </c>
      <c r="C82" s="163">
        <f>IF(B82,0.12,0)</f>
        <v>0.12</v>
      </c>
      <c r="D82" s="518" t="str">
        <f>Detailed_Analysis!D82</f>
        <v xml:space="preserve"> (secondary circ. multiplier) (special purpose space)</v>
      </c>
      <c r="E82" s="518"/>
      <c r="F82" s="518"/>
      <c r="G82" s="162">
        <f>IF(Detailed_Analysis!C82&gt;0,Detailed_Analysis!G82,0)</f>
        <v>0</v>
      </c>
      <c r="H82" s="162">
        <f>Detailed_Analysis!H82</f>
        <v>0</v>
      </c>
    </row>
    <row r="83" spans="1:8" ht="15" customHeight="1" x14ac:dyDescent="0.3">
      <c r="A83" s="27"/>
      <c r="B83" s="27"/>
      <c r="C83" s="527" t="str">
        <f>Detailed_Analysis!D83</f>
        <v>Net Special Purpose Space:</v>
      </c>
      <c r="D83" s="527"/>
      <c r="E83" s="527"/>
      <c r="F83" s="527"/>
      <c r="G83" s="527"/>
      <c r="H83" s="162">
        <f>Detailed_Analysis!H83</f>
        <v>0</v>
      </c>
    </row>
    <row r="84" spans="1:8" ht="5.0999999999999996" customHeight="1" x14ac:dyDescent="0.3">
      <c r="A84" s="27"/>
      <c r="B84" s="41"/>
      <c r="C84" s="27"/>
      <c r="D84" s="27"/>
      <c r="E84" s="27"/>
      <c r="F84" s="27"/>
      <c r="G84" s="27"/>
      <c r="H84" s="27"/>
    </row>
    <row r="85" spans="1:8" ht="15" customHeight="1" x14ac:dyDescent="0.3">
      <c r="A85" s="145" t="str">
        <f>Detailed_Analysis!A85</f>
        <v>Net Building Area Review:</v>
      </c>
      <c r="B85" s="148"/>
      <c r="C85" s="149"/>
      <c r="D85" s="169"/>
      <c r="E85" s="169"/>
      <c r="F85" s="169"/>
      <c r="G85" s="149"/>
      <c r="H85" s="150" t="str">
        <f>Detailed_Analysis!H85</f>
        <v>NSF</v>
      </c>
    </row>
    <row r="86" spans="1:8" ht="15" customHeight="1" x14ac:dyDescent="0.3">
      <c r="A86" s="25"/>
      <c r="B86" s="25"/>
      <c r="C86" s="527" t="str">
        <f>Detailed_Analysis!D86</f>
        <v>Net General Administrative Space:</v>
      </c>
      <c r="D86" s="527"/>
      <c r="E86" s="527"/>
      <c r="F86" s="527"/>
      <c r="G86" s="527"/>
      <c r="H86" s="162">
        <f>Detailed_Analysis!H86</f>
        <v>0</v>
      </c>
    </row>
    <row r="87" spans="1:8" ht="15" customHeight="1" x14ac:dyDescent="0.3">
      <c r="A87" s="40"/>
      <c r="B87" s="25"/>
      <c r="C87" s="527" t="str">
        <f>Detailed_Analysis!D87</f>
        <v>Net Special Purpose Space:</v>
      </c>
      <c r="D87" s="527"/>
      <c r="E87" s="527"/>
      <c r="F87" s="527"/>
      <c r="G87" s="527"/>
      <c r="H87" s="162">
        <f>Detailed_Analysis!H87</f>
        <v>0</v>
      </c>
    </row>
    <row r="88" spans="1:8" ht="15" customHeight="1" x14ac:dyDescent="0.3">
      <c r="A88" s="25"/>
      <c r="B88" s="25"/>
      <c r="C88" s="527" t="str">
        <f>Detailed_Analysis!D88</f>
        <v>Net Building Area:</v>
      </c>
      <c r="D88" s="527"/>
      <c r="E88" s="527"/>
      <c r="F88" s="527"/>
      <c r="G88" s="527"/>
      <c r="H88" s="162">
        <f>Detailed_Analysis!H88</f>
        <v>0</v>
      </c>
    </row>
    <row r="89" spans="1:8" ht="15" customHeight="1" x14ac:dyDescent="0.3">
      <c r="A89" s="39"/>
      <c r="B89" s="27"/>
      <c r="C89" s="27"/>
      <c r="D89" s="27"/>
      <c r="E89" s="27"/>
      <c r="F89" s="27"/>
      <c r="G89" s="27"/>
      <c r="H89" s="27"/>
    </row>
    <row r="90" spans="1:8" s="144" customFormat="1" ht="15" customHeight="1" x14ac:dyDescent="0.3">
      <c r="A90" s="39"/>
      <c r="B90" s="408"/>
      <c r="C90" s="408"/>
      <c r="D90" s="408"/>
      <c r="E90" s="408"/>
      <c r="F90" s="408"/>
      <c r="G90" s="408"/>
      <c r="H90" s="408"/>
    </row>
    <row r="91" spans="1:8" ht="12.75" customHeight="1" x14ac:dyDescent="0.3">
      <c r="G91" s="20" t="str">
        <f>HYPERLINK("#Activity","Back")</f>
        <v>Back</v>
      </c>
      <c r="H91" s="20" t="str">
        <f>HYPERLINK("#Justification","Next")</f>
        <v>Next</v>
      </c>
    </row>
  </sheetData>
  <sheetProtection algorithmName="SHA-512" hashValue="WpdD5hl8fuKVEYSeFcSrBbwgJ68/05kJUbJic2Orf/CXLluLD+dlUrtI5ljfVsmZiif0Bx/l5BkxmbUVZzTO+A==" saltValue="Pjf9koQmi7HbXJ1uWeJDaw==" spinCount="100000" sheet="1" objects="1" scenarios="1"/>
  <mergeCells count="59">
    <mergeCell ref="C88:G88"/>
    <mergeCell ref="C81:G81"/>
    <mergeCell ref="C83:G83"/>
    <mergeCell ref="C50:G50"/>
    <mergeCell ref="C39:G39"/>
    <mergeCell ref="C57:G57"/>
    <mergeCell ref="C79:G79"/>
    <mergeCell ref="C86:G86"/>
    <mergeCell ref="C87:G87"/>
    <mergeCell ref="D45:F45"/>
    <mergeCell ref="D59:F59"/>
    <mergeCell ref="D60:F60"/>
    <mergeCell ref="D66:F66"/>
    <mergeCell ref="D82:F82"/>
    <mergeCell ref="D61:F61"/>
    <mergeCell ref="D62:F62"/>
    <mergeCell ref="C1:F1"/>
    <mergeCell ref="D36:F36"/>
    <mergeCell ref="C32:G32"/>
    <mergeCell ref="C3:F3"/>
    <mergeCell ref="C4:F4"/>
    <mergeCell ref="C5:F5"/>
    <mergeCell ref="C6:F6"/>
    <mergeCell ref="D28:F28"/>
    <mergeCell ref="D29:F29"/>
    <mergeCell ref="D31:F31"/>
    <mergeCell ref="D30:F30"/>
    <mergeCell ref="C2:F2"/>
    <mergeCell ref="D27:F27"/>
    <mergeCell ref="D34:F34"/>
    <mergeCell ref="D37:F37"/>
    <mergeCell ref="D43:F43"/>
    <mergeCell ref="D44:F44"/>
    <mergeCell ref="D56:F56"/>
    <mergeCell ref="D49:F49"/>
    <mergeCell ref="D46:F46"/>
    <mergeCell ref="D47:F47"/>
    <mergeCell ref="D48:F48"/>
    <mergeCell ref="D52:F52"/>
    <mergeCell ref="D53:F53"/>
    <mergeCell ref="D54:F54"/>
    <mergeCell ref="D38:F38"/>
    <mergeCell ref="D41:F41"/>
    <mergeCell ref="D76:F76"/>
    <mergeCell ref="D77:F77"/>
    <mergeCell ref="D78:F78"/>
    <mergeCell ref="D55:F55"/>
    <mergeCell ref="D75:F75"/>
    <mergeCell ref="D69:F69"/>
    <mergeCell ref="D70:F70"/>
    <mergeCell ref="D71:F71"/>
    <mergeCell ref="D72:F72"/>
    <mergeCell ref="D73:F73"/>
    <mergeCell ref="D74:F74"/>
    <mergeCell ref="D63:F63"/>
    <mergeCell ref="D64:F64"/>
    <mergeCell ref="D65:F65"/>
    <mergeCell ref="D67:F67"/>
    <mergeCell ref="D68:F68"/>
  </mergeCells>
  <dataValidations disablePrompts="1" count="1">
    <dataValidation allowBlank="1" showInputMessage="1" showErrorMessage="1" sqref="H10:H13"/>
  </dataValidations>
  <pageMargins left="0.25" right="0.25" top="0.75" bottom="0.75" header="0.3" footer="0.3"/>
  <pageSetup scale="66" fitToHeight="0" orientation="portrait" r:id="rId1"/>
  <headerFooter>
    <oddHeader>&amp;C&amp;"Calibri,Bold"&amp;16Basic Facilities Requirement</oddHeader>
  </headerFooter>
  <customProperties>
    <customPr name="SSC_SHEET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5153" r:id="rId5" name="Check Box 33">
              <controlPr defaultSize="0" autoFill="0" autoLine="0" autoPict="0">
                <anchor moveWithCells="1">
                  <from>
                    <xdr:col>1</xdr:col>
                    <xdr:colOff>83820</xdr:colOff>
                    <xdr:row>65</xdr:row>
                    <xdr:rowOff>190500</xdr:rowOff>
                  </from>
                  <to>
                    <xdr:col>1</xdr:col>
                    <xdr:colOff>266700</xdr:colOff>
                    <xdr:row>67</xdr:row>
                    <xdr:rowOff>0</xdr:rowOff>
                  </to>
                </anchor>
              </controlPr>
            </control>
          </mc:Choice>
        </mc:AlternateContent>
        <mc:AlternateContent xmlns:mc="http://schemas.openxmlformats.org/markup-compatibility/2006">
          <mc:Choice Requires="x14">
            <control shapeId="5154" r:id="rId6" name="Check Box 34">
              <controlPr defaultSize="0" autoFill="0" autoLine="0" autoPict="0">
                <anchor moveWithCells="1">
                  <from>
                    <xdr:col>1</xdr:col>
                    <xdr:colOff>83820</xdr:colOff>
                    <xdr:row>53</xdr:row>
                    <xdr:rowOff>0</xdr:rowOff>
                  </from>
                  <to>
                    <xdr:col>1</xdr:col>
                    <xdr:colOff>266700</xdr:colOff>
                    <xdr:row>53</xdr:row>
                    <xdr:rowOff>175260</xdr:rowOff>
                  </to>
                </anchor>
              </controlPr>
            </control>
          </mc:Choice>
        </mc:AlternateContent>
        <mc:AlternateContent xmlns:mc="http://schemas.openxmlformats.org/markup-compatibility/2006">
          <mc:Choice Requires="x14">
            <control shapeId="5157" r:id="rId7" name="Check Box 37">
              <controlPr defaultSize="0" autoFill="0" autoLine="0" autoPict="0" altText="Checkbox_Secure_Visitor_Waiting_Area">
                <anchor moveWithCells="1">
                  <from>
                    <xdr:col>1</xdr:col>
                    <xdr:colOff>83820</xdr:colOff>
                    <xdr:row>52</xdr:row>
                    <xdr:rowOff>7620</xdr:rowOff>
                  </from>
                  <to>
                    <xdr:col>1</xdr:col>
                    <xdr:colOff>266700</xdr:colOff>
                    <xdr:row>52</xdr:row>
                    <xdr:rowOff>182880</xdr:rowOff>
                  </to>
                </anchor>
              </controlPr>
            </control>
          </mc:Choice>
        </mc:AlternateContent>
        <mc:AlternateContent xmlns:mc="http://schemas.openxmlformats.org/markup-compatibility/2006">
          <mc:Choice Requires="x14">
            <control shapeId="5158" r:id="rId8" name="Check Box 38">
              <controlPr defaultSize="0" autoFill="0" autoLine="0" autoPict="0" altText="Checkbox_Weapons_Vestibule_and_Vault">
                <anchor moveWithCells="1">
                  <from>
                    <xdr:col>1</xdr:col>
                    <xdr:colOff>83820</xdr:colOff>
                    <xdr:row>54</xdr:row>
                    <xdr:rowOff>190500</xdr:rowOff>
                  </from>
                  <to>
                    <xdr:col>1</xdr:col>
                    <xdr:colOff>266700</xdr:colOff>
                    <xdr:row>55</xdr:row>
                    <xdr:rowOff>182880</xdr:rowOff>
                  </to>
                </anchor>
              </controlPr>
            </control>
          </mc:Choice>
        </mc:AlternateContent>
        <mc:AlternateContent xmlns:mc="http://schemas.openxmlformats.org/markup-compatibility/2006">
          <mc:Choice Requires="x14">
            <control shapeId="5160" r:id="rId9" name="Check Box 40">
              <controlPr defaultSize="0" autoFill="0" autoLine="0" autoPict="0">
                <anchor moveWithCells="1">
                  <from>
                    <xdr:col>1</xdr:col>
                    <xdr:colOff>83820</xdr:colOff>
                    <xdr:row>42</xdr:row>
                    <xdr:rowOff>0</xdr:rowOff>
                  </from>
                  <to>
                    <xdr:col>1</xdr:col>
                    <xdr:colOff>266700</xdr:colOff>
                    <xdr:row>42</xdr:row>
                    <xdr:rowOff>182880</xdr:rowOff>
                  </to>
                </anchor>
              </controlPr>
            </control>
          </mc:Choice>
        </mc:AlternateContent>
        <mc:AlternateContent xmlns:mc="http://schemas.openxmlformats.org/markup-compatibility/2006">
          <mc:Choice Requires="x14">
            <control shapeId="5161" r:id="rId10" name="Check Box 41">
              <controlPr defaultSize="0" autoFill="0" autoLine="0" autoPict="0">
                <anchor moveWithCells="1">
                  <from>
                    <xdr:col>1</xdr:col>
                    <xdr:colOff>83820</xdr:colOff>
                    <xdr:row>48</xdr:row>
                    <xdr:rowOff>0</xdr:rowOff>
                  </from>
                  <to>
                    <xdr:col>1</xdr:col>
                    <xdr:colOff>266700</xdr:colOff>
                    <xdr:row>48</xdr:row>
                    <xdr:rowOff>182880</xdr:rowOff>
                  </to>
                </anchor>
              </controlPr>
            </control>
          </mc:Choice>
        </mc:AlternateContent>
        <mc:AlternateContent xmlns:mc="http://schemas.openxmlformats.org/markup-compatibility/2006">
          <mc:Choice Requires="x14">
            <control shapeId="5162" r:id="rId11" name="Check Box 42">
              <controlPr defaultSize="0" autoFill="0" autoLine="0" autoPict="0">
                <anchor moveWithCells="1">
                  <from>
                    <xdr:col>1</xdr:col>
                    <xdr:colOff>83820</xdr:colOff>
                    <xdr:row>44</xdr:row>
                    <xdr:rowOff>190500</xdr:rowOff>
                  </from>
                  <to>
                    <xdr:col>1</xdr:col>
                    <xdr:colOff>266700</xdr:colOff>
                    <xdr:row>45</xdr:row>
                    <xdr:rowOff>182880</xdr:rowOff>
                  </to>
                </anchor>
              </controlPr>
            </control>
          </mc:Choice>
        </mc:AlternateContent>
        <mc:AlternateContent xmlns:mc="http://schemas.openxmlformats.org/markup-compatibility/2006">
          <mc:Choice Requires="x14">
            <control shapeId="5163" r:id="rId12" name="Check Box 43">
              <controlPr defaultSize="0" autoFill="0" autoLine="0" autoPict="0">
                <anchor moveWithCells="1">
                  <from>
                    <xdr:col>1</xdr:col>
                    <xdr:colOff>83820</xdr:colOff>
                    <xdr:row>46</xdr:row>
                    <xdr:rowOff>0</xdr:rowOff>
                  </from>
                  <to>
                    <xdr:col>1</xdr:col>
                    <xdr:colOff>266700</xdr:colOff>
                    <xdr:row>46</xdr:row>
                    <xdr:rowOff>182880</xdr:rowOff>
                  </to>
                </anchor>
              </controlPr>
            </control>
          </mc:Choice>
        </mc:AlternateContent>
        <mc:AlternateContent xmlns:mc="http://schemas.openxmlformats.org/markup-compatibility/2006">
          <mc:Choice Requires="x14">
            <control shapeId="5164" r:id="rId13" name="Check Box 44">
              <controlPr defaultSize="0" autoFill="0" autoLine="0" autoPict="0">
                <anchor moveWithCells="1">
                  <from>
                    <xdr:col>1</xdr:col>
                    <xdr:colOff>83820</xdr:colOff>
                    <xdr:row>44</xdr:row>
                    <xdr:rowOff>0</xdr:rowOff>
                  </from>
                  <to>
                    <xdr:col>1</xdr:col>
                    <xdr:colOff>266700</xdr:colOff>
                    <xdr:row>44</xdr:row>
                    <xdr:rowOff>182880</xdr:rowOff>
                  </to>
                </anchor>
              </controlPr>
            </control>
          </mc:Choice>
        </mc:AlternateContent>
        <mc:AlternateContent xmlns:mc="http://schemas.openxmlformats.org/markup-compatibility/2006">
          <mc:Choice Requires="x14">
            <control shapeId="5165" r:id="rId14" name="Check Box 45">
              <controlPr defaultSize="0" autoFill="0" autoLine="0" autoPict="0">
                <anchor moveWithCells="1">
                  <from>
                    <xdr:col>1</xdr:col>
                    <xdr:colOff>83820</xdr:colOff>
                    <xdr:row>46</xdr:row>
                    <xdr:rowOff>190500</xdr:rowOff>
                  </from>
                  <to>
                    <xdr:col>1</xdr:col>
                    <xdr:colOff>274320</xdr:colOff>
                    <xdr:row>47</xdr:row>
                    <xdr:rowOff>182880</xdr:rowOff>
                  </to>
                </anchor>
              </controlPr>
            </control>
          </mc:Choice>
        </mc:AlternateContent>
        <mc:AlternateContent xmlns:mc="http://schemas.openxmlformats.org/markup-compatibility/2006">
          <mc:Choice Requires="x14">
            <control shapeId="5166" r:id="rId15" name="Check Box 46">
              <controlPr defaultSize="0" autoFill="0" autoLine="0" autoPict="0">
                <anchor moveWithCells="1">
                  <from>
                    <xdr:col>1</xdr:col>
                    <xdr:colOff>83820</xdr:colOff>
                    <xdr:row>54</xdr:row>
                    <xdr:rowOff>0</xdr:rowOff>
                  </from>
                  <to>
                    <xdr:col>1</xdr:col>
                    <xdr:colOff>266700</xdr:colOff>
                    <xdr:row>54</xdr:row>
                    <xdr:rowOff>175260</xdr:rowOff>
                  </to>
                </anchor>
              </controlPr>
            </control>
          </mc:Choice>
        </mc:AlternateContent>
        <mc:AlternateContent xmlns:mc="http://schemas.openxmlformats.org/markup-compatibility/2006">
          <mc:Choice Requires="x14">
            <control shapeId="5167" r:id="rId16" name="Check Box 47">
              <controlPr defaultSize="0" autoFill="0" autoLine="0" autoPict="0">
                <anchor moveWithCells="1">
                  <from>
                    <xdr:col>1</xdr:col>
                    <xdr:colOff>83820</xdr:colOff>
                    <xdr:row>43</xdr:row>
                    <xdr:rowOff>7620</xdr:rowOff>
                  </from>
                  <to>
                    <xdr:col>1</xdr:col>
                    <xdr:colOff>274320</xdr:colOff>
                    <xdr:row>44</xdr:row>
                    <xdr:rowOff>0</xdr:rowOff>
                  </to>
                </anchor>
              </controlPr>
            </control>
          </mc:Choice>
        </mc:AlternateContent>
        <mc:AlternateContent xmlns:mc="http://schemas.openxmlformats.org/markup-compatibility/2006">
          <mc:Choice Requires="x14">
            <control shapeId="5168" r:id="rId17" name="Check Box 48">
              <controlPr defaultSize="0" autoFill="0" autoLine="0" autoPict="0">
                <anchor moveWithCells="1">
                  <from>
                    <xdr:col>1</xdr:col>
                    <xdr:colOff>83820</xdr:colOff>
                    <xdr:row>51</xdr:row>
                    <xdr:rowOff>0</xdr:rowOff>
                  </from>
                  <to>
                    <xdr:col>1</xdr:col>
                    <xdr:colOff>266700</xdr:colOff>
                    <xdr:row>51</xdr:row>
                    <xdr:rowOff>182880</xdr:rowOff>
                  </to>
                </anchor>
              </controlPr>
            </control>
          </mc:Choice>
        </mc:AlternateContent>
        <mc:AlternateContent xmlns:mc="http://schemas.openxmlformats.org/markup-compatibility/2006">
          <mc:Choice Requires="x14">
            <control shapeId="5169" r:id="rId18" name="Check Box Private Office">
              <controlPr defaultSize="0" autoFill="0" autoLine="0" autoPict="0">
                <anchor moveWithCells="1">
                  <from>
                    <xdr:col>1</xdr:col>
                    <xdr:colOff>83820</xdr:colOff>
                    <xdr:row>27</xdr:row>
                    <xdr:rowOff>22860</xdr:rowOff>
                  </from>
                  <to>
                    <xdr:col>1</xdr:col>
                    <xdr:colOff>266700</xdr:colOff>
                    <xdr:row>28</xdr:row>
                    <xdr:rowOff>7620</xdr:rowOff>
                  </to>
                </anchor>
              </controlPr>
            </control>
          </mc:Choice>
        </mc:AlternateContent>
        <mc:AlternateContent xmlns:mc="http://schemas.openxmlformats.org/markup-compatibility/2006">
          <mc:Choice Requires="x14">
            <control shapeId="5170" r:id="rId19" name="Check Box Open Office">
              <controlPr defaultSize="0" autoFill="0" autoLine="0" autoPict="0">
                <anchor moveWithCells="1">
                  <from>
                    <xdr:col>1</xdr:col>
                    <xdr:colOff>83820</xdr:colOff>
                    <xdr:row>28</xdr:row>
                    <xdr:rowOff>7620</xdr:rowOff>
                  </from>
                  <to>
                    <xdr:col>1</xdr:col>
                    <xdr:colOff>266700</xdr:colOff>
                    <xdr:row>29</xdr:row>
                    <xdr:rowOff>0</xdr:rowOff>
                  </to>
                </anchor>
              </controlPr>
            </control>
          </mc:Choice>
        </mc:AlternateContent>
        <mc:AlternateContent xmlns:mc="http://schemas.openxmlformats.org/markup-compatibility/2006">
          <mc:Choice Requires="x14">
            <control shapeId="5171" r:id="rId20" name="Check Box Admin Support Space">
              <controlPr defaultSize="0" autoFill="0" autoLine="0" autoPict="0">
                <anchor moveWithCells="1">
                  <from>
                    <xdr:col>1</xdr:col>
                    <xdr:colOff>83820</xdr:colOff>
                    <xdr:row>35</xdr:row>
                    <xdr:rowOff>0</xdr:rowOff>
                  </from>
                  <to>
                    <xdr:col>1</xdr:col>
                    <xdr:colOff>266700</xdr:colOff>
                    <xdr:row>35</xdr:row>
                    <xdr:rowOff>182880</xdr:rowOff>
                  </to>
                </anchor>
              </controlPr>
            </control>
          </mc:Choice>
        </mc:AlternateContent>
        <mc:AlternateContent xmlns:mc="http://schemas.openxmlformats.org/markup-compatibility/2006">
          <mc:Choice Requires="x14">
            <control shapeId="5172" r:id="rId21" name="Check Box Conf Trng Space">
              <controlPr defaultSize="0" autoFill="0" autoLine="0" autoPict="0">
                <anchor moveWithCells="1">
                  <from>
                    <xdr:col>1</xdr:col>
                    <xdr:colOff>83820</xdr:colOff>
                    <xdr:row>36</xdr:row>
                    <xdr:rowOff>0</xdr:rowOff>
                  </from>
                  <to>
                    <xdr:col>1</xdr:col>
                    <xdr:colOff>266700</xdr:colOff>
                    <xdr:row>36</xdr:row>
                    <xdr:rowOff>182880</xdr:rowOff>
                  </to>
                </anchor>
              </controlPr>
            </control>
          </mc:Choice>
        </mc:AlternateContent>
        <mc:AlternateContent xmlns:mc="http://schemas.openxmlformats.org/markup-compatibility/2006">
          <mc:Choice Requires="x14">
            <control shapeId="5173" r:id="rId22" name="Check Box 53">
              <controlPr defaultSize="0" autoFill="0" autoLine="0" autoPict="0">
                <anchor moveWithCells="1">
                  <from>
                    <xdr:col>1</xdr:col>
                    <xdr:colOff>83820</xdr:colOff>
                    <xdr:row>30</xdr:row>
                    <xdr:rowOff>7620</xdr:rowOff>
                  </from>
                  <to>
                    <xdr:col>1</xdr:col>
                    <xdr:colOff>266700</xdr:colOff>
                    <xdr:row>30</xdr:row>
                    <xdr:rowOff>182880</xdr:rowOff>
                  </to>
                </anchor>
              </controlPr>
            </control>
          </mc:Choice>
        </mc:AlternateContent>
        <mc:AlternateContent xmlns:mc="http://schemas.openxmlformats.org/markup-compatibility/2006">
          <mc:Choice Requires="x14">
            <control shapeId="5174" r:id="rId23" name="Check Box 54">
              <controlPr defaultSize="0" autoFill="0" autoLine="0" autoPict="0">
                <anchor moveWithCells="1">
                  <from>
                    <xdr:col>1</xdr:col>
                    <xdr:colOff>83820</xdr:colOff>
                    <xdr:row>81</xdr:row>
                    <xdr:rowOff>0</xdr:rowOff>
                  </from>
                  <to>
                    <xdr:col>1</xdr:col>
                    <xdr:colOff>266700</xdr:colOff>
                    <xdr:row>81</xdr:row>
                    <xdr:rowOff>182880</xdr:rowOff>
                  </to>
                </anchor>
              </controlPr>
            </control>
          </mc:Choice>
        </mc:AlternateContent>
        <mc:AlternateContent xmlns:mc="http://schemas.openxmlformats.org/markup-compatibility/2006">
          <mc:Choice Requires="x14">
            <control shapeId="5175" r:id="rId24" name="Check Box 55">
              <controlPr defaultSize="0" autoFill="0" autoLine="0" autoPict="0" altText="">
                <anchor moveWithCells="1">
                  <from>
                    <xdr:col>1</xdr:col>
                    <xdr:colOff>83820</xdr:colOff>
                    <xdr:row>57</xdr:row>
                    <xdr:rowOff>190500</xdr:rowOff>
                  </from>
                  <to>
                    <xdr:col>1</xdr:col>
                    <xdr:colOff>266700</xdr:colOff>
                    <xdr:row>58</xdr:row>
                    <xdr:rowOff>182880</xdr:rowOff>
                  </to>
                </anchor>
              </controlPr>
            </control>
          </mc:Choice>
        </mc:AlternateContent>
        <mc:AlternateContent xmlns:mc="http://schemas.openxmlformats.org/markup-compatibility/2006">
          <mc:Choice Requires="x14">
            <control shapeId="5176" r:id="rId25" name="Check Box 56">
              <controlPr defaultSize="0" autoFill="0" autoLine="0" autoPict="0">
                <anchor moveWithCells="1">
                  <from>
                    <xdr:col>1</xdr:col>
                    <xdr:colOff>83820</xdr:colOff>
                    <xdr:row>58</xdr:row>
                    <xdr:rowOff>190500</xdr:rowOff>
                  </from>
                  <to>
                    <xdr:col>1</xdr:col>
                    <xdr:colOff>266700</xdr:colOff>
                    <xdr:row>59</xdr:row>
                    <xdr:rowOff>182880</xdr:rowOff>
                  </to>
                </anchor>
              </controlPr>
            </control>
          </mc:Choice>
        </mc:AlternateContent>
        <mc:AlternateContent xmlns:mc="http://schemas.openxmlformats.org/markup-compatibility/2006">
          <mc:Choice Requires="x14">
            <control shapeId="5177" r:id="rId26" name="Check Box 57">
              <controlPr defaultSize="0" autoFill="0" autoLine="0" autoPict="0">
                <anchor moveWithCells="1">
                  <from>
                    <xdr:col>1</xdr:col>
                    <xdr:colOff>83820</xdr:colOff>
                    <xdr:row>59</xdr:row>
                    <xdr:rowOff>190500</xdr:rowOff>
                  </from>
                  <to>
                    <xdr:col>1</xdr:col>
                    <xdr:colOff>266700</xdr:colOff>
                    <xdr:row>60</xdr:row>
                    <xdr:rowOff>182880</xdr:rowOff>
                  </to>
                </anchor>
              </controlPr>
            </control>
          </mc:Choice>
        </mc:AlternateContent>
        <mc:AlternateContent xmlns:mc="http://schemas.openxmlformats.org/markup-compatibility/2006">
          <mc:Choice Requires="x14">
            <control shapeId="5178" r:id="rId27" name="Check Box 58">
              <controlPr defaultSize="0" autoFill="0" autoLine="0" autoPict="0">
                <anchor moveWithCells="1">
                  <from>
                    <xdr:col>1</xdr:col>
                    <xdr:colOff>83820</xdr:colOff>
                    <xdr:row>61</xdr:row>
                    <xdr:rowOff>190500</xdr:rowOff>
                  </from>
                  <to>
                    <xdr:col>1</xdr:col>
                    <xdr:colOff>266700</xdr:colOff>
                    <xdr:row>62</xdr:row>
                    <xdr:rowOff>182880</xdr:rowOff>
                  </to>
                </anchor>
              </controlPr>
            </control>
          </mc:Choice>
        </mc:AlternateContent>
        <mc:AlternateContent xmlns:mc="http://schemas.openxmlformats.org/markup-compatibility/2006">
          <mc:Choice Requires="x14">
            <control shapeId="5179" r:id="rId28" name="Check Box 59">
              <controlPr defaultSize="0" autoFill="0" autoLine="0" autoPict="0">
                <anchor moveWithCells="1">
                  <from>
                    <xdr:col>1</xdr:col>
                    <xdr:colOff>83820</xdr:colOff>
                    <xdr:row>62</xdr:row>
                    <xdr:rowOff>190500</xdr:rowOff>
                  </from>
                  <to>
                    <xdr:col>1</xdr:col>
                    <xdr:colOff>266700</xdr:colOff>
                    <xdr:row>63</xdr:row>
                    <xdr:rowOff>182880</xdr:rowOff>
                  </to>
                </anchor>
              </controlPr>
            </control>
          </mc:Choice>
        </mc:AlternateContent>
        <mc:AlternateContent xmlns:mc="http://schemas.openxmlformats.org/markup-compatibility/2006">
          <mc:Choice Requires="x14">
            <control shapeId="5180" r:id="rId29" name="Check Box 60">
              <controlPr defaultSize="0" autoFill="0" autoLine="0" autoPict="0">
                <anchor moveWithCells="1">
                  <from>
                    <xdr:col>1</xdr:col>
                    <xdr:colOff>83820</xdr:colOff>
                    <xdr:row>63</xdr:row>
                    <xdr:rowOff>190500</xdr:rowOff>
                  </from>
                  <to>
                    <xdr:col>1</xdr:col>
                    <xdr:colOff>266700</xdr:colOff>
                    <xdr:row>64</xdr:row>
                    <xdr:rowOff>182880</xdr:rowOff>
                  </to>
                </anchor>
              </controlPr>
            </control>
          </mc:Choice>
        </mc:AlternateContent>
        <mc:AlternateContent xmlns:mc="http://schemas.openxmlformats.org/markup-compatibility/2006">
          <mc:Choice Requires="x14">
            <control shapeId="5181" r:id="rId30" name="Check Box 61">
              <controlPr defaultSize="0" autoFill="0" autoLine="0" autoPict="0">
                <anchor moveWithCells="1">
                  <from>
                    <xdr:col>1</xdr:col>
                    <xdr:colOff>83820</xdr:colOff>
                    <xdr:row>64</xdr:row>
                    <xdr:rowOff>190500</xdr:rowOff>
                  </from>
                  <to>
                    <xdr:col>1</xdr:col>
                    <xdr:colOff>266700</xdr:colOff>
                    <xdr:row>65</xdr:row>
                    <xdr:rowOff>182880</xdr:rowOff>
                  </to>
                </anchor>
              </controlPr>
            </control>
          </mc:Choice>
        </mc:AlternateContent>
        <mc:AlternateContent xmlns:mc="http://schemas.openxmlformats.org/markup-compatibility/2006">
          <mc:Choice Requires="x14">
            <control shapeId="5182" r:id="rId31" name="Check Box 62">
              <controlPr defaultSize="0" autoFill="0" autoLine="0" autoPict="0">
                <anchor moveWithCells="1">
                  <from>
                    <xdr:col>1</xdr:col>
                    <xdr:colOff>83820</xdr:colOff>
                    <xdr:row>60</xdr:row>
                    <xdr:rowOff>175260</xdr:rowOff>
                  </from>
                  <to>
                    <xdr:col>1</xdr:col>
                    <xdr:colOff>274320</xdr:colOff>
                    <xdr:row>62</xdr:row>
                    <xdr:rowOff>7620</xdr:rowOff>
                  </to>
                </anchor>
              </controlPr>
            </control>
          </mc:Choice>
        </mc:AlternateContent>
        <mc:AlternateContent xmlns:mc="http://schemas.openxmlformats.org/markup-compatibility/2006">
          <mc:Choice Requires="x14">
            <control shapeId="5183" r:id="rId32" name="Check Box 63">
              <controlPr defaultSize="0" autoFill="0" autoLine="0" autoPict="0">
                <anchor moveWithCells="1">
                  <from>
                    <xdr:col>1</xdr:col>
                    <xdr:colOff>83820</xdr:colOff>
                    <xdr:row>28</xdr:row>
                    <xdr:rowOff>190500</xdr:rowOff>
                  </from>
                  <to>
                    <xdr:col>1</xdr:col>
                    <xdr:colOff>289560</xdr:colOff>
                    <xdr:row>30</xdr:row>
                    <xdr:rowOff>7620</xdr:rowOff>
                  </to>
                </anchor>
              </controlPr>
            </control>
          </mc:Choice>
        </mc:AlternateContent>
        <mc:AlternateContent xmlns:mc="http://schemas.openxmlformats.org/markup-compatibility/2006">
          <mc:Choice Requires="x14">
            <control shapeId="5184" r:id="rId33" name="Check Box 64">
              <controlPr defaultSize="0" autoFill="0" autoLine="0" autoPict="0">
                <anchor moveWithCells="1">
                  <from>
                    <xdr:col>1</xdr:col>
                    <xdr:colOff>83820</xdr:colOff>
                    <xdr:row>36</xdr:row>
                    <xdr:rowOff>152400</xdr:rowOff>
                  </from>
                  <to>
                    <xdr:col>1</xdr:col>
                    <xdr:colOff>388620</xdr:colOff>
                    <xdr:row>37</xdr:row>
                    <xdr:rowOff>182880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73B6F92C-DEBD-43A0-A871-13E9B366B037}">
            <xm:f>Detailed_Analysis!H115&lt;162.5</xm:f>
            <x14:dxf>
              <font>
                <strike val="0"/>
                <color rgb="FFFA7D00"/>
              </font>
              <fill>
                <patternFill>
                  <bgColor rgb="FFF2F2F2"/>
                </patternFill>
              </fill>
            </x14:dxf>
          </x14:cfRule>
          <x14:cfRule type="expression" priority="2" id="{7A6C9F63-7496-4BA7-8C5F-FBD138F8FAB6}">
            <xm:f>Detailed_Analysis!H115&gt;162.5</xm:f>
            <x14:dxf>
              <font>
                <strike val="0"/>
                <color rgb="FFC00000"/>
              </font>
              <fill>
                <patternFill>
                  <bgColor rgb="FFFFC7CE"/>
                </patternFill>
              </fill>
              <border>
                <left style="thin">
                  <color theme="0" tint="-0.499984740745262"/>
                </left>
                <right style="thin">
                  <color theme="0" tint="-0.499984740745262"/>
                </right>
                <top style="thin">
                  <color theme="0" tint="-0.499984740745262"/>
                </top>
                <bottom style="thin">
                  <color theme="0" tint="-0.499984740745262"/>
                </bottom>
                <vertical/>
                <horizontal/>
              </border>
            </x14:dxf>
          </x14:cfRule>
          <xm:sqref>H6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H86"/>
  <sheetViews>
    <sheetView showGridLines="0" zoomScaleNormal="100" zoomScaleSheetLayoutView="100" workbookViewId="0">
      <selection activeCell="E24" sqref="E24"/>
    </sheetView>
  </sheetViews>
  <sheetFormatPr defaultColWidth="8" defaultRowHeight="14.4" x14ac:dyDescent="0.3"/>
  <cols>
    <col min="1" max="1" width="25.6640625" style="19" customWidth="1"/>
    <col min="2" max="2" width="7.6640625" style="19" customWidth="1"/>
    <col min="3" max="5" width="15.6640625" style="19" customWidth="1"/>
    <col min="6" max="6" width="30.6640625" style="19" customWidth="1"/>
    <col min="7" max="7" width="22.6640625" style="19" customWidth="1"/>
    <col min="8" max="8" width="18.6640625" style="19" customWidth="1"/>
    <col min="9" max="16384" width="8" style="19"/>
  </cols>
  <sheetData>
    <row r="1" spans="1:8" s="84" customFormat="1" ht="39.9" customHeight="1" x14ac:dyDescent="0.3">
      <c r="A1" s="347" t="s">
        <v>72</v>
      </c>
      <c r="B1" s="353"/>
      <c r="C1" s="522" t="str">
        <f>Detailed_Analysis!C1</f>
        <v>Baseline BFR Scenario is Active</v>
      </c>
      <c r="D1" s="522"/>
      <c r="E1" s="522"/>
      <c r="F1" s="522"/>
      <c r="G1" s="17"/>
      <c r="H1" s="348" t="str">
        <f>Detailed_Analysis!H1</f>
        <v>Totals:</v>
      </c>
    </row>
    <row r="2" spans="1:8" ht="15" customHeight="1" x14ac:dyDescent="0.3">
      <c r="A2" s="145" t="str">
        <f>Detailed_Analysis!A2</f>
        <v>Activity Data:</v>
      </c>
      <c r="B2" s="146"/>
      <c r="C2" s="531"/>
      <c r="D2" s="531"/>
      <c r="E2" s="531"/>
      <c r="F2" s="532"/>
      <c r="G2" s="25" t="str">
        <f>Detailed_Analysis!G3</f>
        <v>Private:</v>
      </c>
      <c r="H2" s="161">
        <f>Detailed_Analysis!H3</f>
        <v>0</v>
      </c>
    </row>
    <row r="3" spans="1:8" ht="15" customHeight="1" x14ac:dyDescent="0.3">
      <c r="A3" s="25" t="str">
        <f>Detailed_Analysis!A3</f>
        <v>Installation:</v>
      </c>
      <c r="B3" s="41"/>
      <c r="C3" s="519" t="str">
        <f>Detailed_Analysis!C3</f>
        <v xml:space="preserve">  - </v>
      </c>
      <c r="D3" s="519"/>
      <c r="E3" s="519"/>
      <c r="F3" s="519"/>
      <c r="G3" s="25" t="str">
        <f>Detailed_Analysis!G4</f>
        <v>WST1:</v>
      </c>
      <c r="H3" s="161">
        <f>Detailed_Analysis!H4</f>
        <v>0</v>
      </c>
    </row>
    <row r="4" spans="1:8" ht="15" customHeight="1" x14ac:dyDescent="0.3">
      <c r="A4" s="25" t="str">
        <f>Detailed_Analysis!A4</f>
        <v>Planning Area:</v>
      </c>
      <c r="B4" s="41"/>
      <c r="C4" s="519" t="str">
        <f>Detailed_Analysis!C4</f>
        <v xml:space="preserve">  - </v>
      </c>
      <c r="D4" s="519"/>
      <c r="E4" s="519"/>
      <c r="F4" s="519"/>
      <c r="G4" s="25" t="str">
        <f>Detailed_Analysis!G5</f>
        <v>WST2:</v>
      </c>
      <c r="H4" s="161">
        <f>Detailed_Analysis!H5</f>
        <v>0</v>
      </c>
    </row>
    <row r="5" spans="1:8" ht="15" customHeight="1" x14ac:dyDescent="0.3">
      <c r="A5" s="25" t="str">
        <f>Detailed_Analysis!A5</f>
        <v>Activity:</v>
      </c>
      <c r="B5" s="41"/>
      <c r="C5" s="519" t="str">
        <f>Detailed_Analysis!C5</f>
        <v xml:space="preserve">  - </v>
      </c>
      <c r="D5" s="519"/>
      <c r="E5" s="519"/>
      <c r="F5" s="519"/>
      <c r="G5" s="25" t="str">
        <f>Detailed_Analysis!G6</f>
        <v>Space Loading:</v>
      </c>
      <c r="H5" s="161">
        <f>Detailed_Analysis!H6</f>
        <v>0</v>
      </c>
    </row>
    <row r="6" spans="1:8" ht="15" customHeight="1" x14ac:dyDescent="0.3">
      <c r="A6" s="25" t="str">
        <f>Detailed_Analysis!A6</f>
        <v>Category Code:</v>
      </c>
      <c r="B6" s="41"/>
      <c r="C6" s="519" t="str">
        <f>Detailed_Analysis!C6</f>
        <v xml:space="preserve"> CCN 61010 - Administrative Office Building</v>
      </c>
      <c r="D6" s="519"/>
      <c r="E6" s="519"/>
      <c r="F6" s="519"/>
      <c r="G6" s="25" t="str">
        <f>Detailed_Analysis!G17</f>
        <v>Admin GSF/PN:</v>
      </c>
      <c r="H6" s="155">
        <f>Detailed_Analysis!H17</f>
        <v>0</v>
      </c>
    </row>
    <row r="7" spans="1:8" x14ac:dyDescent="0.3">
      <c r="A7" s="25"/>
      <c r="B7" s="41"/>
      <c r="C7" s="27"/>
      <c r="D7" s="27"/>
      <c r="E7" s="27"/>
      <c r="F7" s="27"/>
      <c r="G7" s="27"/>
      <c r="H7" s="27"/>
    </row>
    <row r="8" spans="1:8" ht="75" customHeight="1" x14ac:dyDescent="0.3">
      <c r="A8" s="389"/>
      <c r="B8" s="41"/>
      <c r="C8" s="390"/>
      <c r="D8" s="533" t="s">
        <v>492</v>
      </c>
      <c r="E8" s="534"/>
      <c r="F8" s="534"/>
      <c r="G8" s="27"/>
      <c r="H8" s="27"/>
    </row>
    <row r="9" spans="1:8" x14ac:dyDescent="0.3">
      <c r="A9" s="27"/>
      <c r="B9" s="27"/>
      <c r="C9" s="316"/>
      <c r="D9" s="316"/>
      <c r="E9" s="316"/>
      <c r="F9" s="316"/>
      <c r="G9" s="27"/>
      <c r="H9" s="27"/>
    </row>
    <row r="10" spans="1:8" hidden="1" x14ac:dyDescent="0.3">
      <c r="A10" s="284"/>
      <c r="B10" s="284"/>
      <c r="C10" s="316"/>
      <c r="D10" s="316"/>
      <c r="E10" s="316"/>
      <c r="F10" s="316"/>
      <c r="G10" s="284"/>
      <c r="H10" s="341"/>
    </row>
    <row r="11" spans="1:8" hidden="1" x14ac:dyDescent="0.3">
      <c r="A11" s="25"/>
      <c r="B11" s="41"/>
      <c r="C11" s="316"/>
      <c r="D11" s="316"/>
      <c r="E11" s="316"/>
      <c r="F11" s="316"/>
      <c r="G11" s="49"/>
      <c r="H11" s="27"/>
    </row>
    <row r="12" spans="1:8" hidden="1" x14ac:dyDescent="0.3">
      <c r="A12" s="25"/>
      <c r="B12" s="41"/>
      <c r="C12" s="316"/>
      <c r="D12" s="316"/>
      <c r="E12" s="316"/>
      <c r="F12" s="316"/>
      <c r="G12" s="49"/>
      <c r="H12" s="58"/>
    </row>
    <row r="13" spans="1:8" hidden="1" x14ac:dyDescent="0.3">
      <c r="A13" s="25"/>
      <c r="B13" s="41"/>
      <c r="C13" s="27"/>
      <c r="D13" s="27"/>
      <c r="E13" s="27"/>
      <c r="F13" s="27"/>
      <c r="G13" s="49"/>
      <c r="H13" s="29"/>
    </row>
    <row r="14" spans="1:8" hidden="1" x14ac:dyDescent="0.3">
      <c r="A14" s="25"/>
      <c r="B14" s="49"/>
      <c r="C14" s="27"/>
      <c r="D14" s="27"/>
      <c r="E14" s="27"/>
      <c r="F14" s="27"/>
      <c r="G14" s="49"/>
      <c r="H14" s="57"/>
    </row>
    <row r="15" spans="1:8" hidden="1" x14ac:dyDescent="0.3">
      <c r="A15" s="27"/>
      <c r="B15" s="27"/>
      <c r="C15" s="27"/>
      <c r="D15" s="27"/>
      <c r="E15" s="27"/>
      <c r="F15" s="27"/>
      <c r="G15" s="27"/>
      <c r="H15" s="27"/>
    </row>
    <row r="16" spans="1:8" hidden="1" x14ac:dyDescent="0.3">
      <c r="A16" s="27"/>
      <c r="B16" s="27"/>
      <c r="C16" s="27"/>
      <c r="D16" s="27"/>
      <c r="E16" s="27"/>
      <c r="F16" s="27"/>
      <c r="G16" s="27"/>
      <c r="H16" s="27"/>
    </row>
    <row r="17" spans="1:8" hidden="1" x14ac:dyDescent="0.3">
      <c r="A17" s="27"/>
      <c r="B17" s="27"/>
      <c r="C17" s="27"/>
      <c r="D17" s="27"/>
      <c r="E17" s="27"/>
      <c r="F17" s="27"/>
      <c r="G17" s="27"/>
      <c r="H17" s="27"/>
    </row>
    <row r="18" spans="1:8" hidden="1" x14ac:dyDescent="0.3">
      <c r="A18" s="27"/>
      <c r="B18" s="27"/>
      <c r="C18" s="27"/>
      <c r="D18" s="27"/>
      <c r="E18" s="27"/>
      <c r="F18" s="27"/>
      <c r="G18" s="27"/>
      <c r="H18" s="27"/>
    </row>
    <row r="19" spans="1:8" hidden="1" x14ac:dyDescent="0.3">
      <c r="A19" s="27"/>
      <c r="B19" s="27"/>
      <c r="C19" s="27"/>
      <c r="D19" s="27"/>
      <c r="E19" s="27"/>
      <c r="F19" s="27"/>
      <c r="G19" s="27"/>
      <c r="H19" s="27"/>
    </row>
    <row r="20" spans="1:8" hidden="1" x14ac:dyDescent="0.3">
      <c r="A20" s="27"/>
      <c r="B20" s="27"/>
      <c r="C20" s="27"/>
      <c r="D20" s="27"/>
      <c r="E20" s="27"/>
      <c r="F20" s="27"/>
      <c r="G20" s="27"/>
      <c r="H20" s="27"/>
    </row>
    <row r="21" spans="1:8" hidden="1" x14ac:dyDescent="0.3">
      <c r="A21" s="27"/>
      <c r="B21" s="27"/>
      <c r="C21" s="27"/>
      <c r="D21" s="27"/>
      <c r="E21" s="27"/>
      <c r="F21" s="27"/>
      <c r="G21" s="27"/>
      <c r="H21" s="27"/>
    </row>
    <row r="22" spans="1:8" hidden="1" x14ac:dyDescent="0.3">
      <c r="A22" s="27"/>
      <c r="B22" s="27"/>
      <c r="C22" s="27"/>
      <c r="D22" s="27"/>
      <c r="E22" s="27"/>
      <c r="F22" s="27"/>
      <c r="G22" s="27"/>
      <c r="H22" s="27"/>
    </row>
    <row r="23" spans="1:8" hidden="1" x14ac:dyDescent="0.3">
      <c r="A23" s="27"/>
      <c r="B23" s="27"/>
      <c r="C23" s="27"/>
      <c r="D23" s="27"/>
      <c r="E23" s="27"/>
      <c r="F23" s="27"/>
      <c r="G23" s="27"/>
      <c r="H23" s="27"/>
    </row>
    <row r="24" spans="1:8" hidden="1" x14ac:dyDescent="0.3">
      <c r="A24" s="27"/>
      <c r="B24" s="27"/>
      <c r="C24" s="27"/>
      <c r="D24" s="27"/>
      <c r="E24" s="27"/>
      <c r="F24" s="27"/>
      <c r="G24" s="27"/>
      <c r="H24" s="27"/>
    </row>
    <row r="25" spans="1:8" hidden="1" x14ac:dyDescent="0.3">
      <c r="A25" s="27"/>
      <c r="B25" s="27"/>
      <c r="C25" s="27"/>
      <c r="D25" s="27"/>
      <c r="E25" s="27"/>
      <c r="F25" s="27"/>
      <c r="G25" s="27"/>
      <c r="H25" s="27"/>
    </row>
    <row r="26" spans="1:8" hidden="1" x14ac:dyDescent="0.3">
      <c r="A26" s="27"/>
      <c r="B26" s="27"/>
      <c r="C26" s="27"/>
      <c r="D26" s="27"/>
      <c r="E26" s="27"/>
      <c r="F26" s="27"/>
      <c r="G26" s="27"/>
      <c r="H26" s="27"/>
    </row>
    <row r="27" spans="1:8" s="341" customFormat="1" hidden="1" x14ac:dyDescent="0.3"/>
    <row r="28" spans="1:8" s="341" customFormat="1" hidden="1" x14ac:dyDescent="0.3">
      <c r="D28" s="528"/>
      <c r="E28" s="528"/>
      <c r="F28" s="528"/>
    </row>
    <row r="29" spans="1:8" s="341" customFormat="1" hidden="1" x14ac:dyDescent="0.3">
      <c r="D29" s="528"/>
      <c r="E29" s="528"/>
      <c r="F29" s="528"/>
    </row>
    <row r="30" spans="1:8" s="341" customFormat="1" hidden="1" x14ac:dyDescent="0.3">
      <c r="D30" s="528"/>
      <c r="E30" s="528"/>
      <c r="F30" s="528"/>
    </row>
    <row r="31" spans="1:8" s="341" customFormat="1" hidden="1" x14ac:dyDescent="0.3">
      <c r="D31" s="528"/>
      <c r="E31" s="528"/>
      <c r="F31" s="528"/>
    </row>
    <row r="32" spans="1:8" s="341" customFormat="1" hidden="1" x14ac:dyDescent="0.3">
      <c r="C32" s="528"/>
      <c r="D32" s="528"/>
      <c r="E32" s="528"/>
      <c r="F32" s="528"/>
      <c r="G32" s="528"/>
    </row>
    <row r="33" spans="1:8" s="341" customFormat="1" hidden="1" x14ac:dyDescent="0.3"/>
    <row r="34" spans="1:8" s="341" customFormat="1" hidden="1" x14ac:dyDescent="0.3"/>
    <row r="35" spans="1:8" s="341" customFormat="1" hidden="1" x14ac:dyDescent="0.3"/>
    <row r="36" spans="1:8" s="341" customFormat="1" hidden="1" x14ac:dyDescent="0.3">
      <c r="D36" s="528"/>
      <c r="E36" s="528"/>
      <c r="F36" s="528"/>
    </row>
    <row r="37" spans="1:8" s="341" customFormat="1" hidden="1" x14ac:dyDescent="0.3">
      <c r="A37" s="341" t="s">
        <v>430</v>
      </c>
      <c r="D37" s="528"/>
      <c r="E37" s="528"/>
      <c r="F37" s="528"/>
    </row>
    <row r="38" spans="1:8" s="341" customFormat="1" hidden="1" x14ac:dyDescent="0.3">
      <c r="D38" s="528"/>
      <c r="E38" s="528"/>
      <c r="F38" s="528"/>
    </row>
    <row r="39" spans="1:8" s="341" customFormat="1" hidden="1" x14ac:dyDescent="0.3">
      <c r="C39" s="528"/>
      <c r="D39" s="528"/>
      <c r="E39" s="528"/>
      <c r="F39" s="528"/>
      <c r="G39" s="528"/>
    </row>
    <row r="40" spans="1:8" s="341" customFormat="1" hidden="1" x14ac:dyDescent="0.3"/>
    <row r="41" spans="1:8" x14ac:dyDescent="0.3">
      <c r="A41" s="164" t="str">
        <f>Detailed_Analysis!A41</f>
        <v>Special Purpose Space:</v>
      </c>
      <c r="B41" s="166" t="str">
        <f>Detailed_Analysis!B41</f>
        <v>Req'd?</v>
      </c>
      <c r="C41" s="166" t="str">
        <f>Detailed_Analysis!C41</f>
        <v>Factor1</v>
      </c>
      <c r="D41" s="167" t="s">
        <v>72</v>
      </c>
      <c r="E41" s="167"/>
      <c r="F41" s="167"/>
      <c r="G41" s="166" t="str">
        <f>Detailed_Analysis!G41</f>
        <v>Factor2</v>
      </c>
      <c r="H41" s="168" t="str">
        <f>Detailed_Analysis!H41</f>
        <v>NSF</v>
      </c>
    </row>
    <row r="42" spans="1:8" ht="15" customHeight="1" x14ac:dyDescent="0.3">
      <c r="A42" s="45" t="str">
        <f>Detailed_Analysis!A42</f>
        <v>Functional Support Group</v>
      </c>
      <c r="B42" s="27"/>
      <c r="C42" s="21"/>
      <c r="D42" s="21"/>
      <c r="E42" s="27"/>
      <c r="F42" s="27"/>
      <c r="G42" s="27"/>
      <c r="H42" s="27"/>
    </row>
    <row r="43" spans="1:8" ht="105" customHeight="1" x14ac:dyDescent="0.3">
      <c r="A43" s="24" t="str">
        <f>Detailed_Analysis!A43</f>
        <v>Archive Storage:</v>
      </c>
      <c r="B43" s="95" t="str">
        <f>IF(Space_Table!$B$43,"Yes","No")</f>
        <v>No</v>
      </c>
      <c r="C43" s="178">
        <f>Detailed_Analysis!C43</f>
        <v>0</v>
      </c>
      <c r="D43" s="529" t="s">
        <v>453</v>
      </c>
      <c r="E43" s="530"/>
      <c r="F43" s="530"/>
      <c r="G43" s="181">
        <f>IF(Space_Table!B43,Detailed_Analysis!G43,0)</f>
        <v>0</v>
      </c>
      <c r="H43" s="181">
        <f>Detailed_Analysis!H43</f>
        <v>0</v>
      </c>
    </row>
    <row r="44" spans="1:8" ht="75" customHeight="1" x14ac:dyDescent="0.3">
      <c r="A44" s="56" t="str">
        <f>Detailed_Analysis!A44</f>
        <v>Command Suite Plus Up:</v>
      </c>
      <c r="B44" s="95" t="str">
        <f>IF(Space_Table!$B$44,"Yes","No")</f>
        <v>No</v>
      </c>
      <c r="C44" s="179">
        <f>Detailed_Analysis!C44</f>
        <v>0</v>
      </c>
      <c r="D44" s="529" t="s">
        <v>446</v>
      </c>
      <c r="E44" s="530"/>
      <c r="F44" s="530"/>
      <c r="G44" s="182">
        <f>IF(Space_Table!B44,Detailed_Analysis!G44,0)</f>
        <v>0</v>
      </c>
      <c r="H44" s="181">
        <f>Detailed_Analysis!H44</f>
        <v>0</v>
      </c>
    </row>
    <row r="45" spans="1:8" ht="135" customHeight="1" x14ac:dyDescent="0.3">
      <c r="A45" s="24" t="str">
        <f>Detailed_Analysis!A45</f>
        <v>Locker Room:</v>
      </c>
      <c r="B45" s="95" t="str">
        <f>IF(Space_Table!$B$45,"Yes","No")</f>
        <v>No</v>
      </c>
      <c r="C45" s="180">
        <f>Detailed_Analysis!C45</f>
        <v>0</v>
      </c>
      <c r="D45" s="529" t="s">
        <v>447</v>
      </c>
      <c r="E45" s="530"/>
      <c r="F45" s="530"/>
      <c r="G45" s="183">
        <f>IF(Space_Table!B45,Detailed_Analysis!G45,0)</f>
        <v>0</v>
      </c>
      <c r="H45" s="181">
        <f>Detailed_Analysis!H45</f>
        <v>0</v>
      </c>
    </row>
    <row r="46" spans="1:8" ht="90" customHeight="1" x14ac:dyDescent="0.3">
      <c r="A46" s="24" t="str">
        <f>Detailed_Analysis!A46</f>
        <v>Mail Room:</v>
      </c>
      <c r="B46" s="95" t="str">
        <f>IF(Space_Table!$B$46,"Yes","No")</f>
        <v>No</v>
      </c>
      <c r="C46" s="178">
        <f>Detailed_Analysis!C46</f>
        <v>0</v>
      </c>
      <c r="D46" s="529" t="s">
        <v>448</v>
      </c>
      <c r="E46" s="530"/>
      <c r="F46" s="530"/>
      <c r="G46" s="181">
        <f>IF(Space_Table!B46,Detailed_Analysis!G46,0)</f>
        <v>0</v>
      </c>
      <c r="H46" s="181">
        <f>Detailed_Analysis!H46</f>
        <v>0</v>
      </c>
    </row>
    <row r="47" spans="1:8" ht="90" customHeight="1" x14ac:dyDescent="0.3">
      <c r="A47" s="24" t="str">
        <f>Detailed_Analysis!A47</f>
        <v>Shipping/Receiving Area:</v>
      </c>
      <c r="B47" s="95" t="str">
        <f>IF(Space_Table!$B$47,"Yes","No")</f>
        <v>No</v>
      </c>
      <c r="C47" s="178">
        <f>Detailed_Analysis!C47</f>
        <v>0</v>
      </c>
      <c r="D47" s="529" t="s">
        <v>449</v>
      </c>
      <c r="E47" s="530"/>
      <c r="F47" s="530"/>
      <c r="G47" s="181">
        <f>IF(Space_Table!B47,Detailed_Analysis!G47,0)</f>
        <v>0</v>
      </c>
      <c r="H47" s="181">
        <f>Detailed_Analysis!H47</f>
        <v>0</v>
      </c>
    </row>
    <row r="48" spans="1:8" ht="120" customHeight="1" x14ac:dyDescent="0.3">
      <c r="A48" s="24" t="str">
        <f>Detailed_Analysis!A48</f>
        <v>Shower Room:</v>
      </c>
      <c r="B48" s="95" t="str">
        <f>IF(Space_Table!$B$48,"Yes","No")</f>
        <v>No</v>
      </c>
      <c r="C48" s="180">
        <f>Detailed_Analysis!C48</f>
        <v>0</v>
      </c>
      <c r="D48" s="529" t="s">
        <v>450</v>
      </c>
      <c r="E48" s="530"/>
      <c r="F48" s="530"/>
      <c r="G48" s="183">
        <f>IF(Space_Table!B48,Detailed_Analysis!G48,0)</f>
        <v>0</v>
      </c>
      <c r="H48" s="181">
        <f>Detailed_Analysis!H48</f>
        <v>0</v>
      </c>
    </row>
    <row r="49" spans="1:8" ht="90" customHeight="1" x14ac:dyDescent="0.3">
      <c r="A49" s="55" t="str">
        <f>Detailed_Analysis!A49</f>
        <v>Collaboration Space:</v>
      </c>
      <c r="B49" s="95" t="str">
        <f>IF(Space_Table!$B$49,"Yes","No")</f>
        <v>Yes</v>
      </c>
      <c r="C49" s="179">
        <f>Detailed_Analysis!C49</f>
        <v>0</v>
      </c>
      <c r="D49" s="535" t="s">
        <v>451</v>
      </c>
      <c r="E49" s="535"/>
      <c r="F49" s="535"/>
      <c r="G49" s="182">
        <f>IF(Space_Table!B49,Detailed_Analysis!G49,0)</f>
        <v>16</v>
      </c>
      <c r="H49" s="181">
        <f>Detailed_Analysis!H49</f>
        <v>0</v>
      </c>
    </row>
    <row r="50" spans="1:8" s="315" customFormat="1" ht="15" customHeight="1" x14ac:dyDescent="0.3">
      <c r="C50" s="528"/>
      <c r="D50" s="528"/>
      <c r="E50" s="528"/>
      <c r="F50" s="528"/>
      <c r="G50" s="528"/>
    </row>
    <row r="51" spans="1:8" s="365" customFormat="1" ht="15" customHeight="1" x14ac:dyDescent="0.3"/>
    <row r="52" spans="1:8" s="365" customFormat="1" ht="15" customHeight="1" x14ac:dyDescent="0.3"/>
    <row r="53" spans="1:8" s="371" customFormat="1" ht="15" customHeight="1" x14ac:dyDescent="0.3"/>
    <row r="54" spans="1:8" s="365" customFormat="1" ht="15" customHeight="1" x14ac:dyDescent="0.3"/>
    <row r="55" spans="1:8" ht="15" customHeight="1" x14ac:dyDescent="0.3">
      <c r="A55" s="45" t="str">
        <f>Detailed_Analysis!A51</f>
        <v>Security Group</v>
      </c>
      <c r="B55" s="69"/>
      <c r="D55" s="21"/>
      <c r="E55" s="21"/>
      <c r="F55" s="21"/>
      <c r="G55" s="27"/>
      <c r="H55" s="27"/>
    </row>
    <row r="56" spans="1:8" ht="30" customHeight="1" x14ac:dyDescent="0.3">
      <c r="A56" s="56" t="str">
        <f>Detailed_Analysis!A52</f>
        <v>Entry Control Area:</v>
      </c>
      <c r="B56" s="107" t="str">
        <f>IF(Space_Table!$B$52,"Yes","No")</f>
        <v>No</v>
      </c>
      <c r="C56" s="178">
        <f>Detailed_Analysis!C52</f>
        <v>0</v>
      </c>
      <c r="D56" s="529" t="s">
        <v>71</v>
      </c>
      <c r="E56" s="530"/>
      <c r="F56" s="530"/>
      <c r="G56" s="181">
        <f>IF(Space_Table!B52,Detailed_Analysis!G52,0)</f>
        <v>0</v>
      </c>
      <c r="H56" s="181">
        <f>Detailed_Analysis!H52</f>
        <v>0</v>
      </c>
    </row>
    <row r="57" spans="1:8" ht="30" customHeight="1" x14ac:dyDescent="0.3">
      <c r="A57" s="24" t="str">
        <f>Detailed_Analysis!A53</f>
        <v>Secure Waiting Area:</v>
      </c>
      <c r="B57" s="107" t="str">
        <f>IF(Space_Table!$B$53,"Yes","No")</f>
        <v>No</v>
      </c>
      <c r="C57" s="178">
        <f>Detailed_Analysis!C53</f>
        <v>0</v>
      </c>
      <c r="D57" s="529" t="s">
        <v>71</v>
      </c>
      <c r="E57" s="530"/>
      <c r="F57" s="530"/>
      <c r="G57" s="181">
        <f>IF(Space_Table!B53,Detailed_Analysis!G53,0)</f>
        <v>0</v>
      </c>
      <c r="H57" s="181">
        <f>Detailed_Analysis!H53</f>
        <v>0</v>
      </c>
    </row>
    <row r="58" spans="1:8" ht="30" customHeight="1" x14ac:dyDescent="0.3">
      <c r="A58" s="24" t="str">
        <f>Detailed_Analysis!A54</f>
        <v>Security Watch Station:</v>
      </c>
      <c r="B58" s="107" t="str">
        <f>IF(Space_Table!$B$54,"Yes","No")</f>
        <v>No</v>
      </c>
      <c r="C58" s="178">
        <f>Detailed_Analysis!C54</f>
        <v>0</v>
      </c>
      <c r="D58" s="529" t="s">
        <v>71</v>
      </c>
      <c r="E58" s="530"/>
      <c r="F58" s="530"/>
      <c r="G58" s="181">
        <f>IF(Space_Table!B54,Detailed_Analysis!G54,0)</f>
        <v>0</v>
      </c>
      <c r="H58" s="181">
        <f>Detailed_Analysis!H54</f>
        <v>0</v>
      </c>
    </row>
    <row r="59" spans="1:8" ht="30" customHeight="1" x14ac:dyDescent="0.3">
      <c r="A59" s="24" t="str">
        <f>Detailed_Analysis!A55</f>
        <v>SSO Suite:</v>
      </c>
      <c r="B59" s="107" t="str">
        <f>IF(Space_Table!$B$55,"Yes","No")</f>
        <v>No</v>
      </c>
      <c r="C59" s="178">
        <f>Detailed_Analysis!C55</f>
        <v>0</v>
      </c>
      <c r="D59" s="529" t="s">
        <v>71</v>
      </c>
      <c r="E59" s="530"/>
      <c r="F59" s="530"/>
      <c r="G59" s="181">
        <f>IF(Space_Table!B55,Detailed_Analysis!G55,0)</f>
        <v>0</v>
      </c>
      <c r="H59" s="181">
        <f>Detailed_Analysis!H55</f>
        <v>0</v>
      </c>
    </row>
    <row r="60" spans="1:8" ht="30" customHeight="1" x14ac:dyDescent="0.3">
      <c r="A60" s="24" t="str">
        <f>Detailed_Analysis!A56</f>
        <v>Weapons Vault:</v>
      </c>
      <c r="B60" s="107" t="str">
        <f>IF(Space_Table!$B$56,"Yes","No")</f>
        <v>No</v>
      </c>
      <c r="C60" s="180">
        <f>Detailed_Analysis!C56</f>
        <v>0</v>
      </c>
      <c r="D60" s="529" t="s">
        <v>71</v>
      </c>
      <c r="E60" s="530"/>
      <c r="F60" s="530"/>
      <c r="G60" s="183">
        <f>IF(Space_Table!B56,Detailed_Analysis!G56,0)</f>
        <v>0</v>
      </c>
      <c r="H60" s="181">
        <f>Detailed_Analysis!H56</f>
        <v>0</v>
      </c>
    </row>
    <row r="61" spans="1:8" s="315" customFormat="1" ht="15" customHeight="1" x14ac:dyDescent="0.3">
      <c r="C61" s="528"/>
      <c r="D61" s="528"/>
      <c r="E61" s="528"/>
      <c r="F61" s="528"/>
      <c r="G61" s="528"/>
    </row>
    <row r="62" spans="1:8" ht="15" customHeight="1" x14ac:dyDescent="0.3">
      <c r="A62" s="45" t="str">
        <f>Detailed_Analysis!A58</f>
        <v>User Defined Group</v>
      </c>
      <c r="B62" s="69"/>
      <c r="D62" s="27"/>
      <c r="E62" s="27"/>
      <c r="F62" s="27"/>
      <c r="G62" s="27"/>
      <c r="H62" s="27"/>
    </row>
    <row r="63" spans="1:8" ht="45" customHeight="1" x14ac:dyDescent="0.3">
      <c r="A63" s="55" t="str">
        <f>Detailed_Analysis!A59</f>
        <v>User_Defined_Space_1:</v>
      </c>
      <c r="B63" s="107" t="str">
        <f>IF(Space_Table!$B$59,"Yes","No")</f>
        <v>No</v>
      </c>
      <c r="C63" s="178">
        <f>Detailed_Analysis!C59</f>
        <v>0</v>
      </c>
      <c r="D63" s="529"/>
      <c r="E63" s="530"/>
      <c r="F63" s="530"/>
      <c r="G63" s="181">
        <f>IF(Space_Table!B59,Detailed_Analysis!G59,0)</f>
        <v>0</v>
      </c>
      <c r="H63" s="181">
        <f>Detailed_Analysis!H59</f>
        <v>0</v>
      </c>
    </row>
    <row r="64" spans="1:8" ht="45" customHeight="1" x14ac:dyDescent="0.3">
      <c r="A64" s="55" t="str">
        <f>Detailed_Analysis!A60</f>
        <v>User_Defined_Space_2:</v>
      </c>
      <c r="B64" s="107" t="str">
        <f>IF(Space_Table!$B$60,"Yes","No")</f>
        <v>No</v>
      </c>
      <c r="C64" s="178">
        <f>Detailed_Analysis!C60</f>
        <v>0</v>
      </c>
      <c r="D64" s="529"/>
      <c r="E64" s="530"/>
      <c r="F64" s="530"/>
      <c r="G64" s="181">
        <f>IF(Space_Table!B60,Detailed_Analysis!G60,0)</f>
        <v>0</v>
      </c>
      <c r="H64" s="181">
        <f>Detailed_Analysis!H60</f>
        <v>0</v>
      </c>
    </row>
    <row r="65" spans="1:8" ht="45" customHeight="1" x14ac:dyDescent="0.3">
      <c r="A65" s="55" t="str">
        <f>Detailed_Analysis!A61</f>
        <v>User_Defined_Space_3:</v>
      </c>
      <c r="B65" s="107" t="str">
        <f>IF(Space_Table!$B$61,"Yes","No")</f>
        <v>No</v>
      </c>
      <c r="C65" s="178">
        <f>Detailed_Analysis!C61</f>
        <v>0</v>
      </c>
      <c r="D65" s="529"/>
      <c r="E65" s="530"/>
      <c r="F65" s="530"/>
      <c r="G65" s="181">
        <f>IF(Space_Table!B61,Detailed_Analysis!G61,0)</f>
        <v>0</v>
      </c>
      <c r="H65" s="181">
        <f>Detailed_Analysis!H61</f>
        <v>0</v>
      </c>
    </row>
    <row r="66" spans="1:8" ht="45" customHeight="1" x14ac:dyDescent="0.3">
      <c r="A66" s="55" t="str">
        <f>Detailed_Analysis!A62</f>
        <v>User_Defined_Space_4:</v>
      </c>
      <c r="B66" s="107" t="str">
        <f>IF(Space_Table!$B$62,"Yes","No")</f>
        <v>No</v>
      </c>
      <c r="C66" s="178">
        <f>Detailed_Analysis!C62</f>
        <v>0</v>
      </c>
      <c r="D66" s="529"/>
      <c r="E66" s="530"/>
      <c r="F66" s="530"/>
      <c r="G66" s="181">
        <f>IF(Space_Table!B62,Detailed_Analysis!G62,0)</f>
        <v>0</v>
      </c>
      <c r="H66" s="181">
        <f>Detailed_Analysis!H62</f>
        <v>0</v>
      </c>
    </row>
    <row r="67" spans="1:8" ht="45" customHeight="1" x14ac:dyDescent="0.3">
      <c r="A67" s="55" t="str">
        <f>Detailed_Analysis!A63</f>
        <v>User_Defined_Space_5:</v>
      </c>
      <c r="B67" s="107" t="str">
        <f>IF(Space_Table!$B$63,"Yes","No")</f>
        <v>No</v>
      </c>
      <c r="C67" s="178">
        <f>Detailed_Analysis!C63</f>
        <v>0</v>
      </c>
      <c r="D67" s="529"/>
      <c r="E67" s="530"/>
      <c r="F67" s="530"/>
      <c r="G67" s="181">
        <f>IF(Space_Table!B63,Detailed_Analysis!G63,0)</f>
        <v>0</v>
      </c>
      <c r="H67" s="181">
        <f>Detailed_Analysis!H63</f>
        <v>0</v>
      </c>
    </row>
    <row r="68" spans="1:8" ht="45" customHeight="1" x14ac:dyDescent="0.3">
      <c r="A68" s="55" t="str">
        <f>Detailed_Analysis!A64</f>
        <v>User_Defined_Space_6:</v>
      </c>
      <c r="B68" s="107" t="str">
        <f>IF(Space_Table!$B$64,"Yes","No")</f>
        <v>No</v>
      </c>
      <c r="C68" s="178">
        <f>Detailed_Analysis!C64</f>
        <v>0</v>
      </c>
      <c r="D68" s="529"/>
      <c r="E68" s="530"/>
      <c r="F68" s="530"/>
      <c r="G68" s="181">
        <f>IF(Space_Table!B64,Detailed_Analysis!G64,0)</f>
        <v>0</v>
      </c>
      <c r="H68" s="181">
        <f>Detailed_Analysis!H64</f>
        <v>0</v>
      </c>
    </row>
    <row r="69" spans="1:8" ht="45" customHeight="1" x14ac:dyDescent="0.3">
      <c r="A69" s="55" t="str">
        <f>Detailed_Analysis!A65</f>
        <v>User_Defined_Space_7:</v>
      </c>
      <c r="B69" s="107" t="str">
        <f>IF(Space_Table!$B$65,"Yes","No")</f>
        <v>No</v>
      </c>
      <c r="C69" s="178">
        <f>Detailed_Analysis!C65</f>
        <v>0</v>
      </c>
      <c r="D69" s="529"/>
      <c r="E69" s="530"/>
      <c r="F69" s="530"/>
      <c r="G69" s="181">
        <f>IF(Space_Table!B65,Detailed_Analysis!G65,0)</f>
        <v>0</v>
      </c>
      <c r="H69" s="181">
        <f>Detailed_Analysis!H65</f>
        <v>0</v>
      </c>
    </row>
    <row r="70" spans="1:8" ht="45" customHeight="1" x14ac:dyDescent="0.3">
      <c r="A70" s="55" t="str">
        <f>Detailed_Analysis!A66</f>
        <v>User_Defined_Space_8:</v>
      </c>
      <c r="B70" s="107" t="str">
        <f>IF(Space_Table!$B$66,"Yes","No")</f>
        <v>No</v>
      </c>
      <c r="C70" s="178">
        <f>Detailed_Analysis!C66</f>
        <v>0</v>
      </c>
      <c r="D70" s="529"/>
      <c r="E70" s="530"/>
      <c r="F70" s="530"/>
      <c r="G70" s="181">
        <f>IF(Space_Table!B66,Detailed_Analysis!G66,0)</f>
        <v>0</v>
      </c>
      <c r="H70" s="181">
        <f>Detailed_Analysis!H66</f>
        <v>0</v>
      </c>
    </row>
    <row r="71" spans="1:8" ht="45" customHeight="1" x14ac:dyDescent="0.3">
      <c r="A71" s="55" t="str">
        <f>Detailed_Analysis!A67</f>
        <v>User_Defined_Space_9:</v>
      </c>
      <c r="B71" s="107" t="str">
        <f>IF(Space_Table!$B$67,"Yes","No")</f>
        <v>No</v>
      </c>
      <c r="C71" s="178">
        <f>Detailed_Analysis!C67</f>
        <v>0</v>
      </c>
      <c r="D71" s="529"/>
      <c r="E71" s="530"/>
      <c r="F71" s="530"/>
      <c r="G71" s="181">
        <f>IF(Space_Table!B67,Detailed_Analysis!G67,0)</f>
        <v>0</v>
      </c>
      <c r="H71" s="181">
        <f>Detailed_Analysis!H67</f>
        <v>0</v>
      </c>
    </row>
    <row r="72" spans="1:8" ht="45" hidden="1" customHeight="1" x14ac:dyDescent="0.3">
      <c r="A72" s="55" t="str">
        <f>Detailed_Analysis!A68</f>
        <v>User_Defined_Space_10:</v>
      </c>
      <c r="B72" s="107" t="str">
        <f>IF(Space_Table!$B$68,"Yes","No")</f>
        <v>No</v>
      </c>
      <c r="C72" s="178">
        <f>Detailed_Analysis!C68</f>
        <v>0</v>
      </c>
      <c r="D72" s="529"/>
      <c r="E72" s="530"/>
      <c r="F72" s="530"/>
      <c r="G72" s="181">
        <f>IF(Space_Table!B68,Detailed_Analysis!G68,0)</f>
        <v>0</v>
      </c>
      <c r="H72" s="181">
        <f>Detailed_Analysis!H68</f>
        <v>0</v>
      </c>
    </row>
    <row r="73" spans="1:8" ht="45" hidden="1" customHeight="1" x14ac:dyDescent="0.3">
      <c r="A73" s="55" t="str">
        <f>Detailed_Analysis!A69</f>
        <v>User_Defined_Space_11:</v>
      </c>
      <c r="B73" s="107" t="str">
        <f>IF(Space_Table!$B$69,"Yes","No")</f>
        <v>No</v>
      </c>
      <c r="C73" s="178">
        <f>Detailed_Analysis!C69</f>
        <v>0</v>
      </c>
      <c r="D73" s="529"/>
      <c r="E73" s="530"/>
      <c r="F73" s="530"/>
      <c r="G73" s="181">
        <f>IF(Space_Table!B69,Detailed_Analysis!G69,0)</f>
        <v>0</v>
      </c>
      <c r="H73" s="181">
        <f>Detailed_Analysis!H69</f>
        <v>0</v>
      </c>
    </row>
    <row r="74" spans="1:8" ht="45" hidden="1" customHeight="1" x14ac:dyDescent="0.3">
      <c r="A74" s="55" t="str">
        <f>Detailed_Analysis!A70</f>
        <v>User_Defined_Space_12:</v>
      </c>
      <c r="B74" s="107" t="str">
        <f>IF(Space_Table!$B$70,"Yes","No")</f>
        <v>No</v>
      </c>
      <c r="C74" s="178">
        <f>Detailed_Analysis!C70</f>
        <v>0</v>
      </c>
      <c r="D74" s="529"/>
      <c r="E74" s="530"/>
      <c r="F74" s="530"/>
      <c r="G74" s="181">
        <f>IF(Space_Table!B70,Detailed_Analysis!G70,0)</f>
        <v>0</v>
      </c>
      <c r="H74" s="181">
        <f>Detailed_Analysis!H70</f>
        <v>0</v>
      </c>
    </row>
    <row r="75" spans="1:8" hidden="1" x14ac:dyDescent="0.3">
      <c r="A75" s="55" t="str">
        <f>Detailed_Analysis!A71</f>
        <v>User_Defined_Space_13:</v>
      </c>
      <c r="B75" s="107" t="str">
        <f>IF(Space_Table!$B$71,"Yes","No")</f>
        <v>No</v>
      </c>
      <c r="C75" s="178">
        <f>Detailed_Analysis!C71</f>
        <v>0</v>
      </c>
      <c r="D75" s="529"/>
      <c r="E75" s="530"/>
      <c r="F75" s="530"/>
      <c r="G75" s="181">
        <f>IF(Space_Table!B71,Detailed_Analysis!G71,0)</f>
        <v>0</v>
      </c>
      <c r="H75" s="181">
        <f>Detailed_Analysis!H71</f>
        <v>0</v>
      </c>
    </row>
    <row r="76" spans="1:8" hidden="1" x14ac:dyDescent="0.3">
      <c r="A76" s="55" t="str">
        <f>Detailed_Analysis!A72</f>
        <v>User_Defined_Space_14:</v>
      </c>
      <c r="B76" s="107" t="str">
        <f>IF(Space_Table!$B$72,"Yes","No")</f>
        <v>No</v>
      </c>
      <c r="C76" s="178">
        <f>Detailed_Analysis!C72</f>
        <v>0</v>
      </c>
      <c r="D76" s="529"/>
      <c r="E76" s="530"/>
      <c r="F76" s="530"/>
      <c r="G76" s="181">
        <f>IF(Space_Table!B72,Detailed_Analysis!G72,0)</f>
        <v>0</v>
      </c>
      <c r="H76" s="181">
        <f>Detailed_Analysis!H72</f>
        <v>0</v>
      </c>
    </row>
    <row r="77" spans="1:8" hidden="1" x14ac:dyDescent="0.3">
      <c r="A77" s="55" t="str">
        <f>Detailed_Analysis!A73</f>
        <v>User_Defined_Space_15:</v>
      </c>
      <c r="B77" s="107" t="str">
        <f>IF(Space_Table!$B$73,"Yes","No")</f>
        <v>No</v>
      </c>
      <c r="C77" s="178">
        <f>Detailed_Analysis!C73</f>
        <v>0</v>
      </c>
      <c r="D77" s="529"/>
      <c r="E77" s="530"/>
      <c r="F77" s="530"/>
      <c r="G77" s="181">
        <f>IF(Space_Table!B73,Detailed_Analysis!G73,0)</f>
        <v>0</v>
      </c>
      <c r="H77" s="181">
        <f>Detailed_Analysis!H73</f>
        <v>0</v>
      </c>
    </row>
    <row r="78" spans="1:8" hidden="1" x14ac:dyDescent="0.3">
      <c r="A78" s="55" t="str">
        <f>Detailed_Analysis!A74</f>
        <v>User_Defined_Space_16:</v>
      </c>
      <c r="B78" s="107" t="str">
        <f>IF(Space_Table!$B$74,"Yes","No")</f>
        <v>No</v>
      </c>
      <c r="C78" s="178">
        <f>Detailed_Analysis!C74</f>
        <v>0</v>
      </c>
      <c r="D78" s="529"/>
      <c r="E78" s="530"/>
      <c r="F78" s="530"/>
      <c r="G78" s="181">
        <f>IF(Space_Table!B74,Detailed_Analysis!G74,0)</f>
        <v>0</v>
      </c>
      <c r="H78" s="181">
        <f>Detailed_Analysis!H74</f>
        <v>0</v>
      </c>
    </row>
    <row r="79" spans="1:8" hidden="1" x14ac:dyDescent="0.3">
      <c r="A79" s="55" t="str">
        <f>Detailed_Analysis!A75</f>
        <v>User_Defined_Space_17:</v>
      </c>
      <c r="B79" s="107" t="str">
        <f>IF(Space_Table!$B$75,"Yes","No")</f>
        <v>No</v>
      </c>
      <c r="C79" s="178">
        <f>Detailed_Analysis!C75</f>
        <v>0</v>
      </c>
      <c r="D79" s="529"/>
      <c r="E79" s="530"/>
      <c r="F79" s="530"/>
      <c r="G79" s="181">
        <f>IF(Space_Table!B75,Detailed_Analysis!G75,0)</f>
        <v>0</v>
      </c>
      <c r="H79" s="181">
        <f>Detailed_Analysis!H75</f>
        <v>0</v>
      </c>
    </row>
    <row r="80" spans="1:8" hidden="1" x14ac:dyDescent="0.3">
      <c r="A80" s="55" t="str">
        <f>Detailed_Analysis!A76</f>
        <v>User_Defined_Space_18:</v>
      </c>
      <c r="B80" s="107" t="str">
        <f>IF(Space_Table!$B$76,"Yes","No")</f>
        <v>No</v>
      </c>
      <c r="C80" s="178">
        <f>Detailed_Analysis!C76</f>
        <v>0</v>
      </c>
      <c r="D80" s="529"/>
      <c r="E80" s="530"/>
      <c r="F80" s="530"/>
      <c r="G80" s="181">
        <f>IF(Space_Table!B76,Detailed_Analysis!G76,0)</f>
        <v>0</v>
      </c>
      <c r="H80" s="181">
        <f>Detailed_Analysis!H76</f>
        <v>0</v>
      </c>
    </row>
    <row r="81" spans="1:8" hidden="1" x14ac:dyDescent="0.3">
      <c r="A81" s="55" t="str">
        <f>Detailed_Analysis!A77</f>
        <v>User_Defined_Space_19:</v>
      </c>
      <c r="B81" s="107" t="str">
        <f>IF(Space_Table!$B$77,"Yes","No")</f>
        <v>No</v>
      </c>
      <c r="C81" s="178">
        <f>Detailed_Analysis!C77</f>
        <v>0</v>
      </c>
      <c r="D81" s="529"/>
      <c r="E81" s="530"/>
      <c r="F81" s="530"/>
      <c r="G81" s="181">
        <f>IF(Space_Table!B77,Detailed_Analysis!G77,0)</f>
        <v>0</v>
      </c>
      <c r="H81" s="181">
        <f>Detailed_Analysis!H77</f>
        <v>0</v>
      </c>
    </row>
    <row r="82" spans="1:8" hidden="1" x14ac:dyDescent="0.3">
      <c r="A82" s="55" t="str">
        <f>Detailed_Analysis!A78</f>
        <v>User_Defined_Space_20:</v>
      </c>
      <c r="B82" s="107" t="str">
        <f>IF(Space_Table!$B$68,"Yes","No")</f>
        <v>No</v>
      </c>
      <c r="C82" s="178">
        <f>Detailed_Analysis!C78</f>
        <v>0</v>
      </c>
      <c r="D82" s="529"/>
      <c r="E82" s="530"/>
      <c r="F82" s="530"/>
      <c r="G82" s="181">
        <f>IF(Space_Table!B78,Detailed_Analysis!G78,0)</f>
        <v>0</v>
      </c>
      <c r="H82" s="181">
        <f>Detailed_Analysis!H78</f>
        <v>0</v>
      </c>
    </row>
    <row r="83" spans="1:8" s="315" customFormat="1" x14ac:dyDescent="0.3">
      <c r="C83" s="528"/>
      <c r="D83" s="528"/>
      <c r="E83" s="528"/>
      <c r="F83" s="528"/>
      <c r="G83" s="528"/>
    </row>
    <row r="84" spans="1:8" x14ac:dyDescent="0.3">
      <c r="A84" s="27"/>
      <c r="B84" s="27"/>
      <c r="C84" s="27"/>
      <c r="D84" s="27"/>
      <c r="E84" s="27"/>
      <c r="F84" s="27"/>
      <c r="G84" s="27"/>
      <c r="H84" s="27"/>
    </row>
    <row r="85" spans="1:8" x14ac:dyDescent="0.3">
      <c r="A85" s="67"/>
    </row>
    <row r="86" spans="1:8" x14ac:dyDescent="0.3">
      <c r="G86" s="20" t="str">
        <f>HYPERLINK("#Space_Table","Back")</f>
        <v>Back</v>
      </c>
      <c r="H86" s="20" t="str">
        <f>HYPERLINK("#Net_To_Gross","Next")</f>
        <v>Next</v>
      </c>
    </row>
  </sheetData>
  <sheetProtection algorithmName="SHA-512" hashValue="Q36YmWQS+3Mz6PLPZChWS5z4GGXY9GL493B0s4XXyYGhY4EhjE0xYS83pBrTkrBZRt0A0SKfiHR6iKP1nlP0Kg==" saltValue="kCOcs6dLJMPbnr3BZ0L3KA==" spinCount="100000" sheet="1" formatRows="0"/>
  <mergeCells count="51">
    <mergeCell ref="D71:F71"/>
    <mergeCell ref="D65:F65"/>
    <mergeCell ref="D36:F36"/>
    <mergeCell ref="D66:F66"/>
    <mergeCell ref="D47:F47"/>
    <mergeCell ref="D48:F48"/>
    <mergeCell ref="D63:F63"/>
    <mergeCell ref="D43:F43"/>
    <mergeCell ref="D44:F44"/>
    <mergeCell ref="D49:F49"/>
    <mergeCell ref="D45:F45"/>
    <mergeCell ref="D46:F46"/>
    <mergeCell ref="C50:G50"/>
    <mergeCell ref="D56:F56"/>
    <mergeCell ref="D57:F57"/>
    <mergeCell ref="D58:F58"/>
    <mergeCell ref="C39:G39"/>
    <mergeCell ref="D38:F38"/>
    <mergeCell ref="D37:F37"/>
    <mergeCell ref="D67:F67"/>
    <mergeCell ref="D68:F68"/>
    <mergeCell ref="D59:F59"/>
    <mergeCell ref="C61:G61"/>
    <mergeCell ref="C1:F1"/>
    <mergeCell ref="C4:F4"/>
    <mergeCell ref="C5:F5"/>
    <mergeCell ref="C6:F6"/>
    <mergeCell ref="C32:G32"/>
    <mergeCell ref="D28:F28"/>
    <mergeCell ref="D29:F29"/>
    <mergeCell ref="D31:F31"/>
    <mergeCell ref="C2:F2"/>
    <mergeCell ref="C3:F3"/>
    <mergeCell ref="D30:F30"/>
    <mergeCell ref="D8:F8"/>
    <mergeCell ref="C83:G83"/>
    <mergeCell ref="D60:F60"/>
    <mergeCell ref="D64:F64"/>
    <mergeCell ref="D74:F74"/>
    <mergeCell ref="D75:F75"/>
    <mergeCell ref="D81:F81"/>
    <mergeCell ref="D82:F82"/>
    <mergeCell ref="D76:F76"/>
    <mergeCell ref="D77:F77"/>
    <mergeCell ref="D78:F78"/>
    <mergeCell ref="D79:F79"/>
    <mergeCell ref="D80:F80"/>
    <mergeCell ref="D69:F69"/>
    <mergeCell ref="D70:F70"/>
    <mergeCell ref="D72:F72"/>
    <mergeCell ref="D73:F73"/>
  </mergeCells>
  <conditionalFormatting sqref="D43">
    <cfRule type="expression" dxfId="64" priority="53">
      <formula>$B$43="No"</formula>
    </cfRule>
    <cfRule type="expression" dxfId="63" priority="54" stopIfTrue="1">
      <formula>$B$43="Yes"</formula>
    </cfRule>
  </conditionalFormatting>
  <conditionalFormatting sqref="D44">
    <cfRule type="expression" dxfId="62" priority="51">
      <formula>$B$44="No"</formula>
    </cfRule>
    <cfRule type="expression" dxfId="61" priority="52" stopIfTrue="1">
      <formula>$B$44="Yes"</formula>
    </cfRule>
  </conditionalFormatting>
  <conditionalFormatting sqref="D45">
    <cfRule type="expression" dxfId="60" priority="49">
      <formula>$B$45="No"</formula>
    </cfRule>
    <cfRule type="expression" dxfId="59" priority="50" stopIfTrue="1">
      <formula>$B$45="Yes"</formula>
    </cfRule>
  </conditionalFormatting>
  <conditionalFormatting sqref="D46">
    <cfRule type="expression" dxfId="58" priority="47">
      <formula>$B$46="No"</formula>
    </cfRule>
    <cfRule type="expression" dxfId="57" priority="48" stopIfTrue="1">
      <formula>$B$46="Yes"</formula>
    </cfRule>
  </conditionalFormatting>
  <conditionalFormatting sqref="D47">
    <cfRule type="expression" dxfId="56" priority="45">
      <formula>$B$47="No"</formula>
    </cfRule>
    <cfRule type="expression" dxfId="55" priority="46" stopIfTrue="1">
      <formula>$B$47="Yes"</formula>
    </cfRule>
  </conditionalFormatting>
  <conditionalFormatting sqref="D48">
    <cfRule type="expression" dxfId="54" priority="43">
      <formula>$B$48="No"</formula>
    </cfRule>
    <cfRule type="expression" dxfId="53" priority="44" stopIfTrue="1">
      <formula>$B$48="Yes"</formula>
    </cfRule>
  </conditionalFormatting>
  <conditionalFormatting sqref="D49">
    <cfRule type="expression" dxfId="52" priority="41">
      <formula>$B$49="No"</formula>
    </cfRule>
    <cfRule type="expression" dxfId="51" priority="42" stopIfTrue="1">
      <formula>$B$49="Yes"</formula>
    </cfRule>
  </conditionalFormatting>
  <conditionalFormatting sqref="D56">
    <cfRule type="expression" dxfId="50" priority="39">
      <formula>$B$56="No"</formula>
    </cfRule>
    <cfRule type="expression" dxfId="49" priority="40" stopIfTrue="1">
      <formula>$B$56="Yes"</formula>
    </cfRule>
  </conditionalFormatting>
  <conditionalFormatting sqref="D57">
    <cfRule type="expression" dxfId="48" priority="37">
      <formula>$B$57="No"</formula>
    </cfRule>
    <cfRule type="expression" dxfId="47" priority="38" stopIfTrue="1">
      <formula>$B$57="Yes"</formula>
    </cfRule>
  </conditionalFormatting>
  <conditionalFormatting sqref="D58">
    <cfRule type="expression" dxfId="46" priority="35">
      <formula>$B$58="No"</formula>
    </cfRule>
    <cfRule type="expression" dxfId="45" priority="36" stopIfTrue="1">
      <formula>$B$58="Yes"</formula>
    </cfRule>
  </conditionalFormatting>
  <conditionalFormatting sqref="D59">
    <cfRule type="expression" dxfId="44" priority="33">
      <formula>$B$59="No"</formula>
    </cfRule>
    <cfRule type="expression" dxfId="43" priority="34" stopIfTrue="1">
      <formula>$B$59="Yes"</formula>
    </cfRule>
  </conditionalFormatting>
  <conditionalFormatting sqref="D60">
    <cfRule type="expression" dxfId="42" priority="31">
      <formula>$B$60="No"</formula>
    </cfRule>
    <cfRule type="expression" dxfId="41" priority="32" stopIfTrue="1">
      <formula>$B$60="Yes"</formula>
    </cfRule>
  </conditionalFormatting>
  <conditionalFormatting sqref="D63">
    <cfRule type="expression" dxfId="40" priority="29">
      <formula>$B$63="No"</formula>
    </cfRule>
    <cfRule type="expression" dxfId="39" priority="30" stopIfTrue="1">
      <formula>$B$63="Yes"</formula>
    </cfRule>
  </conditionalFormatting>
  <conditionalFormatting sqref="D64">
    <cfRule type="expression" dxfId="38" priority="27">
      <formula>$B$64="No"</formula>
    </cfRule>
    <cfRule type="expression" dxfId="37" priority="28" stopIfTrue="1">
      <formula>$B$64="Yes"</formula>
    </cfRule>
  </conditionalFormatting>
  <conditionalFormatting sqref="D66">
    <cfRule type="expression" dxfId="36" priority="23">
      <formula>$B$66="No"</formula>
    </cfRule>
    <cfRule type="expression" dxfId="35" priority="24" stopIfTrue="1">
      <formula>$B$66="Yes"</formula>
    </cfRule>
  </conditionalFormatting>
  <conditionalFormatting sqref="D67">
    <cfRule type="expression" dxfId="34" priority="21">
      <formula>$B$67="No"</formula>
    </cfRule>
    <cfRule type="expression" dxfId="33" priority="22" stopIfTrue="1">
      <formula>$B$67="Yes"</formula>
    </cfRule>
  </conditionalFormatting>
  <conditionalFormatting sqref="D68">
    <cfRule type="expression" dxfId="32" priority="19">
      <formula>$B$68="No"</formula>
    </cfRule>
    <cfRule type="expression" dxfId="31" priority="20" stopIfTrue="1">
      <formula>$B$68="Yes"</formula>
    </cfRule>
  </conditionalFormatting>
  <conditionalFormatting sqref="D69">
    <cfRule type="expression" dxfId="30" priority="17">
      <formula>$B$69="No"</formula>
    </cfRule>
    <cfRule type="expression" dxfId="29" priority="18" stopIfTrue="1">
      <formula>$B$69="Yes"</formula>
    </cfRule>
  </conditionalFormatting>
  <conditionalFormatting sqref="D70">
    <cfRule type="expression" dxfId="28" priority="15">
      <formula>$B$70="No"</formula>
    </cfRule>
    <cfRule type="expression" dxfId="27" priority="16" stopIfTrue="1">
      <formula>$B$70="Yes"</formula>
    </cfRule>
  </conditionalFormatting>
  <conditionalFormatting sqref="D71">
    <cfRule type="expression" dxfId="26" priority="13">
      <formula>$B$71="No"</formula>
    </cfRule>
    <cfRule type="expression" dxfId="25" priority="14" stopIfTrue="1">
      <formula>$B$71="Yes"</formula>
    </cfRule>
  </conditionalFormatting>
  <conditionalFormatting sqref="D72">
    <cfRule type="expression" dxfId="24" priority="11">
      <formula>$B$72="No"</formula>
    </cfRule>
    <cfRule type="expression" dxfId="23" priority="12" stopIfTrue="1">
      <formula>$B$72="Yes"</formula>
    </cfRule>
  </conditionalFormatting>
  <conditionalFormatting sqref="D73">
    <cfRule type="expression" dxfId="22" priority="9">
      <formula>$B$73="No"</formula>
    </cfRule>
    <cfRule type="expression" dxfId="21" priority="10" stopIfTrue="1">
      <formula>$B$73="Yes"</formula>
    </cfRule>
  </conditionalFormatting>
  <conditionalFormatting sqref="D75:D82">
    <cfRule type="expression" dxfId="20" priority="5">
      <formula>$B$74="No"</formula>
    </cfRule>
    <cfRule type="expression" dxfId="19" priority="6" stopIfTrue="1">
      <formula>$B$74="Yes"</formula>
    </cfRule>
  </conditionalFormatting>
  <conditionalFormatting sqref="D74">
    <cfRule type="expression" dxfId="18" priority="3">
      <formula>$B$74="No"</formula>
    </cfRule>
    <cfRule type="expression" dxfId="17" priority="4" stopIfTrue="1">
      <formula>$B$74="Yes"</formula>
    </cfRule>
  </conditionalFormatting>
  <conditionalFormatting sqref="D65">
    <cfRule type="expression" dxfId="16" priority="1">
      <formula>$B$65="No"</formula>
    </cfRule>
    <cfRule type="expression" dxfId="15" priority="2" stopIfTrue="1">
      <formula>$B$65="Yes"</formula>
    </cfRule>
  </conditionalFormatting>
  <dataValidations disablePrompts="1" count="1">
    <dataValidation allowBlank="1" showInputMessage="1" showErrorMessage="1" sqref="H15"/>
  </dataValidations>
  <pageMargins left="0.25" right="0.25" top="0.75" bottom="0.75" header="0.3" footer="0.3"/>
  <pageSetup scale="66" fitToHeight="0" orientation="portrait" r:id="rId1"/>
  <headerFooter>
    <oddHeader>&amp;C&amp;"Calibri,Bold"&amp;16Basic Facilities Requirement</oddHeader>
  </headerFooter>
  <rowBreaks count="1" manualBreakCount="1">
    <brk id="50" max="16383" man="1"/>
  </rowBreaks>
  <customProperties>
    <customPr name="SSC_SHEET_GUID" r:id="rId2"/>
  </customProperties>
  <legacyDrawing r:id="rId3"/>
  <extLst>
    <ext xmlns:x14="http://schemas.microsoft.com/office/spreadsheetml/2009/9/main" uri="{78C0D931-6437-407d-A8EE-F0AAD7539E65}">
      <x14:conditionalFormattings>
        <x14:conditionalFormatting xmlns:xm="http://schemas.microsoft.com/office/excel/2006/main">
          <x14:cfRule type="expression" priority="55" id="{64A0D9BD-167C-4169-9298-32656BB7B286}">
            <xm:f>Detailed_Analysis!H115&lt;162.5</xm:f>
            <x14:dxf>
              <font>
                <strike val="0"/>
                <color rgb="FFFA7D00"/>
              </font>
              <fill>
                <patternFill>
                  <bgColor rgb="FFF2F2F2"/>
                </patternFill>
              </fill>
            </x14:dxf>
          </x14:cfRule>
          <x14:cfRule type="expression" priority="56" id="{6D2C8509-8D8F-4375-B262-DB88B038DB87}">
            <xm:f>Detailed_Analysis!H115&gt;162.5</xm:f>
            <x14:dxf>
              <font>
                <strike val="0"/>
                <color rgb="FFC00000"/>
              </font>
              <fill>
                <patternFill>
                  <bgColor rgb="FFFFC7CE"/>
                </patternFill>
              </fill>
              <border>
                <left style="thin">
                  <color theme="0" tint="-0.499984740745262"/>
                </left>
                <right style="thin">
                  <color theme="0" tint="-0.499984740745262"/>
                </right>
                <top style="thin">
                  <color theme="0" tint="-0.499984740745262"/>
                </top>
                <bottom style="thin">
                  <color theme="0" tint="-0.499984740745262"/>
                </bottom>
                <vertical/>
                <horizontal/>
              </border>
            </x14:dxf>
          </x14:cfRule>
          <xm:sqref>H6</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H119"/>
  <sheetViews>
    <sheetView showGridLines="0" zoomScaleNormal="100" zoomScaleSheetLayoutView="100" workbookViewId="0">
      <selection activeCell="D104" sqref="D104:F104"/>
    </sheetView>
  </sheetViews>
  <sheetFormatPr defaultColWidth="8" defaultRowHeight="12.75" customHeight="1" x14ac:dyDescent="0.3"/>
  <cols>
    <col min="1" max="1" width="25.6640625" style="19" customWidth="1"/>
    <col min="2" max="2" width="7.6640625" style="19" customWidth="1"/>
    <col min="3" max="5" width="15.6640625" style="19" customWidth="1"/>
    <col min="6" max="6" width="30.6640625" style="19" customWidth="1"/>
    <col min="7" max="7" width="22.6640625" style="67" customWidth="1"/>
    <col min="8" max="8" width="18.6640625" style="19" customWidth="1"/>
    <col min="9" max="16384" width="8" style="19"/>
  </cols>
  <sheetData>
    <row r="1" spans="1:8" s="84" customFormat="1" ht="39.9" customHeight="1" x14ac:dyDescent="0.3">
      <c r="A1" s="347" t="s">
        <v>73</v>
      </c>
      <c r="B1" s="353"/>
      <c r="C1" s="522" t="str">
        <f>Detailed_Analysis!C1</f>
        <v>Baseline BFR Scenario is Active</v>
      </c>
      <c r="D1" s="522"/>
      <c r="E1" s="522"/>
      <c r="F1" s="522"/>
      <c r="G1" s="357"/>
      <c r="H1" s="348" t="str">
        <f>Detailed_Analysis!H1</f>
        <v>Totals:</v>
      </c>
    </row>
    <row r="2" spans="1:8" ht="15" customHeight="1" x14ac:dyDescent="0.3">
      <c r="A2" s="145" t="str">
        <f>Detailed_Analysis!A2</f>
        <v>Activity Data:</v>
      </c>
      <c r="B2" s="146"/>
      <c r="C2" s="531"/>
      <c r="D2" s="531"/>
      <c r="E2" s="531"/>
      <c r="F2" s="532"/>
      <c r="G2" s="25" t="str">
        <f>Detailed_Analysis!G6</f>
        <v>Space Loading:</v>
      </c>
      <c r="H2" s="161">
        <f>Detailed_Analysis!H6</f>
        <v>0</v>
      </c>
    </row>
    <row r="3" spans="1:8" ht="15" customHeight="1" x14ac:dyDescent="0.3">
      <c r="A3" s="25" t="str">
        <f>Detailed_Analysis!A3</f>
        <v>Installation:</v>
      </c>
      <c r="B3" s="41"/>
      <c r="C3" s="519" t="str">
        <f>Detailed_Analysis!C3</f>
        <v xml:space="preserve">  - </v>
      </c>
      <c r="D3" s="519"/>
      <c r="E3" s="519"/>
      <c r="F3" s="519"/>
      <c r="G3" s="25" t="str">
        <f>Detailed_Analysis!G7</f>
        <v>Net Admin:</v>
      </c>
      <c r="H3" s="162">
        <f>Detailed_Analysis!H7</f>
        <v>0</v>
      </c>
    </row>
    <row r="4" spans="1:8" ht="15" customHeight="1" x14ac:dyDescent="0.3">
      <c r="A4" s="25" t="str">
        <f>Detailed_Analysis!A4</f>
        <v>Planning Area:</v>
      </c>
      <c r="B4" s="41"/>
      <c r="C4" s="519" t="str">
        <f>Detailed_Analysis!C4</f>
        <v xml:space="preserve">  - </v>
      </c>
      <c r="D4" s="519"/>
      <c r="E4" s="519"/>
      <c r="F4" s="519"/>
      <c r="G4" s="25" t="str">
        <f>Detailed_Analysis!G8</f>
        <v>Net Special:</v>
      </c>
      <c r="H4" s="162">
        <f>Detailed_Analysis!H8</f>
        <v>0</v>
      </c>
    </row>
    <row r="5" spans="1:8" ht="15" customHeight="1" x14ac:dyDescent="0.3">
      <c r="A5" s="25" t="str">
        <f>Detailed_Analysis!A5</f>
        <v>Activity:</v>
      </c>
      <c r="B5" s="41"/>
      <c r="C5" s="519" t="str">
        <f>Detailed_Analysis!C5</f>
        <v xml:space="preserve">  - </v>
      </c>
      <c r="D5" s="519"/>
      <c r="E5" s="519"/>
      <c r="F5" s="519"/>
      <c r="G5" s="25" t="str">
        <f>Detailed_Analysis!G9</f>
        <v>Net Bldg Area:</v>
      </c>
      <c r="H5" s="162">
        <f>Detailed_Analysis!H9</f>
        <v>0</v>
      </c>
    </row>
    <row r="6" spans="1:8" ht="15" customHeight="1" x14ac:dyDescent="0.3">
      <c r="A6" s="25" t="str">
        <f>Detailed_Analysis!A6</f>
        <v>Category Code:</v>
      </c>
      <c r="B6" s="41"/>
      <c r="C6" s="519" t="str">
        <f>Detailed_Analysis!C6</f>
        <v xml:space="preserve"> CCN 61010 - Administrative Office Building</v>
      </c>
      <c r="D6" s="519"/>
      <c r="E6" s="519"/>
      <c r="F6" s="519"/>
      <c r="G6" s="25" t="str">
        <f>Detailed_Analysis!G17</f>
        <v>Admin GSF/PN:</v>
      </c>
      <c r="H6" s="155">
        <f>Detailed_Analysis!H17</f>
        <v>0</v>
      </c>
    </row>
    <row r="7" spans="1:8" ht="14.4" x14ac:dyDescent="0.3">
      <c r="A7" s="27"/>
      <c r="B7" s="27"/>
      <c r="C7" s="27"/>
      <c r="D7" s="27"/>
      <c r="E7" s="27"/>
      <c r="F7" s="27"/>
      <c r="G7" s="27"/>
      <c r="H7" s="27"/>
    </row>
    <row r="8" spans="1:8" ht="14.4" hidden="1" x14ac:dyDescent="0.3">
      <c r="A8" s="27"/>
      <c r="B8" s="27"/>
      <c r="C8" s="27"/>
      <c r="D8" s="27"/>
      <c r="E8" s="27"/>
      <c r="F8" s="27"/>
      <c r="G8" s="27"/>
      <c r="H8" s="27"/>
    </row>
    <row r="9" spans="1:8" ht="14.4" hidden="1" x14ac:dyDescent="0.3">
      <c r="A9" s="27"/>
      <c r="B9" s="27"/>
      <c r="C9" s="27"/>
      <c r="D9" s="27"/>
      <c r="E9" s="27"/>
      <c r="F9" s="27"/>
      <c r="G9" s="27"/>
      <c r="H9" s="27"/>
    </row>
    <row r="10" spans="1:8" ht="14.4" hidden="1" x14ac:dyDescent="0.3">
      <c r="A10" s="27"/>
      <c r="B10" s="27"/>
      <c r="C10" s="27"/>
      <c r="D10" s="27"/>
      <c r="E10" s="27"/>
      <c r="F10" s="27"/>
      <c r="G10" s="25"/>
      <c r="H10" s="27"/>
    </row>
    <row r="11" spans="1:8" ht="14.4" hidden="1" x14ac:dyDescent="0.3">
      <c r="A11" s="27"/>
      <c r="B11" s="27"/>
      <c r="C11" s="27"/>
      <c r="D11" s="27"/>
      <c r="E11" s="27"/>
      <c r="F11" s="27"/>
      <c r="G11" s="25"/>
      <c r="H11" s="27"/>
    </row>
    <row r="12" spans="1:8" ht="14.4" hidden="1" x14ac:dyDescent="0.3">
      <c r="A12" s="27"/>
      <c r="B12" s="27"/>
      <c r="C12" s="27"/>
      <c r="D12" s="27"/>
      <c r="E12" s="27"/>
      <c r="F12" s="27"/>
      <c r="G12" s="25"/>
      <c r="H12" s="27"/>
    </row>
    <row r="13" spans="1:8" ht="14.4" hidden="1" x14ac:dyDescent="0.3">
      <c r="A13" s="27"/>
      <c r="B13" s="27"/>
      <c r="C13" s="27"/>
      <c r="D13" s="27"/>
      <c r="E13" s="27"/>
      <c r="F13" s="27"/>
      <c r="G13" s="27"/>
      <c r="H13" s="27"/>
    </row>
    <row r="14" spans="1:8" ht="14.4" hidden="1" x14ac:dyDescent="0.3">
      <c r="A14" s="27"/>
      <c r="B14" s="27"/>
      <c r="C14" s="27"/>
      <c r="D14" s="27"/>
      <c r="E14" s="27"/>
      <c r="F14" s="27"/>
      <c r="G14" s="27"/>
      <c r="H14" s="27"/>
    </row>
    <row r="15" spans="1:8" ht="14.4" hidden="1" x14ac:dyDescent="0.3">
      <c r="A15" s="27"/>
      <c r="B15" s="27"/>
      <c r="C15" s="27"/>
      <c r="D15" s="27"/>
      <c r="E15" s="27"/>
      <c r="F15" s="27"/>
      <c r="G15" s="27"/>
      <c r="H15" s="27"/>
    </row>
    <row r="16" spans="1:8" ht="14.4" hidden="1" x14ac:dyDescent="0.3">
      <c r="A16" s="27"/>
      <c r="B16" s="27"/>
      <c r="C16" s="27"/>
      <c r="D16" s="27"/>
      <c r="E16" s="27"/>
      <c r="F16" s="27"/>
      <c r="G16" s="27"/>
      <c r="H16" s="27"/>
    </row>
    <row r="17" spans="1:8" ht="14.4" hidden="1" x14ac:dyDescent="0.3">
      <c r="A17" s="27"/>
      <c r="B17" s="27"/>
      <c r="C17" s="27"/>
      <c r="D17" s="27"/>
      <c r="E17" s="27"/>
      <c r="F17" s="27"/>
      <c r="G17" s="27"/>
      <c r="H17" s="27"/>
    </row>
    <row r="18" spans="1:8" ht="14.4" hidden="1" x14ac:dyDescent="0.3">
      <c r="A18" s="27"/>
      <c r="B18" s="27"/>
      <c r="C18" s="27"/>
      <c r="D18" s="27"/>
      <c r="E18" s="27"/>
      <c r="F18" s="27"/>
      <c r="G18" s="27"/>
      <c r="H18" s="27"/>
    </row>
    <row r="19" spans="1:8" ht="14.4" hidden="1" x14ac:dyDescent="0.3">
      <c r="A19" s="27"/>
      <c r="B19" s="27"/>
      <c r="C19" s="27"/>
      <c r="D19" s="27"/>
      <c r="E19" s="27"/>
      <c r="F19" s="27"/>
      <c r="G19" s="27"/>
      <c r="H19" s="27"/>
    </row>
    <row r="20" spans="1:8" ht="14.4" hidden="1" x14ac:dyDescent="0.3">
      <c r="A20" s="27"/>
      <c r="B20" s="27"/>
      <c r="C20" s="27"/>
      <c r="D20" s="27"/>
      <c r="E20" s="27"/>
      <c r="F20" s="27"/>
      <c r="G20" s="27"/>
      <c r="H20" s="27"/>
    </row>
    <row r="21" spans="1:8" ht="14.4" hidden="1" x14ac:dyDescent="0.3">
      <c r="A21" s="27"/>
      <c r="B21" s="27"/>
      <c r="C21" s="27"/>
      <c r="D21" s="27"/>
      <c r="E21" s="27"/>
      <c r="F21" s="27"/>
      <c r="G21" s="27"/>
      <c r="H21" s="27"/>
    </row>
    <row r="22" spans="1:8" ht="14.4" hidden="1" x14ac:dyDescent="0.3">
      <c r="A22" s="27"/>
      <c r="B22" s="27"/>
      <c r="C22" s="27"/>
      <c r="D22" s="27"/>
      <c r="E22" s="27"/>
      <c r="F22" s="27"/>
      <c r="G22" s="27"/>
      <c r="H22" s="27"/>
    </row>
    <row r="23" spans="1:8" ht="14.4" hidden="1" x14ac:dyDescent="0.3">
      <c r="A23" s="27"/>
      <c r="B23" s="27"/>
      <c r="C23" s="27"/>
      <c r="D23" s="27"/>
      <c r="E23" s="27"/>
      <c r="F23" s="27"/>
      <c r="G23" s="27"/>
      <c r="H23" s="27"/>
    </row>
    <row r="24" spans="1:8" ht="14.4" hidden="1" x14ac:dyDescent="0.3">
      <c r="A24" s="27"/>
      <c r="B24" s="27"/>
      <c r="C24" s="27"/>
      <c r="D24" s="27"/>
      <c r="E24" s="27"/>
      <c r="F24" s="27"/>
      <c r="G24" s="27"/>
      <c r="H24" s="27"/>
    </row>
    <row r="25" spans="1:8" ht="14.4" hidden="1" x14ac:dyDescent="0.3">
      <c r="A25" s="27"/>
      <c r="B25" s="27"/>
      <c r="C25" s="27"/>
      <c r="D25" s="27"/>
      <c r="E25" s="27"/>
      <c r="F25" s="27"/>
      <c r="G25" s="27"/>
      <c r="H25" s="27"/>
    </row>
    <row r="26" spans="1:8" ht="14.4" hidden="1" x14ac:dyDescent="0.3">
      <c r="A26" s="27"/>
      <c r="B26" s="27"/>
      <c r="C26" s="27"/>
      <c r="D26" s="27"/>
      <c r="E26" s="27"/>
      <c r="F26" s="27"/>
      <c r="G26" s="27"/>
      <c r="H26" s="27"/>
    </row>
    <row r="27" spans="1:8" ht="14.4" hidden="1" x14ac:dyDescent="0.3">
      <c r="A27" s="27"/>
      <c r="B27" s="27"/>
      <c r="C27" s="27"/>
      <c r="D27" s="27"/>
      <c r="E27" s="27"/>
      <c r="F27" s="27"/>
      <c r="G27" s="27"/>
    </row>
    <row r="28" spans="1:8" ht="14.4" hidden="1" x14ac:dyDescent="0.3">
      <c r="A28" s="27"/>
      <c r="B28" s="27"/>
      <c r="C28" s="27"/>
      <c r="D28" s="27"/>
      <c r="E28" s="27"/>
      <c r="F28" s="27"/>
      <c r="G28" s="27"/>
      <c r="H28" s="27"/>
    </row>
    <row r="29" spans="1:8" ht="14.4" hidden="1" x14ac:dyDescent="0.3">
      <c r="A29" s="27"/>
      <c r="B29" s="27"/>
      <c r="C29" s="27"/>
      <c r="D29" s="27"/>
      <c r="E29" s="27"/>
      <c r="F29" s="27"/>
      <c r="G29" s="27"/>
      <c r="H29" s="27"/>
    </row>
    <row r="30" spans="1:8" ht="14.4" hidden="1" x14ac:dyDescent="0.3">
      <c r="A30" s="27"/>
      <c r="B30" s="27"/>
      <c r="C30" s="27"/>
      <c r="D30" s="27"/>
      <c r="E30" s="27"/>
      <c r="F30" s="27"/>
      <c r="G30" s="27"/>
      <c r="H30" s="27"/>
    </row>
    <row r="31" spans="1:8" ht="14.4" hidden="1" x14ac:dyDescent="0.3">
      <c r="A31" s="27"/>
      <c r="B31" s="27"/>
      <c r="C31" s="27"/>
      <c r="D31" s="27"/>
      <c r="E31" s="27"/>
      <c r="F31" s="27"/>
      <c r="G31" s="27"/>
      <c r="H31" s="27"/>
    </row>
    <row r="32" spans="1:8" ht="14.4" hidden="1" x14ac:dyDescent="0.3">
      <c r="A32" s="27"/>
      <c r="B32" s="27"/>
      <c r="C32" s="27"/>
      <c r="D32" s="27"/>
      <c r="E32" s="27"/>
      <c r="F32" s="27"/>
      <c r="G32" s="27"/>
      <c r="H32" s="27"/>
    </row>
    <row r="33" spans="1:8" ht="14.4" hidden="1" x14ac:dyDescent="0.3">
      <c r="A33" s="27"/>
      <c r="B33" s="27"/>
      <c r="C33" s="27"/>
      <c r="D33" s="27"/>
      <c r="E33" s="27"/>
      <c r="F33" s="27"/>
      <c r="G33" s="27"/>
      <c r="H33" s="27"/>
    </row>
    <row r="34" spans="1:8" ht="14.4" hidden="1" x14ac:dyDescent="0.3">
      <c r="A34" s="27"/>
      <c r="B34" s="27"/>
      <c r="C34" s="27"/>
      <c r="D34" s="27"/>
      <c r="E34" s="27"/>
      <c r="F34" s="27"/>
      <c r="G34" s="27"/>
      <c r="H34" s="27"/>
    </row>
    <row r="35" spans="1:8" ht="14.4" hidden="1" x14ac:dyDescent="0.3">
      <c r="A35" s="27"/>
      <c r="B35" s="27"/>
      <c r="C35" s="27"/>
      <c r="D35" s="27"/>
      <c r="E35" s="27"/>
      <c r="F35" s="27"/>
      <c r="G35" s="27"/>
      <c r="H35" s="27"/>
    </row>
    <row r="36" spans="1:8" ht="14.4" hidden="1" x14ac:dyDescent="0.3">
      <c r="A36" s="27"/>
      <c r="B36" s="27"/>
      <c r="C36" s="27"/>
      <c r="D36" s="27"/>
      <c r="E36" s="27"/>
      <c r="F36" s="27"/>
      <c r="G36" s="27"/>
      <c r="H36" s="27"/>
    </row>
    <row r="37" spans="1:8" ht="14.4" hidden="1" x14ac:dyDescent="0.3">
      <c r="A37" s="27" t="s">
        <v>430</v>
      </c>
      <c r="B37" s="27"/>
      <c r="C37" s="27"/>
      <c r="D37" s="27"/>
      <c r="E37" s="27"/>
      <c r="F37" s="27"/>
      <c r="G37" s="27"/>
      <c r="H37" s="27"/>
    </row>
    <row r="38" spans="1:8" ht="14.4" hidden="1" x14ac:dyDescent="0.3">
      <c r="A38" s="27"/>
      <c r="B38" s="27"/>
      <c r="C38" s="27"/>
      <c r="D38" s="27"/>
      <c r="E38" s="27"/>
      <c r="F38" s="27"/>
      <c r="G38" s="27"/>
      <c r="H38" s="27"/>
    </row>
    <row r="39" spans="1:8" ht="14.4" hidden="1" x14ac:dyDescent="0.3">
      <c r="A39" s="27"/>
      <c r="B39" s="27"/>
      <c r="C39" s="27"/>
      <c r="D39" s="27"/>
      <c r="E39" s="27"/>
      <c r="F39" s="27"/>
      <c r="G39" s="27"/>
      <c r="H39" s="27"/>
    </row>
    <row r="40" spans="1:8" ht="14.4" hidden="1" x14ac:dyDescent="0.3">
      <c r="A40" s="27"/>
      <c r="B40" s="27"/>
      <c r="C40" s="27"/>
      <c r="D40" s="27"/>
      <c r="E40" s="27"/>
      <c r="F40" s="27"/>
      <c r="G40" s="27"/>
      <c r="H40" s="27"/>
    </row>
    <row r="41" spans="1:8" ht="14.4" hidden="1" x14ac:dyDescent="0.3">
      <c r="A41" s="27"/>
      <c r="B41" s="27"/>
      <c r="C41" s="27"/>
      <c r="D41" s="27"/>
      <c r="E41" s="27"/>
      <c r="F41" s="27"/>
      <c r="G41" s="27"/>
      <c r="H41" s="27"/>
    </row>
    <row r="42" spans="1:8" ht="14.4" hidden="1" x14ac:dyDescent="0.3">
      <c r="A42" s="27"/>
      <c r="B42" s="27"/>
      <c r="C42" s="27"/>
      <c r="D42" s="27"/>
      <c r="E42" s="27"/>
      <c r="F42" s="27"/>
      <c r="G42" s="27"/>
      <c r="H42" s="27"/>
    </row>
    <row r="43" spans="1:8" ht="14.4" hidden="1" x14ac:dyDescent="0.3">
      <c r="A43" s="27"/>
      <c r="B43" s="27"/>
      <c r="C43" s="27"/>
      <c r="D43" s="27"/>
      <c r="E43" s="27"/>
      <c r="F43" s="27"/>
      <c r="G43" s="27"/>
      <c r="H43" s="27"/>
    </row>
    <row r="44" spans="1:8" ht="14.4" hidden="1" x14ac:dyDescent="0.3">
      <c r="A44" s="27"/>
      <c r="B44" s="27"/>
      <c r="C44" s="27"/>
      <c r="D44" s="27"/>
      <c r="E44" s="27"/>
      <c r="F44" s="27"/>
      <c r="G44" s="27"/>
      <c r="H44" s="27"/>
    </row>
    <row r="45" spans="1:8" ht="14.4" hidden="1" x14ac:dyDescent="0.3">
      <c r="A45" s="27"/>
      <c r="B45" s="27"/>
      <c r="C45" s="27"/>
      <c r="D45" s="27"/>
      <c r="E45" s="27"/>
      <c r="F45" s="27"/>
      <c r="G45" s="27"/>
      <c r="H45" s="27"/>
    </row>
    <row r="46" spans="1:8" ht="14.4" hidden="1" x14ac:dyDescent="0.3">
      <c r="A46" s="27"/>
      <c r="B46" s="27"/>
      <c r="C46" s="27"/>
      <c r="D46" s="27"/>
      <c r="E46" s="27"/>
      <c r="F46" s="27"/>
      <c r="G46" s="27"/>
      <c r="H46" s="27"/>
    </row>
    <row r="47" spans="1:8" ht="14.4" hidden="1" x14ac:dyDescent="0.3">
      <c r="A47" s="27"/>
      <c r="B47" s="27"/>
      <c r="C47" s="27"/>
      <c r="D47" s="27"/>
      <c r="E47" s="27"/>
      <c r="F47" s="27"/>
      <c r="G47" s="27"/>
      <c r="H47" s="27"/>
    </row>
    <row r="48" spans="1:8" ht="14.4" hidden="1" x14ac:dyDescent="0.3">
      <c r="A48" s="27"/>
      <c r="B48" s="27"/>
      <c r="C48" s="27"/>
      <c r="D48" s="27"/>
      <c r="E48" s="27"/>
      <c r="F48" s="27"/>
      <c r="G48" s="27"/>
      <c r="H48" s="27"/>
    </row>
    <row r="49" spans="1:8" ht="14.4" hidden="1" x14ac:dyDescent="0.3">
      <c r="A49" s="27"/>
      <c r="B49" s="27"/>
      <c r="C49" s="27"/>
      <c r="D49" s="27"/>
      <c r="E49" s="27"/>
      <c r="F49" s="27"/>
      <c r="G49" s="27"/>
      <c r="H49" s="27"/>
    </row>
    <row r="50" spans="1:8" ht="14.4" hidden="1" x14ac:dyDescent="0.3">
      <c r="A50" s="27"/>
      <c r="B50" s="27"/>
      <c r="C50" s="27"/>
      <c r="D50" s="27"/>
      <c r="E50" s="27"/>
      <c r="F50" s="27"/>
      <c r="G50" s="27"/>
      <c r="H50" s="27"/>
    </row>
    <row r="51" spans="1:8" ht="14.4" hidden="1" x14ac:dyDescent="0.3">
      <c r="A51" s="27"/>
      <c r="B51" s="27"/>
      <c r="C51" s="27"/>
      <c r="D51" s="27"/>
      <c r="E51" s="27"/>
      <c r="F51" s="27"/>
      <c r="G51" s="27"/>
      <c r="H51" s="27"/>
    </row>
    <row r="52" spans="1:8" ht="14.4" hidden="1" x14ac:dyDescent="0.3">
      <c r="A52" s="27"/>
      <c r="B52" s="27"/>
      <c r="C52" s="27"/>
      <c r="D52" s="27"/>
      <c r="E52" s="27"/>
      <c r="F52" s="27"/>
      <c r="G52" s="27"/>
      <c r="H52" s="27"/>
    </row>
    <row r="53" spans="1:8" ht="14.4" hidden="1" x14ac:dyDescent="0.3">
      <c r="A53" s="27"/>
      <c r="B53" s="27"/>
      <c r="C53" s="27"/>
      <c r="D53" s="27"/>
      <c r="E53" s="27"/>
      <c r="F53" s="27"/>
      <c r="G53" s="27"/>
      <c r="H53" s="27"/>
    </row>
    <row r="54" spans="1:8" ht="14.4" hidden="1" x14ac:dyDescent="0.3">
      <c r="A54" s="27"/>
      <c r="B54" s="27"/>
      <c r="C54" s="27"/>
      <c r="D54" s="27"/>
      <c r="E54" s="27"/>
      <c r="F54" s="27"/>
      <c r="G54" s="27"/>
      <c r="H54" s="27"/>
    </row>
    <row r="55" spans="1:8" ht="14.4" hidden="1" x14ac:dyDescent="0.3">
      <c r="A55" s="27"/>
      <c r="B55" s="27"/>
      <c r="C55" s="27"/>
      <c r="D55" s="27"/>
      <c r="E55" s="27"/>
      <c r="F55" s="27"/>
      <c r="G55" s="27"/>
      <c r="H55" s="27"/>
    </row>
    <row r="56" spans="1:8" ht="14.4" hidden="1" x14ac:dyDescent="0.3">
      <c r="A56" s="27"/>
      <c r="B56" s="27"/>
      <c r="C56" s="27"/>
      <c r="D56" s="27"/>
      <c r="E56" s="27"/>
      <c r="F56" s="27"/>
      <c r="G56" s="27"/>
      <c r="H56" s="27"/>
    </row>
    <row r="57" spans="1:8" ht="14.4" hidden="1" x14ac:dyDescent="0.3">
      <c r="A57" s="27"/>
      <c r="B57" s="27"/>
      <c r="C57" s="27"/>
      <c r="D57" s="27"/>
      <c r="E57" s="27"/>
      <c r="F57" s="27"/>
      <c r="G57" s="27"/>
      <c r="H57" s="27"/>
    </row>
    <row r="58" spans="1:8" ht="14.4" hidden="1" x14ac:dyDescent="0.3">
      <c r="A58" s="27"/>
      <c r="B58" s="27"/>
      <c r="C58" s="27"/>
      <c r="D58" s="27"/>
      <c r="E58" s="27"/>
      <c r="F58" s="27"/>
      <c r="G58" s="27"/>
      <c r="H58" s="27"/>
    </row>
    <row r="59" spans="1:8" ht="14.4" hidden="1" x14ac:dyDescent="0.3">
      <c r="A59" s="27"/>
      <c r="B59" s="27"/>
      <c r="C59" s="27"/>
      <c r="D59" s="27"/>
      <c r="E59" s="27"/>
      <c r="F59" s="27"/>
      <c r="G59" s="27"/>
      <c r="H59" s="27"/>
    </row>
    <row r="60" spans="1:8" ht="14.4" hidden="1" x14ac:dyDescent="0.3">
      <c r="A60" s="27"/>
      <c r="B60" s="27"/>
      <c r="C60" s="27"/>
      <c r="D60" s="27"/>
      <c r="E60" s="27"/>
      <c r="F60" s="27"/>
      <c r="G60" s="27"/>
      <c r="H60" s="27"/>
    </row>
    <row r="61" spans="1:8" ht="14.4" hidden="1" x14ac:dyDescent="0.3">
      <c r="A61" s="27"/>
      <c r="B61" s="27"/>
      <c r="C61" s="27"/>
      <c r="D61" s="27"/>
      <c r="E61" s="27"/>
      <c r="F61" s="27"/>
      <c r="G61" s="27"/>
      <c r="H61" s="27"/>
    </row>
    <row r="62" spans="1:8" ht="14.4" hidden="1" x14ac:dyDescent="0.3">
      <c r="A62" s="27"/>
      <c r="B62" s="27"/>
      <c r="C62" s="27"/>
      <c r="D62" s="27"/>
      <c r="E62" s="27"/>
      <c r="F62" s="27"/>
      <c r="G62" s="27"/>
      <c r="H62" s="27"/>
    </row>
    <row r="63" spans="1:8" ht="14.4" hidden="1" x14ac:dyDescent="0.3">
      <c r="A63" s="27"/>
      <c r="B63" s="27"/>
      <c r="C63" s="27"/>
      <c r="D63" s="27"/>
      <c r="E63" s="27"/>
      <c r="F63" s="27"/>
      <c r="G63" s="27"/>
      <c r="H63" s="27"/>
    </row>
    <row r="64" spans="1:8" ht="14.4" hidden="1" x14ac:dyDescent="0.3">
      <c r="A64" s="27"/>
      <c r="B64" s="27"/>
      <c r="C64" s="27"/>
      <c r="D64" s="27"/>
      <c r="E64" s="27"/>
      <c r="F64" s="27"/>
      <c r="G64" s="27"/>
      <c r="H64" s="27"/>
    </row>
    <row r="65" spans="1:8" ht="14.4" hidden="1" x14ac:dyDescent="0.3">
      <c r="A65" s="27"/>
      <c r="B65" s="27"/>
      <c r="C65" s="27"/>
      <c r="D65" s="27"/>
      <c r="E65" s="27"/>
      <c r="F65" s="27"/>
      <c r="G65" s="27"/>
      <c r="H65" s="27"/>
    </row>
    <row r="66" spans="1:8" ht="14.4" hidden="1" x14ac:dyDescent="0.3">
      <c r="A66" s="27"/>
      <c r="B66" s="27"/>
      <c r="C66" s="27"/>
      <c r="D66" s="27"/>
      <c r="E66" s="27"/>
      <c r="F66" s="27"/>
      <c r="G66" s="27"/>
      <c r="H66" s="27"/>
    </row>
    <row r="67" spans="1:8" ht="14.4" hidden="1" x14ac:dyDescent="0.3">
      <c r="A67" s="27"/>
      <c r="B67" s="27"/>
      <c r="C67" s="27"/>
      <c r="D67" s="27"/>
      <c r="E67" s="27"/>
      <c r="F67" s="27"/>
      <c r="G67" s="27"/>
      <c r="H67" s="27"/>
    </row>
    <row r="68" spans="1:8" ht="14.4" hidden="1" x14ac:dyDescent="0.3">
      <c r="A68" s="27"/>
      <c r="B68" s="27"/>
      <c r="C68" s="27"/>
      <c r="D68" s="27"/>
      <c r="E68" s="27"/>
      <c r="F68" s="27"/>
      <c r="G68" s="27"/>
      <c r="H68" s="27"/>
    </row>
    <row r="69" spans="1:8" ht="14.4" hidden="1" x14ac:dyDescent="0.3">
      <c r="A69" s="27"/>
      <c r="B69" s="27"/>
      <c r="C69" s="27"/>
      <c r="D69" s="27"/>
      <c r="E69" s="27"/>
      <c r="F69" s="27"/>
      <c r="G69" s="27"/>
      <c r="H69" s="27"/>
    </row>
    <row r="70" spans="1:8" ht="14.4" hidden="1" x14ac:dyDescent="0.3">
      <c r="A70" s="27"/>
      <c r="B70" s="27"/>
      <c r="C70" s="27"/>
      <c r="D70" s="27"/>
      <c r="E70" s="27"/>
      <c r="F70" s="27"/>
      <c r="G70" s="27"/>
      <c r="H70" s="27"/>
    </row>
    <row r="71" spans="1:8" ht="14.4" hidden="1" x14ac:dyDescent="0.3">
      <c r="A71" s="27"/>
      <c r="B71" s="27"/>
      <c r="C71" s="27"/>
      <c r="D71" s="27"/>
      <c r="E71" s="27"/>
      <c r="F71" s="27"/>
      <c r="G71" s="27"/>
      <c r="H71" s="27"/>
    </row>
    <row r="72" spans="1:8" ht="14.4" hidden="1" x14ac:dyDescent="0.3">
      <c r="A72" s="27"/>
      <c r="B72" s="27"/>
      <c r="C72" s="27"/>
      <c r="D72" s="27"/>
      <c r="E72" s="27"/>
      <c r="F72" s="27"/>
      <c r="G72" s="27"/>
      <c r="H72" s="27"/>
    </row>
    <row r="73" spans="1:8" ht="14.4" hidden="1" x14ac:dyDescent="0.3">
      <c r="A73" s="27"/>
      <c r="B73" s="27"/>
      <c r="C73" s="27"/>
      <c r="D73" s="27"/>
      <c r="E73" s="27"/>
      <c r="F73" s="27"/>
      <c r="G73" s="27"/>
      <c r="H73" s="27"/>
    </row>
    <row r="74" spans="1:8" ht="14.4" hidden="1" x14ac:dyDescent="0.3">
      <c r="A74" s="27"/>
      <c r="B74" s="27"/>
      <c r="C74" s="27"/>
      <c r="D74" s="27"/>
      <c r="E74" s="27"/>
      <c r="F74" s="27"/>
      <c r="G74" s="27"/>
      <c r="H74" s="27"/>
    </row>
    <row r="75" spans="1:8" ht="14.4" hidden="1" x14ac:dyDescent="0.3">
      <c r="A75" s="27"/>
      <c r="B75" s="27"/>
      <c r="C75" s="27"/>
      <c r="D75" s="27"/>
      <c r="E75" s="27"/>
      <c r="F75" s="27"/>
      <c r="G75" s="27"/>
      <c r="H75" s="27"/>
    </row>
    <row r="76" spans="1:8" ht="14.4" hidden="1" x14ac:dyDescent="0.3">
      <c r="A76" s="27"/>
      <c r="B76" s="27"/>
      <c r="C76" s="27"/>
      <c r="D76" s="27"/>
      <c r="E76" s="27"/>
      <c r="F76" s="27"/>
      <c r="G76" s="27"/>
      <c r="H76" s="27"/>
    </row>
    <row r="77" spans="1:8" ht="14.4" hidden="1" x14ac:dyDescent="0.3">
      <c r="A77" s="27"/>
      <c r="B77" s="27"/>
      <c r="C77" s="27"/>
      <c r="D77" s="27"/>
      <c r="E77" s="27"/>
      <c r="F77" s="27"/>
      <c r="G77" s="27"/>
      <c r="H77" s="27"/>
    </row>
    <row r="78" spans="1:8" ht="14.4" hidden="1" x14ac:dyDescent="0.3">
      <c r="A78" s="27"/>
      <c r="B78" s="27"/>
      <c r="C78" s="27"/>
      <c r="D78" s="27"/>
      <c r="E78" s="27"/>
      <c r="F78" s="27"/>
      <c r="G78" s="27"/>
      <c r="H78" s="27"/>
    </row>
    <row r="79" spans="1:8" ht="14.4" hidden="1" x14ac:dyDescent="0.3">
      <c r="A79" s="27"/>
      <c r="B79" s="27"/>
      <c r="C79" s="27"/>
      <c r="D79" s="27"/>
      <c r="E79" s="27"/>
      <c r="F79" s="27"/>
      <c r="G79" s="27"/>
      <c r="H79" s="27"/>
    </row>
    <row r="80" spans="1:8" ht="14.4" hidden="1" x14ac:dyDescent="0.3">
      <c r="A80" s="27"/>
      <c r="B80" s="27"/>
      <c r="C80" s="27"/>
      <c r="D80" s="27"/>
      <c r="E80" s="27"/>
      <c r="F80" s="27"/>
      <c r="G80" s="27"/>
      <c r="H80" s="27"/>
    </row>
    <row r="81" spans="1:8" ht="14.4" hidden="1" x14ac:dyDescent="0.3">
      <c r="A81" s="27"/>
      <c r="B81" s="27"/>
      <c r="C81" s="27"/>
      <c r="D81" s="27"/>
      <c r="E81" s="27"/>
      <c r="F81" s="27"/>
      <c r="G81" s="27"/>
      <c r="H81" s="27"/>
    </row>
    <row r="82" spans="1:8" ht="14.4" hidden="1" x14ac:dyDescent="0.3">
      <c r="A82" s="27" t="s">
        <v>431</v>
      </c>
      <c r="B82" s="27"/>
      <c r="C82" s="27"/>
      <c r="D82" s="27"/>
      <c r="E82" s="27"/>
      <c r="F82" s="27"/>
      <c r="G82" s="27"/>
      <c r="H82" s="27"/>
    </row>
    <row r="83" spans="1:8" ht="14.4" hidden="1" x14ac:dyDescent="0.3">
      <c r="A83" s="27"/>
      <c r="B83" s="27"/>
      <c r="C83" s="27"/>
      <c r="D83" s="27"/>
      <c r="E83" s="27"/>
      <c r="F83" s="27"/>
      <c r="G83" s="27"/>
      <c r="H83" s="27"/>
    </row>
    <row r="84" spans="1:8" ht="14.4" hidden="1" x14ac:dyDescent="0.3">
      <c r="A84" s="27"/>
      <c r="B84" s="27"/>
      <c r="C84" s="27"/>
      <c r="D84" s="27"/>
      <c r="E84" s="27"/>
      <c r="F84" s="27"/>
      <c r="G84" s="27"/>
      <c r="H84" s="27"/>
    </row>
    <row r="85" spans="1:8" ht="14.4" hidden="1" x14ac:dyDescent="0.3">
      <c r="A85" s="27"/>
      <c r="B85" s="27"/>
      <c r="C85" s="27"/>
      <c r="D85" s="27"/>
      <c r="E85" s="27"/>
      <c r="F85" s="27"/>
      <c r="G85" s="27"/>
      <c r="H85" s="27"/>
    </row>
    <row r="86" spans="1:8" ht="14.4" hidden="1" x14ac:dyDescent="0.3">
      <c r="A86" s="27"/>
      <c r="B86" s="27"/>
      <c r="C86" s="27"/>
      <c r="D86" s="27"/>
      <c r="E86" s="27"/>
      <c r="F86" s="27"/>
      <c r="G86" s="27"/>
      <c r="H86" s="27"/>
    </row>
    <row r="87" spans="1:8" ht="14.4" hidden="1" x14ac:dyDescent="0.3">
      <c r="A87" s="27"/>
      <c r="B87" s="27"/>
      <c r="C87" s="27"/>
      <c r="D87" s="27"/>
      <c r="E87" s="27"/>
      <c r="F87" s="27"/>
      <c r="G87" s="27"/>
      <c r="H87" s="27"/>
    </row>
    <row r="88" spans="1:8" ht="14.4" hidden="1" x14ac:dyDescent="0.3">
      <c r="A88" s="27"/>
      <c r="B88" s="27"/>
      <c r="C88" s="27"/>
      <c r="D88" s="27"/>
      <c r="E88" s="27"/>
      <c r="F88" s="27"/>
      <c r="G88" s="27"/>
      <c r="H88" s="27"/>
    </row>
    <row r="89" spans="1:8" ht="14.4" hidden="1" x14ac:dyDescent="0.3">
      <c r="A89" s="27"/>
      <c r="B89" s="27"/>
      <c r="C89" s="27"/>
      <c r="D89" s="27"/>
      <c r="E89" s="27"/>
      <c r="F89" s="27"/>
      <c r="G89" s="27"/>
      <c r="H89" s="27"/>
    </row>
    <row r="90" spans="1:8" ht="14.4" x14ac:dyDescent="0.3">
      <c r="A90" s="145" t="str">
        <f>Detailed_Analysis!A90</f>
        <v>NTG Space:</v>
      </c>
      <c r="B90" s="148" t="str">
        <f>Detailed_Analysis!B90</f>
        <v>Req'd?</v>
      </c>
      <c r="C90" s="149" t="str">
        <f>Detailed_Analysis!C90</f>
        <v>Factor1</v>
      </c>
      <c r="D90" s="531" t="str">
        <f>Detailed_Analysis!D90</f>
        <v>Planning Factor</v>
      </c>
      <c r="E90" s="541"/>
      <c r="F90" s="541"/>
      <c r="G90" s="149" t="str">
        <f>Detailed_Analysis!G90</f>
        <v>Factor2</v>
      </c>
      <c r="H90" s="150" t="str">
        <f>Detailed_Analysis!H90</f>
        <v>NSF</v>
      </c>
    </row>
    <row r="91" spans="1:8" ht="5.0999999999999996" customHeight="1" x14ac:dyDescent="0.3">
      <c r="A91" s="59"/>
      <c r="B91" s="60"/>
      <c r="C91" s="61"/>
      <c r="D91" s="62"/>
      <c r="E91" s="63"/>
      <c r="F91" s="63"/>
      <c r="G91" s="61"/>
      <c r="H91" s="61"/>
    </row>
    <row r="92" spans="1:8" ht="15" customHeight="1" x14ac:dyDescent="0.3">
      <c r="A92" s="25" t="str">
        <f>Detailed_Analysis!A92</f>
        <v>Adjust Building Height:</v>
      </c>
      <c r="B92" s="26" t="b">
        <v>0</v>
      </c>
      <c r="C92" s="216">
        <f>Detailed_Analysis!C92</f>
        <v>1</v>
      </c>
      <c r="D92" s="218">
        <v>1</v>
      </c>
      <c r="E92" s="538" t="str">
        <f>Detailed_Analysis!E92</f>
        <v xml:space="preserve"> (# floors) (average floor area)</v>
      </c>
      <c r="F92" s="539"/>
      <c r="G92" s="217">
        <f>IF(Detailed_Analysis!C92&gt;0,Detailed_Analysis!G92,0)</f>
        <v>0</v>
      </c>
      <c r="H92" s="64"/>
    </row>
    <row r="93" spans="1:8" ht="5.0999999999999996" customHeight="1" x14ac:dyDescent="0.3">
      <c r="A93" s="27"/>
      <c r="B93" s="27"/>
      <c r="C93" s="27"/>
      <c r="D93" s="27"/>
      <c r="E93" s="27"/>
      <c r="F93" s="27"/>
      <c r="G93" s="27"/>
      <c r="H93" s="27"/>
    </row>
    <row r="94" spans="1:8" ht="15" customHeight="1" x14ac:dyDescent="0.3">
      <c r="A94" s="50" t="str">
        <f>Detailed_Analysis!A94</f>
        <v>Bathrooms:</v>
      </c>
      <c r="B94" s="26" t="b">
        <v>1</v>
      </c>
      <c r="C94" s="170">
        <f>Detailed_Analysis!C94</f>
        <v>1</v>
      </c>
      <c r="D94" s="519" t="str">
        <f>Detailed_Analysis!D94</f>
        <v xml:space="preserve"> see bathrooms sheet</v>
      </c>
      <c r="E94" s="519"/>
      <c r="F94" s="519"/>
      <c r="G94" s="162">
        <f>IF(Detailed_Analysis!C94&gt;0,Detailed_Analysis!G94,0)</f>
        <v>0</v>
      </c>
      <c r="H94" s="162">
        <f>Detailed_Analysis!H94</f>
        <v>0</v>
      </c>
    </row>
    <row r="95" spans="1:8" ht="15" customHeight="1" x14ac:dyDescent="0.3">
      <c r="A95" s="25" t="str">
        <f>Detailed_Analysis!A95</f>
        <v>Electrical Space:</v>
      </c>
      <c r="B95" s="26" t="b">
        <v>1</v>
      </c>
      <c r="C95" s="170">
        <f>Detailed_Analysis!C95</f>
        <v>1</v>
      </c>
      <c r="D95" s="519" t="str">
        <f>Detailed_Analysis!D95</f>
        <v xml:space="preserve"> assume 60% of primary (central) mechanical space</v>
      </c>
      <c r="E95" s="519"/>
      <c r="F95" s="519"/>
      <c r="G95" s="162">
        <f>IF(Detailed_Analysis!C95&gt;0,Detailed_Analysis!G95,0)</f>
        <v>0</v>
      </c>
      <c r="H95" s="162">
        <f>Detailed_Analysis!H95</f>
        <v>0</v>
      </c>
    </row>
    <row r="96" spans="1:8" ht="15" customHeight="1" x14ac:dyDescent="0.3">
      <c r="A96" s="25" t="str">
        <f>Detailed_Analysis!A96</f>
        <v>Elevator Hoistway:</v>
      </c>
      <c r="B96" s="26" t="b">
        <v>1</v>
      </c>
      <c r="C96" s="170">
        <f>Detailed_Analysis!C96</f>
        <v>0</v>
      </c>
      <c r="D96" s="519" t="str">
        <f>Detailed_Analysis!D96</f>
        <v xml:space="preserve"> (one/10,000 nsf of avg floor area)(82 nsf/each)(# floors)</v>
      </c>
      <c r="E96" s="519"/>
      <c r="F96" s="519"/>
      <c r="G96" s="162">
        <f>IF(Detailed_Analysis!C96&gt;0,Detailed_Analysis!G96,0)</f>
        <v>0</v>
      </c>
      <c r="H96" s="162">
        <f>Detailed_Analysis!H96</f>
        <v>0</v>
      </c>
    </row>
    <row r="97" spans="1:8" ht="15" customHeight="1" x14ac:dyDescent="0.3">
      <c r="A97" s="25" t="str">
        <f>Detailed_Analysis!A97</f>
        <v>Elevator Machine Room:</v>
      </c>
      <c r="B97" s="26" t="b">
        <v>1</v>
      </c>
      <c r="C97" s="170">
        <f>Detailed_Analysis!C97</f>
        <v>0</v>
      </c>
      <c r="D97" s="519" t="str">
        <f>Detailed_Analysis!D97</f>
        <v xml:space="preserve"> (one/10,000 nsf of avg floor area)(72 nsf/each)</v>
      </c>
      <c r="E97" s="519"/>
      <c r="F97" s="519"/>
      <c r="G97" s="162">
        <f>IF(Detailed_Analysis!C97&gt;0,Detailed_Analysis!G97,0)</f>
        <v>0</v>
      </c>
      <c r="H97" s="162">
        <f>Detailed_Analysis!H97</f>
        <v>0</v>
      </c>
    </row>
    <row r="98" spans="1:8" ht="15" customHeight="1" x14ac:dyDescent="0.3">
      <c r="A98" s="25" t="str">
        <f>Detailed_Analysis!A98</f>
        <v>Janitor's Closet:</v>
      </c>
      <c r="B98" s="26" t="b">
        <v>1</v>
      </c>
      <c r="C98" s="170">
        <f>Detailed_Analysis!C98</f>
        <v>1</v>
      </c>
      <c r="D98" s="519" t="str">
        <f>Detailed_Analysis!D98</f>
        <v xml:space="preserve"> (one/10,000 nsf of avg floor area)(20 nsf/each)(# floors)</v>
      </c>
      <c r="E98" s="519"/>
      <c r="F98" s="519"/>
      <c r="G98" s="162">
        <f>IF(Detailed_Analysis!C98&gt;0,Detailed_Analysis!G98,0)</f>
        <v>0</v>
      </c>
      <c r="H98" s="162">
        <f>Detailed_Analysis!H98</f>
        <v>0</v>
      </c>
    </row>
    <row r="99" spans="1:8" ht="15" customHeight="1" x14ac:dyDescent="0.3">
      <c r="A99" s="25" t="str">
        <f>Detailed_Analysis!A99</f>
        <v>Mechanical Space:</v>
      </c>
      <c r="B99" s="26" t="b">
        <v>1</v>
      </c>
      <c r="C99" s="170">
        <f>Detailed_Analysis!C99</f>
        <v>1</v>
      </c>
      <c r="D99" s="519" t="str">
        <f>Detailed_Analysis!D99</f>
        <v xml:space="preserve"> (primary + secondary mechanical space)</v>
      </c>
      <c r="E99" s="519"/>
      <c r="F99" s="519"/>
      <c r="G99" s="162">
        <f>IF(Detailed_Analysis!C99&gt;0,Detailed_Analysis!G99,0)</f>
        <v>0</v>
      </c>
      <c r="H99" s="162">
        <f>Detailed_Analysis!H99</f>
        <v>0</v>
      </c>
    </row>
    <row r="100" spans="1:8" ht="15" customHeight="1" x14ac:dyDescent="0.3">
      <c r="A100" s="25" t="str">
        <f>Detailed_Analysis!A100</f>
        <v>Primary Circulation:</v>
      </c>
      <c r="B100" s="26" t="b">
        <v>1</v>
      </c>
      <c r="C100" s="163">
        <f>Detailed_Analysis!C100</f>
        <v>0</v>
      </c>
      <c r="D100" s="519" t="str">
        <f>Detailed_Analysis!D100</f>
        <v xml:space="preserve"> (primary cm)(net bldg area - all secondary circ space)</v>
      </c>
      <c r="E100" s="519"/>
      <c r="F100" s="519"/>
      <c r="G100" s="162">
        <f>IF(Detailed_Analysis!C100&gt;0,Detailed_Analysis!G100,0)</f>
        <v>0</v>
      </c>
      <c r="H100" s="162">
        <f>Detailed_Analysis!H100</f>
        <v>0</v>
      </c>
    </row>
    <row r="101" spans="1:8" ht="15" customHeight="1" x14ac:dyDescent="0.3">
      <c r="A101" s="25" t="str">
        <f>Detailed_Analysis!A101</f>
        <v>Stairwell:</v>
      </c>
      <c r="B101" s="26" t="b">
        <v>1</v>
      </c>
      <c r="C101" s="170">
        <f>Detailed_Analysis!C101</f>
        <v>0</v>
      </c>
      <c r="D101" s="519" t="str">
        <f>Detailed_Analysis!D101</f>
        <v xml:space="preserve"> (one/10,000 nsf of avg floor area)(200 nsf/each)(# floors)</v>
      </c>
      <c r="E101" s="519"/>
      <c r="F101" s="519"/>
      <c r="G101" s="162">
        <f>IF(Detailed_Analysis!C101&gt;0,Detailed_Analysis!G101,0)</f>
        <v>0</v>
      </c>
      <c r="H101" s="162">
        <f>Detailed_Analysis!H101</f>
        <v>0</v>
      </c>
    </row>
    <row r="102" spans="1:8" ht="15" customHeight="1" x14ac:dyDescent="0.3">
      <c r="A102" s="25" t="str">
        <f>Detailed_Analysis!A102</f>
        <v>Telecom Room:</v>
      </c>
      <c r="B102" s="26" t="b">
        <v>1</v>
      </c>
      <c r="C102" s="170">
        <f>Detailed_Analysis!C102</f>
        <v>1</v>
      </c>
      <c r="D102" s="519" t="str">
        <f>Detailed_Analysis!D102</f>
        <v xml:space="preserve"> (one/10,000 nsf of avg floor area)(110 nsf/each)(# floors)</v>
      </c>
      <c r="E102" s="519"/>
      <c r="F102" s="519"/>
      <c r="G102" s="162">
        <f>IF(Detailed_Analysis!C102&gt;0,Detailed_Analysis!G102,0)</f>
        <v>0</v>
      </c>
      <c r="H102" s="162">
        <f>Detailed_Analysis!H102</f>
        <v>0</v>
      </c>
    </row>
    <row r="103" spans="1:8" ht="15" customHeight="1" x14ac:dyDescent="0.3">
      <c r="A103" s="25" t="str">
        <f>Detailed_Analysis!A103</f>
        <v>Vestibule:</v>
      </c>
      <c r="B103" s="26" t="b">
        <v>1</v>
      </c>
      <c r="C103" s="170">
        <f>Detailed_Analysis!C103</f>
        <v>1</v>
      </c>
      <c r="D103" s="519" t="str">
        <f>Detailed_Analysis!D103</f>
        <v xml:space="preserve"> (one/10,000 nsf of ground floor area)(60 nsf/each)</v>
      </c>
      <c r="E103" s="519"/>
      <c r="F103" s="519"/>
      <c r="G103" s="162">
        <f>IF(Detailed_Analysis!C103&gt;0,Detailed_Analysis!G103,0)</f>
        <v>0</v>
      </c>
      <c r="H103" s="162">
        <f>Detailed_Analysis!H103</f>
        <v>0</v>
      </c>
    </row>
    <row r="104" spans="1:8" ht="15" customHeight="1" x14ac:dyDescent="0.3">
      <c r="A104" s="285" t="s">
        <v>74</v>
      </c>
      <c r="B104" s="26" t="b">
        <v>0</v>
      </c>
      <c r="C104" s="170">
        <f>Detailed_Analysis!C104</f>
        <v>0</v>
      </c>
      <c r="D104" s="536" t="s">
        <v>75</v>
      </c>
      <c r="E104" s="537"/>
      <c r="F104" s="537"/>
      <c r="G104" s="221">
        <v>0</v>
      </c>
      <c r="H104" s="162">
        <f>Detailed_Analysis!H104</f>
        <v>0</v>
      </c>
    </row>
    <row r="105" spans="1:8" ht="15" customHeight="1" x14ac:dyDescent="0.3">
      <c r="A105" s="285" t="s">
        <v>76</v>
      </c>
      <c r="B105" s="26" t="b">
        <v>0</v>
      </c>
      <c r="C105" s="170">
        <f>Detailed_Analysis!C105</f>
        <v>0</v>
      </c>
      <c r="D105" s="536" t="s">
        <v>75</v>
      </c>
      <c r="E105" s="537"/>
      <c r="F105" s="537"/>
      <c r="G105" s="221">
        <v>0</v>
      </c>
      <c r="H105" s="162">
        <f>Detailed_Analysis!H105</f>
        <v>0</v>
      </c>
    </row>
    <row r="106" spans="1:8" ht="5.0999999999999996" customHeight="1" x14ac:dyDescent="0.3">
      <c r="A106" s="27"/>
      <c r="B106" s="27"/>
      <c r="C106" s="27"/>
      <c r="D106" s="27"/>
      <c r="E106" s="27"/>
      <c r="F106" s="27"/>
      <c r="G106" s="27"/>
      <c r="H106" s="289"/>
    </row>
    <row r="107" spans="1:8" ht="15" customHeight="1" x14ac:dyDescent="0.3">
      <c r="A107" s="50" t="str">
        <f>Detailed_Analysis!A107</f>
        <v>Adjust Building Width:</v>
      </c>
      <c r="B107" s="26" t="b">
        <v>1</v>
      </c>
      <c r="C107" s="219">
        <f>Detailed_Analysis!C107</f>
        <v>0</v>
      </c>
      <c r="D107" s="220">
        <v>50</v>
      </c>
      <c r="E107" s="538" t="str">
        <f>Detailed_Analysis!E107</f>
        <v xml:space="preserve"> (bldg width) (bldg length)</v>
      </c>
      <c r="F107" s="539"/>
      <c r="G107" s="288">
        <f>Detailed_Analysis!G107</f>
        <v>0</v>
      </c>
      <c r="H107" s="290"/>
    </row>
    <row r="108" spans="1:8" ht="5.0999999999999996" customHeight="1" x14ac:dyDescent="0.3">
      <c r="A108" s="27"/>
      <c r="B108" s="27"/>
      <c r="C108" s="27"/>
      <c r="D108" s="27"/>
      <c r="E108" s="27"/>
      <c r="F108" s="27"/>
      <c r="G108" s="27"/>
      <c r="H108" s="291"/>
    </row>
    <row r="109" spans="1:8" ht="15" customHeight="1" x14ac:dyDescent="0.3">
      <c r="A109" s="25" t="str">
        <f>Detailed_Analysis!A109</f>
        <v>Exterior Wall Area:</v>
      </c>
      <c r="B109" s="26" t="b">
        <v>1</v>
      </c>
      <c r="C109" s="170">
        <f>Detailed_Analysis!C109</f>
        <v>1</v>
      </c>
      <c r="D109" s="519" t="str">
        <f>Detailed_Analysis!D109</f>
        <v xml:space="preserve"> (avg floor area perimeter) (wall thickness) (# floors)</v>
      </c>
      <c r="E109" s="519"/>
      <c r="F109" s="519"/>
      <c r="G109" s="162">
        <f>IF(Detailed_Analysis!C109&gt;0,Detailed_Analysis!G109,0)</f>
        <v>0</v>
      </c>
      <c r="H109" s="162">
        <f>Detailed_Analysis!H109</f>
        <v>0</v>
      </c>
    </row>
    <row r="110" spans="1:8" ht="5.0999999999999996" customHeight="1" x14ac:dyDescent="0.3">
      <c r="A110" s="27"/>
      <c r="B110" s="27"/>
      <c r="C110" s="27"/>
      <c r="D110" s="65"/>
      <c r="E110" s="65"/>
      <c r="F110" s="65"/>
      <c r="G110" s="27"/>
      <c r="H110" s="27"/>
    </row>
    <row r="111" spans="1:8" ht="15" customHeight="1" x14ac:dyDescent="0.3">
      <c r="A111" s="50"/>
      <c r="B111" s="48"/>
      <c r="C111" s="27"/>
      <c r="D111" s="544" t="str">
        <f>Detailed_Analysis!D111</f>
        <v/>
      </c>
      <c r="E111" s="544"/>
      <c r="F111" s="544"/>
      <c r="G111" s="25" t="str">
        <f>Detailed_Analysis!G111</f>
        <v>NTG Area:</v>
      </c>
      <c r="H111" s="162">
        <f>Detailed_Analysis!H111</f>
        <v>0</v>
      </c>
    </row>
    <row r="112" spans="1:8" ht="15" customHeight="1" x14ac:dyDescent="0.3">
      <c r="A112" s="306" t="str">
        <f>Detailed_Analysis!A112</f>
        <v>Apply NTG Override:</v>
      </c>
      <c r="B112" s="26" t="b">
        <v>0</v>
      </c>
      <c r="C112" s="310">
        <v>1.5</v>
      </c>
      <c r="D112" s="542" t="s">
        <v>75</v>
      </c>
      <c r="E112" s="543"/>
      <c r="F112" s="543"/>
      <c r="G112" s="25" t="str">
        <f>Detailed_Analysis!G112</f>
        <v>NTG Factor:</v>
      </c>
      <c r="H112" s="223">
        <f>Detailed_Analysis!H112</f>
        <v>0</v>
      </c>
    </row>
    <row r="113" spans="1:8" ht="15" customHeight="1" x14ac:dyDescent="0.3">
      <c r="A113" s="66"/>
      <c r="B113" s="27"/>
      <c r="C113" s="27"/>
      <c r="D113" s="527" t="str">
        <f>Detailed_Analysis!D113</f>
        <v>Gross Building Area:</v>
      </c>
      <c r="E113" s="527"/>
      <c r="F113" s="527"/>
      <c r="G113" s="540"/>
      <c r="H113" s="191">
        <f>Detailed_Analysis!H113</f>
        <v>0</v>
      </c>
    </row>
    <row r="114" spans="1:8" s="315" customFormat="1" ht="5.0999999999999996" customHeight="1" x14ac:dyDescent="0.3"/>
    <row r="115" spans="1:8" ht="15" customHeight="1" x14ac:dyDescent="0.3">
      <c r="A115" s="312" t="str">
        <f>Detailed_Analysis!A115</f>
        <v>Admin GSF/PN:</v>
      </c>
      <c r="B115" s="313"/>
      <c r="C115" s="333">
        <f>Detailed_Analysis!C115</f>
        <v>0</v>
      </c>
      <c r="D115" s="519" t="str">
        <f>Detailed_Analysis!D115</f>
        <v>(Net Admin+Net Basic)(NTG Factor)/Space Loading</v>
      </c>
      <c r="E115" s="519"/>
      <c r="F115" s="519"/>
      <c r="G115" s="161">
        <f>Detailed_Analysis!G115</f>
        <v>0</v>
      </c>
      <c r="H115" s="155">
        <f>Detailed_Analysis!H115</f>
        <v>0</v>
      </c>
    </row>
    <row r="116" spans="1:8" ht="15" customHeight="1" x14ac:dyDescent="0.3">
      <c r="A116" s="317" t="str">
        <f>Detailed_Analysis!A116</f>
        <v>Total GSF/PN:</v>
      </c>
      <c r="B116" s="313"/>
      <c r="C116" s="333">
        <f>Detailed_Analysis!C116</f>
        <v>0</v>
      </c>
      <c r="D116" s="519" t="str">
        <f>Detailed_Analysis!D116</f>
        <v>(Net Bldg Area)(NTG Factor)/Space Loading</v>
      </c>
      <c r="E116" s="519"/>
      <c r="F116" s="519"/>
      <c r="G116" s="161">
        <f>Detailed_Analysis!G116</f>
        <v>0</v>
      </c>
      <c r="H116" s="155">
        <f>Detailed_Analysis!H116</f>
        <v>0</v>
      </c>
    </row>
    <row r="117" spans="1:8" ht="15" customHeight="1" x14ac:dyDescent="0.3">
      <c r="D117" s="385"/>
    </row>
    <row r="118" spans="1:8" ht="15" customHeight="1" x14ac:dyDescent="0.3">
      <c r="D118" s="403"/>
    </row>
    <row r="119" spans="1:8" ht="15" customHeight="1" x14ac:dyDescent="0.3">
      <c r="D119" s="22"/>
      <c r="G119" s="20" t="str">
        <f>HYPERLINK("#Justification","Back")</f>
        <v>Back</v>
      </c>
      <c r="H119" s="20" t="str">
        <f>HYPERLINK("#Summary","Next")</f>
        <v>Next</v>
      </c>
    </row>
  </sheetData>
  <sheetProtection algorithmName="SHA-512" hashValue="tPy+7P9BrezNyiPz9gSAuNVWB/6r96b95L58zlQIBT8pCsg7uc4X9G/g9aeWjZlTLsSu9bs7jnLXz2nQT1vKGQ==" saltValue="679TOnscLElbPA0dKHT1Kg==" spinCount="100000" sheet="1" objects="1" scenarios="1"/>
  <mergeCells count="27">
    <mergeCell ref="D112:F112"/>
    <mergeCell ref="D101:F101"/>
    <mergeCell ref="D102:F102"/>
    <mergeCell ref="D111:F111"/>
    <mergeCell ref="E107:F107"/>
    <mergeCell ref="C5:F5"/>
    <mergeCell ref="C6:F6"/>
    <mergeCell ref="D94:F94"/>
    <mergeCell ref="D95:F95"/>
    <mergeCell ref="D109:F109"/>
    <mergeCell ref="D90:F90"/>
    <mergeCell ref="D116:F116"/>
    <mergeCell ref="C1:F1"/>
    <mergeCell ref="D103:F103"/>
    <mergeCell ref="D104:F104"/>
    <mergeCell ref="D105:F105"/>
    <mergeCell ref="D96:F96"/>
    <mergeCell ref="D97:F97"/>
    <mergeCell ref="D98:F98"/>
    <mergeCell ref="D99:F99"/>
    <mergeCell ref="D100:F100"/>
    <mergeCell ref="C2:F2"/>
    <mergeCell ref="E92:F92"/>
    <mergeCell ref="D115:F115"/>
    <mergeCell ref="D113:G113"/>
    <mergeCell ref="C3:F3"/>
    <mergeCell ref="C4:F4"/>
  </mergeCells>
  <conditionalFormatting sqref="C94">
    <cfRule type="expression" dxfId="12" priority="1">
      <formula>$B$112="TRUE"</formula>
    </cfRule>
  </conditionalFormatting>
  <dataValidations count="2">
    <dataValidation type="list" allowBlank="1" showInputMessage="1" showErrorMessage="1" sqref="D107">
      <formula1>"10,20,30,40,50,60,80,100,150,200"</formula1>
    </dataValidation>
    <dataValidation type="list" allowBlank="1" showInputMessage="1" showErrorMessage="1" sqref="D92">
      <formula1>"1,2,3,4,5"</formula1>
    </dataValidation>
  </dataValidations>
  <pageMargins left="0.25" right="0.25" top="0.75" bottom="0.75" header="0.3" footer="0.3"/>
  <pageSetup scale="66" fitToHeight="0" orientation="portrait" r:id="rId1"/>
  <headerFooter>
    <oddHeader>&amp;C&amp;"Calibri,Bold"&amp;16Basic Facilities Requirement</oddHeader>
  </headerFooter>
  <customProperties>
    <customPr name="SSC_SHEET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8212" r:id="rId5" name="Check Box 20">
              <controlPr defaultSize="0" autoFill="0" autoLine="0" autoPict="0">
                <anchor moveWithCells="1">
                  <from>
                    <xdr:col>1</xdr:col>
                    <xdr:colOff>99060</xdr:colOff>
                    <xdr:row>111</xdr:row>
                    <xdr:rowOff>7620</xdr:rowOff>
                  </from>
                  <to>
                    <xdr:col>1</xdr:col>
                    <xdr:colOff>274320</xdr:colOff>
                    <xdr:row>112</xdr:row>
                    <xdr:rowOff>0</xdr:rowOff>
                  </to>
                </anchor>
              </controlPr>
            </control>
          </mc:Choice>
        </mc:AlternateContent>
        <mc:AlternateContent xmlns:mc="http://schemas.openxmlformats.org/markup-compatibility/2006">
          <mc:Choice Requires="x14">
            <control shapeId="8213" r:id="rId6" name="Check Box 21">
              <controlPr defaultSize="0" autoFill="0" autoLine="0" autoPict="0">
                <anchor moveWithCells="1">
                  <from>
                    <xdr:col>1</xdr:col>
                    <xdr:colOff>99060</xdr:colOff>
                    <xdr:row>91</xdr:row>
                    <xdr:rowOff>0</xdr:rowOff>
                  </from>
                  <to>
                    <xdr:col>1</xdr:col>
                    <xdr:colOff>274320</xdr:colOff>
                    <xdr:row>91</xdr:row>
                    <xdr:rowOff>182880</xdr:rowOff>
                  </to>
                </anchor>
              </controlPr>
            </control>
          </mc:Choice>
        </mc:AlternateContent>
        <mc:AlternateContent xmlns:mc="http://schemas.openxmlformats.org/markup-compatibility/2006">
          <mc:Choice Requires="x14">
            <control shapeId="8214" r:id="rId7" name="Check Box 22">
              <controlPr defaultSize="0" autoFill="0" autoLine="0" autoPict="0" altText="Checkbox_Adjust_Bldg_Width">
                <anchor moveWithCells="1">
                  <from>
                    <xdr:col>1</xdr:col>
                    <xdr:colOff>99060</xdr:colOff>
                    <xdr:row>105</xdr:row>
                    <xdr:rowOff>45720</xdr:rowOff>
                  </from>
                  <to>
                    <xdr:col>1</xdr:col>
                    <xdr:colOff>274320</xdr:colOff>
                    <xdr:row>106</xdr:row>
                    <xdr:rowOff>175260</xdr:rowOff>
                  </to>
                </anchor>
              </controlPr>
            </control>
          </mc:Choice>
        </mc:AlternateContent>
        <mc:AlternateContent xmlns:mc="http://schemas.openxmlformats.org/markup-compatibility/2006">
          <mc:Choice Requires="x14">
            <control shapeId="8215" r:id="rId8" name="Check Box 23">
              <controlPr defaultSize="0" autoFill="0" autoLine="0" autoPict="0">
                <anchor moveWithCells="1">
                  <from>
                    <xdr:col>1</xdr:col>
                    <xdr:colOff>99060</xdr:colOff>
                    <xdr:row>103</xdr:row>
                    <xdr:rowOff>0</xdr:rowOff>
                  </from>
                  <to>
                    <xdr:col>1</xdr:col>
                    <xdr:colOff>274320</xdr:colOff>
                    <xdr:row>103</xdr:row>
                    <xdr:rowOff>182880</xdr:rowOff>
                  </to>
                </anchor>
              </controlPr>
            </control>
          </mc:Choice>
        </mc:AlternateContent>
        <mc:AlternateContent xmlns:mc="http://schemas.openxmlformats.org/markup-compatibility/2006">
          <mc:Choice Requires="x14">
            <control shapeId="8216" r:id="rId9" name="Check Box 24">
              <controlPr defaultSize="0" autoFill="0" autoLine="0" autoPict="0">
                <anchor moveWithCells="1">
                  <from>
                    <xdr:col>1</xdr:col>
                    <xdr:colOff>99060</xdr:colOff>
                    <xdr:row>104</xdr:row>
                    <xdr:rowOff>0</xdr:rowOff>
                  </from>
                  <to>
                    <xdr:col>1</xdr:col>
                    <xdr:colOff>274320</xdr:colOff>
                    <xdr:row>104</xdr:row>
                    <xdr:rowOff>182880</xdr:rowOff>
                  </to>
                </anchor>
              </controlPr>
            </control>
          </mc:Choice>
        </mc:AlternateContent>
        <mc:AlternateContent xmlns:mc="http://schemas.openxmlformats.org/markup-compatibility/2006">
          <mc:Choice Requires="x14">
            <control shapeId="8217" r:id="rId10" name="Check Box 25">
              <controlPr defaultSize="0" autoFill="0" autoLine="0" autoPict="0">
                <anchor moveWithCells="1">
                  <from>
                    <xdr:col>1</xdr:col>
                    <xdr:colOff>99060</xdr:colOff>
                    <xdr:row>92</xdr:row>
                    <xdr:rowOff>45720</xdr:rowOff>
                  </from>
                  <to>
                    <xdr:col>1</xdr:col>
                    <xdr:colOff>274320</xdr:colOff>
                    <xdr:row>93</xdr:row>
                    <xdr:rowOff>175260</xdr:rowOff>
                  </to>
                </anchor>
              </controlPr>
            </control>
          </mc:Choice>
        </mc:AlternateContent>
        <mc:AlternateContent xmlns:mc="http://schemas.openxmlformats.org/markup-compatibility/2006">
          <mc:Choice Requires="x14">
            <control shapeId="8218" r:id="rId11" name="Check Box 26">
              <controlPr defaultSize="0" autoFill="0" autoLine="0" autoPict="0">
                <anchor moveWithCells="1">
                  <from>
                    <xdr:col>1</xdr:col>
                    <xdr:colOff>99060</xdr:colOff>
                    <xdr:row>94</xdr:row>
                    <xdr:rowOff>0</xdr:rowOff>
                  </from>
                  <to>
                    <xdr:col>1</xdr:col>
                    <xdr:colOff>274320</xdr:colOff>
                    <xdr:row>94</xdr:row>
                    <xdr:rowOff>182880</xdr:rowOff>
                  </to>
                </anchor>
              </controlPr>
            </control>
          </mc:Choice>
        </mc:AlternateContent>
        <mc:AlternateContent xmlns:mc="http://schemas.openxmlformats.org/markup-compatibility/2006">
          <mc:Choice Requires="x14">
            <control shapeId="8219" r:id="rId12" name="Check Box 27">
              <controlPr defaultSize="0" autoFill="0" autoLine="0" autoPict="0">
                <anchor moveWithCells="1">
                  <from>
                    <xdr:col>1</xdr:col>
                    <xdr:colOff>99060</xdr:colOff>
                    <xdr:row>95</xdr:row>
                    <xdr:rowOff>0</xdr:rowOff>
                  </from>
                  <to>
                    <xdr:col>1</xdr:col>
                    <xdr:colOff>274320</xdr:colOff>
                    <xdr:row>95</xdr:row>
                    <xdr:rowOff>182880</xdr:rowOff>
                  </to>
                </anchor>
              </controlPr>
            </control>
          </mc:Choice>
        </mc:AlternateContent>
        <mc:AlternateContent xmlns:mc="http://schemas.openxmlformats.org/markup-compatibility/2006">
          <mc:Choice Requires="x14">
            <control shapeId="8220" r:id="rId13" name="Check Box 28">
              <controlPr defaultSize="0" autoFill="0" autoLine="0" autoPict="0">
                <anchor moveWithCells="1">
                  <from>
                    <xdr:col>1</xdr:col>
                    <xdr:colOff>99060</xdr:colOff>
                    <xdr:row>96</xdr:row>
                    <xdr:rowOff>0</xdr:rowOff>
                  </from>
                  <to>
                    <xdr:col>1</xdr:col>
                    <xdr:colOff>274320</xdr:colOff>
                    <xdr:row>96</xdr:row>
                    <xdr:rowOff>182880</xdr:rowOff>
                  </to>
                </anchor>
              </controlPr>
            </control>
          </mc:Choice>
        </mc:AlternateContent>
        <mc:AlternateContent xmlns:mc="http://schemas.openxmlformats.org/markup-compatibility/2006">
          <mc:Choice Requires="x14">
            <control shapeId="8221" r:id="rId14" name="Check Box 29">
              <controlPr defaultSize="0" autoFill="0" autoLine="0" autoPict="0">
                <anchor moveWithCells="1">
                  <from>
                    <xdr:col>1</xdr:col>
                    <xdr:colOff>99060</xdr:colOff>
                    <xdr:row>97</xdr:row>
                    <xdr:rowOff>0</xdr:rowOff>
                  </from>
                  <to>
                    <xdr:col>1</xdr:col>
                    <xdr:colOff>274320</xdr:colOff>
                    <xdr:row>97</xdr:row>
                    <xdr:rowOff>182880</xdr:rowOff>
                  </to>
                </anchor>
              </controlPr>
            </control>
          </mc:Choice>
        </mc:AlternateContent>
        <mc:AlternateContent xmlns:mc="http://schemas.openxmlformats.org/markup-compatibility/2006">
          <mc:Choice Requires="x14">
            <control shapeId="8222" r:id="rId15" name="Check Box 30">
              <controlPr defaultSize="0" autoFill="0" autoLine="0" autoPict="0">
                <anchor moveWithCells="1">
                  <from>
                    <xdr:col>1</xdr:col>
                    <xdr:colOff>99060</xdr:colOff>
                    <xdr:row>98</xdr:row>
                    <xdr:rowOff>0</xdr:rowOff>
                  </from>
                  <to>
                    <xdr:col>1</xdr:col>
                    <xdr:colOff>274320</xdr:colOff>
                    <xdr:row>98</xdr:row>
                    <xdr:rowOff>182880</xdr:rowOff>
                  </to>
                </anchor>
              </controlPr>
            </control>
          </mc:Choice>
        </mc:AlternateContent>
        <mc:AlternateContent xmlns:mc="http://schemas.openxmlformats.org/markup-compatibility/2006">
          <mc:Choice Requires="x14">
            <control shapeId="8223" r:id="rId16" name="Check Box 31">
              <controlPr defaultSize="0" autoFill="0" autoLine="0" autoPict="0">
                <anchor moveWithCells="1">
                  <from>
                    <xdr:col>1</xdr:col>
                    <xdr:colOff>99060</xdr:colOff>
                    <xdr:row>99</xdr:row>
                    <xdr:rowOff>0</xdr:rowOff>
                  </from>
                  <to>
                    <xdr:col>1</xdr:col>
                    <xdr:colOff>274320</xdr:colOff>
                    <xdr:row>99</xdr:row>
                    <xdr:rowOff>182880</xdr:rowOff>
                  </to>
                </anchor>
              </controlPr>
            </control>
          </mc:Choice>
        </mc:AlternateContent>
        <mc:AlternateContent xmlns:mc="http://schemas.openxmlformats.org/markup-compatibility/2006">
          <mc:Choice Requires="x14">
            <control shapeId="8224" r:id="rId17" name="Check Box 32">
              <controlPr defaultSize="0" autoFill="0" autoLine="0" autoPict="0">
                <anchor moveWithCells="1">
                  <from>
                    <xdr:col>1</xdr:col>
                    <xdr:colOff>99060</xdr:colOff>
                    <xdr:row>100</xdr:row>
                    <xdr:rowOff>0</xdr:rowOff>
                  </from>
                  <to>
                    <xdr:col>1</xdr:col>
                    <xdr:colOff>274320</xdr:colOff>
                    <xdr:row>100</xdr:row>
                    <xdr:rowOff>182880</xdr:rowOff>
                  </to>
                </anchor>
              </controlPr>
            </control>
          </mc:Choice>
        </mc:AlternateContent>
        <mc:AlternateContent xmlns:mc="http://schemas.openxmlformats.org/markup-compatibility/2006">
          <mc:Choice Requires="x14">
            <control shapeId="8225" r:id="rId18" name="Check Box 33">
              <controlPr defaultSize="0" autoFill="0" autoLine="0" autoPict="0">
                <anchor moveWithCells="1">
                  <from>
                    <xdr:col>1</xdr:col>
                    <xdr:colOff>99060</xdr:colOff>
                    <xdr:row>101</xdr:row>
                    <xdr:rowOff>0</xdr:rowOff>
                  </from>
                  <to>
                    <xdr:col>1</xdr:col>
                    <xdr:colOff>274320</xdr:colOff>
                    <xdr:row>101</xdr:row>
                    <xdr:rowOff>182880</xdr:rowOff>
                  </to>
                </anchor>
              </controlPr>
            </control>
          </mc:Choice>
        </mc:AlternateContent>
        <mc:AlternateContent xmlns:mc="http://schemas.openxmlformats.org/markup-compatibility/2006">
          <mc:Choice Requires="x14">
            <control shapeId="8226" r:id="rId19" name="Check Box 34">
              <controlPr defaultSize="0" autoFill="0" autoLine="0" autoPict="0">
                <anchor moveWithCells="1">
                  <from>
                    <xdr:col>1</xdr:col>
                    <xdr:colOff>99060</xdr:colOff>
                    <xdr:row>102</xdr:row>
                    <xdr:rowOff>0</xdr:rowOff>
                  </from>
                  <to>
                    <xdr:col>1</xdr:col>
                    <xdr:colOff>274320</xdr:colOff>
                    <xdr:row>102</xdr:row>
                    <xdr:rowOff>182880</xdr:rowOff>
                  </to>
                </anchor>
              </controlPr>
            </control>
          </mc:Choice>
        </mc:AlternateContent>
        <mc:AlternateContent xmlns:mc="http://schemas.openxmlformats.org/markup-compatibility/2006">
          <mc:Choice Requires="x14">
            <control shapeId="8227" r:id="rId20" name="Check Box 35">
              <controlPr defaultSize="0" autoFill="0" autoLine="0" autoPict="0">
                <anchor moveWithCells="1">
                  <from>
                    <xdr:col>1</xdr:col>
                    <xdr:colOff>99060</xdr:colOff>
                    <xdr:row>107</xdr:row>
                    <xdr:rowOff>152400</xdr:rowOff>
                  </from>
                  <to>
                    <xdr:col>1</xdr:col>
                    <xdr:colOff>274320</xdr:colOff>
                    <xdr:row>108</xdr:row>
                    <xdr:rowOff>182880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3F9A6C43-591C-4DBC-AB67-21453FD66C9F}">
            <xm:f>Detailed_Analysis!H115&lt;162.5</xm:f>
            <x14:dxf>
              <font>
                <strike val="0"/>
                <color rgb="FFFA7D00"/>
              </font>
              <fill>
                <patternFill>
                  <bgColor rgb="FFF2F2F2"/>
                </patternFill>
              </fill>
            </x14:dxf>
          </x14:cfRule>
          <x14:cfRule type="expression" priority="3" id="{1D51B180-16DF-4BB8-83A1-2DC64225BE3A}">
            <xm:f>Detailed_Analysis!H115&gt;162.5</xm:f>
            <x14:dxf>
              <font>
                <strike val="0"/>
                <color rgb="FFC00000"/>
              </font>
              <fill>
                <patternFill>
                  <bgColor rgb="FFFFC7CE"/>
                </patternFill>
              </fill>
              <border>
                <left style="thin">
                  <color theme="0" tint="-0.499984740745262"/>
                </left>
                <right style="thin">
                  <color theme="0" tint="-0.499984740745262"/>
                </right>
                <top style="thin">
                  <color theme="0" tint="-0.499984740745262"/>
                </top>
                <bottom style="thin">
                  <color theme="0" tint="-0.499984740745262"/>
                </bottom>
                <vertical/>
                <horizontal/>
              </border>
            </x14:dxf>
          </x14:cfRule>
          <xm:sqref>H6</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H39"/>
  <sheetViews>
    <sheetView showGridLines="0" zoomScaleNormal="100" zoomScaleSheetLayoutView="100" workbookViewId="0"/>
  </sheetViews>
  <sheetFormatPr defaultColWidth="8" defaultRowHeight="14.4" x14ac:dyDescent="0.3"/>
  <cols>
    <col min="1" max="1" width="25.6640625" style="19" customWidth="1"/>
    <col min="2" max="2" width="7.6640625" style="19" customWidth="1"/>
    <col min="3" max="5" width="15.6640625" style="19" customWidth="1"/>
    <col min="6" max="6" width="30.6640625" style="19" customWidth="1"/>
    <col min="7" max="7" width="22.6640625" style="19" customWidth="1"/>
    <col min="8" max="8" width="18.6640625" style="19" customWidth="1"/>
    <col min="9" max="16384" width="8" style="19"/>
  </cols>
  <sheetData>
    <row r="1" spans="1:8" s="84" customFormat="1" ht="39.9" customHeight="1" x14ac:dyDescent="0.3">
      <c r="A1" s="347" t="s">
        <v>77</v>
      </c>
      <c r="B1" s="356"/>
      <c r="C1" s="522" t="str">
        <f>Detailed_Analysis!C1</f>
        <v>Baseline BFR Scenario is Active</v>
      </c>
      <c r="D1" s="522"/>
      <c r="E1" s="522"/>
      <c r="F1" s="522"/>
      <c r="G1" s="357"/>
      <c r="H1" s="348" t="s">
        <v>425</v>
      </c>
    </row>
    <row r="2" spans="1:8" s="27" customFormat="1" ht="15" customHeight="1" x14ac:dyDescent="0.3">
      <c r="A2" s="145" t="str">
        <f>Detailed_Analysis!A2</f>
        <v>Activity Data:</v>
      </c>
      <c r="B2" s="146"/>
      <c r="C2" s="545"/>
      <c r="D2" s="525"/>
      <c r="E2" s="525"/>
      <c r="F2" s="526"/>
      <c r="G2" s="342" t="str">
        <f>Detailed_Analysis!G2</f>
        <v>BFR Type:</v>
      </c>
      <c r="H2" s="362" t="str">
        <f>Detailed_Analysis!H2</f>
        <v>Baseline</v>
      </c>
    </row>
    <row r="3" spans="1:8" ht="15" customHeight="1" x14ac:dyDescent="0.3">
      <c r="A3" s="25" t="str">
        <f>Detailed_Analysis!A3</f>
        <v>Installation:</v>
      </c>
      <c r="B3" s="41"/>
      <c r="C3" s="519" t="str">
        <f>Detailed_Analysis!C3</f>
        <v xml:space="preserve">  - </v>
      </c>
      <c r="D3" s="519"/>
      <c r="E3" s="519"/>
      <c r="F3" s="519"/>
      <c r="G3" s="25" t="str">
        <f>Detailed_Analysis!G3</f>
        <v>Private:</v>
      </c>
      <c r="H3" s="161">
        <f>Detailed_Analysis!C28</f>
        <v>0</v>
      </c>
    </row>
    <row r="4" spans="1:8" ht="15" customHeight="1" x14ac:dyDescent="0.3">
      <c r="A4" s="25" t="str">
        <f>Detailed_Analysis!A4</f>
        <v>Planning Area:</v>
      </c>
      <c r="B4" s="41"/>
      <c r="C4" s="519" t="str">
        <f>Detailed_Analysis!C4</f>
        <v xml:space="preserve">  - </v>
      </c>
      <c r="D4" s="519"/>
      <c r="E4" s="519"/>
      <c r="F4" s="519"/>
      <c r="G4" s="25" t="str">
        <f>Detailed_Analysis!G4</f>
        <v>WST1:</v>
      </c>
      <c r="H4" s="161">
        <f>Detailed_Analysis!C29</f>
        <v>0</v>
      </c>
    </row>
    <row r="5" spans="1:8" ht="15" customHeight="1" x14ac:dyDescent="0.3">
      <c r="A5" s="25" t="str">
        <f>Detailed_Analysis!A5</f>
        <v>Activity:</v>
      </c>
      <c r="B5" s="41"/>
      <c r="C5" s="519" t="str">
        <f>Detailed_Analysis!C5</f>
        <v xml:space="preserve">  - </v>
      </c>
      <c r="D5" s="519"/>
      <c r="E5" s="519"/>
      <c r="F5" s="519"/>
      <c r="G5" s="25" t="str">
        <f>Detailed_Analysis!G5</f>
        <v>WST2:</v>
      </c>
      <c r="H5" s="161">
        <f>Detailed_Analysis!C30</f>
        <v>0</v>
      </c>
    </row>
    <row r="6" spans="1:8" ht="15" customHeight="1" x14ac:dyDescent="0.3">
      <c r="A6" s="25" t="str">
        <f>Detailed_Analysis!A6</f>
        <v>Category Code:</v>
      </c>
      <c r="B6" s="52"/>
      <c r="C6" s="519" t="str">
        <f>Detailed_Analysis!C6</f>
        <v xml:space="preserve"> CCN 61010 - Administrative Office Building</v>
      </c>
      <c r="D6" s="519"/>
      <c r="E6" s="519"/>
      <c r="F6" s="519"/>
      <c r="G6" s="25" t="str">
        <f>Detailed_Analysis!G6</f>
        <v>Space Loading:</v>
      </c>
      <c r="H6" s="161">
        <f>SUM(Detailed_Analysis!C28:C30)</f>
        <v>0</v>
      </c>
    </row>
    <row r="7" spans="1:8" ht="15" customHeight="1" x14ac:dyDescent="0.3">
      <c r="A7" s="25" t="str">
        <f>Detailed_Analysis!A7</f>
        <v>Mission Description:</v>
      </c>
      <c r="B7" s="52"/>
      <c r="C7" s="546">
        <f>Detailed_Analysis!C7</f>
        <v>0</v>
      </c>
      <c r="D7" s="546"/>
      <c r="E7" s="546"/>
      <c r="F7" s="546"/>
      <c r="G7" s="75" t="str">
        <f>Detailed_Analysis!G7</f>
        <v>Net Admin:</v>
      </c>
      <c r="H7" s="162">
        <f>Detailed_Analysis!H7</f>
        <v>0</v>
      </c>
    </row>
    <row r="8" spans="1:8" ht="15" customHeight="1" x14ac:dyDescent="0.3">
      <c r="A8" s="25"/>
      <c r="B8" s="52"/>
      <c r="C8" s="546"/>
      <c r="D8" s="546"/>
      <c r="E8" s="546"/>
      <c r="F8" s="546"/>
      <c r="G8" s="25" t="str">
        <f>Detailed_Analysis!G8</f>
        <v>Net Special:</v>
      </c>
      <c r="H8" s="162">
        <f>Detailed_Analysis!H8</f>
        <v>0</v>
      </c>
    </row>
    <row r="9" spans="1:8" ht="15" customHeight="1" x14ac:dyDescent="0.3">
      <c r="A9" s="25"/>
      <c r="B9" s="52"/>
      <c r="C9" s="546"/>
      <c r="D9" s="546"/>
      <c r="E9" s="546"/>
      <c r="F9" s="546"/>
      <c r="G9" s="25" t="str">
        <f>Detailed_Analysis!G9</f>
        <v>Net Bldg Area:</v>
      </c>
      <c r="H9" s="162">
        <f>Detailed_Analysis!H9</f>
        <v>0</v>
      </c>
    </row>
    <row r="10" spans="1:8" ht="15" customHeight="1" x14ac:dyDescent="0.3">
      <c r="A10" s="25"/>
      <c r="B10" s="41"/>
      <c r="C10" s="546"/>
      <c r="D10" s="546"/>
      <c r="E10" s="546"/>
      <c r="F10" s="546"/>
      <c r="G10" s="75" t="str">
        <f>Detailed_Analysis!G10</f>
        <v>Est. Floors:</v>
      </c>
      <c r="H10" s="188">
        <f>Detailed_Analysis!H10</f>
        <v>1</v>
      </c>
    </row>
    <row r="11" spans="1:8" ht="15" customHeight="1" x14ac:dyDescent="0.3">
      <c r="A11" s="25" t="str">
        <f>Detailed_Analysis!A11</f>
        <v>BFR Description:</v>
      </c>
      <c r="B11" s="52"/>
      <c r="C11" s="547">
        <f>Detailed_Analysis!C11</f>
        <v>0</v>
      </c>
      <c r="D11" s="547"/>
      <c r="E11" s="547"/>
      <c r="F11" s="547"/>
      <c r="G11" s="25" t="str">
        <f>Detailed_Analysis!G11</f>
        <v>Est. Width:</v>
      </c>
      <c r="H11" s="222">
        <f>Detailed_Analysis!H11</f>
        <v>0</v>
      </c>
    </row>
    <row r="12" spans="1:8" ht="15" customHeight="1" x14ac:dyDescent="0.3">
      <c r="A12" s="25"/>
      <c r="B12" s="52"/>
      <c r="C12" s="547"/>
      <c r="D12" s="547"/>
      <c r="E12" s="547"/>
      <c r="F12" s="547"/>
      <c r="G12" s="25" t="str">
        <f>Detailed_Analysis!G12</f>
        <v>Est. Length:</v>
      </c>
      <c r="H12" s="222">
        <f>Detailed_Analysis!H12</f>
        <v>0</v>
      </c>
    </row>
    <row r="13" spans="1:8" ht="15" customHeight="1" x14ac:dyDescent="0.3">
      <c r="A13" s="25"/>
      <c r="B13" s="52"/>
      <c r="C13" s="547"/>
      <c r="D13" s="547"/>
      <c r="E13" s="547"/>
      <c r="F13" s="547"/>
      <c r="G13" s="25" t="str">
        <f>Detailed_Analysis!G13</f>
        <v>NTG Area:</v>
      </c>
      <c r="H13" s="162">
        <f>Detailed_Analysis!H13</f>
        <v>0</v>
      </c>
    </row>
    <row r="14" spans="1:8" ht="15" customHeight="1" x14ac:dyDescent="0.3">
      <c r="A14" s="25"/>
      <c r="B14" s="52"/>
      <c r="C14" s="547"/>
      <c r="D14" s="547"/>
      <c r="E14" s="547"/>
      <c r="F14" s="547"/>
      <c r="G14" s="25" t="str">
        <f>Detailed_Analysis!G14</f>
        <v>NTG Factor:</v>
      </c>
      <c r="H14" s="223">
        <f>Detailed_Analysis!H14</f>
        <v>0</v>
      </c>
    </row>
    <row r="15" spans="1:8" ht="15" customHeight="1" x14ac:dyDescent="0.3">
      <c r="A15" s="25"/>
      <c r="B15" s="52"/>
      <c r="C15" s="547"/>
      <c r="D15" s="547"/>
      <c r="E15" s="547"/>
      <c r="F15" s="547"/>
      <c r="G15" s="25" t="str">
        <f>Detailed_Analysis!G15</f>
        <v>Gross Bldg Area:</v>
      </c>
      <c r="H15" s="191">
        <f>Detailed_Analysis!H15</f>
        <v>0</v>
      </c>
    </row>
    <row r="16" spans="1:8" ht="15" customHeight="1" x14ac:dyDescent="0.3">
      <c r="A16" s="25"/>
      <c r="B16" s="52"/>
      <c r="C16" s="547"/>
      <c r="D16" s="547"/>
      <c r="E16" s="547"/>
      <c r="F16" s="547"/>
      <c r="G16" s="25" t="str">
        <f>Detailed_Analysis!G16</f>
        <v>Avg Floor Area:</v>
      </c>
      <c r="H16" s="191">
        <f>Detailed_Analysis!H16</f>
        <v>0</v>
      </c>
    </row>
    <row r="17" spans="1:8" ht="15" customHeight="1" x14ac:dyDescent="0.3">
      <c r="A17" s="25"/>
      <c r="B17" s="52"/>
      <c r="C17" s="547"/>
      <c r="D17" s="547"/>
      <c r="E17" s="547"/>
      <c r="F17" s="547"/>
      <c r="G17" s="325" t="str">
        <f>Detailed_Analysis!G17</f>
        <v>Admin GSF/PN:</v>
      </c>
      <c r="H17" s="155">
        <f>Detailed_Analysis!H17</f>
        <v>0</v>
      </c>
    </row>
    <row r="18" spans="1:8" ht="15" customHeight="1" x14ac:dyDescent="0.3">
      <c r="A18" s="25"/>
      <c r="B18" s="52"/>
      <c r="C18" s="547"/>
      <c r="D18" s="547"/>
      <c r="E18" s="547"/>
      <c r="F18" s="547"/>
      <c r="G18" s="25" t="str">
        <f>Detailed_Analysis!A116</f>
        <v>Total GSF/PN:</v>
      </c>
      <c r="H18" s="155">
        <f>Detailed_Analysis!H18</f>
        <v>0</v>
      </c>
    </row>
    <row r="19" spans="1:8" ht="15" customHeight="1" x14ac:dyDescent="0.3">
      <c r="A19" s="25"/>
      <c r="B19" s="52"/>
      <c r="C19" s="315"/>
    </row>
    <row r="20" spans="1:8" ht="15" customHeight="1" x14ac:dyDescent="0.3">
      <c r="A20" s="145" t="str">
        <f>Detailed_Analysis!A118</f>
        <v>BFR Summary:</v>
      </c>
      <c r="B20" s="175"/>
      <c r="C20" s="149"/>
      <c r="D20" s="548"/>
      <c r="E20" s="541"/>
      <c r="F20" s="541"/>
      <c r="G20" s="175"/>
      <c r="H20" s="176"/>
    </row>
    <row r="21" spans="1:8" ht="15" customHeight="1" x14ac:dyDescent="0.3">
      <c r="A21" s="25"/>
    </row>
    <row r="22" spans="1:8" ht="15" customHeight="1" x14ac:dyDescent="0.3">
      <c r="A22" s="25" t="str">
        <f>Detailed_Analysis!A119</f>
        <v>General Admin</v>
      </c>
      <c r="B22" s="74"/>
      <c r="C22" s="162">
        <f>Detailed_Analysis!H7</f>
        <v>0</v>
      </c>
      <c r="D22" s="323"/>
      <c r="E22" s="323"/>
      <c r="F22" s="323"/>
      <c r="G22" s="323"/>
      <c r="H22" s="49"/>
    </row>
    <row r="23" spans="1:8" ht="15" customHeight="1" x14ac:dyDescent="0.3">
      <c r="A23" s="25" t="str">
        <f>Detailed_Analysis!A120</f>
        <v>Special Purpose</v>
      </c>
      <c r="B23" s="74"/>
      <c r="C23" s="162">
        <f>Detailed_Analysis!H8</f>
        <v>0</v>
      </c>
      <c r="D23" s="323"/>
      <c r="E23" s="323"/>
      <c r="F23" s="323"/>
      <c r="G23" s="323"/>
    </row>
    <row r="24" spans="1:8" ht="15" customHeight="1" x14ac:dyDescent="0.3">
      <c r="A24" s="25" t="str">
        <f>Detailed_Analysis!A121</f>
        <v>Net-To-Gross Area</v>
      </c>
      <c r="B24" s="74"/>
      <c r="C24" s="162">
        <f>Detailed_Analysis!H13</f>
        <v>0</v>
      </c>
      <c r="D24" s="323"/>
      <c r="E24" s="323"/>
      <c r="F24" s="323"/>
      <c r="G24" s="323"/>
      <c r="H24" s="49"/>
    </row>
    <row r="25" spans="1:8" ht="15" customHeight="1" x14ac:dyDescent="0.3">
      <c r="B25" s="73"/>
      <c r="C25" s="72"/>
      <c r="D25" s="323"/>
      <c r="E25" s="323"/>
      <c r="F25" s="323"/>
      <c r="G25" s="323"/>
      <c r="H25" s="49"/>
    </row>
    <row r="26" spans="1:8" ht="15" customHeight="1" x14ac:dyDescent="0.3">
      <c r="A26" s="49"/>
      <c r="B26" s="41"/>
      <c r="C26" s="71"/>
      <c r="D26" s="323"/>
      <c r="E26" s="323"/>
      <c r="F26" s="323"/>
      <c r="G26" s="323"/>
      <c r="H26" s="49"/>
    </row>
    <row r="27" spans="1:8" ht="15" customHeight="1" x14ac:dyDescent="0.3">
      <c r="A27" s="49"/>
      <c r="B27" s="41"/>
      <c r="C27" s="71"/>
      <c r="D27" s="323"/>
      <c r="E27" s="323"/>
      <c r="F27" s="323"/>
      <c r="G27" s="323"/>
    </row>
    <row r="28" spans="1:8" ht="15" customHeight="1" x14ac:dyDescent="0.3">
      <c r="A28" s="40"/>
      <c r="B28" s="68"/>
      <c r="C28" s="71"/>
      <c r="D28" s="323"/>
      <c r="E28" s="323"/>
      <c r="F28" s="323"/>
      <c r="G28" s="323"/>
      <c r="H28" s="49"/>
    </row>
    <row r="29" spans="1:8" ht="15" customHeight="1" x14ac:dyDescent="0.3">
      <c r="A29" s="27"/>
      <c r="B29" s="68"/>
      <c r="C29" s="70"/>
      <c r="D29" s="323"/>
      <c r="E29" s="323"/>
      <c r="F29" s="323"/>
      <c r="G29" s="323"/>
      <c r="H29" s="49"/>
    </row>
    <row r="30" spans="1:8" ht="15" customHeight="1" x14ac:dyDescent="0.3">
      <c r="A30" s="25" t="str">
        <f>Detailed_Analysis!A122</f>
        <v>Total:</v>
      </c>
      <c r="B30" s="41"/>
      <c r="C30" s="191">
        <f>Detailed_Analysis!H15</f>
        <v>0</v>
      </c>
      <c r="D30" s="549" t="str">
        <f>Detailed_Analysis!D124</f>
        <v>Basic Facilities Requirement:</v>
      </c>
      <c r="E30" s="550"/>
      <c r="F30" s="550"/>
      <c r="G30" s="551"/>
      <c r="H30" s="340">
        <f>Detailed_Analysis!G124</f>
        <v>0</v>
      </c>
    </row>
    <row r="31" spans="1:8" ht="15" customHeight="1" x14ac:dyDescent="0.3"/>
    <row r="32" spans="1:8" ht="15" customHeight="1" x14ac:dyDescent="0.3">
      <c r="A32" s="145" t="str">
        <f>Detailed_Analysis!A126</f>
        <v>Certification:</v>
      </c>
      <c r="B32" s="175"/>
      <c r="C32" s="552"/>
      <c r="D32" s="553"/>
      <c r="E32" s="553"/>
      <c r="F32" s="553"/>
      <c r="G32" s="149"/>
      <c r="H32" s="150"/>
    </row>
    <row r="33" spans="1:8" ht="15" customHeight="1" x14ac:dyDescent="0.3">
      <c r="A33" s="25" t="str">
        <f>Detailed_Analysis!A127</f>
        <v>Prepared by:</v>
      </c>
      <c r="B33" s="68"/>
      <c r="C33" s="514"/>
      <c r="D33" s="514"/>
      <c r="E33" s="514"/>
      <c r="F33" s="514"/>
      <c r="G33" s="24" t="str">
        <f>Detailed_Analysis!G127</f>
        <v>Date:</v>
      </c>
      <c r="H33" s="237"/>
    </row>
    <row r="34" spans="1:8" ht="15" customHeight="1" x14ac:dyDescent="0.3">
      <c r="A34" s="25" t="str">
        <f>Detailed_Analysis!A128</f>
        <v>Certified by:</v>
      </c>
      <c r="B34" s="68"/>
      <c r="C34" s="514"/>
      <c r="D34" s="514"/>
      <c r="E34" s="514"/>
      <c r="F34" s="514"/>
      <c r="G34" s="24" t="str">
        <f>Detailed_Analysis!G128</f>
        <v>Date:</v>
      </c>
      <c r="H34" s="237"/>
    </row>
    <row r="35" spans="1:8" ht="15" customHeight="1" x14ac:dyDescent="0.3">
      <c r="A35" s="25"/>
      <c r="B35" s="48"/>
    </row>
    <row r="36" spans="1:8" ht="15" customHeight="1" x14ac:dyDescent="0.3">
      <c r="A36" s="306" t="str">
        <f>Detailed_Analysis!A130</f>
        <v>Email PDF Report to:</v>
      </c>
      <c r="B36" s="48"/>
      <c r="C36" s="514"/>
      <c r="D36" s="514"/>
      <c r="E36" s="514"/>
      <c r="F36" s="514"/>
    </row>
    <row r="37" spans="1:8" ht="15" customHeight="1" x14ac:dyDescent="0.3">
      <c r="A37" s="306"/>
      <c r="B37" s="48"/>
    </row>
    <row r="38" spans="1:8" ht="15" customHeight="1" x14ac:dyDescent="0.3">
      <c r="A38" s="405"/>
      <c r="B38" s="48"/>
    </row>
    <row r="39" spans="1:8" ht="15" customHeight="1" x14ac:dyDescent="0.3">
      <c r="G39" s="20" t="str">
        <f>HYPERLINK("#Net_To_Gross","Back")</f>
        <v>Back</v>
      </c>
      <c r="H39" s="20" t="str">
        <f>HYPERLINK("#Distributed","Next Optional")</f>
        <v>Next Optional</v>
      </c>
    </row>
  </sheetData>
  <sheetProtection algorithmName="SHA-512" hashValue="P3a31flqVrIxoDkc2UwUKlFg85/9x8ZS57Klzeh2U0Uj/L3QxNqY0YZreiD09rsBdZ1VSZqdSrrGyLddGZ0BxQ==" saltValue="y9vvIeoLc5BLG1o7XchAnw==" spinCount="100000" sheet="1" objects="1" scenarios="1"/>
  <mergeCells count="14">
    <mergeCell ref="C36:F36"/>
    <mergeCell ref="C2:F2"/>
    <mergeCell ref="C1:F1"/>
    <mergeCell ref="C33:F33"/>
    <mergeCell ref="C34:F34"/>
    <mergeCell ref="C3:F3"/>
    <mergeCell ref="C4:F4"/>
    <mergeCell ref="C5:F5"/>
    <mergeCell ref="C6:F6"/>
    <mergeCell ref="C7:F10"/>
    <mergeCell ref="C11:F18"/>
    <mergeCell ref="D20:F20"/>
    <mergeCell ref="D30:G30"/>
    <mergeCell ref="C32:F32"/>
  </mergeCells>
  <pageMargins left="0.25" right="0.25" top="0.75" bottom="0.75" header="0.3" footer="0.3"/>
  <pageSetup scale="66" fitToHeight="0" orientation="portrait" r:id="rId1"/>
  <headerFooter>
    <oddHeader>&amp;C&amp;"Calibri,Bold"&amp;16Basic Facilities Requirement</oddHeader>
  </headerFooter>
  <customProperties>
    <customPr name="SSC_SHEET_GUID" r:id="rId2"/>
  </customProperties>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H89"/>
  <sheetViews>
    <sheetView showGridLines="0" zoomScaleNormal="100" zoomScaleSheetLayoutView="80" workbookViewId="0">
      <selection activeCell="E27" sqref="E27"/>
    </sheetView>
  </sheetViews>
  <sheetFormatPr defaultColWidth="9.109375" defaultRowHeight="14.4" x14ac:dyDescent="0.3"/>
  <cols>
    <col min="1" max="1" width="25.6640625" style="27" customWidth="1"/>
    <col min="2" max="2" width="7.6640625" style="27" customWidth="1"/>
    <col min="3" max="5" width="15.6640625" style="27" customWidth="1"/>
    <col min="6" max="6" width="30.6640625" style="27" customWidth="1"/>
    <col min="7" max="7" width="22.6640625" style="27" customWidth="1"/>
    <col min="8" max="8" width="18.6640625" style="27" customWidth="1"/>
    <col min="9" max="16384" width="9.109375" style="27"/>
  </cols>
  <sheetData>
    <row r="1" spans="1:8" s="84" customFormat="1" ht="39.9" customHeight="1" x14ac:dyDescent="0.3">
      <c r="A1" s="349" t="s">
        <v>86</v>
      </c>
      <c r="B1" s="355"/>
      <c r="C1" s="567" t="str">
        <f>Detailed_Analysis!$C$1</f>
        <v>Baseline BFR Scenario is Active</v>
      </c>
      <c r="D1" s="567"/>
      <c r="E1" s="567"/>
      <c r="F1" s="567"/>
      <c r="G1" s="17"/>
      <c r="H1" s="348" t="s">
        <v>77</v>
      </c>
    </row>
    <row r="2" spans="1:8" ht="15" customHeight="1" x14ac:dyDescent="0.3">
      <c r="A2" s="145" t="str">
        <f>Detailed_Analysis!$A$2</f>
        <v>Activity Data:</v>
      </c>
      <c r="B2" s="146"/>
      <c r="C2" s="531"/>
      <c r="D2" s="531"/>
      <c r="E2" s="531"/>
      <c r="F2" s="532"/>
      <c r="G2" s="342" t="str">
        <f>Detailed_Analysis!G2</f>
        <v>BFR Type:</v>
      </c>
      <c r="H2" s="346" t="str">
        <f>Detailed_Analysis!H2</f>
        <v>Baseline</v>
      </c>
    </row>
    <row r="3" spans="1:8" ht="15" customHeight="1" x14ac:dyDescent="0.3">
      <c r="A3" s="25" t="str">
        <f>Detailed_Analysis!$A$3</f>
        <v>Installation:</v>
      </c>
      <c r="B3" s="41"/>
      <c r="C3" s="519" t="str">
        <f>Detailed_Analysis!$C$3</f>
        <v xml:space="preserve">  - </v>
      </c>
      <c r="D3" s="519"/>
      <c r="E3" s="519"/>
      <c r="F3" s="519"/>
      <c r="G3" s="25" t="str">
        <f>Detailed_Analysis!G3</f>
        <v>Private:</v>
      </c>
      <c r="H3" s="161">
        <f>Detailed_Analysis!C28</f>
        <v>0</v>
      </c>
    </row>
    <row r="4" spans="1:8" ht="15" customHeight="1" x14ac:dyDescent="0.3">
      <c r="A4" s="25" t="str">
        <f>Detailed_Analysis!$A$4</f>
        <v>Planning Area:</v>
      </c>
      <c r="B4" s="41"/>
      <c r="C4" s="519" t="str">
        <f>Detailed_Analysis!$C$4</f>
        <v xml:space="preserve">  - </v>
      </c>
      <c r="D4" s="519"/>
      <c r="E4" s="519"/>
      <c r="F4" s="519"/>
      <c r="G4" s="25" t="str">
        <f>Detailed_Analysis!G4</f>
        <v>WST1:</v>
      </c>
      <c r="H4" s="161">
        <f>Detailed_Analysis!C29</f>
        <v>0</v>
      </c>
    </row>
    <row r="5" spans="1:8" ht="15" customHeight="1" x14ac:dyDescent="0.3">
      <c r="A5" s="25" t="str">
        <f>Detailed_Analysis!$A$5</f>
        <v>Activity:</v>
      </c>
      <c r="B5" s="41"/>
      <c r="C5" s="519" t="str">
        <f>Detailed_Analysis!$C$5</f>
        <v xml:space="preserve">  - </v>
      </c>
      <c r="D5" s="519"/>
      <c r="E5" s="519"/>
      <c r="F5" s="519"/>
      <c r="G5" s="25" t="str">
        <f>Detailed_Analysis!G5</f>
        <v>WST2:</v>
      </c>
      <c r="H5" s="161">
        <f>Detailed_Analysis!C30</f>
        <v>0</v>
      </c>
    </row>
    <row r="6" spans="1:8" ht="15" customHeight="1" x14ac:dyDescent="0.3">
      <c r="A6" s="25" t="str">
        <f>Detailed_Analysis!$A$6</f>
        <v>Category Code:</v>
      </c>
      <c r="B6" s="52"/>
      <c r="C6" s="519" t="str">
        <f>Detailed_Analysis!$C$6</f>
        <v xml:space="preserve"> CCN 61010 - Administrative Office Building</v>
      </c>
      <c r="D6" s="519"/>
      <c r="E6" s="519"/>
      <c r="F6" s="519"/>
      <c r="G6" s="25" t="str">
        <f>Detailed_Analysis!G6</f>
        <v>Space Loading:</v>
      </c>
      <c r="H6" s="161">
        <f>SUM(Detailed_Analysis!C28:C30)</f>
        <v>0</v>
      </c>
    </row>
    <row r="7" spans="1:8" ht="15" customHeight="1" x14ac:dyDescent="0.3">
      <c r="D7" s="84"/>
      <c r="E7" s="84"/>
      <c r="G7" s="75" t="str">
        <f>Detailed_Analysis!G7</f>
        <v>Net Admin:</v>
      </c>
      <c r="H7" s="162">
        <f>Detailed_Analysis!H7</f>
        <v>0</v>
      </c>
    </row>
    <row r="8" spans="1:8" ht="15" customHeight="1" x14ac:dyDescent="0.3">
      <c r="A8" s="145" t="s">
        <v>406</v>
      </c>
      <c r="B8" s="146" t="s">
        <v>396</v>
      </c>
      <c r="C8" s="175" t="s">
        <v>412</v>
      </c>
      <c r="D8" s="175"/>
      <c r="E8" s="175"/>
      <c r="F8" s="176"/>
      <c r="G8" s="25" t="str">
        <f>Detailed_Analysis!G8</f>
        <v>Net Special:</v>
      </c>
      <c r="H8" s="162">
        <f>Detailed_Analysis!H8</f>
        <v>0</v>
      </c>
    </row>
    <row r="9" spans="1:8" ht="15" customHeight="1" x14ac:dyDescent="0.3">
      <c r="A9" s="16"/>
      <c r="E9" s="302"/>
      <c r="G9" s="25" t="str">
        <f>Detailed_Analysis!G9</f>
        <v>Net Bldg Area:</v>
      </c>
      <c r="H9" s="162">
        <f>Detailed_Analysis!H9</f>
        <v>0</v>
      </c>
    </row>
    <row r="10" spans="1:8" ht="15" customHeight="1" x14ac:dyDescent="0.3">
      <c r="A10" s="330"/>
      <c r="B10" s="332">
        <v>1</v>
      </c>
      <c r="C10" s="554" t="s">
        <v>393</v>
      </c>
      <c r="D10" s="555"/>
      <c r="E10" s="556"/>
      <c r="F10" s="495" t="s">
        <v>391</v>
      </c>
      <c r="G10" s="75" t="str">
        <f>Detailed_Analysis!G10</f>
        <v>Est. Floors:</v>
      </c>
      <c r="H10" s="188">
        <f>Detailed_Analysis!H10</f>
        <v>1</v>
      </c>
    </row>
    <row r="11" spans="1:8" ht="15" customHeight="1" x14ac:dyDescent="0.3">
      <c r="B11" s="307"/>
      <c r="G11" s="25" t="str">
        <f>Detailed_Analysis!G11</f>
        <v>Est. Width:</v>
      </c>
      <c r="H11" s="222">
        <f>Detailed_Analysis!H11</f>
        <v>0</v>
      </c>
    </row>
    <row r="12" spans="1:8" ht="15" customHeight="1" x14ac:dyDescent="0.3">
      <c r="B12" s="332">
        <v>2</v>
      </c>
      <c r="C12" s="557" t="s">
        <v>404</v>
      </c>
      <c r="D12" s="558"/>
      <c r="E12" s="558"/>
      <c r="F12" s="558"/>
      <c r="G12" s="25" t="str">
        <f>Detailed_Analysis!G12</f>
        <v>Est. Length:</v>
      </c>
      <c r="H12" s="222">
        <f>Detailed_Analysis!H12</f>
        <v>0</v>
      </c>
    </row>
    <row r="13" spans="1:8" ht="15" customHeight="1" x14ac:dyDescent="0.3">
      <c r="A13" s="145" t="s">
        <v>100</v>
      </c>
      <c r="B13" s="238"/>
      <c r="C13" s="239" t="str">
        <f>Detailed_Analysis!C20</f>
        <v>Private:</v>
      </c>
      <c r="D13" s="239" t="str">
        <f>Detailed_Analysis!D20</f>
        <v>WST1:</v>
      </c>
      <c r="E13" s="239" t="str">
        <f>Detailed_Analysis!E20</f>
        <v>WST2:</v>
      </c>
      <c r="F13" s="240" t="str">
        <f>Detailed_Analysis!F20</f>
        <v>Space Loading:</v>
      </c>
      <c r="G13" s="25" t="str">
        <f>Detailed_Analysis!G13</f>
        <v>NTG Area:</v>
      </c>
      <c r="H13" s="162">
        <f>Detailed_Analysis!H13</f>
        <v>0</v>
      </c>
    </row>
    <row r="14" spans="1:8" ht="15" customHeight="1" thickBot="1" x14ac:dyDescent="0.35">
      <c r="A14" s="25" t="str">
        <f>Detailed_Analysis!A22</f>
        <v>Baseline BFR Inputs</v>
      </c>
      <c r="B14" s="81"/>
      <c r="C14" s="152">
        <f>Activity!C21</f>
        <v>0</v>
      </c>
      <c r="D14" s="152">
        <f>Activity!D21</f>
        <v>0</v>
      </c>
      <c r="E14" s="152">
        <f>Activity!E21</f>
        <v>0</v>
      </c>
      <c r="F14" s="303">
        <f>SUM(C14:E14)</f>
        <v>0</v>
      </c>
      <c r="G14" s="25" t="str">
        <f>Detailed_Analysis!G14</f>
        <v>NTG Factor:</v>
      </c>
      <c r="H14" s="304">
        <f>Detailed_Analysis!H14</f>
        <v>0</v>
      </c>
    </row>
    <row r="15" spans="1:8" ht="15" customHeight="1" thickBot="1" x14ac:dyDescent="0.35">
      <c r="C15" s="574" t="s">
        <v>99</v>
      </c>
      <c r="D15" s="575"/>
      <c r="E15" s="576"/>
      <c r="F15" s="338">
        <v>0</v>
      </c>
      <c r="G15" s="370" t="str">
        <f>Detailed_Analysis!G15</f>
        <v>Gross Bldg Area:</v>
      </c>
      <c r="H15" s="191">
        <f>Detailed_Analysis!H15</f>
        <v>0</v>
      </c>
    </row>
    <row r="16" spans="1:8" ht="15" customHeight="1" x14ac:dyDescent="0.3">
      <c r="G16" s="25" t="str">
        <f>Detailed_Analysis!G16</f>
        <v>Avg Floor Area:</v>
      </c>
      <c r="H16" s="297">
        <f>Detailed_Analysis!H16</f>
        <v>0</v>
      </c>
    </row>
    <row r="17" spans="1:8" ht="15" customHeight="1" x14ac:dyDescent="0.3">
      <c r="A17" s="294"/>
      <c r="B17" s="332">
        <v>3</v>
      </c>
      <c r="C17" s="557" t="s">
        <v>394</v>
      </c>
      <c r="D17" s="558"/>
      <c r="E17" s="558"/>
      <c r="F17" s="558"/>
      <c r="G17" s="329" t="str">
        <f>Detailed_Analysis!G17</f>
        <v>Admin GSF/PN:</v>
      </c>
      <c r="H17" s="155">
        <f>Detailed_Analysis!H17</f>
        <v>0</v>
      </c>
    </row>
    <row r="18" spans="1:8" s="295" customFormat="1" ht="15" customHeight="1" x14ac:dyDescent="0.3">
      <c r="A18" s="294"/>
      <c r="B18" s="307"/>
      <c r="E18" s="292"/>
      <c r="F18" s="84"/>
      <c r="G18" s="25" t="str">
        <f>Detailed_Analysis!A116</f>
        <v>Total GSF/PN:</v>
      </c>
      <c r="H18" s="155">
        <f>Detailed_Analysis!H18</f>
        <v>0</v>
      </c>
    </row>
    <row r="19" spans="1:8" ht="15" customHeight="1" x14ac:dyDescent="0.3">
      <c r="B19" s="332">
        <v>4</v>
      </c>
      <c r="C19" s="557" t="s">
        <v>98</v>
      </c>
      <c r="D19" s="558"/>
      <c r="E19" s="558"/>
      <c r="F19" s="558"/>
    </row>
    <row r="20" spans="1:8" s="16" customFormat="1" x14ac:dyDescent="0.3">
      <c r="A20" s="145" t="str">
        <f>Detailed_Analysis!A23</f>
        <v>Distributed BFR Inputs</v>
      </c>
      <c r="B20" s="238"/>
      <c r="C20" s="239" t="str">
        <f>Detailed_Analysis!C20</f>
        <v>Private:</v>
      </c>
      <c r="D20" s="239" t="str">
        <f>Detailed_Analysis!D20</f>
        <v>WST1:</v>
      </c>
      <c r="E20" s="239" t="str">
        <f>Detailed_Analysis!E20</f>
        <v>WST2:</v>
      </c>
      <c r="F20" s="240" t="str">
        <f>Detailed_Analysis!F20</f>
        <v>Space Loading:</v>
      </c>
    </row>
    <row r="21" spans="1:8" ht="15" customHeight="1" x14ac:dyDescent="0.3">
      <c r="A21" s="25" t="s">
        <v>89</v>
      </c>
      <c r="B21" s="81"/>
      <c r="C21" s="151">
        <v>0</v>
      </c>
      <c r="D21" s="151">
        <v>0</v>
      </c>
      <c r="E21" s="151">
        <v>0</v>
      </c>
      <c r="F21" s="152">
        <f>SUM(C21:E21)</f>
        <v>0</v>
      </c>
      <c r="G21" s="25" t="s">
        <v>97</v>
      </c>
      <c r="H21" s="241">
        <f>IF(F14=0,0,F21/F14)</f>
        <v>0</v>
      </c>
    </row>
    <row r="22" spans="1:8" ht="15" customHeight="1" x14ac:dyDescent="0.3">
      <c r="A22" s="25" t="s">
        <v>93</v>
      </c>
      <c r="B22" s="81"/>
      <c r="C22" s="151">
        <v>0</v>
      </c>
      <c r="D22" s="151">
        <v>0</v>
      </c>
      <c r="E22" s="151">
        <v>0</v>
      </c>
      <c r="F22" s="152">
        <f>SUM(C22:E22)</f>
        <v>0</v>
      </c>
      <c r="G22" s="25" t="s">
        <v>96</v>
      </c>
      <c r="H22" s="241">
        <f>IF(F14=0,0,F22/F14)</f>
        <v>0</v>
      </c>
    </row>
    <row r="23" spans="1:8" ht="15" customHeight="1" x14ac:dyDescent="0.3">
      <c r="A23" s="25" t="s">
        <v>87</v>
      </c>
      <c r="B23" s="49"/>
      <c r="C23" s="152">
        <f>C21+C22</f>
        <v>0</v>
      </c>
      <c r="D23" s="152">
        <f>D21+D22</f>
        <v>0</v>
      </c>
      <c r="E23" s="152">
        <f>E21+E22</f>
        <v>0</v>
      </c>
      <c r="F23" s="298">
        <f>SUM(C23:E23)</f>
        <v>0</v>
      </c>
      <c r="H23" s="322"/>
    </row>
    <row r="24" spans="1:8" s="16" customFormat="1" ht="15" customHeight="1" x14ac:dyDescent="0.3">
      <c r="C24" s="559" t="str">
        <f>IF(F14&lt;&gt;F23,"Total values must be equal to Baseline BFR Inputs","")</f>
        <v/>
      </c>
      <c r="D24" s="560"/>
      <c r="E24" s="560"/>
      <c r="F24" s="560"/>
      <c r="G24" s="83"/>
    </row>
    <row r="25" spans="1:8" s="16" customFormat="1" ht="15" customHeight="1" x14ac:dyDescent="0.3">
      <c r="A25" s="82" t="s">
        <v>95</v>
      </c>
      <c r="B25" s="332">
        <v>5</v>
      </c>
      <c r="C25" s="557" t="s">
        <v>94</v>
      </c>
      <c r="D25" s="558"/>
      <c r="E25" s="558"/>
      <c r="F25" s="558"/>
    </row>
    <row r="26" spans="1:8" ht="15" customHeight="1" x14ac:dyDescent="0.3">
      <c r="A26" s="25" t="s">
        <v>93</v>
      </c>
      <c r="B26" s="309"/>
      <c r="C26" s="152">
        <f>C22</f>
        <v>0</v>
      </c>
      <c r="D26" s="152">
        <f>D22</f>
        <v>0</v>
      </c>
      <c r="E26" s="152">
        <f>E22</f>
        <v>0</v>
      </c>
    </row>
    <row r="27" spans="1:8" ht="15.75" customHeight="1" x14ac:dyDescent="0.3">
      <c r="A27" s="25" t="s">
        <v>92</v>
      </c>
      <c r="B27" s="308"/>
      <c r="C27" s="242">
        <v>2</v>
      </c>
      <c r="D27" s="242">
        <v>2</v>
      </c>
      <c r="E27" s="242">
        <v>2</v>
      </c>
      <c r="F27" s="335"/>
      <c r="G27" s="92"/>
    </row>
    <row r="28" spans="1:8" ht="15" customHeight="1" x14ac:dyDescent="0.3">
      <c r="A28" s="25" t="s">
        <v>88</v>
      </c>
      <c r="B28" s="309"/>
      <c r="C28" s="152">
        <f>ROUNDUP(C26/C27,0)</f>
        <v>0</v>
      </c>
      <c r="D28" s="152">
        <f>ROUNDUP(D26/D27,0)</f>
        <v>0</v>
      </c>
      <c r="E28" s="152">
        <f>ROUNDUP(E26/E27,0)</f>
        <v>0</v>
      </c>
      <c r="G28" s="53"/>
    </row>
    <row r="29" spans="1:8" s="16" customFormat="1" ht="15" customHeight="1" x14ac:dyDescent="0.3">
      <c r="B29" s="280"/>
    </row>
    <row r="30" spans="1:8" ht="15.6" x14ac:dyDescent="0.3">
      <c r="A30" s="82" t="s">
        <v>91</v>
      </c>
      <c r="B30" s="332">
        <v>6</v>
      </c>
      <c r="C30" s="557" t="s">
        <v>90</v>
      </c>
      <c r="D30" s="558"/>
      <c r="E30" s="558"/>
      <c r="F30" s="558"/>
    </row>
    <row r="31" spans="1:8" ht="15" customHeight="1" x14ac:dyDescent="0.3">
      <c r="A31" s="25" t="s">
        <v>89</v>
      </c>
      <c r="B31" s="49"/>
      <c r="C31" s="152">
        <f>C21</f>
        <v>0</v>
      </c>
      <c r="D31" s="152">
        <f>D21</f>
        <v>0</v>
      </c>
      <c r="E31" s="152">
        <f>E21</f>
        <v>0</v>
      </c>
      <c r="G31" s="21"/>
      <c r="H31" s="78"/>
    </row>
    <row r="32" spans="1:8" ht="15" customHeight="1" x14ac:dyDescent="0.3">
      <c r="A32" s="25" t="s">
        <v>88</v>
      </c>
      <c r="B32" s="49"/>
      <c r="C32" s="152">
        <f>C28</f>
        <v>0</v>
      </c>
      <c r="D32" s="152">
        <f>D28</f>
        <v>0</v>
      </c>
      <c r="E32" s="152">
        <f>E28</f>
        <v>0</v>
      </c>
      <c r="G32" s="21"/>
      <c r="H32" s="78"/>
    </row>
    <row r="33" spans="1:8" ht="15" customHeight="1" x14ac:dyDescent="0.3">
      <c r="A33" s="25" t="s">
        <v>87</v>
      </c>
      <c r="B33" s="49"/>
      <c r="C33" s="152">
        <f>C31+C32</f>
        <v>0</v>
      </c>
      <c r="D33" s="152">
        <f>D31+D32</f>
        <v>0</v>
      </c>
      <c r="E33" s="152">
        <f>E31+E32</f>
        <v>0</v>
      </c>
      <c r="G33" s="18"/>
      <c r="H33" s="78"/>
    </row>
    <row r="34" spans="1:8" ht="5.0999999999999996" customHeight="1" x14ac:dyDescent="0.3">
      <c r="B34" s="49"/>
      <c r="G34" s="21"/>
      <c r="H34" s="78"/>
    </row>
    <row r="35" spans="1:8" x14ac:dyDescent="0.3">
      <c r="A35" s="145" t="s">
        <v>85</v>
      </c>
      <c r="B35" s="243"/>
      <c r="C35" s="149" t="str">
        <f>Detailed_Analysis!C20</f>
        <v>Private:</v>
      </c>
      <c r="D35" s="149" t="str">
        <f>Detailed_Analysis!D20</f>
        <v>WST1:</v>
      </c>
      <c r="E35" s="149" t="str">
        <f>Detailed_Analysis!E20</f>
        <v>WST2:</v>
      </c>
      <c r="F35" s="240" t="str">
        <f>Detailed_Analysis!F20</f>
        <v>Space Loading:</v>
      </c>
      <c r="G35" s="305"/>
      <c r="H35" s="305"/>
    </row>
    <row r="36" spans="1:8" x14ac:dyDescent="0.3">
      <c r="A36" s="50" t="s">
        <v>86</v>
      </c>
      <c r="C36" s="244">
        <f>IF(F10="Distributed",C21+C28,0)</f>
        <v>0</v>
      </c>
      <c r="D36" s="244">
        <f>IF(F10="Distributed",D21+D28,0)</f>
        <v>0</v>
      </c>
      <c r="E36" s="244">
        <f>IF(F10="Distributed",E21+E28,0)</f>
        <v>0</v>
      </c>
      <c r="F36" s="244">
        <f>SUM(C36:E36)</f>
        <v>0</v>
      </c>
      <c r="G36" s="305"/>
      <c r="H36" s="305"/>
    </row>
    <row r="37" spans="1:8" ht="15.6" x14ac:dyDescent="0.3">
      <c r="A37" s="50"/>
      <c r="C37" s="571" t="s">
        <v>388</v>
      </c>
      <c r="D37" s="572"/>
      <c r="E37" s="573"/>
      <c r="F37" s="171">
        <f>IF(F10="Distributed",H15,0)</f>
        <v>0</v>
      </c>
      <c r="G37" s="25"/>
      <c r="H37" s="78"/>
    </row>
    <row r="38" spans="1:8" ht="15" customHeight="1" x14ac:dyDescent="0.3">
      <c r="A38" s="49"/>
      <c r="B38" s="49"/>
      <c r="C38" s="49"/>
      <c r="D38" s="49"/>
      <c r="E38" s="49"/>
      <c r="F38" s="79"/>
      <c r="G38" s="49"/>
      <c r="H38" s="78"/>
    </row>
    <row r="39" spans="1:8" ht="30" customHeight="1" x14ac:dyDescent="0.3">
      <c r="A39" s="49"/>
      <c r="B39" s="49"/>
      <c r="C39" s="569" t="s">
        <v>389</v>
      </c>
      <c r="D39" s="570"/>
      <c r="E39" s="570"/>
      <c r="F39" s="570"/>
      <c r="H39" s="327" t="s">
        <v>407</v>
      </c>
    </row>
    <row r="40" spans="1:8" ht="15" customHeight="1" x14ac:dyDescent="0.3">
      <c r="A40" s="67"/>
      <c r="B40" s="48"/>
      <c r="C40" s="568" t="s">
        <v>84</v>
      </c>
      <c r="D40" s="555"/>
      <c r="E40" s="555"/>
      <c r="F40" s="25"/>
      <c r="H40" s="328" t="s">
        <v>77</v>
      </c>
    </row>
    <row r="41" spans="1:8" ht="15" customHeight="1" x14ac:dyDescent="0.3">
      <c r="A41" s="67"/>
      <c r="B41" s="48"/>
      <c r="C41" s="555"/>
      <c r="D41" s="555"/>
      <c r="E41" s="555"/>
      <c r="F41" s="25"/>
      <c r="G41" s="306" t="s">
        <v>409</v>
      </c>
      <c r="H41" s="161">
        <f>F14</f>
        <v>0</v>
      </c>
    </row>
    <row r="42" spans="1:8" ht="15" customHeight="1" x14ac:dyDescent="0.3">
      <c r="A42" s="67"/>
      <c r="B42" s="48"/>
      <c r="C42" s="555"/>
      <c r="D42" s="555"/>
      <c r="E42" s="555"/>
      <c r="F42" s="40"/>
      <c r="G42" s="306" t="s">
        <v>410</v>
      </c>
      <c r="H42" s="161">
        <f>F36</f>
        <v>0</v>
      </c>
    </row>
    <row r="43" spans="1:8" ht="15" customHeight="1" x14ac:dyDescent="0.3">
      <c r="A43" s="67"/>
      <c r="B43" s="48"/>
      <c r="C43" s="555"/>
      <c r="D43" s="555"/>
      <c r="E43" s="555"/>
      <c r="F43" s="40"/>
      <c r="G43" s="306" t="s">
        <v>411</v>
      </c>
      <c r="H43" s="161">
        <f>H41-H42</f>
        <v>0</v>
      </c>
    </row>
    <row r="44" spans="1:8" ht="15" customHeight="1" x14ac:dyDescent="0.3">
      <c r="A44" s="67"/>
      <c r="B44" s="48"/>
      <c r="C44" s="555"/>
      <c r="D44" s="555"/>
      <c r="E44" s="555"/>
      <c r="F44" s="40"/>
      <c r="G44" s="306" t="s">
        <v>411</v>
      </c>
      <c r="H44" s="241">
        <f>IF(H41=0,0,H43/H41)</f>
        <v>0</v>
      </c>
    </row>
    <row r="45" spans="1:8" ht="15" customHeight="1" x14ac:dyDescent="0.3">
      <c r="A45" s="67"/>
      <c r="B45" s="48"/>
      <c r="C45" s="555"/>
      <c r="D45" s="555"/>
      <c r="E45" s="555"/>
      <c r="F45" s="40"/>
      <c r="H45" s="78"/>
    </row>
    <row r="46" spans="1:8" ht="15" customHeight="1" x14ac:dyDescent="0.3">
      <c r="A46" s="67"/>
      <c r="B46" s="48"/>
      <c r="C46" s="555"/>
      <c r="D46" s="555"/>
      <c r="E46" s="555"/>
      <c r="H46" s="327" t="s">
        <v>408</v>
      </c>
    </row>
    <row r="47" spans="1:8" ht="15" customHeight="1" x14ac:dyDescent="0.3">
      <c r="A47" s="67"/>
      <c r="B47" s="48"/>
      <c r="C47" s="555"/>
      <c r="D47" s="555"/>
      <c r="E47" s="555"/>
      <c r="G47" s="322"/>
      <c r="H47" s="328" t="s">
        <v>77</v>
      </c>
    </row>
    <row r="48" spans="1:8" ht="15" customHeight="1" x14ac:dyDescent="0.3">
      <c r="A48" s="67"/>
      <c r="B48" s="48"/>
      <c r="C48" s="555"/>
      <c r="D48" s="555"/>
      <c r="E48" s="555"/>
      <c r="G48" s="325" t="s">
        <v>409</v>
      </c>
      <c r="H48" s="297">
        <f>F15</f>
        <v>0</v>
      </c>
    </row>
    <row r="49" spans="1:8" ht="15" customHeight="1" x14ac:dyDescent="0.3">
      <c r="A49" s="67"/>
      <c r="B49" s="48"/>
      <c r="C49" s="555"/>
      <c r="D49" s="555"/>
      <c r="E49" s="555"/>
      <c r="G49" s="325" t="s">
        <v>410</v>
      </c>
      <c r="H49" s="191">
        <f>IF(H48=0,0,F37)</f>
        <v>0</v>
      </c>
    </row>
    <row r="50" spans="1:8" ht="15" customHeight="1" x14ac:dyDescent="0.3">
      <c r="A50" s="67"/>
      <c r="B50" s="48"/>
      <c r="C50" s="555"/>
      <c r="D50" s="555"/>
      <c r="E50" s="555"/>
      <c r="G50" s="326" t="s">
        <v>395</v>
      </c>
      <c r="H50" s="191">
        <f>IF(F10="Baseline",0,IF(H48=0,0,IF(F14&lt;&gt;F23,0,H48-H49)))</f>
        <v>0</v>
      </c>
    </row>
    <row r="51" spans="1:8" ht="15" customHeight="1" x14ac:dyDescent="0.3">
      <c r="A51" s="67"/>
      <c r="B51" s="48"/>
      <c r="C51" s="555"/>
      <c r="D51" s="555"/>
      <c r="E51" s="555"/>
      <c r="G51" s="326" t="s">
        <v>395</v>
      </c>
      <c r="H51" s="241">
        <f>IF(H48=0,0,H50/H48)</f>
        <v>0</v>
      </c>
    </row>
    <row r="52" spans="1:8" x14ac:dyDescent="0.3">
      <c r="B52" s="49"/>
      <c r="C52" s="555"/>
      <c r="D52" s="555"/>
      <c r="E52" s="555"/>
    </row>
    <row r="53" spans="1:8" x14ac:dyDescent="0.3">
      <c r="B53" s="49"/>
      <c r="C53" s="555"/>
      <c r="D53" s="555"/>
      <c r="E53" s="555"/>
    </row>
    <row r="54" spans="1:8" x14ac:dyDescent="0.3">
      <c r="B54" s="49"/>
      <c r="C54" s="555"/>
      <c r="D54" s="555"/>
      <c r="E54" s="555"/>
    </row>
    <row r="55" spans="1:8" s="408" customFormat="1" x14ac:dyDescent="0.3">
      <c r="B55" s="407"/>
      <c r="C55" s="406"/>
      <c r="D55" s="406"/>
      <c r="E55" s="406"/>
    </row>
    <row r="56" spans="1:8" x14ac:dyDescent="0.3">
      <c r="B56" s="49"/>
      <c r="C56" s="53"/>
      <c r="D56" s="53"/>
      <c r="E56" s="53"/>
      <c r="G56" s="20" t="str">
        <f>HYPERLINK("#Summary","Back")</f>
        <v>Back</v>
      </c>
    </row>
    <row r="57" spans="1:8" s="412" customFormat="1" x14ac:dyDescent="0.3">
      <c r="B57" s="410"/>
      <c r="C57" s="411"/>
      <c r="D57" s="411"/>
      <c r="E57" s="411"/>
      <c r="G57" s="20"/>
    </row>
    <row r="58" spans="1:8" ht="15" customHeight="1" x14ac:dyDescent="0.3">
      <c r="C58" s="53"/>
      <c r="D58" s="53"/>
      <c r="E58" s="53"/>
      <c r="F58" s="25"/>
      <c r="H58" s="78"/>
    </row>
    <row r="59" spans="1:8" s="369" customFormat="1" ht="15" customHeight="1" x14ac:dyDescent="0.3">
      <c r="C59" s="368"/>
      <c r="D59" s="368"/>
      <c r="E59" s="368"/>
      <c r="F59" s="367"/>
      <c r="H59" s="78"/>
    </row>
    <row r="60" spans="1:8" s="369" customFormat="1" ht="15" customHeight="1" x14ac:dyDescent="0.3">
      <c r="C60" s="368"/>
      <c r="D60" s="368"/>
      <c r="E60" s="368"/>
      <c r="F60" s="367"/>
      <c r="H60" s="78"/>
    </row>
    <row r="61" spans="1:8" s="369" customFormat="1" ht="15" customHeight="1" x14ac:dyDescent="0.3">
      <c r="C61" s="368"/>
      <c r="D61" s="368"/>
      <c r="E61" s="368"/>
      <c r="F61" s="367"/>
      <c r="H61" s="78"/>
    </row>
    <row r="62" spans="1:8" s="401" customFormat="1" ht="15" customHeight="1" x14ac:dyDescent="0.3">
      <c r="C62" s="400"/>
      <c r="D62" s="400"/>
      <c r="E62" s="400"/>
      <c r="F62" s="399"/>
      <c r="H62" s="78"/>
    </row>
    <row r="63" spans="1:8" s="401" customFormat="1" ht="15" customHeight="1" x14ac:dyDescent="0.3">
      <c r="C63" s="400"/>
      <c r="D63" s="400"/>
      <c r="E63" s="400"/>
      <c r="F63" s="399"/>
      <c r="H63" s="78"/>
    </row>
    <row r="64" spans="1:8" s="369" customFormat="1" ht="15" customHeight="1" x14ac:dyDescent="0.3">
      <c r="C64" s="368"/>
      <c r="D64" s="368"/>
      <c r="E64" s="368"/>
      <c r="F64" s="367"/>
      <c r="H64" s="78"/>
    </row>
    <row r="65" spans="1:8" ht="15" customHeight="1" x14ac:dyDescent="0.3">
      <c r="C65" s="53"/>
      <c r="D65" s="53"/>
      <c r="E65" s="53"/>
      <c r="F65" s="25"/>
      <c r="H65" s="78"/>
    </row>
    <row r="66" spans="1:8" s="393" customFormat="1" ht="15" customHeight="1" x14ac:dyDescent="0.3">
      <c r="C66" s="392"/>
      <c r="D66" s="392"/>
      <c r="E66" s="392"/>
      <c r="F66" s="391"/>
      <c r="H66" s="78"/>
    </row>
    <row r="67" spans="1:8" s="393" customFormat="1" ht="15" customHeight="1" x14ac:dyDescent="0.3">
      <c r="C67" s="392"/>
      <c r="D67" s="392"/>
      <c r="E67" s="392"/>
      <c r="F67" s="391"/>
      <c r="H67" s="78"/>
    </row>
    <row r="68" spans="1:8" ht="15" customHeight="1" x14ac:dyDescent="0.3">
      <c r="A68" s="145"/>
      <c r="B68" s="146"/>
      <c r="C68" s="531" t="s">
        <v>83</v>
      </c>
      <c r="D68" s="541"/>
      <c r="E68" s="541"/>
      <c r="F68" s="577"/>
      <c r="G68" s="318"/>
      <c r="H68" s="78"/>
    </row>
    <row r="69" spans="1:8" ht="45" customHeight="1" x14ac:dyDescent="0.3">
      <c r="A69" s="299" t="s">
        <v>82</v>
      </c>
      <c r="C69" s="561" t="s">
        <v>421</v>
      </c>
      <c r="D69" s="562"/>
      <c r="E69" s="562"/>
      <c r="F69" s="563"/>
      <c r="G69" s="318"/>
    </row>
    <row r="70" spans="1:8" ht="45" customHeight="1" x14ac:dyDescent="0.3">
      <c r="A70" s="299" t="s">
        <v>81</v>
      </c>
      <c r="C70" s="561" t="str">
        <f>CONCATENATE("A ",C27,":1 sharing ratio has been applied to ",C22," shared office spaces."," The requirement for ",C26," shared office spaces ","(@ ",Detailed_Analysis!G28," NSF/EA) is reduced to ",ROUNDUP(C26/C27,0)," shared office spaces ","(@ ",Detailed_Analysis!G28," NSF/EA).")</f>
        <v>A 2:1 sharing ratio has been applied to 0 shared office spaces. The requirement for 0 shared office spaces (@ 120 NSF/EA) is reduced to 0 shared office spaces (@ 120 NSF/EA).</v>
      </c>
      <c r="D70" s="562"/>
      <c r="E70" s="562"/>
      <c r="F70" s="563"/>
      <c r="G70" s="318"/>
    </row>
    <row r="71" spans="1:8" ht="45" customHeight="1" x14ac:dyDescent="0.3">
      <c r="A71" s="299" t="s">
        <v>80</v>
      </c>
      <c r="C71" s="561" t="str">
        <f>CONCATENATE("A ",D27,":1 sharing ratio has been applied to ",D22," shared WST1 spaces.", IF(D27&lt;3,CONCATENATE(" The requirement for ",D26," shared WST1 spaces ","(@ ",Detailed_Analysis!G29," NSF/EA) is reduced to ",ROUNDUP(D26/D27,0)," shared WST1 spaces ","(@ ",Detailed_Analysis!G29," NSF/EA)."),IF(D27&gt;=3,CONCATENATE(" The requirement for  ",D26," shared WST1 spaces ","(@ ",Detailed_Analysis!G29," NSF/EA) is reduced to ",ROUNDUP(D26/D27,0)," shared WST2 spaces ","(@ ",Detailed_Analysis!G30," NSF/EA)."))))</f>
        <v>A 2:1 sharing ratio has been applied to 0 shared WST1 spaces. The requirement for 0 shared WST1 spaces (@ 64 NSF/EA) is reduced to 0 shared WST1 spaces (@ 64 NSF/EA).</v>
      </c>
      <c r="D71" s="562"/>
      <c r="E71" s="562"/>
      <c r="F71" s="563"/>
      <c r="G71" s="318"/>
    </row>
    <row r="72" spans="1:8" ht="45" customHeight="1" x14ac:dyDescent="0.3">
      <c r="A72" s="299" t="s">
        <v>80</v>
      </c>
      <c r="C72" s="561" t="str">
        <f>CONCATENATE("A ",E27,":1 sharing ratio has been applied to ",E22," shared WST2 spaces."," The requirement for ",E26," shared WST1 spaces ","(@ ",Detailed_Analysis!G30," NSF/EA) is reduced to ",ROUNDUP(E26/E27,0)," shared WST1 spaces ","(@ ",Detailed_Analysis!G30," NSF/EA).")</f>
        <v>A 2:1 sharing ratio has been applied to 0 shared WST2 spaces. The requirement for 0 shared WST1 spaces (@ 48 NSF/EA) is reduced to 0 shared WST1 spaces (@ 48 NSF/EA).</v>
      </c>
      <c r="D72" s="562"/>
      <c r="E72" s="562"/>
      <c r="F72" s="563"/>
      <c r="G72" s="318"/>
    </row>
    <row r="73" spans="1:8" s="16" customFormat="1" ht="45" customHeight="1" x14ac:dyDescent="0.3">
      <c r="A73" s="299" t="s">
        <v>79</v>
      </c>
      <c r="B73" s="27"/>
      <c r="C73" s="561" t="str">
        <f>IF(F10="Distributed",CONCATENATE("Distributed BFR estimates a reduction of ",Space_Table!C49," persons, but adds space requirement for additional ",Space_Table!H49," NSF of collaboration space."),"A Baseline BFR does not provide collaboration space.")</f>
        <v>A Baseline BFR does not provide collaboration space.</v>
      </c>
      <c r="D73" s="562"/>
      <c r="E73" s="562"/>
      <c r="F73" s="563"/>
      <c r="G73" s="318"/>
    </row>
    <row r="74" spans="1:8" ht="45" customHeight="1" x14ac:dyDescent="0.3">
      <c r="A74" s="299" t="s">
        <v>397</v>
      </c>
      <c r="C74" s="561" t="s">
        <v>398</v>
      </c>
      <c r="D74" s="562"/>
      <c r="E74" s="562"/>
      <c r="F74" s="563"/>
      <c r="G74" s="318"/>
    </row>
    <row r="75" spans="1:8" ht="45" customHeight="1" x14ac:dyDescent="0.3">
      <c r="A75" s="299" t="s">
        <v>423</v>
      </c>
      <c r="C75" s="561" t="s">
        <v>424</v>
      </c>
      <c r="D75" s="562"/>
      <c r="E75" s="562"/>
      <c r="F75" s="563"/>
      <c r="G75" s="318"/>
    </row>
    <row r="76" spans="1:8" ht="15" customHeight="1" x14ac:dyDescent="0.3">
      <c r="A76" s="296"/>
      <c r="C76" s="320"/>
      <c r="D76" s="320"/>
      <c r="E76" s="320"/>
      <c r="F76" s="320"/>
      <c r="G76" s="319"/>
    </row>
    <row r="77" spans="1:8" ht="15" customHeight="1" x14ac:dyDescent="0.3">
      <c r="A77" s="296"/>
      <c r="C77" s="320"/>
      <c r="D77" s="320"/>
      <c r="E77" s="320"/>
      <c r="F77" s="320"/>
      <c r="G77" s="245"/>
    </row>
    <row r="78" spans="1:8" ht="15" customHeight="1" x14ac:dyDescent="0.3">
      <c r="A78" s="296"/>
      <c r="C78" s="320"/>
      <c r="D78" s="320"/>
      <c r="E78" s="320"/>
      <c r="F78" s="320"/>
      <c r="G78" s="321"/>
    </row>
    <row r="79" spans="1:8" ht="45" customHeight="1" x14ac:dyDescent="0.3">
      <c r="A79" s="77" t="s">
        <v>78</v>
      </c>
      <c r="C79" s="564"/>
      <c r="D79" s="565"/>
      <c r="E79" s="565"/>
      <c r="F79" s="566"/>
      <c r="G79" s="318"/>
    </row>
    <row r="80" spans="1:8" ht="45" customHeight="1" x14ac:dyDescent="0.3">
      <c r="A80" s="77" t="s">
        <v>78</v>
      </c>
      <c r="C80" s="564"/>
      <c r="D80" s="565"/>
      <c r="E80" s="565"/>
      <c r="F80" s="566"/>
      <c r="G80" s="318"/>
    </row>
    <row r="81" spans="1:8" ht="45" customHeight="1" x14ac:dyDescent="0.3">
      <c r="A81" s="77" t="s">
        <v>78</v>
      </c>
      <c r="C81" s="564"/>
      <c r="D81" s="565"/>
      <c r="E81" s="565"/>
      <c r="F81" s="566"/>
      <c r="G81" s="318"/>
    </row>
    <row r="82" spans="1:8" ht="45" customHeight="1" x14ac:dyDescent="0.3">
      <c r="A82" s="77" t="s">
        <v>78</v>
      </c>
      <c r="C82" s="564"/>
      <c r="D82" s="565"/>
      <c r="E82" s="565"/>
      <c r="F82" s="566"/>
      <c r="G82" s="318"/>
    </row>
    <row r="83" spans="1:8" ht="45" customHeight="1" x14ac:dyDescent="0.3">
      <c r="A83" s="77" t="s">
        <v>78</v>
      </c>
      <c r="C83" s="564"/>
      <c r="D83" s="565"/>
      <c r="E83" s="565"/>
      <c r="F83" s="566"/>
      <c r="G83" s="318"/>
    </row>
    <row r="84" spans="1:8" ht="45" customHeight="1" x14ac:dyDescent="0.3">
      <c r="A84" s="77" t="s">
        <v>78</v>
      </c>
      <c r="C84" s="564"/>
      <c r="D84" s="565"/>
      <c r="E84" s="565"/>
      <c r="F84" s="566"/>
      <c r="G84" s="318"/>
    </row>
    <row r="85" spans="1:8" ht="45" customHeight="1" x14ac:dyDescent="0.3">
      <c r="A85" s="77" t="s">
        <v>78</v>
      </c>
      <c r="C85" s="564"/>
      <c r="D85" s="565"/>
      <c r="E85" s="565"/>
      <c r="F85" s="566"/>
      <c r="G85" s="318"/>
    </row>
    <row r="86" spans="1:8" ht="45" customHeight="1" x14ac:dyDescent="0.3">
      <c r="A86" s="77" t="s">
        <v>78</v>
      </c>
      <c r="C86" s="564"/>
      <c r="D86" s="565"/>
      <c r="E86" s="565"/>
      <c r="F86" s="566"/>
      <c r="G86" s="318"/>
    </row>
    <row r="87" spans="1:8" ht="15" customHeight="1" x14ac:dyDescent="0.3">
      <c r="A87" s="32"/>
      <c r="C87" s="32"/>
      <c r="D87" s="32"/>
      <c r="E87" s="32"/>
      <c r="F87" s="32"/>
      <c r="G87" s="76"/>
    </row>
    <row r="88" spans="1:8" s="408" customFormat="1" ht="15" customHeight="1" x14ac:dyDescent="0.3">
      <c r="A88" s="409"/>
      <c r="C88" s="409"/>
      <c r="D88" s="409"/>
      <c r="E88" s="409"/>
      <c r="F88" s="409"/>
      <c r="G88" s="76"/>
    </row>
    <row r="89" spans="1:8" ht="15" customHeight="1" x14ac:dyDescent="0.3">
      <c r="G89" s="20" t="str">
        <f>HYPERLINK("#Summary","Back")</f>
        <v>Back</v>
      </c>
      <c r="H89" s="359" t="s">
        <v>432</v>
      </c>
    </row>
  </sheetData>
  <sheetProtection algorithmName="SHA-512" hashValue="iQQ1NhByH7zXjxIzhK+UmYwjnGH5g/GazmMTqfMX2PdepJnTLMheq95o6LwiLi93rjk/3DGahaSE+Xkiwj+8eQ==" saltValue="sCR3uF+cBkif8rcuZVtGJA==" spinCount="100000" sheet="1"/>
  <mergeCells count="33">
    <mergeCell ref="C83:F83"/>
    <mergeCell ref="C84:F84"/>
    <mergeCell ref="C85:F85"/>
    <mergeCell ref="C86:F86"/>
    <mergeCell ref="C1:F1"/>
    <mergeCell ref="C40:E54"/>
    <mergeCell ref="C3:F3"/>
    <mergeCell ref="C4:F4"/>
    <mergeCell ref="C6:F6"/>
    <mergeCell ref="C5:F5"/>
    <mergeCell ref="C2:F2"/>
    <mergeCell ref="C39:F39"/>
    <mergeCell ref="C37:E37"/>
    <mergeCell ref="C15:E15"/>
    <mergeCell ref="C68:F68"/>
    <mergeCell ref="C82:F82"/>
    <mergeCell ref="C69:F69"/>
    <mergeCell ref="C70:F70"/>
    <mergeCell ref="C71:F71"/>
    <mergeCell ref="C72:F72"/>
    <mergeCell ref="C73:F73"/>
    <mergeCell ref="C74:F74"/>
    <mergeCell ref="C75:F75"/>
    <mergeCell ref="C79:F79"/>
    <mergeCell ref="C80:F80"/>
    <mergeCell ref="C81:F81"/>
    <mergeCell ref="C10:E10"/>
    <mergeCell ref="C30:F30"/>
    <mergeCell ref="C24:F24"/>
    <mergeCell ref="C25:F25"/>
    <mergeCell ref="C19:F19"/>
    <mergeCell ref="C17:F17"/>
    <mergeCell ref="C12:F12"/>
  </mergeCells>
  <conditionalFormatting sqref="F10">
    <cfRule type="expression" dxfId="9" priority="7">
      <formula>$E$9=2</formula>
    </cfRule>
  </conditionalFormatting>
  <conditionalFormatting sqref="F23">
    <cfRule type="expression" dxfId="8" priority="5">
      <formula>SUM($F$21:$F$22)=$F$14</formula>
    </cfRule>
    <cfRule type="expression" dxfId="7" priority="6">
      <formula>SUM($F$21:$F$22)&lt;&gt;$F$14</formula>
    </cfRule>
  </conditionalFormatting>
  <conditionalFormatting sqref="F18">
    <cfRule type="expression" dxfId="6" priority="67">
      <formula>$E$9=1</formula>
    </cfRule>
  </conditionalFormatting>
  <conditionalFormatting sqref="C23">
    <cfRule type="expression" dxfId="5" priority="108">
      <formula>IF(OR($F$10="Baseline", SUM($C$21:$C$22)=$C$14),0)</formula>
    </cfRule>
    <cfRule type="expression" dxfId="4" priority="109">
      <formula>IF(AND($F$10="Distributed", SUM($C$21:$C$22)&lt;&gt;$C$14),1)</formula>
    </cfRule>
  </conditionalFormatting>
  <conditionalFormatting sqref="D23">
    <cfRule type="expression" dxfId="3" priority="110">
      <formula>IF(OR($F$10="Baseline", SUM($D$21:$D$22)=$D$14),0)</formula>
    </cfRule>
    <cfRule type="expression" dxfId="2" priority="111">
      <formula>IF(AND($F$10="Distributed", SUM($D$21:$D$22)&lt;&gt;$D$14),1)</formula>
    </cfRule>
  </conditionalFormatting>
  <conditionalFormatting sqref="E23">
    <cfRule type="expression" dxfId="1" priority="112">
      <formula>IF(OR($F$10="Baseline", SUM($E$21:$E$22)=$E$14),0)</formula>
    </cfRule>
    <cfRule type="expression" dxfId="0" priority="113">
      <formula>IF(AND($F$10="Distributed", SUM($E$21:$E$22)&lt;&gt;$E$14),1)</formula>
    </cfRule>
  </conditionalFormatting>
  <dataValidations count="3">
    <dataValidation type="list" operator="equal" allowBlank="1" showInputMessage="1" showErrorMessage="1" sqref="C27">
      <formula1>"2,3,4,5"</formula1>
    </dataValidation>
    <dataValidation type="list" allowBlank="1" showInputMessage="1" showErrorMessage="1" sqref="D27:E27">
      <formula1>"2,3,4,5"</formula1>
    </dataValidation>
    <dataValidation type="list" allowBlank="1" showInputMessage="1" showErrorMessage="1" sqref="F10">
      <formula1>"Baseline,Distributed"</formula1>
    </dataValidation>
  </dataValidations>
  <pageMargins left="0.25" right="0.25" top="0.75" bottom="0.75" header="0.3" footer="0.3"/>
  <pageSetup scale="66" fitToHeight="0" orientation="portrait" r:id="rId1"/>
  <headerFooter>
    <oddHeader>&amp;C&amp;"Calibri,Bold"&amp;16Basic Facilities Requirement</oddHeader>
  </headerFooter>
  <rowBreaks count="1" manualBreakCount="1">
    <brk id="54" max="7" man="1"/>
  </rowBreaks>
  <customProperties>
    <customPr name="SSC_SHEET_GUID" r:id="rId2"/>
  </customProperties>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C00000"/>
    <pageSetUpPr fitToPage="1"/>
  </sheetPr>
  <dimension ref="A1:H131"/>
  <sheetViews>
    <sheetView topLeftCell="A88" zoomScaleNormal="100" workbookViewId="0">
      <selection activeCell="D111" sqref="D111:F111"/>
    </sheetView>
  </sheetViews>
  <sheetFormatPr defaultColWidth="8" defaultRowHeight="14.4" x14ac:dyDescent="0.3"/>
  <cols>
    <col min="1" max="1" width="25.6640625" style="19" customWidth="1"/>
    <col min="2" max="2" width="7.6640625" style="85" customWidth="1"/>
    <col min="3" max="5" width="15.6640625" style="19" customWidth="1"/>
    <col min="6" max="6" width="30.6640625" style="19" customWidth="1"/>
    <col min="7" max="7" width="22.6640625" style="19" customWidth="1"/>
    <col min="8" max="8" width="18.6640625" style="19" customWidth="1"/>
    <col min="9" max="16384" width="8" style="19"/>
  </cols>
  <sheetData>
    <row r="1" spans="1:8" s="84" customFormat="1" ht="36" customHeight="1" x14ac:dyDescent="0.3">
      <c r="B1" s="351"/>
      <c r="C1" s="589" t="str">
        <f>CONCATENATE(Distributed!F10," BFR"," Scenario is Active")</f>
        <v>Baseline BFR Scenario is Active</v>
      </c>
      <c r="D1" s="589"/>
      <c r="E1" s="589"/>
      <c r="F1" s="589"/>
      <c r="G1" s="354"/>
      <c r="H1" s="348" t="s">
        <v>420</v>
      </c>
    </row>
    <row r="2" spans="1:8" x14ac:dyDescent="0.3">
      <c r="A2" s="184" t="s">
        <v>194</v>
      </c>
      <c r="B2" s="185"/>
      <c r="C2" s="591"/>
      <c r="D2" s="591"/>
      <c r="E2" s="591"/>
      <c r="F2" s="591"/>
      <c r="G2" s="342" t="s">
        <v>426</v>
      </c>
      <c r="H2" s="158" t="str">
        <f>Distributed!F10</f>
        <v>Baseline</v>
      </c>
    </row>
    <row r="3" spans="1:8" x14ac:dyDescent="0.3">
      <c r="A3" s="186" t="s">
        <v>192</v>
      </c>
      <c r="C3" s="588" t="str">
        <f>CONCATENATE(" ",Activity!C3," - ",Activity!D3)</f>
        <v xml:space="preserve">  - </v>
      </c>
      <c r="D3" s="588"/>
      <c r="E3" s="588"/>
      <c r="F3" s="588"/>
      <c r="G3" s="25" t="str">
        <f>C20</f>
        <v>Private:</v>
      </c>
      <c r="H3" s="161">
        <f>C28</f>
        <v>0</v>
      </c>
    </row>
    <row r="4" spans="1:8" x14ac:dyDescent="0.3">
      <c r="A4" s="186" t="s">
        <v>190</v>
      </c>
      <c r="C4" s="588" t="str">
        <f>CONCATENATE(" ",Activity!C4," - ",Activity!D4)</f>
        <v xml:space="preserve">  - </v>
      </c>
      <c r="D4" s="588"/>
      <c r="E4" s="588"/>
      <c r="F4" s="588"/>
      <c r="G4" s="25" t="str">
        <f>D20</f>
        <v>WST1:</v>
      </c>
      <c r="H4" s="161">
        <f>C29</f>
        <v>0</v>
      </c>
    </row>
    <row r="5" spans="1:8" x14ac:dyDescent="0.3">
      <c r="A5" s="186" t="s">
        <v>188</v>
      </c>
      <c r="C5" s="588" t="str">
        <f>CONCATENATE(" ",Activity!C5," - ",Activity!D5)</f>
        <v xml:space="preserve">  - </v>
      </c>
      <c r="D5" s="588"/>
      <c r="E5" s="588"/>
      <c r="F5" s="588"/>
      <c r="G5" s="25" t="str">
        <f>E20</f>
        <v>WST2:</v>
      </c>
      <c r="H5" s="161">
        <f>C30</f>
        <v>0</v>
      </c>
    </row>
    <row r="6" spans="1:8" x14ac:dyDescent="0.3">
      <c r="A6" s="186" t="s">
        <v>186</v>
      </c>
      <c r="C6" s="588" t="str">
        <f>CONCATENATE(" ",Activity!C6)</f>
        <v xml:space="preserve"> CCN 61010 - Administrative Office Building</v>
      </c>
      <c r="D6" s="588"/>
      <c r="E6" s="588"/>
      <c r="F6" s="588"/>
      <c r="G6" s="25" t="str">
        <f>F20</f>
        <v>Space Loading:</v>
      </c>
      <c r="H6" s="161">
        <f>SUM(H3:H5)</f>
        <v>0</v>
      </c>
    </row>
    <row r="7" spans="1:8" x14ac:dyDescent="0.3">
      <c r="A7" s="186" t="s">
        <v>185</v>
      </c>
      <c r="C7" s="592">
        <f>Activity!C7</f>
        <v>0</v>
      </c>
      <c r="D7" s="547"/>
      <c r="E7" s="547"/>
      <c r="F7" s="547"/>
      <c r="G7" s="67" t="str">
        <f>Detailed_Analysis!G86</f>
        <v>Net Admin:</v>
      </c>
      <c r="H7" s="162">
        <f>H32</f>
        <v>0</v>
      </c>
    </row>
    <row r="8" spans="1:8" x14ac:dyDescent="0.3">
      <c r="C8" s="547"/>
      <c r="D8" s="547"/>
      <c r="E8" s="547"/>
      <c r="F8" s="547"/>
      <c r="G8" s="67" t="str">
        <f>Detailed_Analysis!G83</f>
        <v>Net Special:</v>
      </c>
      <c r="H8" s="162">
        <f>Detailed_Analysis!H83</f>
        <v>0</v>
      </c>
    </row>
    <row r="9" spans="1:8" x14ac:dyDescent="0.3">
      <c r="C9" s="547"/>
      <c r="D9" s="547"/>
      <c r="E9" s="547"/>
      <c r="F9" s="547"/>
      <c r="G9" s="67" t="str">
        <f>Detailed_Analysis!G88</f>
        <v>Net Bldg Area:</v>
      </c>
      <c r="H9" s="162">
        <f>Detailed_Analysis!H88</f>
        <v>0</v>
      </c>
    </row>
    <row r="10" spans="1:8" x14ac:dyDescent="0.3">
      <c r="C10" s="547"/>
      <c r="D10" s="547"/>
      <c r="E10" s="547"/>
      <c r="F10" s="547"/>
      <c r="G10" s="67" t="s">
        <v>184</v>
      </c>
      <c r="H10" s="188">
        <f>Detailed_Analysis!C92</f>
        <v>1</v>
      </c>
    </row>
    <row r="11" spans="1:8" x14ac:dyDescent="0.3">
      <c r="A11" s="186" t="s">
        <v>183</v>
      </c>
      <c r="C11" s="592">
        <f>Activity!C11</f>
        <v>0</v>
      </c>
      <c r="D11" s="547"/>
      <c r="E11" s="547"/>
      <c r="F11" s="547"/>
      <c r="G11" s="67" t="s">
        <v>182</v>
      </c>
      <c r="H11" s="189">
        <f>C107</f>
        <v>0</v>
      </c>
    </row>
    <row r="12" spans="1:8" x14ac:dyDescent="0.3">
      <c r="C12" s="547"/>
      <c r="D12" s="547"/>
      <c r="E12" s="547"/>
      <c r="F12" s="547"/>
      <c r="G12" s="67" t="s">
        <v>181</v>
      </c>
      <c r="H12" s="189">
        <f>G107</f>
        <v>0</v>
      </c>
    </row>
    <row r="13" spans="1:8" x14ac:dyDescent="0.3">
      <c r="C13" s="547"/>
      <c r="D13" s="547"/>
      <c r="E13" s="547"/>
      <c r="F13" s="547"/>
      <c r="G13" s="25" t="str">
        <f>Detailed_Analysis!G111</f>
        <v>NTG Area:</v>
      </c>
      <c r="H13" s="162">
        <f>Detailed_Analysis!H111</f>
        <v>0</v>
      </c>
    </row>
    <row r="14" spans="1:8" x14ac:dyDescent="0.3">
      <c r="C14" s="547"/>
      <c r="D14" s="547"/>
      <c r="E14" s="547"/>
      <c r="F14" s="547"/>
      <c r="G14" s="25" t="str">
        <f>Detailed_Analysis!G112</f>
        <v>NTG Factor:</v>
      </c>
      <c r="H14" s="190">
        <f>H112</f>
        <v>0</v>
      </c>
    </row>
    <row r="15" spans="1:8" x14ac:dyDescent="0.3">
      <c r="C15" s="547"/>
      <c r="D15" s="547"/>
      <c r="E15" s="547"/>
      <c r="F15" s="547"/>
      <c r="G15" s="25" t="str">
        <f>Detailed_Analysis!G113</f>
        <v>Gross Bldg Area:</v>
      </c>
      <c r="H15" s="191">
        <f>Detailed_Analysis!H113</f>
        <v>0</v>
      </c>
    </row>
    <row r="16" spans="1:8" x14ac:dyDescent="0.3">
      <c r="C16" s="547"/>
      <c r="D16" s="547"/>
      <c r="E16" s="547"/>
      <c r="F16" s="547"/>
      <c r="G16" s="67" t="s">
        <v>19</v>
      </c>
      <c r="H16" s="191">
        <f>Detailed_Analysis!H113/Detailed_Analysis!C92</f>
        <v>0</v>
      </c>
    </row>
    <row r="17" spans="1:8" x14ac:dyDescent="0.3">
      <c r="C17" s="547"/>
      <c r="D17" s="547"/>
      <c r="E17" s="547"/>
      <c r="F17" s="547"/>
      <c r="G17" s="67" t="str">
        <f>A115</f>
        <v>Admin GSF/PN:</v>
      </c>
      <c r="H17" s="155">
        <f>Detailed_Analysis!H115</f>
        <v>0</v>
      </c>
    </row>
    <row r="18" spans="1:8" x14ac:dyDescent="0.3">
      <c r="C18" s="547"/>
      <c r="D18" s="547"/>
      <c r="E18" s="547"/>
      <c r="F18" s="547"/>
      <c r="G18" s="67" t="str">
        <f>A116</f>
        <v>Total GSF/PN:</v>
      </c>
      <c r="H18" s="155">
        <f>Detailed_Analysis!H116</f>
        <v>0</v>
      </c>
    </row>
    <row r="19" spans="1:8" x14ac:dyDescent="0.3">
      <c r="C19" s="89"/>
    </row>
    <row r="20" spans="1:8" ht="15.6" x14ac:dyDescent="0.3">
      <c r="A20" s="192" t="s">
        <v>180</v>
      </c>
      <c r="B20" s="193"/>
      <c r="C20" s="149" t="s">
        <v>179</v>
      </c>
      <c r="D20" s="149" t="s">
        <v>178</v>
      </c>
      <c r="E20" s="149" t="s">
        <v>177</v>
      </c>
      <c r="F20" s="150" t="s">
        <v>176</v>
      </c>
      <c r="H20" s="348" t="s">
        <v>195</v>
      </c>
    </row>
    <row r="21" spans="1:8" x14ac:dyDescent="0.3">
      <c r="A21" s="196" t="s">
        <v>175</v>
      </c>
      <c r="B21" s="101"/>
      <c r="C21" s="197">
        <f>IF(Distributed!$F$10="Baseline",C22,IF(Distributed!$F$10="Distributed",C23))</f>
        <v>0</v>
      </c>
      <c r="D21" s="197">
        <f>IF(Distributed!$F$10="Baseline",D22,IF(Distributed!$F$10="Distributed",D23))</f>
        <v>0</v>
      </c>
      <c r="E21" s="197">
        <f>IF(Distributed!$F$10="Baseline",E22,IF(Distributed!$F$10="Distributed",E23))</f>
        <v>0</v>
      </c>
      <c r="F21" s="197">
        <f>SUM(C21:E21)</f>
        <v>0</v>
      </c>
      <c r="H21" s="105" t="s">
        <v>193</v>
      </c>
    </row>
    <row r="22" spans="1:8" x14ac:dyDescent="0.3">
      <c r="A22" s="195" t="s">
        <v>433</v>
      </c>
      <c r="B22" s="158" t="b">
        <f>IF(Distributed!$F$10="Baseline",TRUE,FALSE)</f>
        <v>1</v>
      </c>
      <c r="C22" s="197">
        <f>Activity!C21</f>
        <v>0</v>
      </c>
      <c r="D22" s="197">
        <f>Activity!D21</f>
        <v>0</v>
      </c>
      <c r="E22" s="197">
        <f>Activity!E21</f>
        <v>0</v>
      </c>
      <c r="F22" s="197">
        <f>SUM(C22:E22)</f>
        <v>0</v>
      </c>
      <c r="H22" s="104" t="s">
        <v>191</v>
      </c>
    </row>
    <row r="23" spans="1:8" x14ac:dyDescent="0.3">
      <c r="A23" s="194" t="s">
        <v>434</v>
      </c>
      <c r="B23" s="158" t="b">
        <f>IF(Distributed!$F$10="Distributed",TRUE,FALSE)</f>
        <v>0</v>
      </c>
      <c r="C23" s="197">
        <f>Distributed!C36</f>
        <v>0</v>
      </c>
      <c r="D23" s="197">
        <f>Distributed!D36</f>
        <v>0</v>
      </c>
      <c r="E23" s="197">
        <f>Distributed!E36</f>
        <v>0</v>
      </c>
      <c r="F23" s="197">
        <f>SUM(C23:E23)</f>
        <v>0</v>
      </c>
      <c r="H23" s="103" t="s">
        <v>189</v>
      </c>
    </row>
    <row r="24" spans="1:8" x14ac:dyDescent="0.3">
      <c r="B24" s="341"/>
      <c r="H24" s="102" t="s">
        <v>187</v>
      </c>
    </row>
    <row r="25" spans="1:8" x14ac:dyDescent="0.3">
      <c r="A25" s="195" t="s">
        <v>429</v>
      </c>
      <c r="B25" s="100"/>
      <c r="C25" s="153">
        <f>IF(OR(C28=0,C29=0),100,Activity!C25)</f>
        <v>100</v>
      </c>
      <c r="D25" s="153">
        <f>IF(OR(C28=0,SUM(C29:C30)=0),64,Activity!D25)</f>
        <v>64</v>
      </c>
      <c r="E25" s="153">
        <f>IF(OR(C28=0,SUM(C29:C30)=0),48,Activity!E25)</f>
        <v>48</v>
      </c>
      <c r="F25" s="324" t="str">
        <f>IF(AND(Distributed!F10="Baseline",H115&gt;162.5),"Max. Admin GSF/PN = 162.5 GSF/PN. 
Reduce space allowances.","")</f>
        <v/>
      </c>
    </row>
    <row r="26" spans="1:8" x14ac:dyDescent="0.3">
      <c r="G26" s="89"/>
    </row>
    <row r="27" spans="1:8" x14ac:dyDescent="0.3">
      <c r="A27" s="208" t="s">
        <v>174</v>
      </c>
      <c r="B27" s="209" t="s">
        <v>69</v>
      </c>
      <c r="C27" s="209" t="s">
        <v>134</v>
      </c>
      <c r="D27" s="210" t="s">
        <v>133</v>
      </c>
      <c r="E27" s="210"/>
      <c r="F27" s="210"/>
      <c r="G27" s="209" t="s">
        <v>132</v>
      </c>
      <c r="H27" s="211" t="s">
        <v>109</v>
      </c>
    </row>
    <row r="28" spans="1:8" x14ac:dyDescent="0.3">
      <c r="A28" s="186" t="s">
        <v>173</v>
      </c>
      <c r="B28" s="158" t="b">
        <f>Space_Table!B28</f>
        <v>1</v>
      </c>
      <c r="C28" s="197">
        <f>IF(Space_Table!B28,Detailed_Analysis!C21,0)</f>
        <v>0</v>
      </c>
      <c r="D28" s="581" t="str">
        <f>" Allocate private office space"</f>
        <v xml:space="preserve"> Allocate private office space</v>
      </c>
      <c r="E28" s="581"/>
      <c r="F28" s="581"/>
      <c r="G28" s="187">
        <f>Activity!C25</f>
        <v>120</v>
      </c>
      <c r="H28" s="201">
        <f>IF(Space_Table!B28,C28*G28,0)</f>
        <v>0</v>
      </c>
    </row>
    <row r="29" spans="1:8" x14ac:dyDescent="0.3">
      <c r="A29" s="186" t="s">
        <v>172</v>
      </c>
      <c r="B29" s="158" t="b">
        <f>Space_Table!B29</f>
        <v>1</v>
      </c>
      <c r="C29" s="197">
        <f>IF(Space_Table!B29,Detailed_Analysis!D21,0)</f>
        <v>0</v>
      </c>
      <c r="D29" s="581" t="str">
        <f>" Allocate WS Type 1 space"</f>
        <v xml:space="preserve"> Allocate WS Type 1 space</v>
      </c>
      <c r="E29" s="581"/>
      <c r="F29" s="581"/>
      <c r="G29" s="187">
        <f>Activity!D25</f>
        <v>64</v>
      </c>
      <c r="H29" s="201">
        <f>IF(Space_Table!B29,C29*G29,0)</f>
        <v>0</v>
      </c>
    </row>
    <row r="30" spans="1:8" x14ac:dyDescent="0.3">
      <c r="A30" s="186" t="s">
        <v>171</v>
      </c>
      <c r="B30" s="158" t="b">
        <f>Space_Table!B30</f>
        <v>1</v>
      </c>
      <c r="C30" s="197">
        <f>IF(Space_Table!B30,Detailed_Analysis!E21,0)</f>
        <v>0</v>
      </c>
      <c r="D30" s="581" t="str">
        <f>" Allocate WS Type 2 space"</f>
        <v xml:space="preserve"> Allocate WS Type 2 space</v>
      </c>
      <c r="E30" s="581"/>
      <c r="F30" s="581"/>
      <c r="G30" s="187">
        <f>Activity!E25</f>
        <v>48</v>
      </c>
      <c r="H30" s="201">
        <f>IF(Space_Table!B30,C30*G30,0)</f>
        <v>0</v>
      </c>
    </row>
    <row r="31" spans="1:8" x14ac:dyDescent="0.3">
      <c r="A31" s="186" t="s">
        <v>170</v>
      </c>
      <c r="B31" s="158" t="b">
        <f>Space_Table!B31</f>
        <v>1</v>
      </c>
      <c r="C31" s="198">
        <f>IF(Space_Table!B31,Circulation!F27,0)</f>
        <v>0</v>
      </c>
      <c r="D31" s="581" t="str">
        <f>" (secondary circ. multiplier) (general admin space)"</f>
        <v xml:space="preserve"> (secondary circ. multiplier) (general admin space)</v>
      </c>
      <c r="E31" s="581"/>
      <c r="F31" s="581"/>
      <c r="G31" s="201">
        <f>SUM(H28:H30)</f>
        <v>0</v>
      </c>
      <c r="H31" s="201">
        <f>IF(Space_Table!B31,C31*G31,0)</f>
        <v>0</v>
      </c>
    </row>
    <row r="32" spans="1:8" x14ac:dyDescent="0.3">
      <c r="C32" s="85"/>
      <c r="D32" s="580" t="s">
        <v>169</v>
      </c>
      <c r="E32" s="580"/>
      <c r="F32" s="580"/>
      <c r="G32" s="186" t="s">
        <v>106</v>
      </c>
      <c r="H32" s="201">
        <f>SUM(H28:H31)</f>
        <v>0</v>
      </c>
    </row>
    <row r="33" spans="1:8" s="28" customFormat="1" x14ac:dyDescent="0.3">
      <c r="B33" s="100"/>
    </row>
    <row r="34" spans="1:8" x14ac:dyDescent="0.3">
      <c r="A34" s="208" t="s">
        <v>163</v>
      </c>
      <c r="B34" s="209" t="s">
        <v>69</v>
      </c>
      <c r="C34" s="209" t="s">
        <v>134</v>
      </c>
      <c r="D34" s="210" t="s">
        <v>133</v>
      </c>
      <c r="E34" s="210"/>
      <c r="F34" s="210"/>
      <c r="G34" s="209" t="s">
        <v>132</v>
      </c>
      <c r="H34" s="211" t="s">
        <v>109</v>
      </c>
    </row>
    <row r="35" spans="1:8" x14ac:dyDescent="0.3">
      <c r="A35" s="186" t="s">
        <v>168</v>
      </c>
      <c r="B35" s="99"/>
      <c r="G35" s="89"/>
    </row>
    <row r="36" spans="1:8" x14ac:dyDescent="0.3">
      <c r="A36" s="186" t="s">
        <v>167</v>
      </c>
      <c r="B36" s="158" t="b">
        <f>Space_Table!B36</f>
        <v>1</v>
      </c>
      <c r="C36" s="197">
        <f>IF(Space_Table!B36,F21,0)</f>
        <v>0</v>
      </c>
      <c r="D36" s="581" t="str">
        <f>" Allocate admin support space"</f>
        <v xml:space="preserve"> Allocate admin support space</v>
      </c>
      <c r="E36" s="581"/>
      <c r="F36" s="581"/>
      <c r="G36" s="203">
        <v>10</v>
      </c>
      <c r="H36" s="201">
        <f>IF(Space_Table!B36,C36*G36,0)</f>
        <v>0</v>
      </c>
    </row>
    <row r="37" spans="1:8" x14ac:dyDescent="0.3">
      <c r="A37" s="186" t="s">
        <v>437</v>
      </c>
      <c r="B37" s="158" t="b">
        <f>Space_Table!B37</f>
        <v>1</v>
      </c>
      <c r="C37" s="204">
        <f>IF($F$21&gt;0,IF(Space_Table!B37,1,0),0)</f>
        <v>0</v>
      </c>
      <c r="D37" s="581" t="s">
        <v>427</v>
      </c>
      <c r="E37" s="581"/>
      <c r="F37" s="581"/>
      <c r="G37" s="201">
        <f xml:space="preserve"> -0.0003*($F$21)^2 + 4.6007*($F$21)</f>
        <v>0</v>
      </c>
      <c r="H37" s="201">
        <f>IF(Space_Table!B37,C37*G37,0)</f>
        <v>0</v>
      </c>
    </row>
    <row r="38" spans="1:8" x14ac:dyDescent="0.3">
      <c r="A38" s="186" t="s">
        <v>166</v>
      </c>
      <c r="B38" s="158" t="b">
        <f>Space_Table!B38</f>
        <v>1</v>
      </c>
      <c r="C38" s="198">
        <f>IF(Space_Table!B38,0.12,0)</f>
        <v>0.12</v>
      </c>
      <c r="D38" s="581" t="str">
        <f>" (secondary circ. multiplier) (basic allowances)"</f>
        <v xml:space="preserve"> (secondary circ. multiplier) (basic allowances)</v>
      </c>
      <c r="E38" s="581"/>
      <c r="F38" s="581"/>
      <c r="G38" s="201">
        <f>SUM(H36:H37)</f>
        <v>0</v>
      </c>
      <c r="H38" s="201">
        <f>IF(Space_Table!B38,C38*G38,0)</f>
        <v>0</v>
      </c>
    </row>
    <row r="39" spans="1:8" x14ac:dyDescent="0.3">
      <c r="D39" s="580" t="s">
        <v>165</v>
      </c>
      <c r="E39" s="580"/>
      <c r="F39" s="580"/>
      <c r="G39" s="186" t="s">
        <v>164</v>
      </c>
      <c r="H39" s="201">
        <f>SUM(H36:H38)</f>
        <v>0</v>
      </c>
    </row>
    <row r="40" spans="1:8" x14ac:dyDescent="0.3">
      <c r="D40" s="67"/>
      <c r="E40" s="67"/>
      <c r="F40" s="67"/>
      <c r="G40" s="67"/>
      <c r="H40" s="67"/>
    </row>
    <row r="41" spans="1:8" x14ac:dyDescent="0.3">
      <c r="A41" s="208" t="s">
        <v>163</v>
      </c>
      <c r="B41" s="209" t="s">
        <v>69</v>
      </c>
      <c r="C41" s="209" t="s">
        <v>134</v>
      </c>
      <c r="D41" s="210" t="s">
        <v>133</v>
      </c>
      <c r="E41" s="210"/>
      <c r="F41" s="210"/>
      <c r="G41" s="209" t="s">
        <v>132</v>
      </c>
      <c r="H41" s="211" t="s">
        <v>109</v>
      </c>
    </row>
    <row r="42" spans="1:8" x14ac:dyDescent="0.3">
      <c r="A42" s="186" t="s">
        <v>162</v>
      </c>
      <c r="B42" s="99"/>
      <c r="C42" s="85"/>
    </row>
    <row r="43" spans="1:8" x14ac:dyDescent="0.3">
      <c r="A43" s="186" t="s">
        <v>161</v>
      </c>
      <c r="B43" s="158" t="b">
        <f>Space_Table!B43</f>
        <v>0</v>
      </c>
      <c r="C43" s="204">
        <f>Space_Table!C43</f>
        <v>0</v>
      </c>
      <c r="D43" s="581" t="str">
        <f>" Allocate NSF based on a space analysis"</f>
        <v xml:space="preserve"> Allocate NSF based on a space analysis</v>
      </c>
      <c r="E43" s="581"/>
      <c r="F43" s="581"/>
      <c r="G43" s="212">
        <f>Space_Table!G43</f>
        <v>0</v>
      </c>
      <c r="H43" s="201">
        <f>IF(Space_Table!B43,C43*G43,0)</f>
        <v>0</v>
      </c>
    </row>
    <row r="44" spans="1:8" x14ac:dyDescent="0.3">
      <c r="A44" s="186" t="s">
        <v>160</v>
      </c>
      <c r="B44" s="158" t="b">
        <f>Space_Table!B44</f>
        <v>0</v>
      </c>
      <c r="C44" s="197">
        <f>IF(Space_Table!B44,Space_Table!C44,0)</f>
        <v>0</v>
      </c>
      <c r="D44" s="581" t="str">
        <f>" Allocate additional 80 NSF for each ICO, O7 or SES"</f>
        <v xml:space="preserve"> Allocate additional 80 NSF for each ICO, O7 or SES</v>
      </c>
      <c r="E44" s="581"/>
      <c r="F44" s="581"/>
      <c r="G44" s="213">
        <v>80</v>
      </c>
      <c r="H44" s="201">
        <f>IF(Space_Table!B44,C44*G44,0)</f>
        <v>0</v>
      </c>
    </row>
    <row r="45" spans="1:8" x14ac:dyDescent="0.3">
      <c r="A45" s="186" t="s">
        <v>159</v>
      </c>
      <c r="B45" s="158" t="b">
        <f>Space_Table!B45</f>
        <v>0</v>
      </c>
      <c r="C45" s="215">
        <f>Space_Table!C45</f>
        <v>0</v>
      </c>
      <c r="D45" s="581" t="str">
        <f>" Allocate 8 NSF per locker"</f>
        <v xml:space="preserve"> Allocate 8 NSF per locker</v>
      </c>
      <c r="E45" s="581"/>
      <c r="F45" s="581"/>
      <c r="G45" s="214">
        <v>8</v>
      </c>
      <c r="H45" s="201">
        <f>IF(Space_Table!B45,C45*G45,0)</f>
        <v>0</v>
      </c>
    </row>
    <row r="46" spans="1:8" x14ac:dyDescent="0.3">
      <c r="A46" s="186" t="s">
        <v>158</v>
      </c>
      <c r="B46" s="158" t="b">
        <f>Space_Table!B46</f>
        <v>0</v>
      </c>
      <c r="C46" s="204">
        <f>IF(Space_Table!B46,1,0)</f>
        <v>0</v>
      </c>
      <c r="D46" s="581" t="str">
        <f>" Allocate 20 NSF for every 50 PN assigned"</f>
        <v xml:space="preserve"> Allocate 20 NSF for every 50 PN assigned</v>
      </c>
      <c r="E46" s="581"/>
      <c r="F46" s="581"/>
      <c r="G46" s="212">
        <f>IF(Space_Table!B46,(F21/50)*20,0)</f>
        <v>0</v>
      </c>
      <c r="H46" s="201">
        <f>IF(Space_Table!B46,C46*G46,0)</f>
        <v>0</v>
      </c>
    </row>
    <row r="47" spans="1:8" x14ac:dyDescent="0.3">
      <c r="A47" s="186" t="s">
        <v>157</v>
      </c>
      <c r="B47" s="158" t="b">
        <f>Space_Table!B47</f>
        <v>0</v>
      </c>
      <c r="C47" s="204">
        <f>IF(Space_Table!B47,1,0)</f>
        <v>0</v>
      </c>
      <c r="D47" s="581" t="str">
        <f>" Allocate 80 NSF for every 50 PN assigned"</f>
        <v xml:space="preserve"> Allocate 80 NSF for every 50 PN assigned</v>
      </c>
      <c r="E47" s="581"/>
      <c r="F47" s="581"/>
      <c r="G47" s="212">
        <f>IF(Space_Table!B47,(F21/50)*80,0)</f>
        <v>0</v>
      </c>
      <c r="H47" s="201">
        <f>IF(Space_Table!B47,C47*G47,0)</f>
        <v>0</v>
      </c>
    </row>
    <row r="48" spans="1:8" x14ac:dyDescent="0.3">
      <c r="A48" s="186" t="s">
        <v>156</v>
      </c>
      <c r="B48" s="158" t="b">
        <f>Space_Table!B48</f>
        <v>0</v>
      </c>
      <c r="C48" s="215">
        <f>Space_Table!C48</f>
        <v>0</v>
      </c>
      <c r="D48" s="581" t="str">
        <f>" Allocate 20 NSF per shower"</f>
        <v xml:space="preserve"> Allocate 20 NSF per shower</v>
      </c>
      <c r="E48" s="581"/>
      <c r="F48" s="581"/>
      <c r="G48" s="214">
        <v>20</v>
      </c>
      <c r="H48" s="201">
        <f>IF(Space_Table!B48,C48*G48,0)</f>
        <v>0</v>
      </c>
    </row>
    <row r="49" spans="1:8" x14ac:dyDescent="0.3">
      <c r="A49" s="186" t="s">
        <v>155</v>
      </c>
      <c r="B49" s="158" t="b">
        <f>Space_Table!B49</f>
        <v>1</v>
      </c>
      <c r="C49" s="197">
        <f>IF(Space_Table!B49,IF(AND(Distributed!$F$10="Distributed",Distributed!$F$14&lt;&gt;Distributed!$F$23),0,IF(AND(Distributed!$F$10="Distributed",Distributed!$F$14=Distributed!$F$23),Distributed!$F$14-Distributed!$F$36,0)),0)</f>
        <v>0</v>
      </c>
      <c r="D49" s="517" t="str">
        <f>" Allocate: (Baseline PN - Distributed PN) (16 NSF/PN)"</f>
        <v xml:space="preserve"> Allocate: (Baseline PN - Distributed PN) (16 NSF/PN)</v>
      </c>
      <c r="E49" s="517"/>
      <c r="F49" s="517"/>
      <c r="G49" s="213">
        <v>16</v>
      </c>
      <c r="H49" s="201">
        <f>IF(Space_Table!B49,C49*G49,0)</f>
        <v>0</v>
      </c>
    </row>
    <row r="50" spans="1:8" x14ac:dyDescent="0.3">
      <c r="C50" s="85"/>
      <c r="D50" s="580" t="s">
        <v>154</v>
      </c>
      <c r="E50" s="580"/>
      <c r="F50" s="580"/>
      <c r="G50" s="88" t="s">
        <v>153</v>
      </c>
      <c r="H50" s="201">
        <f>SUM(H43:H49)</f>
        <v>0</v>
      </c>
    </row>
    <row r="51" spans="1:8" x14ac:dyDescent="0.3">
      <c r="A51" s="186" t="s">
        <v>152</v>
      </c>
      <c r="B51" s="99"/>
      <c r="C51" s="85"/>
      <c r="D51" s="15"/>
      <c r="E51" s="15"/>
      <c r="F51" s="15"/>
      <c r="G51" s="91"/>
      <c r="H51" s="91"/>
    </row>
    <row r="52" spans="1:8" x14ac:dyDescent="0.3">
      <c r="A52" s="186" t="s">
        <v>151</v>
      </c>
      <c r="B52" s="158" t="b">
        <f>Space_Table!B52</f>
        <v>0</v>
      </c>
      <c r="C52" s="204">
        <f>IF(Space_Table!B52,1,0)</f>
        <v>0</v>
      </c>
      <c r="D52" s="581" t="str">
        <f>" Allocate 100 NSF + 20 NSF for every 50 PN assigned"</f>
        <v xml:space="preserve"> Allocate 100 NSF + 20 NSF for every 50 PN assigned</v>
      </c>
      <c r="E52" s="581"/>
      <c r="F52" s="581"/>
      <c r="G52" s="212">
        <f>100+($F$21/50)*20</f>
        <v>100</v>
      </c>
      <c r="H52" s="201">
        <f>IF(Space_Table!B52,C52*G52,0)</f>
        <v>0</v>
      </c>
    </row>
    <row r="53" spans="1:8" x14ac:dyDescent="0.3">
      <c r="A53" s="186" t="s">
        <v>401</v>
      </c>
      <c r="B53" s="158" t="b">
        <f>Space_Table!B53</f>
        <v>0</v>
      </c>
      <c r="C53" s="204">
        <f>IF(Space_Table!B53,1,0)</f>
        <v>0</v>
      </c>
      <c r="D53" s="581" t="str">
        <f>" Allocate one secure waiting area at 120 NSF"</f>
        <v xml:space="preserve"> Allocate one secure waiting area at 120 NSF</v>
      </c>
      <c r="E53" s="581"/>
      <c r="F53" s="581"/>
      <c r="G53" s="212">
        <v>120</v>
      </c>
      <c r="H53" s="201">
        <f>IF(Space_Table!B53,C53*G53,0)</f>
        <v>0</v>
      </c>
    </row>
    <row r="54" spans="1:8" x14ac:dyDescent="0.3">
      <c r="A54" s="186" t="s">
        <v>150</v>
      </c>
      <c r="B54" s="158" t="b">
        <f>Space_Table!B54</f>
        <v>0</v>
      </c>
      <c r="C54" s="204">
        <f>IF(Space_Table!B54,1,0)</f>
        <v>0</v>
      </c>
      <c r="D54" s="581" t="str">
        <f>" Allocate NSF based on watch station requirements"</f>
        <v xml:space="preserve"> Allocate NSF based on watch station requirements</v>
      </c>
      <c r="E54" s="581"/>
      <c r="F54" s="581"/>
      <c r="G54" s="201">
        <f>Space_Table!G54</f>
        <v>0</v>
      </c>
      <c r="H54" s="201">
        <f>IF(Space_Table!B54,C54*G54,0)</f>
        <v>0</v>
      </c>
    </row>
    <row r="55" spans="1:8" x14ac:dyDescent="0.3">
      <c r="A55" s="186" t="s">
        <v>149</v>
      </c>
      <c r="B55" s="158" t="b">
        <f>Space_Table!B55</f>
        <v>0</v>
      </c>
      <c r="C55" s="204">
        <f>IF(Space_Table!B55,1,0)</f>
        <v>0</v>
      </c>
      <c r="D55" s="581" t="str">
        <f>" Allocate NSF based on 131 series criteria"</f>
        <v xml:space="preserve"> Allocate NSF based on 131 series criteria</v>
      </c>
      <c r="E55" s="581"/>
      <c r="F55" s="581"/>
      <c r="G55" s="201">
        <f>Space_Table!G55</f>
        <v>0</v>
      </c>
      <c r="H55" s="201">
        <f>IF(Space_Table!B55,C55*G55,0)</f>
        <v>0</v>
      </c>
    </row>
    <row r="56" spans="1:8" x14ac:dyDescent="0.3">
      <c r="A56" s="186" t="s">
        <v>148</v>
      </c>
      <c r="B56" s="158" t="b">
        <f>Space_Table!B56</f>
        <v>0</v>
      </c>
      <c r="C56" s="215">
        <f>IF(Space_Table!B56,Space_Table!C56,0)</f>
        <v>0</v>
      </c>
      <c r="D56" s="581" t="str">
        <f>" Allocate one weapons vault at 120 NSF each"</f>
        <v xml:space="preserve"> Allocate one weapons vault at 120 NSF each</v>
      </c>
      <c r="E56" s="581"/>
      <c r="F56" s="581"/>
      <c r="G56" s="214">
        <v>120</v>
      </c>
      <c r="H56" s="201">
        <f>IF(Space_Table!B56,C56*G56,0)</f>
        <v>0</v>
      </c>
    </row>
    <row r="57" spans="1:8" x14ac:dyDescent="0.3">
      <c r="C57" s="85"/>
      <c r="D57" s="580" t="s">
        <v>147</v>
      </c>
      <c r="E57" s="580"/>
      <c r="F57" s="580"/>
      <c r="G57" s="186" t="s">
        <v>146</v>
      </c>
      <c r="H57" s="201">
        <f>SUM(H52:H56)</f>
        <v>0</v>
      </c>
    </row>
    <row r="58" spans="1:8" x14ac:dyDescent="0.3">
      <c r="A58" s="186" t="s">
        <v>145</v>
      </c>
      <c r="B58" s="99"/>
    </row>
    <row r="59" spans="1:8" x14ac:dyDescent="0.3">
      <c r="A59" s="177" t="str">
        <f>Space_Table!A59</f>
        <v>User_Defined_Space_1:</v>
      </c>
      <c r="B59" s="158" t="b">
        <f>Space_Table!B59</f>
        <v>0</v>
      </c>
      <c r="C59" s="204">
        <f>IF(Space_Table!B59,1,0)</f>
        <v>0</v>
      </c>
      <c r="D59" s="581" t="str">
        <f t="shared" ref="D59:D78" si="0">" Allocate NSF based on user-defined space requirement"</f>
        <v xml:space="preserve"> Allocate NSF based on user-defined space requirement</v>
      </c>
      <c r="E59" s="581"/>
      <c r="F59" s="581"/>
      <c r="G59" s="201">
        <f>Space_Table!G59</f>
        <v>0</v>
      </c>
      <c r="H59" s="201">
        <f>IF(Space_Table!B59,C59*G59,0)</f>
        <v>0</v>
      </c>
    </row>
    <row r="60" spans="1:8" x14ac:dyDescent="0.3">
      <c r="A60" s="177" t="str">
        <f>Space_Table!A60</f>
        <v>User_Defined_Space_2:</v>
      </c>
      <c r="B60" s="158" t="b">
        <f>Space_Table!B60</f>
        <v>0</v>
      </c>
      <c r="C60" s="204">
        <f>IF(Space_Table!B60,1,0)</f>
        <v>0</v>
      </c>
      <c r="D60" s="581" t="str">
        <f t="shared" si="0"/>
        <v xml:space="preserve"> Allocate NSF based on user-defined space requirement</v>
      </c>
      <c r="E60" s="581"/>
      <c r="F60" s="581"/>
      <c r="G60" s="201">
        <f>Space_Table!G60</f>
        <v>0</v>
      </c>
      <c r="H60" s="201">
        <f>IF(Space_Table!B60,C60*G60,0)</f>
        <v>0</v>
      </c>
    </row>
    <row r="61" spans="1:8" x14ac:dyDescent="0.3">
      <c r="A61" s="177" t="str">
        <f>Space_Table!A61</f>
        <v>User_Defined_Space_3:</v>
      </c>
      <c r="B61" s="158" t="b">
        <f>Space_Table!B61</f>
        <v>0</v>
      </c>
      <c r="C61" s="204">
        <f>IF(Space_Table!B61,1,0)</f>
        <v>0</v>
      </c>
      <c r="D61" s="581" t="str">
        <f t="shared" si="0"/>
        <v xml:space="preserve"> Allocate NSF based on user-defined space requirement</v>
      </c>
      <c r="E61" s="581"/>
      <c r="F61" s="581"/>
      <c r="G61" s="201">
        <f>Space_Table!G61</f>
        <v>0</v>
      </c>
      <c r="H61" s="201">
        <f>IF(Space_Table!B61,C61*G61,0)</f>
        <v>0</v>
      </c>
    </row>
    <row r="62" spans="1:8" x14ac:dyDescent="0.3">
      <c r="A62" s="177" t="str">
        <f>Space_Table!A62</f>
        <v>User_Defined_Space_4:</v>
      </c>
      <c r="B62" s="158" t="b">
        <f>Space_Table!B62</f>
        <v>0</v>
      </c>
      <c r="C62" s="204">
        <f>IF(Space_Table!B62,1,0)</f>
        <v>0</v>
      </c>
      <c r="D62" s="581" t="str">
        <f t="shared" si="0"/>
        <v xml:space="preserve"> Allocate NSF based on user-defined space requirement</v>
      </c>
      <c r="E62" s="581"/>
      <c r="F62" s="581"/>
      <c r="G62" s="201">
        <f>Space_Table!G62</f>
        <v>0</v>
      </c>
      <c r="H62" s="201">
        <f>IF(Space_Table!B62,C62*G62,0)</f>
        <v>0</v>
      </c>
    </row>
    <row r="63" spans="1:8" x14ac:dyDescent="0.3">
      <c r="A63" s="177" t="str">
        <f>Space_Table!A63</f>
        <v>User_Defined_Space_5:</v>
      </c>
      <c r="B63" s="158" t="b">
        <f>Space_Table!B63</f>
        <v>0</v>
      </c>
      <c r="C63" s="204">
        <f>IF(Space_Table!B63,1,0)</f>
        <v>0</v>
      </c>
      <c r="D63" s="581" t="str">
        <f t="shared" si="0"/>
        <v xml:space="preserve"> Allocate NSF based on user-defined space requirement</v>
      </c>
      <c r="E63" s="581"/>
      <c r="F63" s="581"/>
      <c r="G63" s="201">
        <f>Space_Table!G63</f>
        <v>0</v>
      </c>
      <c r="H63" s="201">
        <f>IF(Space_Table!B63,C63*G63,0)</f>
        <v>0</v>
      </c>
    </row>
    <row r="64" spans="1:8" x14ac:dyDescent="0.3">
      <c r="A64" s="177" t="str">
        <f>Space_Table!A64</f>
        <v>User_Defined_Space_6:</v>
      </c>
      <c r="B64" s="158" t="b">
        <f>Space_Table!B64</f>
        <v>0</v>
      </c>
      <c r="C64" s="204">
        <f>IF(Space_Table!B64,1,0)</f>
        <v>0</v>
      </c>
      <c r="D64" s="581" t="str">
        <f t="shared" si="0"/>
        <v xml:space="preserve"> Allocate NSF based on user-defined space requirement</v>
      </c>
      <c r="E64" s="581"/>
      <c r="F64" s="581"/>
      <c r="G64" s="201">
        <f>Space_Table!G64</f>
        <v>0</v>
      </c>
      <c r="H64" s="201">
        <f>IF(Space_Table!B64,C64*G64,0)</f>
        <v>0</v>
      </c>
    </row>
    <row r="65" spans="1:8" x14ac:dyDescent="0.3">
      <c r="A65" s="177" t="str">
        <f>Space_Table!A65</f>
        <v>User_Defined_Space_7:</v>
      </c>
      <c r="B65" s="158" t="b">
        <f>Space_Table!B65</f>
        <v>0</v>
      </c>
      <c r="C65" s="204">
        <f>IF(Space_Table!B65,1,0)</f>
        <v>0</v>
      </c>
      <c r="D65" s="581" t="str">
        <f t="shared" si="0"/>
        <v xml:space="preserve"> Allocate NSF based on user-defined space requirement</v>
      </c>
      <c r="E65" s="581"/>
      <c r="F65" s="581"/>
      <c r="G65" s="201">
        <f>Space_Table!G65</f>
        <v>0</v>
      </c>
      <c r="H65" s="201">
        <f>IF(Space_Table!B65,C65*G65,0)</f>
        <v>0</v>
      </c>
    </row>
    <row r="66" spans="1:8" x14ac:dyDescent="0.3">
      <c r="A66" s="177" t="str">
        <f>Space_Table!A66</f>
        <v>User_Defined_Space_8:</v>
      </c>
      <c r="B66" s="158" t="b">
        <f>Space_Table!B66</f>
        <v>0</v>
      </c>
      <c r="C66" s="204">
        <f>IF(Space_Table!B66,1,0)</f>
        <v>0</v>
      </c>
      <c r="D66" s="581" t="str">
        <f t="shared" si="0"/>
        <v xml:space="preserve"> Allocate NSF based on user-defined space requirement</v>
      </c>
      <c r="E66" s="581"/>
      <c r="F66" s="581"/>
      <c r="G66" s="201">
        <f>Space_Table!G66</f>
        <v>0</v>
      </c>
      <c r="H66" s="201">
        <f>IF(Space_Table!B66,C66*G66,0)</f>
        <v>0</v>
      </c>
    </row>
    <row r="67" spans="1:8" x14ac:dyDescent="0.3">
      <c r="A67" s="177" t="str">
        <f>Space_Table!A67</f>
        <v>User_Defined_Space_9:</v>
      </c>
      <c r="B67" s="158" t="b">
        <f>Space_Table!B67</f>
        <v>0</v>
      </c>
      <c r="C67" s="204">
        <f>IF(Space_Table!B67,1,0)</f>
        <v>0</v>
      </c>
      <c r="D67" s="581" t="str">
        <f t="shared" si="0"/>
        <v xml:space="preserve"> Allocate NSF based on user-defined space requirement</v>
      </c>
      <c r="E67" s="581"/>
      <c r="F67" s="581"/>
      <c r="G67" s="201">
        <f>Space_Table!G67</f>
        <v>0</v>
      </c>
      <c r="H67" s="201">
        <f>IF(Space_Table!B67,C67*G67,0)</f>
        <v>0</v>
      </c>
    </row>
    <row r="68" spans="1:8" hidden="1" x14ac:dyDescent="0.3">
      <c r="A68" s="177" t="str">
        <f>Space_Table!A68</f>
        <v>User_Defined_Space_10:</v>
      </c>
      <c r="B68" s="158" t="b">
        <f>Space_Table!B68</f>
        <v>0</v>
      </c>
      <c r="C68" s="204">
        <f>IF(Space_Table!B68,1,0)</f>
        <v>0</v>
      </c>
      <c r="D68" s="581" t="str">
        <f t="shared" si="0"/>
        <v xml:space="preserve"> Allocate NSF based on user-defined space requirement</v>
      </c>
      <c r="E68" s="581"/>
      <c r="F68" s="581"/>
      <c r="G68" s="201">
        <f>Space_Table!G68</f>
        <v>0</v>
      </c>
      <c r="H68" s="201">
        <f>IF(Space_Table!B68,C68*G68,0)</f>
        <v>0</v>
      </c>
    </row>
    <row r="69" spans="1:8" hidden="1" x14ac:dyDescent="0.3">
      <c r="A69" s="177" t="str">
        <f>Space_Table!A69</f>
        <v>User_Defined_Space_11:</v>
      </c>
      <c r="B69" s="158" t="b">
        <f>Space_Table!B69</f>
        <v>0</v>
      </c>
      <c r="C69" s="204">
        <f>IF(Space_Table!B69,1,0)</f>
        <v>0</v>
      </c>
      <c r="D69" s="581" t="str">
        <f t="shared" si="0"/>
        <v xml:space="preserve"> Allocate NSF based on user-defined space requirement</v>
      </c>
      <c r="E69" s="581"/>
      <c r="F69" s="581"/>
      <c r="G69" s="201">
        <f>Space_Table!G69</f>
        <v>0</v>
      </c>
      <c r="H69" s="201">
        <f>IF(Space_Table!B69,C69*G69,0)</f>
        <v>0</v>
      </c>
    </row>
    <row r="70" spans="1:8" hidden="1" x14ac:dyDescent="0.3">
      <c r="A70" s="177" t="str">
        <f>Space_Table!A70</f>
        <v>User_Defined_Space_12:</v>
      </c>
      <c r="B70" s="158" t="b">
        <f>Space_Table!B70</f>
        <v>0</v>
      </c>
      <c r="C70" s="204">
        <f>IF(Space_Table!B70,1,0)</f>
        <v>0</v>
      </c>
      <c r="D70" s="581" t="str">
        <f t="shared" si="0"/>
        <v xml:space="preserve"> Allocate NSF based on user-defined space requirement</v>
      </c>
      <c r="E70" s="581"/>
      <c r="F70" s="581"/>
      <c r="G70" s="201">
        <f>Space_Table!G70</f>
        <v>0</v>
      </c>
      <c r="H70" s="201">
        <f>IF(Space_Table!B70,C70*G70,0)</f>
        <v>0</v>
      </c>
    </row>
    <row r="71" spans="1:8" hidden="1" x14ac:dyDescent="0.3">
      <c r="A71" s="98" t="str">
        <f>Space_Table!A71</f>
        <v>User_Defined_Space_13:</v>
      </c>
      <c r="B71" s="158" t="b">
        <f>Space_Table!B71</f>
        <v>0</v>
      </c>
      <c r="C71" s="204">
        <f>IF(Space_Table!B71,1,0)</f>
        <v>0</v>
      </c>
      <c r="D71" s="581" t="str">
        <f t="shared" si="0"/>
        <v xml:space="preserve"> Allocate NSF based on user-defined space requirement</v>
      </c>
      <c r="E71" s="581"/>
      <c r="F71" s="581"/>
      <c r="G71" s="201">
        <f>Space_Table!G71</f>
        <v>0</v>
      </c>
      <c r="H71" s="201">
        <f>IF(Space_Table!B71,C71*G71,0)</f>
        <v>0</v>
      </c>
    </row>
    <row r="72" spans="1:8" hidden="1" x14ac:dyDescent="0.3">
      <c r="A72" s="98" t="str">
        <f>Space_Table!A72</f>
        <v>User_Defined_Space_14:</v>
      </c>
      <c r="B72" s="158" t="b">
        <f>Space_Table!B72</f>
        <v>0</v>
      </c>
      <c r="C72" s="204">
        <f>IF(Space_Table!B72,1,0)</f>
        <v>0</v>
      </c>
      <c r="D72" s="581" t="str">
        <f t="shared" si="0"/>
        <v xml:space="preserve"> Allocate NSF based on user-defined space requirement</v>
      </c>
      <c r="E72" s="581"/>
      <c r="F72" s="581"/>
      <c r="G72" s="201">
        <f>Space_Table!G72</f>
        <v>0</v>
      </c>
      <c r="H72" s="201">
        <f>IF(Space_Table!B72,C72*G72,0)</f>
        <v>0</v>
      </c>
    </row>
    <row r="73" spans="1:8" hidden="1" x14ac:dyDescent="0.3">
      <c r="A73" s="98" t="str">
        <f>Space_Table!A73</f>
        <v>User_Defined_Space_15:</v>
      </c>
      <c r="B73" s="158" t="b">
        <f>Space_Table!B73</f>
        <v>0</v>
      </c>
      <c r="C73" s="204">
        <f>IF(Space_Table!B73,1,0)</f>
        <v>0</v>
      </c>
      <c r="D73" s="581" t="str">
        <f t="shared" si="0"/>
        <v xml:space="preserve"> Allocate NSF based on user-defined space requirement</v>
      </c>
      <c r="E73" s="581"/>
      <c r="F73" s="581"/>
      <c r="G73" s="201">
        <f>Space_Table!G73</f>
        <v>0</v>
      </c>
      <c r="H73" s="201">
        <f>IF(Space_Table!B73,C73*G73,0)</f>
        <v>0</v>
      </c>
    </row>
    <row r="74" spans="1:8" hidden="1" x14ac:dyDescent="0.3">
      <c r="A74" s="98" t="str">
        <f>Space_Table!A74</f>
        <v>User_Defined_Space_16:</v>
      </c>
      <c r="B74" s="158" t="b">
        <f>Space_Table!B74</f>
        <v>0</v>
      </c>
      <c r="C74" s="204">
        <f>IF(Space_Table!B74,1,0)</f>
        <v>0</v>
      </c>
      <c r="D74" s="581" t="str">
        <f t="shared" si="0"/>
        <v xml:space="preserve"> Allocate NSF based on user-defined space requirement</v>
      </c>
      <c r="E74" s="581"/>
      <c r="F74" s="581"/>
      <c r="G74" s="201">
        <f>Space_Table!G74</f>
        <v>0</v>
      </c>
      <c r="H74" s="201">
        <f>IF(Space_Table!B74,C74*G74,0)</f>
        <v>0</v>
      </c>
    </row>
    <row r="75" spans="1:8" hidden="1" x14ac:dyDescent="0.3">
      <c r="A75" s="98" t="str">
        <f>Space_Table!A75</f>
        <v>User_Defined_Space_17:</v>
      </c>
      <c r="B75" s="158" t="b">
        <f>Space_Table!B75</f>
        <v>0</v>
      </c>
      <c r="C75" s="204">
        <f>IF(Space_Table!B75,1,0)</f>
        <v>0</v>
      </c>
      <c r="D75" s="581" t="str">
        <f t="shared" si="0"/>
        <v xml:space="preserve"> Allocate NSF based on user-defined space requirement</v>
      </c>
      <c r="E75" s="581"/>
      <c r="F75" s="581"/>
      <c r="G75" s="201">
        <f>Space_Table!G75</f>
        <v>0</v>
      </c>
      <c r="H75" s="201">
        <f>IF(Space_Table!B75,C75*G75,0)</f>
        <v>0</v>
      </c>
    </row>
    <row r="76" spans="1:8" hidden="1" x14ac:dyDescent="0.3">
      <c r="A76" s="98" t="str">
        <f>Space_Table!A76</f>
        <v>User_Defined_Space_18:</v>
      </c>
      <c r="B76" s="158" t="b">
        <f>Space_Table!B76</f>
        <v>0</v>
      </c>
      <c r="C76" s="204">
        <f>IF(Space_Table!B76,1,0)</f>
        <v>0</v>
      </c>
      <c r="D76" s="581" t="str">
        <f t="shared" si="0"/>
        <v xml:space="preserve"> Allocate NSF based on user-defined space requirement</v>
      </c>
      <c r="E76" s="581"/>
      <c r="F76" s="581"/>
      <c r="G76" s="201">
        <f>Space_Table!G76</f>
        <v>0</v>
      </c>
      <c r="H76" s="201">
        <f>IF(Space_Table!B76,C76*G76,0)</f>
        <v>0</v>
      </c>
    </row>
    <row r="77" spans="1:8" hidden="1" x14ac:dyDescent="0.3">
      <c r="A77" s="98" t="str">
        <f>Space_Table!A77</f>
        <v>User_Defined_Space_19:</v>
      </c>
      <c r="B77" s="158" t="b">
        <f>Space_Table!B77</f>
        <v>0</v>
      </c>
      <c r="C77" s="204">
        <f>IF(Space_Table!B77,1,0)</f>
        <v>0</v>
      </c>
      <c r="D77" s="581" t="str">
        <f t="shared" si="0"/>
        <v xml:space="preserve"> Allocate NSF based on user-defined space requirement</v>
      </c>
      <c r="E77" s="581"/>
      <c r="F77" s="581"/>
      <c r="G77" s="201">
        <f>Space_Table!G77</f>
        <v>0</v>
      </c>
      <c r="H77" s="201">
        <f>IF(Space_Table!B77,C77*G77,0)</f>
        <v>0</v>
      </c>
    </row>
    <row r="78" spans="1:8" hidden="1" x14ac:dyDescent="0.3">
      <c r="A78" s="98" t="str">
        <f>Space_Table!A78</f>
        <v>User_Defined_Space_20:</v>
      </c>
      <c r="B78" s="158" t="b">
        <f>Space_Table!B78</f>
        <v>0</v>
      </c>
      <c r="C78" s="204">
        <f>IF(Space_Table!B78,1,0)</f>
        <v>0</v>
      </c>
      <c r="D78" s="581" t="str">
        <f t="shared" si="0"/>
        <v xml:space="preserve"> Allocate NSF based on user-defined space requirement</v>
      </c>
      <c r="E78" s="581"/>
      <c r="F78" s="581"/>
      <c r="G78" s="201">
        <f>Space_Table!G78</f>
        <v>0</v>
      </c>
      <c r="H78" s="201">
        <f>IF(Space_Table!B78,C78*G78,0)</f>
        <v>0</v>
      </c>
    </row>
    <row r="79" spans="1:8" x14ac:dyDescent="0.3">
      <c r="C79" s="85"/>
      <c r="D79" s="581" t="str">
        <f>CONCATENATE(A58," ","Subtotal:")</f>
        <v>User Defined Group Subtotal:</v>
      </c>
      <c r="E79" s="581"/>
      <c r="F79" s="581"/>
      <c r="G79" s="186" t="s">
        <v>144</v>
      </c>
      <c r="H79" s="201">
        <f>SUM(H59:H78)</f>
        <v>0</v>
      </c>
    </row>
    <row r="80" spans="1:8" ht="5.0999999999999996" customHeight="1" x14ac:dyDescent="0.3"/>
    <row r="81" spans="1:8" x14ac:dyDescent="0.3">
      <c r="C81" s="85"/>
      <c r="D81" s="580" t="s">
        <v>143</v>
      </c>
      <c r="E81" s="580"/>
      <c r="F81" s="580"/>
      <c r="G81" s="186" t="s">
        <v>142</v>
      </c>
      <c r="H81" s="201">
        <f>G38+H50+H57+H79</f>
        <v>0</v>
      </c>
    </row>
    <row r="82" spans="1:8" x14ac:dyDescent="0.3">
      <c r="A82" s="186" t="s">
        <v>431</v>
      </c>
      <c r="B82" s="158" t="b">
        <f>Space_Table!B82</f>
        <v>1</v>
      </c>
      <c r="C82" s="198">
        <f>IF(Space_Table!B82,Space_Table!C82,0)</f>
        <v>0.12</v>
      </c>
      <c r="D82" s="581" t="str">
        <f>" (secondary circ. multiplier) (special purpose space)"</f>
        <v xml:space="preserve"> (secondary circ. multiplier) (special purpose space)</v>
      </c>
      <c r="E82" s="581"/>
      <c r="F82" s="581"/>
      <c r="G82" s="201">
        <f>H81</f>
        <v>0</v>
      </c>
      <c r="H82" s="201">
        <f>C82*G82</f>
        <v>0</v>
      </c>
    </row>
    <row r="83" spans="1:8" x14ac:dyDescent="0.3">
      <c r="C83" s="85"/>
      <c r="D83" s="581" t="s">
        <v>138</v>
      </c>
      <c r="E83" s="581"/>
      <c r="F83" s="581"/>
      <c r="G83" s="186" t="s">
        <v>137</v>
      </c>
      <c r="H83" s="201">
        <f>SUM(H81:H82)</f>
        <v>0</v>
      </c>
    </row>
    <row r="84" spans="1:8" x14ac:dyDescent="0.3">
      <c r="C84" s="85"/>
    </row>
    <row r="85" spans="1:8" s="144" customFormat="1" ht="15" customHeight="1" x14ac:dyDescent="0.3">
      <c r="A85" s="145" t="s">
        <v>141</v>
      </c>
      <c r="B85" s="148"/>
      <c r="C85" s="149"/>
      <c r="D85" s="224"/>
      <c r="E85" s="224"/>
      <c r="F85" s="224"/>
      <c r="G85" s="149"/>
      <c r="H85" s="150" t="s">
        <v>109</v>
      </c>
    </row>
    <row r="86" spans="1:8" x14ac:dyDescent="0.3">
      <c r="C86" s="85"/>
      <c r="D86" s="581" t="s">
        <v>140</v>
      </c>
      <c r="E86" s="581"/>
      <c r="F86" s="581"/>
      <c r="G86" s="200" t="s">
        <v>139</v>
      </c>
      <c r="H86" s="201">
        <f>H32</f>
        <v>0</v>
      </c>
    </row>
    <row r="87" spans="1:8" x14ac:dyDescent="0.3">
      <c r="C87" s="85"/>
      <c r="D87" s="581" t="s">
        <v>138</v>
      </c>
      <c r="E87" s="581"/>
      <c r="F87" s="581"/>
      <c r="G87" s="200" t="s">
        <v>137</v>
      </c>
      <c r="H87" s="201">
        <f>H83</f>
        <v>0</v>
      </c>
    </row>
    <row r="88" spans="1:8" x14ac:dyDescent="0.3">
      <c r="C88" s="85"/>
      <c r="D88" s="581" t="s">
        <v>136</v>
      </c>
      <c r="E88" s="581"/>
      <c r="F88" s="581"/>
      <c r="G88" s="200" t="s">
        <v>12</v>
      </c>
      <c r="H88" s="201">
        <f>SUM(H86:H87)</f>
        <v>0</v>
      </c>
    </row>
    <row r="90" spans="1:8" s="144" customFormat="1" ht="15" customHeight="1" x14ac:dyDescent="0.3">
      <c r="A90" s="145" t="s">
        <v>135</v>
      </c>
      <c r="B90" s="148" t="s">
        <v>69</v>
      </c>
      <c r="C90" s="149" t="s">
        <v>134</v>
      </c>
      <c r="D90" s="224" t="s">
        <v>133</v>
      </c>
      <c r="E90" s="224"/>
      <c r="F90" s="224"/>
      <c r="G90" s="149" t="s">
        <v>132</v>
      </c>
      <c r="H90" s="150" t="s">
        <v>109</v>
      </c>
    </row>
    <row r="91" spans="1:8" ht="5.0999999999999996" customHeight="1" x14ac:dyDescent="0.3"/>
    <row r="92" spans="1:8" x14ac:dyDescent="0.3">
      <c r="A92" s="200" t="s">
        <v>131</v>
      </c>
      <c r="B92" s="158" t="b">
        <f>Net_To_Gross!B92</f>
        <v>0</v>
      </c>
      <c r="C92" s="227">
        <f>IF(Net_To_Gross!B92,Net_To_Gross!D92,Floors!L4)</f>
        <v>1</v>
      </c>
      <c r="D92" s="227">
        <f>Net_To_Gross!D92</f>
        <v>1</v>
      </c>
      <c r="E92" s="578" t="str">
        <f>" (# floors) (average floor area)"</f>
        <v xml:space="preserve"> (# floors) (average floor area)</v>
      </c>
      <c r="F92" s="558"/>
      <c r="G92" s="229">
        <f>H88/C92</f>
        <v>0</v>
      </c>
      <c r="H92" s="97"/>
    </row>
    <row r="93" spans="1:8" ht="5.0999999999999996" customHeight="1" x14ac:dyDescent="0.3">
      <c r="A93" s="199"/>
    </row>
    <row r="94" spans="1:8" x14ac:dyDescent="0.3">
      <c r="A94" s="200" t="s">
        <v>130</v>
      </c>
      <c r="B94" s="158" t="b">
        <f>Net_To_Gross!B94</f>
        <v>1</v>
      </c>
      <c r="C94" s="204">
        <f>IF(Net_To_Gross!$B$112,0,IF(Net_To_Gross!B94,1,0))</f>
        <v>1</v>
      </c>
      <c r="D94" s="581" t="str">
        <f>" see bathrooms sheet"</f>
        <v xml:space="preserve"> see bathrooms sheet</v>
      </c>
      <c r="E94" s="581"/>
      <c r="F94" s="581"/>
      <c r="G94" s="201">
        <f>Bathrooms!K4</f>
        <v>0</v>
      </c>
      <c r="H94" s="201">
        <f>IF(Net_To_Gross!B94,C94*G94,0)</f>
        <v>0</v>
      </c>
    </row>
    <row r="95" spans="1:8" x14ac:dyDescent="0.3">
      <c r="A95" s="200" t="s">
        <v>129</v>
      </c>
      <c r="B95" s="158" t="b">
        <f>Net_To_Gross!B95</f>
        <v>1</v>
      </c>
      <c r="C95" s="204">
        <f>IF(Net_To_Gross!$B$112,0,IF(Net_To_Gross!B95,1,0))</f>
        <v>1</v>
      </c>
      <c r="D95" s="581" t="str">
        <f>" assume 60% of primary (central) mechanical space"</f>
        <v xml:space="preserve"> assume 60% of primary (central) mechanical space</v>
      </c>
      <c r="E95" s="581"/>
      <c r="F95" s="581"/>
      <c r="G95" s="201">
        <f>((H88/69.2)^1.053)*(0.6)</f>
        <v>0</v>
      </c>
      <c r="H95" s="201">
        <f>IF(Net_To_Gross!B95,C95*G95,0)</f>
        <v>0</v>
      </c>
    </row>
    <row r="96" spans="1:8" x14ac:dyDescent="0.3">
      <c r="A96" s="200" t="s">
        <v>128</v>
      </c>
      <c r="B96" s="158" t="b">
        <f>Net_To_Gross!B96</f>
        <v>1</v>
      </c>
      <c r="C96" s="204">
        <f>IF(Net_To_Gross!$B$112,0,IF($C$92=1,0,IF(Net_To_Gross!B96,1,0)))</f>
        <v>0</v>
      </c>
      <c r="D96" s="581" t="str">
        <f>IF(C92&lt;5," (one/10,000 nsf of avg floor area)(82 nsf/each)(# floors)"," (one/10,000 nsf of avg floor area)(91 nsf/each)(# floors)")</f>
        <v xml:space="preserve"> (one/10,000 nsf of avg floor area)(82 nsf/each)(# floors)</v>
      </c>
      <c r="E96" s="581"/>
      <c r="F96" s="581"/>
      <c r="G96" s="201">
        <f>NTG_Spaces!E13</f>
        <v>0</v>
      </c>
      <c r="H96" s="201">
        <f>IF(Net_To_Gross!B96,C96*G96,0)</f>
        <v>0</v>
      </c>
    </row>
    <row r="97" spans="1:8" x14ac:dyDescent="0.3">
      <c r="A97" s="200" t="s">
        <v>127</v>
      </c>
      <c r="B97" s="158" t="b">
        <f>Net_To_Gross!B97</f>
        <v>1</v>
      </c>
      <c r="C97" s="204">
        <f>IF(Net_To_Gross!$B$112,0,IF($C$92=1,0,IF(Net_To_Gross!B97,C96,0)))</f>
        <v>0</v>
      </c>
      <c r="D97" s="581" t="str">
        <f>IF(C92&lt;5," (one/10,000 nsf of avg floor area)(72 nsf/each)"," (one/10,000 nsf of avg floor area)(152 nsf/each)")</f>
        <v xml:space="preserve"> (one/10,000 nsf of avg floor area)(72 nsf/each)</v>
      </c>
      <c r="E97" s="581"/>
      <c r="F97" s="581"/>
      <c r="G97" s="201">
        <f>NTG_Spaces!G13</f>
        <v>0</v>
      </c>
      <c r="H97" s="201">
        <f t="shared" ref="H97:H103" si="1">C97*G97</f>
        <v>0</v>
      </c>
    </row>
    <row r="98" spans="1:8" x14ac:dyDescent="0.3">
      <c r="A98" s="200" t="s">
        <v>126</v>
      </c>
      <c r="B98" s="158" t="b">
        <f>Net_To_Gross!B98</f>
        <v>1</v>
      </c>
      <c r="C98" s="204">
        <f>IF(Net_To_Gross!$B$112,0,IF(Net_To_Gross!B98,1,0))</f>
        <v>1</v>
      </c>
      <c r="D98" s="581" t="str">
        <f>" (one/10,000 nsf of avg floor area)(20 nsf/each)(# floors)"</f>
        <v xml:space="preserve"> (one/10,000 nsf of avg floor area)(20 nsf/each)(# floors)</v>
      </c>
      <c r="E98" s="581"/>
      <c r="F98" s="581"/>
      <c r="G98" s="201">
        <f>NTG_Spaces!K13</f>
        <v>0</v>
      </c>
      <c r="H98" s="201">
        <f t="shared" si="1"/>
        <v>0</v>
      </c>
    </row>
    <row r="99" spans="1:8" x14ac:dyDescent="0.3">
      <c r="A99" s="200" t="s">
        <v>125</v>
      </c>
      <c r="B99" s="158" t="b">
        <f>Net_To_Gross!B99</f>
        <v>1</v>
      </c>
      <c r="C99" s="204">
        <f>IF(Net_To_Gross!$B$112,0,IF(Net_To_Gross!B99,1,0))</f>
        <v>1</v>
      </c>
      <c r="D99" s="581" t="str">
        <f>" (primary + secondary mechanical space)"</f>
        <v xml:space="preserve"> (primary + secondary mechanical space)</v>
      </c>
      <c r="E99" s="581"/>
      <c r="F99" s="581"/>
      <c r="G99" s="201">
        <f>((H88/69.2)^1.053)+((H88/58)^1.087)</f>
        <v>0</v>
      </c>
      <c r="H99" s="201">
        <f t="shared" si="1"/>
        <v>0</v>
      </c>
    </row>
    <row r="100" spans="1:8" x14ac:dyDescent="0.3">
      <c r="A100" s="200" t="s">
        <v>124</v>
      </c>
      <c r="B100" s="158" t="b">
        <f>Net_To_Gross!B100</f>
        <v>1</v>
      </c>
      <c r="C100" s="198">
        <f>IF(Net_To_Gross!$B$112,0,IF(AND(C28=0,C29=0),0,IF(Net_To_Gross!B100,Circulation!P27,0)))</f>
        <v>0</v>
      </c>
      <c r="D100" s="581" t="str">
        <f>" (primary cm)(net bldg area - all secondary circ space)"</f>
        <v xml:space="preserve"> (primary cm)(net bldg area - all secondary circ space)</v>
      </c>
      <c r="E100" s="581"/>
      <c r="F100" s="581"/>
      <c r="G100" s="201">
        <f>IF(Net_To_Gross!B100,G31+G82,0)</f>
        <v>0</v>
      </c>
      <c r="H100" s="201">
        <f t="shared" si="1"/>
        <v>0</v>
      </c>
    </row>
    <row r="101" spans="1:8" x14ac:dyDescent="0.3">
      <c r="A101" s="200" t="s">
        <v>123</v>
      </c>
      <c r="B101" s="158" t="b">
        <f>Net_To_Gross!B101</f>
        <v>1</v>
      </c>
      <c r="C101" s="204">
        <f>IF(Net_To_Gross!$B$112,0,IF($C$92=1,0,IF(Net_To_Gross!B101,1,0)))</f>
        <v>0</v>
      </c>
      <c r="D101" s="581" t="str">
        <f>" (one/10,000 nsf of avg floor area)(200 nsf/each)(# floors)"</f>
        <v xml:space="preserve"> (one/10,000 nsf of avg floor area)(200 nsf/each)(# floors)</v>
      </c>
      <c r="E101" s="581"/>
      <c r="F101" s="581"/>
      <c r="G101" s="201">
        <f>NTG_Spaces!I13</f>
        <v>0</v>
      </c>
      <c r="H101" s="201">
        <f t="shared" si="1"/>
        <v>0</v>
      </c>
    </row>
    <row r="102" spans="1:8" x14ac:dyDescent="0.3">
      <c r="A102" s="200" t="s">
        <v>122</v>
      </c>
      <c r="B102" s="158" t="b">
        <f>Net_To_Gross!B102</f>
        <v>1</v>
      </c>
      <c r="C102" s="204">
        <f>IF(Net_To_Gross!$B$112,0,IF(Net_To_Gross!B102,1,0))</f>
        <v>1</v>
      </c>
      <c r="D102" s="581" t="str">
        <f>" (one/10,000 nsf of avg floor area)(110 nsf/each)(# floors)"</f>
        <v xml:space="preserve"> (one/10,000 nsf of avg floor area)(110 nsf/each)(# floors)</v>
      </c>
      <c r="E102" s="581"/>
      <c r="F102" s="581"/>
      <c r="G102" s="201">
        <f>NTG_Spaces!C13</f>
        <v>0</v>
      </c>
      <c r="H102" s="201">
        <f t="shared" si="1"/>
        <v>0</v>
      </c>
    </row>
    <row r="103" spans="1:8" x14ac:dyDescent="0.3">
      <c r="A103" s="200" t="s">
        <v>121</v>
      </c>
      <c r="B103" s="158" t="b">
        <f>Net_To_Gross!B103</f>
        <v>1</v>
      </c>
      <c r="C103" s="204">
        <f>IF(Net_To_Gross!$B$112,0,IF(Net_To_Gross!B103,1,0))</f>
        <v>1</v>
      </c>
      <c r="D103" s="581" t="str">
        <f>" (one/10,000 nsf of ground floor area)(60 nsf/each)"</f>
        <v xml:space="preserve"> (one/10,000 nsf of ground floor area)(60 nsf/each)</v>
      </c>
      <c r="E103" s="581"/>
      <c r="F103" s="581"/>
      <c r="G103" s="201">
        <f>NTG_Spaces!M13</f>
        <v>0</v>
      </c>
      <c r="H103" s="201">
        <f t="shared" si="1"/>
        <v>0</v>
      </c>
    </row>
    <row r="104" spans="1:8" x14ac:dyDescent="0.3">
      <c r="A104" s="226" t="str">
        <f>Net_To_Gross!A104</f>
        <v>Other_NTG_Space1:</v>
      </c>
      <c r="B104" s="158" t="b">
        <f>Net_To_Gross!B104</f>
        <v>0</v>
      </c>
      <c r="C104" s="204">
        <f>IF(Net_To_Gross!$B$112,0,IF(Net_To_Gross!B104,1,0))</f>
        <v>0</v>
      </c>
      <c r="D104" s="588" t="str">
        <f>Net_To_Gross!D104</f>
        <v>Provide justification here if applied.</v>
      </c>
      <c r="E104" s="588"/>
      <c r="F104" s="588"/>
      <c r="G104" s="201">
        <f>Net_To_Gross!G104</f>
        <v>0</v>
      </c>
      <c r="H104" s="201">
        <f>IF(Net_To_Gross!B104,C104*G104,0)</f>
        <v>0</v>
      </c>
    </row>
    <row r="105" spans="1:8" x14ac:dyDescent="0.3">
      <c r="A105" s="226" t="str">
        <f>Net_To_Gross!A105</f>
        <v>Other_NTG_Space2:</v>
      </c>
      <c r="B105" s="158" t="b">
        <f>Net_To_Gross!B105</f>
        <v>0</v>
      </c>
      <c r="C105" s="204">
        <f>IF(Net_To_Gross!$B$112,0,IF(Net_To_Gross!B105,1,0))</f>
        <v>0</v>
      </c>
      <c r="D105" s="588" t="str">
        <f>Net_To_Gross!D105</f>
        <v>Provide justification here if applied.</v>
      </c>
      <c r="E105" s="588"/>
      <c r="F105" s="588"/>
      <c r="G105" s="201">
        <f>Net_To_Gross!G105</f>
        <v>0</v>
      </c>
      <c r="H105" s="201">
        <f>IF(Net_To_Gross!B105,C105*G105,0)</f>
        <v>0</v>
      </c>
    </row>
    <row r="106" spans="1:8" ht="5.0999999999999996" customHeight="1" x14ac:dyDescent="0.3"/>
    <row r="107" spans="1:8" x14ac:dyDescent="0.3">
      <c r="A107" s="200" t="s">
        <v>120</v>
      </c>
      <c r="B107" s="158" t="b">
        <f>Net_To_Gross!B107</f>
        <v>1</v>
      </c>
      <c r="C107" s="230">
        <f>IF(H88=0,0,Floors!L9)</f>
        <v>0</v>
      </c>
      <c r="D107" s="231">
        <f>Net_To_Gross!D107</f>
        <v>50</v>
      </c>
      <c r="E107" s="579" t="str">
        <f>" (bldg width) (bldg length)"</f>
        <v xml:space="preserve"> (bldg width) (bldg length)</v>
      </c>
      <c r="F107" s="579"/>
      <c r="G107" s="232">
        <f>Floors!L10</f>
        <v>0</v>
      </c>
      <c r="H107" s="331"/>
    </row>
    <row r="108" spans="1:8" ht="5.0999999999999996" customHeight="1" x14ac:dyDescent="0.3"/>
    <row r="109" spans="1:8" x14ac:dyDescent="0.3">
      <c r="A109" s="200" t="s">
        <v>119</v>
      </c>
      <c r="B109" s="158" t="b">
        <f>Net_To_Gross!B109</f>
        <v>1</v>
      </c>
      <c r="C109" s="204">
        <f>IF(Net_To_Gross!$B$112,0,IF(Net_To_Gross!B109,1,0))</f>
        <v>1</v>
      </c>
      <c r="D109" s="581" t="str">
        <f>" (avg floor area perimeter) (wall thickness) (# floors)"</f>
        <v xml:space="preserve"> (avg floor area perimeter) (wall thickness) (# floors)</v>
      </c>
      <c r="E109" s="581"/>
      <c r="F109" s="581"/>
      <c r="G109" s="201">
        <f>Floors!L11</f>
        <v>0</v>
      </c>
      <c r="H109" s="201">
        <f>IF(Net_To_Gross!B109,C109*G109,0)</f>
        <v>0</v>
      </c>
    </row>
    <row r="110" spans="1:8" ht="5.0999999999999996" customHeight="1" x14ac:dyDescent="0.3">
      <c r="A110" s="96"/>
    </row>
    <row r="111" spans="1:8" ht="30" customHeight="1" x14ac:dyDescent="0.3">
      <c r="A111" s="95"/>
      <c r="B111" s="95"/>
      <c r="C111" s="94" t="s">
        <v>118</v>
      </c>
      <c r="D111" s="586" t="str">
        <f>IF(F21=0,"",IF(Net_To_Gross!B112,"A NTG Override factor has been applied.",IF(OR(F21&lt;50, F21&gt;3000),"A NTG factor of 1.40 is automatically applied because space loading is either less than 50 persons or greater than 3,000 persons.","")))</f>
        <v/>
      </c>
      <c r="E111" s="586"/>
      <c r="F111" s="587"/>
      <c r="G111" s="200" t="s">
        <v>117</v>
      </c>
      <c r="H111" s="201">
        <f>IF(Net_To_Gross!B112,(Detailed_Analysis!H88*Net_To_Gross!C112)-H88,IF(OR(F21&lt;50, F21&gt;3000),(Detailed_Analysis!H88*1.4)-H88,SUM(H94:H109)))</f>
        <v>0</v>
      </c>
    </row>
    <row r="112" spans="1:8" x14ac:dyDescent="0.3">
      <c r="A112" s="336" t="s">
        <v>422</v>
      </c>
      <c r="B112" s="158" t="b">
        <f>Net_To_Gross!B112</f>
        <v>0</v>
      </c>
      <c r="C112" s="233">
        <f>Net_To_Gross!C112</f>
        <v>1.5</v>
      </c>
      <c r="D112" s="588" t="str">
        <f>Net_To_Gross!D112</f>
        <v>Provide justification here if applied.</v>
      </c>
      <c r="E112" s="588"/>
      <c r="F112" s="588"/>
      <c r="G112" s="200" t="s">
        <v>13</v>
      </c>
      <c r="H112" s="233">
        <f>IF(Net_To_Gross!B112,Net_To_Gross!C112,IF(Net_To_Gross!B112,0,IF(OR(H88=0,H111=0),0,IF(OR(F21&lt;50,F21&gt;3000),1.4,(H88+H111)/H88))))</f>
        <v>0</v>
      </c>
    </row>
    <row r="113" spans="1:8" x14ac:dyDescent="0.3">
      <c r="C113" s="85"/>
      <c r="D113" s="580" t="s">
        <v>116</v>
      </c>
      <c r="E113" s="580"/>
      <c r="F113" s="580"/>
      <c r="G113" s="200" t="s">
        <v>115</v>
      </c>
      <c r="H113" s="225">
        <f>H88*H112</f>
        <v>0</v>
      </c>
    </row>
    <row r="114" spans="1:8" x14ac:dyDescent="0.3">
      <c r="F114" s="93"/>
      <c r="G114" s="200" t="s">
        <v>114</v>
      </c>
      <c r="H114" s="293">
        <f>IF(F21=0,0,(H32+H39)/G115)</f>
        <v>0</v>
      </c>
    </row>
    <row r="115" spans="1:8" x14ac:dyDescent="0.3">
      <c r="A115" s="311" t="s">
        <v>113</v>
      </c>
      <c r="C115" s="205">
        <f>(H32+H39)*H112</f>
        <v>0</v>
      </c>
      <c r="D115" s="581" t="s">
        <v>403</v>
      </c>
      <c r="E115" s="581"/>
      <c r="F115" s="581"/>
      <c r="G115" s="206">
        <f>F21</f>
        <v>0</v>
      </c>
      <c r="H115" s="344">
        <f>IF(F21=0,0,C115/G115)</f>
        <v>0</v>
      </c>
    </row>
    <row r="116" spans="1:8" x14ac:dyDescent="0.3">
      <c r="A116" s="200" t="s">
        <v>112</v>
      </c>
      <c r="C116" s="205">
        <f>H88*H112</f>
        <v>0</v>
      </c>
      <c r="D116" s="581" t="s">
        <v>402</v>
      </c>
      <c r="E116" s="581"/>
      <c r="F116" s="581"/>
      <c r="G116" s="206">
        <f>F21</f>
        <v>0</v>
      </c>
      <c r="H116" s="207">
        <f>IF(F21=0,0,C116/F21)</f>
        <v>0</v>
      </c>
    </row>
    <row r="117" spans="1:8" s="28" customFormat="1" x14ac:dyDescent="0.3"/>
    <row r="118" spans="1:8" x14ac:dyDescent="0.3">
      <c r="A118" s="145" t="s">
        <v>111</v>
      </c>
      <c r="B118" s="148"/>
      <c r="C118" s="149" t="s">
        <v>109</v>
      </c>
      <c r="D118" s="224">
        <v>0</v>
      </c>
      <c r="E118" s="224" t="s">
        <v>110</v>
      </c>
      <c r="F118" s="224"/>
      <c r="G118" s="149"/>
      <c r="H118" s="150" t="s">
        <v>109</v>
      </c>
    </row>
    <row r="119" spans="1:8" x14ac:dyDescent="0.3">
      <c r="A119" s="87" t="s">
        <v>435</v>
      </c>
      <c r="B119" s="36"/>
      <c r="C119" s="201">
        <f>H86</f>
        <v>0</v>
      </c>
      <c r="D119" s="582" t="s">
        <v>108</v>
      </c>
      <c r="E119" s="583"/>
      <c r="F119" s="584"/>
      <c r="G119" s="235">
        <f>IF(C122=0,0,C119/C122)</f>
        <v>0</v>
      </c>
    </row>
    <row r="120" spans="1:8" x14ac:dyDescent="0.3">
      <c r="A120" s="87" t="s">
        <v>436</v>
      </c>
      <c r="B120" s="36"/>
      <c r="C120" s="201">
        <f>H87</f>
        <v>0</v>
      </c>
      <c r="D120" s="585"/>
      <c r="E120" s="583"/>
      <c r="F120" s="584"/>
      <c r="G120" s="235">
        <f>IF(C122=0,0,C120/C122)</f>
        <v>0</v>
      </c>
      <c r="H120" s="89"/>
    </row>
    <row r="121" spans="1:8" x14ac:dyDescent="0.3">
      <c r="A121" s="87" t="s">
        <v>107</v>
      </c>
      <c r="B121" s="36"/>
      <c r="C121" s="201">
        <f>IF(Net_To_Gross!B112,H113-H88,H111)</f>
        <v>0</v>
      </c>
      <c r="D121" s="585"/>
      <c r="E121" s="583"/>
      <c r="F121" s="584"/>
      <c r="G121" s="235">
        <f>IF(C122=0,0,C121/C122)</f>
        <v>0</v>
      </c>
    </row>
    <row r="122" spans="1:8" x14ac:dyDescent="0.3">
      <c r="A122" s="87" t="s">
        <v>106</v>
      </c>
      <c r="B122" s="36"/>
      <c r="C122" s="201">
        <f>ROUND(SUM(C119:C121),0)</f>
        <v>0</v>
      </c>
      <c r="D122" s="585"/>
      <c r="E122" s="583"/>
      <c r="F122" s="584"/>
      <c r="G122" s="235">
        <f>IF(C122=0,0,C122/C122)</f>
        <v>0</v>
      </c>
    </row>
    <row r="124" spans="1:8" x14ac:dyDescent="0.3">
      <c r="D124" s="580" t="s">
        <v>105</v>
      </c>
      <c r="E124" s="580"/>
      <c r="F124" s="580"/>
      <c r="G124" s="225">
        <f>ROUND(C122,0)</f>
        <v>0</v>
      </c>
      <c r="H124" s="236">
        <f>0.092903*G124</f>
        <v>0</v>
      </c>
    </row>
    <row r="125" spans="1:8" x14ac:dyDescent="0.3">
      <c r="C125" s="85"/>
      <c r="G125" s="91"/>
      <c r="H125" s="90"/>
    </row>
    <row r="126" spans="1:8" x14ac:dyDescent="0.3">
      <c r="A126" s="184" t="s">
        <v>104</v>
      </c>
      <c r="B126" s="185"/>
      <c r="C126" s="185"/>
      <c r="D126" s="202"/>
      <c r="E126" s="202"/>
      <c r="F126" s="202"/>
      <c r="G126" s="234"/>
      <c r="H126" s="202"/>
    </row>
    <row r="127" spans="1:8" x14ac:dyDescent="0.3">
      <c r="A127" s="200" t="s">
        <v>103</v>
      </c>
      <c r="C127" s="590"/>
      <c r="D127" s="590"/>
      <c r="E127" s="590"/>
      <c r="F127" s="590"/>
      <c r="G127" s="195" t="s">
        <v>101</v>
      </c>
      <c r="H127" s="86"/>
    </row>
    <row r="128" spans="1:8" x14ac:dyDescent="0.3">
      <c r="A128" s="200" t="s">
        <v>102</v>
      </c>
      <c r="C128" s="590"/>
      <c r="D128" s="590"/>
      <c r="E128" s="590"/>
      <c r="F128" s="590"/>
      <c r="G128" s="195" t="s">
        <v>101</v>
      </c>
      <c r="H128" s="86"/>
    </row>
    <row r="130" spans="1:8" x14ac:dyDescent="0.3">
      <c r="A130" s="343" t="s">
        <v>399</v>
      </c>
      <c r="C130" s="590"/>
      <c r="D130" s="590"/>
      <c r="E130" s="590"/>
      <c r="F130" s="590"/>
    </row>
    <row r="131" spans="1:8" x14ac:dyDescent="0.3">
      <c r="H131" s="350" t="s">
        <v>428</v>
      </c>
    </row>
  </sheetData>
  <sheetProtection algorithmName="SHA-512" hashValue="eHNxAD3cdSO2upuwKqZaoZcZ0ZRc4WQaD7/10dW4v+KXPF+soIi33ABwKV5Yxv3pJzvI7xGNnCowY3xzey2y+A==" saltValue="OfmxWUxi1raBUEkfA7B/gg==" spinCount="100000" sheet="1" objects="1" scenarios="1"/>
  <mergeCells count="83">
    <mergeCell ref="C5:F5"/>
    <mergeCell ref="C130:F130"/>
    <mergeCell ref="D61:F61"/>
    <mergeCell ref="D38:F38"/>
    <mergeCell ref="D48:F48"/>
    <mergeCell ref="D49:F49"/>
    <mergeCell ref="D65:F65"/>
    <mergeCell ref="D63:F63"/>
    <mergeCell ref="D53:F53"/>
    <mergeCell ref="D54:F54"/>
    <mergeCell ref="D55:F55"/>
    <mergeCell ref="D56:F56"/>
    <mergeCell ref="D57:F57"/>
    <mergeCell ref="D50:F50"/>
    <mergeCell ref="D52:F52"/>
    <mergeCell ref="D45:F45"/>
    <mergeCell ref="C2:F2"/>
    <mergeCell ref="D37:F37"/>
    <mergeCell ref="D39:F39"/>
    <mergeCell ref="D43:F43"/>
    <mergeCell ref="D44:F44"/>
    <mergeCell ref="D28:F28"/>
    <mergeCell ref="D29:F29"/>
    <mergeCell ref="D31:F31"/>
    <mergeCell ref="D32:F32"/>
    <mergeCell ref="D36:F36"/>
    <mergeCell ref="D30:F30"/>
    <mergeCell ref="C7:F10"/>
    <mergeCell ref="C6:F6"/>
    <mergeCell ref="C11:F18"/>
    <mergeCell ref="C3:F3"/>
    <mergeCell ref="C4:F4"/>
    <mergeCell ref="D46:F46"/>
    <mergeCell ref="D62:F62"/>
    <mergeCell ref="D47:F47"/>
    <mergeCell ref="D59:F59"/>
    <mergeCell ref="D60:F60"/>
    <mergeCell ref="D66:F66"/>
    <mergeCell ref="D79:F79"/>
    <mergeCell ref="D67:F67"/>
    <mergeCell ref="D68:F68"/>
    <mergeCell ref="D69:F69"/>
    <mergeCell ref="D70:F70"/>
    <mergeCell ref="D71:F71"/>
    <mergeCell ref="D77:F77"/>
    <mergeCell ref="C1:F1"/>
    <mergeCell ref="D124:F124"/>
    <mergeCell ref="C127:F127"/>
    <mergeCell ref="C128:F128"/>
    <mergeCell ref="D94:F94"/>
    <mergeCell ref="D95:F95"/>
    <mergeCell ref="D96:F96"/>
    <mergeCell ref="D97:F97"/>
    <mergeCell ref="D109:F109"/>
    <mergeCell ref="D78:F78"/>
    <mergeCell ref="D72:F72"/>
    <mergeCell ref="D73:F73"/>
    <mergeCell ref="D74:F74"/>
    <mergeCell ref="D75:F75"/>
    <mergeCell ref="D76:F76"/>
    <mergeCell ref="D64:F64"/>
    <mergeCell ref="D119:F122"/>
    <mergeCell ref="D111:F111"/>
    <mergeCell ref="D99:F99"/>
    <mergeCell ref="D105:F105"/>
    <mergeCell ref="D113:F113"/>
    <mergeCell ref="D112:F112"/>
    <mergeCell ref="D100:F100"/>
    <mergeCell ref="D101:F101"/>
    <mergeCell ref="D102:F102"/>
    <mergeCell ref="D103:F103"/>
    <mergeCell ref="D104:F104"/>
    <mergeCell ref="D115:F115"/>
    <mergeCell ref="D116:F116"/>
    <mergeCell ref="E92:F92"/>
    <mergeCell ref="E107:F107"/>
    <mergeCell ref="D81:F81"/>
    <mergeCell ref="D82:F82"/>
    <mergeCell ref="D83:F83"/>
    <mergeCell ref="D86:F86"/>
    <mergeCell ref="D88:F88"/>
    <mergeCell ref="D87:F87"/>
    <mergeCell ref="D98:F98"/>
  </mergeCells>
  <pageMargins left="0.7" right="0.7" top="0.75" bottom="0.75" header="0.3" footer="0.3"/>
  <pageSetup scale="59" fitToHeight="4" orientation="portrait" r:id="rId1"/>
  <headerFooter>
    <oddHeader>&amp;C&amp;"Calibri,Bold"&amp;16Basic Facilities Requirement</oddHeader>
  </headerFooter>
  <customProperties>
    <customPr name="SSC_SHEET_GUID" r:id="rId2"/>
  </customProperties>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pageSetUpPr fitToPage="1"/>
  </sheetPr>
  <dimension ref="A1:K53"/>
  <sheetViews>
    <sheetView workbookViewId="0">
      <selection activeCell="B53" sqref="B53:K53"/>
    </sheetView>
  </sheetViews>
  <sheetFormatPr defaultColWidth="7.109375" defaultRowHeight="14.4" x14ac:dyDescent="0.3"/>
  <cols>
    <col min="1" max="11" width="12.6640625" style="142" customWidth="1"/>
    <col min="12" max="16384" width="7.109375" style="142"/>
  </cols>
  <sheetData>
    <row r="1" spans="1:11" x14ac:dyDescent="0.3">
      <c r="A1" s="595" t="s">
        <v>345</v>
      </c>
      <c r="B1" s="596"/>
      <c r="C1" s="596"/>
      <c r="D1" s="596"/>
      <c r="E1" s="596"/>
      <c r="F1" s="596"/>
      <c r="G1" s="596"/>
      <c r="H1" s="596"/>
      <c r="I1" s="596"/>
      <c r="J1" s="596"/>
      <c r="K1" s="597"/>
    </row>
    <row r="3" spans="1:11" s="261" customFormat="1" ht="43.2" x14ac:dyDescent="0.3">
      <c r="A3" s="258" t="s">
        <v>335</v>
      </c>
      <c r="C3" s="258" t="s">
        <v>344</v>
      </c>
      <c r="G3" s="142"/>
      <c r="H3" s="142"/>
      <c r="I3" s="142"/>
      <c r="K3" s="258" t="s">
        <v>343</v>
      </c>
    </row>
    <row r="4" spans="1:11" x14ac:dyDescent="0.3">
      <c r="A4" s="269">
        <f>Detailed_Analysis!$F$21</f>
        <v>0</v>
      </c>
      <c r="C4" s="270">
        <f>Detailed_Analysis!C92</f>
        <v>1</v>
      </c>
      <c r="J4" s="246" t="s">
        <v>342</v>
      </c>
      <c r="K4" s="271">
        <f>VLOOKUP(A4,A8:K48,MATCH(C4,B7:K7)+1)</f>
        <v>0</v>
      </c>
    </row>
    <row r="6" spans="1:11" x14ac:dyDescent="0.3">
      <c r="B6" s="259" t="s">
        <v>341</v>
      </c>
      <c r="C6" s="54"/>
      <c r="D6" s="54"/>
      <c r="E6" s="54"/>
      <c r="F6" s="54"/>
      <c r="G6" s="54"/>
      <c r="H6" s="54"/>
      <c r="I6" s="54"/>
      <c r="J6" s="54"/>
      <c r="K6" s="54"/>
    </row>
    <row r="7" spans="1:11" s="143" customFormat="1" x14ac:dyDescent="0.3">
      <c r="A7" s="262" t="s">
        <v>340</v>
      </c>
      <c r="B7" s="260">
        <v>1</v>
      </c>
      <c r="C7" s="260">
        <v>2</v>
      </c>
      <c r="D7" s="260">
        <v>3</v>
      </c>
      <c r="E7" s="260">
        <v>4</v>
      </c>
      <c r="F7" s="260">
        <v>5</v>
      </c>
      <c r="G7" s="260">
        <v>6</v>
      </c>
      <c r="H7" s="260">
        <v>7</v>
      </c>
      <c r="I7" s="260">
        <v>8</v>
      </c>
      <c r="J7" s="260">
        <v>9</v>
      </c>
      <c r="K7" s="260">
        <v>10</v>
      </c>
    </row>
    <row r="8" spans="1:11" x14ac:dyDescent="0.3">
      <c r="A8" s="263">
        <v>0</v>
      </c>
      <c r="B8" s="264">
        <f>$A$8</f>
        <v>0</v>
      </c>
      <c r="C8" s="265"/>
      <c r="D8" s="265"/>
      <c r="E8" s="265"/>
      <c r="F8" s="265"/>
      <c r="G8" s="265"/>
      <c r="H8" s="265"/>
      <c r="I8" s="265"/>
      <c r="J8" s="265"/>
      <c r="K8" s="265"/>
    </row>
    <row r="9" spans="1:11" x14ac:dyDescent="0.3">
      <c r="A9" s="263">
        <v>1</v>
      </c>
      <c r="B9" s="266">
        <v>105</v>
      </c>
      <c r="C9" s="264">
        <v>105</v>
      </c>
      <c r="D9" s="267"/>
      <c r="E9" s="267"/>
      <c r="F9" s="267"/>
      <c r="G9" s="267"/>
      <c r="H9" s="267"/>
      <c r="I9" s="267"/>
      <c r="J9" s="267"/>
      <c r="K9" s="267"/>
    </row>
    <row r="10" spans="1:11" x14ac:dyDescent="0.3">
      <c r="A10" s="263">
        <v>41</v>
      </c>
      <c r="B10" s="266">
        <v>235</v>
      </c>
      <c r="C10" s="268">
        <v>210</v>
      </c>
      <c r="D10" s="264">
        <v>210</v>
      </c>
      <c r="E10" s="267"/>
      <c r="F10" s="267"/>
      <c r="G10" s="267"/>
      <c r="H10" s="267"/>
      <c r="I10" s="267"/>
      <c r="J10" s="267"/>
      <c r="K10" s="267"/>
    </row>
    <row r="11" spans="1:11" x14ac:dyDescent="0.3">
      <c r="A11" s="263">
        <v>81</v>
      </c>
      <c r="B11" s="266">
        <v>305</v>
      </c>
      <c r="C11" s="268">
        <v>470</v>
      </c>
      <c r="D11" s="268">
        <v>315</v>
      </c>
      <c r="E11" s="264">
        <v>315</v>
      </c>
      <c r="F11" s="267"/>
      <c r="G11" s="267"/>
      <c r="H11" s="267"/>
      <c r="I11" s="267"/>
      <c r="J11" s="267"/>
      <c r="K11" s="267"/>
    </row>
    <row r="12" spans="1:11" x14ac:dyDescent="0.3">
      <c r="A12" s="263">
        <v>121</v>
      </c>
      <c r="B12" s="266">
        <v>375</v>
      </c>
      <c r="C12" s="268">
        <v>470</v>
      </c>
      <c r="D12" s="268">
        <v>705</v>
      </c>
      <c r="E12" s="268">
        <v>420</v>
      </c>
      <c r="F12" s="264">
        <v>420</v>
      </c>
      <c r="G12" s="267"/>
      <c r="H12" s="267"/>
      <c r="I12" s="267"/>
      <c r="J12" s="267"/>
      <c r="K12" s="267"/>
    </row>
    <row r="13" spans="1:11" x14ac:dyDescent="0.3">
      <c r="A13" s="263">
        <v>161</v>
      </c>
      <c r="B13" s="266">
        <v>440</v>
      </c>
      <c r="C13" s="268">
        <v>610</v>
      </c>
      <c r="D13" s="268">
        <v>705</v>
      </c>
      <c r="E13" s="268">
        <v>940</v>
      </c>
      <c r="F13" s="268">
        <v>525</v>
      </c>
      <c r="G13" s="264">
        <v>525</v>
      </c>
      <c r="H13" s="267"/>
      <c r="I13" s="267"/>
      <c r="J13" s="267"/>
      <c r="K13" s="267"/>
    </row>
    <row r="14" spans="1:11" x14ac:dyDescent="0.3">
      <c r="A14" s="263">
        <v>201</v>
      </c>
      <c r="B14" s="266">
        <v>610</v>
      </c>
      <c r="C14" s="268">
        <v>750</v>
      </c>
      <c r="D14" s="268">
        <v>915</v>
      </c>
      <c r="E14" s="268">
        <v>940</v>
      </c>
      <c r="F14" s="268">
        <v>1175</v>
      </c>
      <c r="G14" s="268">
        <v>1410</v>
      </c>
      <c r="H14" s="264">
        <v>735</v>
      </c>
      <c r="I14" s="264">
        <v>735</v>
      </c>
      <c r="J14" s="267"/>
      <c r="K14" s="267"/>
    </row>
    <row r="15" spans="1:11" x14ac:dyDescent="0.3">
      <c r="A15" s="263">
        <v>281</v>
      </c>
      <c r="B15" s="266">
        <v>680</v>
      </c>
      <c r="C15" s="268">
        <v>880</v>
      </c>
      <c r="D15" s="268">
        <v>915</v>
      </c>
      <c r="E15" s="268">
        <v>1220</v>
      </c>
      <c r="F15" s="268">
        <v>1175</v>
      </c>
      <c r="G15" s="268">
        <v>1410</v>
      </c>
      <c r="H15" s="268">
        <v>1645</v>
      </c>
      <c r="I15" s="268">
        <v>1880</v>
      </c>
      <c r="J15" s="264">
        <v>945</v>
      </c>
      <c r="K15" s="264">
        <v>945</v>
      </c>
    </row>
    <row r="16" spans="1:11" x14ac:dyDescent="0.3">
      <c r="A16" s="263">
        <v>361</v>
      </c>
      <c r="B16" s="266">
        <v>750</v>
      </c>
      <c r="C16" s="268">
        <v>1220</v>
      </c>
      <c r="D16" s="268">
        <v>1125</v>
      </c>
      <c r="E16" s="268">
        <v>1220</v>
      </c>
      <c r="F16" s="268">
        <v>1525</v>
      </c>
      <c r="G16" s="268">
        <v>1830</v>
      </c>
      <c r="H16" s="268">
        <v>1645</v>
      </c>
      <c r="I16" s="268">
        <v>1880</v>
      </c>
      <c r="J16" s="268">
        <v>2115</v>
      </c>
      <c r="K16" s="268">
        <v>2350</v>
      </c>
    </row>
    <row r="17" spans="1:11" x14ac:dyDescent="0.3">
      <c r="A17" s="263">
        <v>441</v>
      </c>
      <c r="B17" s="266">
        <v>815</v>
      </c>
      <c r="C17" s="268">
        <v>1220</v>
      </c>
      <c r="D17" s="268">
        <v>1320</v>
      </c>
      <c r="E17" s="268">
        <v>1500</v>
      </c>
      <c r="F17" s="268">
        <v>1525</v>
      </c>
      <c r="G17" s="268">
        <v>1830</v>
      </c>
      <c r="H17" s="268">
        <v>1645</v>
      </c>
      <c r="I17" s="268">
        <v>1880</v>
      </c>
      <c r="J17" s="268">
        <v>2115</v>
      </c>
      <c r="K17" s="268">
        <v>2350</v>
      </c>
    </row>
    <row r="18" spans="1:11" x14ac:dyDescent="0.3">
      <c r="A18" s="263">
        <v>521</v>
      </c>
      <c r="B18" s="266">
        <v>880</v>
      </c>
      <c r="C18" s="268">
        <v>1360</v>
      </c>
      <c r="D18" s="268">
        <v>1320</v>
      </c>
      <c r="E18" s="268">
        <v>1500</v>
      </c>
      <c r="F18" s="268">
        <v>1525</v>
      </c>
      <c r="G18" s="268">
        <v>1830</v>
      </c>
      <c r="H18" s="268">
        <v>2135</v>
      </c>
      <c r="I18" s="268">
        <v>1880</v>
      </c>
      <c r="J18" s="268">
        <v>2115</v>
      </c>
      <c r="K18" s="268">
        <v>2350</v>
      </c>
    </row>
    <row r="19" spans="1:11" x14ac:dyDescent="0.3">
      <c r="A19" s="263">
        <v>601</v>
      </c>
      <c r="B19" s="266">
        <v>1360</v>
      </c>
      <c r="C19" s="268">
        <v>1360</v>
      </c>
      <c r="D19" s="268">
        <v>1320</v>
      </c>
      <c r="E19" s="268">
        <v>1760</v>
      </c>
      <c r="F19" s="268">
        <v>1875</v>
      </c>
      <c r="G19" s="268">
        <v>1830</v>
      </c>
      <c r="H19" s="268">
        <v>2135</v>
      </c>
      <c r="I19" s="268">
        <v>2440</v>
      </c>
      <c r="J19" s="268">
        <v>2115</v>
      </c>
      <c r="K19" s="268">
        <v>2350</v>
      </c>
    </row>
    <row r="20" spans="1:11" x14ac:dyDescent="0.3">
      <c r="A20" s="263">
        <v>681</v>
      </c>
      <c r="B20" s="266">
        <v>1500</v>
      </c>
      <c r="C20" s="268">
        <v>1500</v>
      </c>
      <c r="D20" s="268">
        <v>1830</v>
      </c>
      <c r="E20" s="268">
        <v>1760</v>
      </c>
      <c r="F20" s="268">
        <v>1875</v>
      </c>
      <c r="G20" s="268">
        <v>2250</v>
      </c>
      <c r="H20" s="268">
        <v>2135</v>
      </c>
      <c r="I20" s="268">
        <v>2440</v>
      </c>
      <c r="J20" s="268">
        <v>2745</v>
      </c>
      <c r="K20" s="268">
        <v>2350</v>
      </c>
    </row>
    <row r="21" spans="1:11" x14ac:dyDescent="0.3">
      <c r="A21" s="263">
        <v>761</v>
      </c>
      <c r="B21" s="266">
        <v>1500</v>
      </c>
      <c r="C21" s="268">
        <v>1500</v>
      </c>
      <c r="D21" s="268">
        <v>1830</v>
      </c>
      <c r="E21" s="268">
        <v>2440</v>
      </c>
      <c r="F21" s="268">
        <v>2200</v>
      </c>
      <c r="G21" s="268">
        <v>2250</v>
      </c>
      <c r="H21" s="268">
        <v>2135</v>
      </c>
      <c r="I21" s="268">
        <v>2440</v>
      </c>
      <c r="J21" s="268">
        <v>2745</v>
      </c>
      <c r="K21" s="268">
        <v>3050</v>
      </c>
    </row>
    <row r="22" spans="1:11" x14ac:dyDescent="0.3">
      <c r="A22" s="263">
        <v>841</v>
      </c>
      <c r="B22" s="266">
        <v>1630</v>
      </c>
      <c r="C22" s="268">
        <v>1630</v>
      </c>
      <c r="D22" s="268">
        <v>2040</v>
      </c>
      <c r="E22" s="268">
        <v>2440</v>
      </c>
      <c r="F22" s="268">
        <v>2200</v>
      </c>
      <c r="G22" s="268">
        <v>2250</v>
      </c>
      <c r="H22" s="268">
        <v>2625</v>
      </c>
      <c r="I22" s="268">
        <v>2440</v>
      </c>
      <c r="J22" s="268">
        <v>2745</v>
      </c>
      <c r="K22" s="268">
        <v>3050</v>
      </c>
    </row>
    <row r="23" spans="1:11" x14ac:dyDescent="0.3">
      <c r="A23" s="263">
        <v>921</v>
      </c>
      <c r="B23" s="266">
        <v>1630</v>
      </c>
      <c r="C23" s="268">
        <v>1630</v>
      </c>
      <c r="D23" s="268">
        <v>2040</v>
      </c>
      <c r="E23" s="268">
        <v>2440</v>
      </c>
      <c r="F23" s="268">
        <v>2200</v>
      </c>
      <c r="G23" s="268">
        <v>2640</v>
      </c>
      <c r="H23" s="268">
        <v>2625</v>
      </c>
      <c r="I23" s="268">
        <v>3000</v>
      </c>
      <c r="J23" s="268">
        <v>2745</v>
      </c>
      <c r="K23" s="268">
        <v>3050</v>
      </c>
    </row>
    <row r="24" spans="1:11" x14ac:dyDescent="0.3">
      <c r="A24" s="263">
        <v>1001</v>
      </c>
      <c r="B24" s="266">
        <v>1760</v>
      </c>
      <c r="C24" s="268">
        <v>1760</v>
      </c>
      <c r="D24" s="268">
        <v>2040</v>
      </c>
      <c r="E24" s="268">
        <v>2440</v>
      </c>
      <c r="F24" s="268">
        <v>3050</v>
      </c>
      <c r="G24" s="268">
        <v>2640</v>
      </c>
      <c r="H24" s="268">
        <v>2625</v>
      </c>
      <c r="I24" s="268">
        <v>3000</v>
      </c>
      <c r="J24" s="268">
        <v>2745</v>
      </c>
      <c r="K24" s="268">
        <v>3050</v>
      </c>
    </row>
    <row r="25" spans="1:11" x14ac:dyDescent="0.3">
      <c r="A25" s="263">
        <v>1081</v>
      </c>
      <c r="B25" s="266">
        <v>1760</v>
      </c>
      <c r="C25" s="268">
        <v>1760</v>
      </c>
      <c r="D25" s="268">
        <v>2250</v>
      </c>
      <c r="E25" s="268">
        <v>2720</v>
      </c>
      <c r="F25" s="268">
        <v>3050</v>
      </c>
      <c r="G25" s="268">
        <v>2640</v>
      </c>
      <c r="H25" s="268">
        <v>3080</v>
      </c>
      <c r="I25" s="268">
        <v>3000</v>
      </c>
      <c r="J25" s="268">
        <v>3375</v>
      </c>
      <c r="K25" s="268">
        <v>3050</v>
      </c>
    </row>
    <row r="26" spans="1:11" x14ac:dyDescent="0.3">
      <c r="A26" s="263">
        <v>1161</v>
      </c>
      <c r="B26" s="266">
        <v>2250</v>
      </c>
      <c r="C26" s="268">
        <v>2720</v>
      </c>
      <c r="D26" s="268">
        <v>2250</v>
      </c>
      <c r="E26" s="268">
        <v>2720</v>
      </c>
      <c r="F26" s="268">
        <v>3050</v>
      </c>
      <c r="G26" s="268">
        <v>3660</v>
      </c>
      <c r="H26" s="268">
        <v>3080</v>
      </c>
      <c r="I26" s="268">
        <v>3000</v>
      </c>
      <c r="J26" s="268">
        <v>3375</v>
      </c>
      <c r="K26" s="268">
        <v>3750</v>
      </c>
    </row>
    <row r="27" spans="1:11" x14ac:dyDescent="0.3">
      <c r="A27" s="263">
        <v>1241</v>
      </c>
      <c r="B27" s="266">
        <v>2250</v>
      </c>
      <c r="C27" s="268">
        <v>2720</v>
      </c>
      <c r="D27" s="268">
        <v>2250</v>
      </c>
      <c r="E27" s="268">
        <v>2720</v>
      </c>
      <c r="F27" s="268">
        <v>3050</v>
      </c>
      <c r="G27" s="268">
        <v>3660</v>
      </c>
      <c r="H27" s="268">
        <v>3080</v>
      </c>
      <c r="I27" s="268">
        <v>3520</v>
      </c>
      <c r="J27" s="268">
        <v>3375</v>
      </c>
      <c r="K27" s="268">
        <v>3750</v>
      </c>
    </row>
    <row r="28" spans="1:11" x14ac:dyDescent="0.3">
      <c r="A28" s="263">
        <v>1321</v>
      </c>
      <c r="B28" s="266">
        <v>2445</v>
      </c>
      <c r="C28" s="268">
        <v>2720</v>
      </c>
      <c r="D28" s="268">
        <v>2445</v>
      </c>
      <c r="E28" s="268">
        <v>2720</v>
      </c>
      <c r="F28" s="268">
        <v>3050</v>
      </c>
      <c r="G28" s="268">
        <v>3660</v>
      </c>
      <c r="H28" s="268">
        <v>3080</v>
      </c>
      <c r="I28" s="268">
        <v>3520</v>
      </c>
      <c r="J28" s="268">
        <v>3375</v>
      </c>
      <c r="K28" s="268">
        <v>3750</v>
      </c>
    </row>
    <row r="29" spans="1:11" x14ac:dyDescent="0.3">
      <c r="A29" s="263">
        <v>1401</v>
      </c>
      <c r="B29" s="266">
        <v>2445</v>
      </c>
      <c r="C29" s="268">
        <v>3000</v>
      </c>
      <c r="D29" s="268">
        <v>2445</v>
      </c>
      <c r="E29" s="268">
        <v>3000</v>
      </c>
      <c r="F29" s="268">
        <v>3400</v>
      </c>
      <c r="G29" s="268">
        <v>3660</v>
      </c>
      <c r="H29" s="268">
        <v>4270</v>
      </c>
      <c r="I29" s="268">
        <v>3520</v>
      </c>
      <c r="J29" s="268">
        <v>3960</v>
      </c>
      <c r="K29" s="268">
        <v>3750</v>
      </c>
    </row>
    <row r="30" spans="1:11" x14ac:dyDescent="0.3">
      <c r="A30" s="263">
        <v>1481</v>
      </c>
      <c r="B30" s="266">
        <v>2445</v>
      </c>
      <c r="C30" s="268">
        <v>3000</v>
      </c>
      <c r="D30" s="268">
        <v>2445</v>
      </c>
      <c r="E30" s="268">
        <v>3000</v>
      </c>
      <c r="F30" s="268">
        <v>3400</v>
      </c>
      <c r="G30" s="268">
        <v>3660</v>
      </c>
      <c r="H30" s="268">
        <v>4270</v>
      </c>
      <c r="I30" s="268">
        <v>3520</v>
      </c>
      <c r="J30" s="268">
        <v>3960</v>
      </c>
      <c r="K30" s="268">
        <v>3750</v>
      </c>
    </row>
    <row r="31" spans="1:11" x14ac:dyDescent="0.3">
      <c r="A31" s="263">
        <v>1561</v>
      </c>
      <c r="B31" s="266">
        <v>2640</v>
      </c>
      <c r="C31" s="268">
        <v>3000</v>
      </c>
      <c r="D31" s="268">
        <v>2640</v>
      </c>
      <c r="E31" s="268">
        <v>3000</v>
      </c>
      <c r="F31" s="268">
        <v>3400</v>
      </c>
      <c r="G31" s="268">
        <v>3660</v>
      </c>
      <c r="H31" s="268">
        <v>4270</v>
      </c>
      <c r="I31" s="268">
        <v>4880</v>
      </c>
      <c r="J31" s="268">
        <v>3960</v>
      </c>
      <c r="K31" s="268">
        <v>4400</v>
      </c>
    </row>
    <row r="32" spans="1:11" x14ac:dyDescent="0.3">
      <c r="A32" s="263">
        <v>1641</v>
      </c>
      <c r="B32" s="266">
        <v>2640</v>
      </c>
      <c r="C32" s="268">
        <v>3000</v>
      </c>
      <c r="D32" s="268">
        <v>2640</v>
      </c>
      <c r="E32" s="268">
        <v>3000</v>
      </c>
      <c r="F32" s="268">
        <v>3400</v>
      </c>
      <c r="G32" s="268">
        <v>4080</v>
      </c>
      <c r="H32" s="268">
        <v>4270</v>
      </c>
      <c r="I32" s="268">
        <v>4880</v>
      </c>
      <c r="J32" s="268">
        <v>3960</v>
      </c>
      <c r="K32" s="268">
        <v>4400</v>
      </c>
    </row>
    <row r="33" spans="1:11" x14ac:dyDescent="0.3">
      <c r="A33" s="263">
        <v>1721</v>
      </c>
      <c r="B33" s="266">
        <v>2640</v>
      </c>
      <c r="C33" s="268">
        <v>3260</v>
      </c>
      <c r="D33" s="268">
        <v>2640</v>
      </c>
      <c r="E33" s="268">
        <v>3260</v>
      </c>
      <c r="F33" s="268">
        <v>3400</v>
      </c>
      <c r="G33" s="268">
        <v>4080</v>
      </c>
      <c r="H33" s="268">
        <v>4270</v>
      </c>
      <c r="I33" s="268">
        <v>4880</v>
      </c>
      <c r="J33" s="268">
        <v>3960</v>
      </c>
      <c r="K33" s="268">
        <v>4400</v>
      </c>
    </row>
    <row r="34" spans="1:11" x14ac:dyDescent="0.3">
      <c r="A34" s="263">
        <v>1801</v>
      </c>
      <c r="B34" s="266">
        <v>3260</v>
      </c>
      <c r="C34" s="268">
        <v>3260</v>
      </c>
      <c r="D34" s="268">
        <v>4080</v>
      </c>
      <c r="E34" s="268">
        <v>3260</v>
      </c>
      <c r="F34" s="268">
        <v>3750</v>
      </c>
      <c r="G34" s="268">
        <v>4080</v>
      </c>
      <c r="H34" s="268">
        <v>4270</v>
      </c>
      <c r="I34" s="268">
        <v>4880</v>
      </c>
      <c r="J34" s="268">
        <v>5490</v>
      </c>
      <c r="K34" s="268">
        <v>4400</v>
      </c>
    </row>
    <row r="35" spans="1:11" x14ac:dyDescent="0.3">
      <c r="A35" s="263">
        <v>1881</v>
      </c>
      <c r="B35" s="266">
        <v>3260</v>
      </c>
      <c r="C35" s="268">
        <v>3260</v>
      </c>
      <c r="D35" s="268">
        <v>4080</v>
      </c>
      <c r="E35" s="268">
        <v>3260</v>
      </c>
      <c r="F35" s="268">
        <v>3750</v>
      </c>
      <c r="G35" s="268">
        <v>4080</v>
      </c>
      <c r="H35" s="268">
        <v>4270</v>
      </c>
      <c r="I35" s="268">
        <v>4880</v>
      </c>
      <c r="J35" s="268">
        <v>5490</v>
      </c>
      <c r="K35" s="268">
        <v>4400</v>
      </c>
    </row>
    <row r="36" spans="1:11" x14ac:dyDescent="0.3">
      <c r="A36" s="263">
        <v>1961</v>
      </c>
      <c r="B36" s="266">
        <v>3260</v>
      </c>
      <c r="C36" s="268">
        <v>3260</v>
      </c>
      <c r="D36" s="268">
        <v>4080</v>
      </c>
      <c r="E36" s="268">
        <v>3260</v>
      </c>
      <c r="F36" s="268">
        <v>3750</v>
      </c>
      <c r="G36" s="268">
        <v>4080</v>
      </c>
      <c r="H36" s="268">
        <v>4760</v>
      </c>
      <c r="I36" s="268">
        <v>4880</v>
      </c>
      <c r="J36" s="268">
        <v>5490</v>
      </c>
      <c r="K36" s="268">
        <v>6100</v>
      </c>
    </row>
    <row r="37" spans="1:11" x14ac:dyDescent="0.3">
      <c r="A37" s="263">
        <v>2041</v>
      </c>
      <c r="B37" s="266">
        <v>3520</v>
      </c>
      <c r="C37" s="268">
        <v>3520</v>
      </c>
      <c r="D37" s="268">
        <v>4080</v>
      </c>
      <c r="E37" s="268">
        <v>3520</v>
      </c>
      <c r="F37" s="268">
        <v>3750</v>
      </c>
      <c r="G37" s="268">
        <v>4080</v>
      </c>
      <c r="H37" s="268">
        <v>4760</v>
      </c>
      <c r="I37" s="268">
        <v>4880</v>
      </c>
      <c r="J37" s="268">
        <v>5490</v>
      </c>
      <c r="K37" s="268">
        <v>6100</v>
      </c>
    </row>
    <row r="38" spans="1:11" x14ac:dyDescent="0.3">
      <c r="A38" s="263">
        <v>2121</v>
      </c>
      <c r="B38" s="266">
        <v>3520</v>
      </c>
      <c r="C38" s="268">
        <v>3520</v>
      </c>
      <c r="D38" s="268">
        <v>4500</v>
      </c>
      <c r="E38" s="268">
        <v>3520</v>
      </c>
      <c r="F38" s="268">
        <v>3750</v>
      </c>
      <c r="G38" s="268">
        <v>4500</v>
      </c>
      <c r="H38" s="268">
        <v>4760</v>
      </c>
      <c r="I38" s="268">
        <v>4880</v>
      </c>
      <c r="J38" s="268">
        <v>5490</v>
      </c>
      <c r="K38" s="268">
        <v>6100</v>
      </c>
    </row>
    <row r="39" spans="1:11" x14ac:dyDescent="0.3">
      <c r="A39" s="263">
        <v>2201</v>
      </c>
      <c r="B39" s="266">
        <v>3520</v>
      </c>
      <c r="C39" s="268">
        <v>3520</v>
      </c>
      <c r="D39" s="268">
        <v>4500</v>
      </c>
      <c r="E39" s="268">
        <v>3520</v>
      </c>
      <c r="F39" s="268">
        <v>4075</v>
      </c>
      <c r="G39" s="268">
        <v>4500</v>
      </c>
      <c r="H39" s="268">
        <v>4760</v>
      </c>
      <c r="I39" s="268">
        <v>5440</v>
      </c>
      <c r="J39" s="268">
        <v>5490</v>
      </c>
      <c r="K39" s="268">
        <v>6100</v>
      </c>
    </row>
    <row r="40" spans="1:11" x14ac:dyDescent="0.3">
      <c r="A40" s="263">
        <v>2281</v>
      </c>
      <c r="B40" s="266">
        <v>3520</v>
      </c>
      <c r="C40" s="268">
        <v>3520</v>
      </c>
      <c r="D40" s="268">
        <v>4500</v>
      </c>
      <c r="E40" s="268">
        <v>3520</v>
      </c>
      <c r="F40" s="268">
        <v>4075</v>
      </c>
      <c r="G40" s="268">
        <v>4500</v>
      </c>
      <c r="H40" s="268">
        <v>4760</v>
      </c>
      <c r="I40" s="268">
        <v>5440</v>
      </c>
      <c r="J40" s="268">
        <v>5490</v>
      </c>
      <c r="K40" s="268">
        <v>6100</v>
      </c>
    </row>
    <row r="41" spans="1:11" x14ac:dyDescent="0.3">
      <c r="A41" s="263">
        <v>2361</v>
      </c>
      <c r="B41" s="266">
        <v>4075</v>
      </c>
      <c r="C41" s="268">
        <v>4500</v>
      </c>
      <c r="D41" s="268">
        <v>4500</v>
      </c>
      <c r="E41" s="268">
        <v>5440</v>
      </c>
      <c r="F41" s="268">
        <v>4075</v>
      </c>
      <c r="G41" s="268">
        <v>4500</v>
      </c>
      <c r="H41" s="268">
        <v>4760</v>
      </c>
      <c r="I41" s="268">
        <v>5440</v>
      </c>
      <c r="J41" s="268">
        <v>5490</v>
      </c>
      <c r="K41" s="268">
        <v>6100</v>
      </c>
    </row>
    <row r="42" spans="1:11" x14ac:dyDescent="0.3">
      <c r="A42" s="263">
        <v>2441</v>
      </c>
      <c r="B42" s="266">
        <v>4075</v>
      </c>
      <c r="C42" s="268">
        <v>4500</v>
      </c>
      <c r="D42" s="268">
        <v>4500</v>
      </c>
      <c r="E42" s="268">
        <v>5440</v>
      </c>
      <c r="F42" s="268">
        <v>4075</v>
      </c>
      <c r="G42" s="268">
        <v>4500</v>
      </c>
      <c r="H42" s="268">
        <v>4760</v>
      </c>
      <c r="I42" s="268">
        <v>5440</v>
      </c>
      <c r="J42" s="268">
        <v>5490</v>
      </c>
      <c r="K42" s="268">
        <v>6100</v>
      </c>
    </row>
    <row r="43" spans="1:11" x14ac:dyDescent="0.3">
      <c r="A43" s="263">
        <v>2521</v>
      </c>
      <c r="B43" s="266">
        <v>4075</v>
      </c>
      <c r="C43" s="268">
        <v>4500</v>
      </c>
      <c r="D43" s="268">
        <v>4500</v>
      </c>
      <c r="E43" s="268">
        <v>5440</v>
      </c>
      <c r="F43" s="268">
        <v>4075</v>
      </c>
      <c r="G43" s="268">
        <v>4500</v>
      </c>
      <c r="H43" s="268">
        <v>5250</v>
      </c>
      <c r="I43" s="268">
        <v>5440</v>
      </c>
      <c r="J43" s="268">
        <v>6120</v>
      </c>
      <c r="K43" s="268">
        <v>6100</v>
      </c>
    </row>
    <row r="44" spans="1:11" x14ac:dyDescent="0.3">
      <c r="A44" s="263">
        <v>2601</v>
      </c>
      <c r="B44" s="266">
        <v>4400</v>
      </c>
      <c r="C44" s="268">
        <v>4890</v>
      </c>
      <c r="D44" s="268">
        <v>4890</v>
      </c>
      <c r="E44" s="268">
        <v>5440</v>
      </c>
      <c r="F44" s="268">
        <v>4400</v>
      </c>
      <c r="G44" s="268">
        <v>4890</v>
      </c>
      <c r="H44" s="268">
        <v>5250</v>
      </c>
      <c r="I44" s="268">
        <v>5440</v>
      </c>
      <c r="J44" s="268">
        <v>6120</v>
      </c>
      <c r="K44" s="268">
        <v>6100</v>
      </c>
    </row>
    <row r="45" spans="1:11" x14ac:dyDescent="0.3">
      <c r="A45" s="263">
        <v>2681</v>
      </c>
      <c r="B45" s="266">
        <v>4400</v>
      </c>
      <c r="C45" s="268">
        <v>4890</v>
      </c>
      <c r="D45" s="268">
        <v>4890</v>
      </c>
      <c r="E45" s="268">
        <v>5440</v>
      </c>
      <c r="F45" s="268">
        <v>4400</v>
      </c>
      <c r="G45" s="268">
        <v>4890</v>
      </c>
      <c r="H45" s="268">
        <v>5250</v>
      </c>
      <c r="I45" s="268">
        <v>5440</v>
      </c>
      <c r="J45" s="268">
        <v>6120</v>
      </c>
      <c r="K45" s="268">
        <v>6100</v>
      </c>
    </row>
    <row r="46" spans="1:11" x14ac:dyDescent="0.3">
      <c r="A46" s="263">
        <v>2761</v>
      </c>
      <c r="B46" s="266">
        <v>4400</v>
      </c>
      <c r="C46" s="268">
        <v>4890</v>
      </c>
      <c r="D46" s="268">
        <v>4890</v>
      </c>
      <c r="E46" s="268">
        <v>5440</v>
      </c>
      <c r="F46" s="268">
        <v>4400</v>
      </c>
      <c r="G46" s="268">
        <v>4890</v>
      </c>
      <c r="H46" s="268">
        <v>5250</v>
      </c>
      <c r="I46" s="268">
        <v>5440</v>
      </c>
      <c r="J46" s="268">
        <v>6120</v>
      </c>
      <c r="K46" s="268">
        <v>6800</v>
      </c>
    </row>
    <row r="47" spans="1:11" x14ac:dyDescent="0.3">
      <c r="A47" s="263">
        <v>2841</v>
      </c>
      <c r="B47" s="266">
        <v>4400</v>
      </c>
      <c r="C47" s="268">
        <v>4890</v>
      </c>
      <c r="D47" s="268">
        <v>4890</v>
      </c>
      <c r="E47" s="268">
        <v>6000</v>
      </c>
      <c r="F47" s="268">
        <v>4400</v>
      </c>
      <c r="G47" s="268">
        <v>4890</v>
      </c>
      <c r="H47" s="268">
        <v>5250</v>
      </c>
      <c r="I47" s="268">
        <v>6000</v>
      </c>
      <c r="J47" s="268">
        <v>6120</v>
      </c>
      <c r="K47" s="268">
        <v>6800</v>
      </c>
    </row>
    <row r="48" spans="1:11" x14ac:dyDescent="0.3">
      <c r="A48" s="263">
        <v>2921</v>
      </c>
      <c r="B48" s="266">
        <v>4400</v>
      </c>
      <c r="C48" s="268">
        <v>4890</v>
      </c>
      <c r="D48" s="268">
        <v>4890</v>
      </c>
      <c r="E48" s="268">
        <v>6000</v>
      </c>
      <c r="F48" s="268">
        <v>4400</v>
      </c>
      <c r="G48" s="268">
        <v>4890</v>
      </c>
      <c r="H48" s="268">
        <v>5250</v>
      </c>
      <c r="I48" s="268">
        <v>6000</v>
      </c>
      <c r="J48" s="268">
        <v>6120</v>
      </c>
      <c r="K48" s="268">
        <v>6800</v>
      </c>
    </row>
    <row r="50" spans="1:11" x14ac:dyDescent="0.3">
      <c r="A50" s="141" t="s">
        <v>202</v>
      </c>
    </row>
    <row r="51" spans="1:11" x14ac:dyDescent="0.3">
      <c r="A51" s="32">
        <v>1</v>
      </c>
      <c r="B51" s="594" t="s">
        <v>339</v>
      </c>
      <c r="C51" s="594"/>
      <c r="D51" s="594"/>
      <c r="E51" s="594"/>
      <c r="F51" s="594"/>
      <c r="G51" s="594"/>
      <c r="H51" s="594"/>
      <c r="I51" s="594"/>
      <c r="J51" s="594"/>
      <c r="K51" s="594"/>
    </row>
    <row r="52" spans="1:11" ht="45" customHeight="1" x14ac:dyDescent="0.3">
      <c r="A52" s="32">
        <v>2</v>
      </c>
      <c r="B52" s="593" t="s">
        <v>338</v>
      </c>
      <c r="C52" s="593"/>
      <c r="D52" s="593"/>
      <c r="E52" s="593"/>
      <c r="F52" s="593"/>
      <c r="G52" s="593"/>
      <c r="H52" s="593"/>
      <c r="I52" s="593"/>
      <c r="J52" s="593"/>
      <c r="K52" s="593"/>
    </row>
    <row r="53" spans="1:11" x14ac:dyDescent="0.3">
      <c r="A53" s="32">
        <v>3</v>
      </c>
      <c r="B53" s="593" t="s">
        <v>337</v>
      </c>
      <c r="C53" s="593"/>
      <c r="D53" s="593"/>
      <c r="E53" s="593"/>
      <c r="F53" s="593"/>
      <c r="G53" s="593"/>
      <c r="H53" s="593"/>
      <c r="I53" s="593"/>
      <c r="J53" s="593"/>
      <c r="K53" s="593"/>
    </row>
  </sheetData>
  <sheetProtection algorithmName="SHA-512" hashValue="n9ChEVpzPZ3GrGyna7B7aajaEDrds90/P7HnS2AphxA5kuwefknwZouD3en3h6oSGutIgNJix4ByKMuZkhS3mA==" saltValue="2j1jBXc3gyHc59O+LUJiLg==" spinCount="100000" sheet="1" objects="1" scenarios="1"/>
  <mergeCells count="4">
    <mergeCell ref="B52:K52"/>
    <mergeCell ref="B53:K53"/>
    <mergeCell ref="B51:K51"/>
    <mergeCell ref="A1:K1"/>
  </mergeCells>
  <printOptions horizontalCentered="1"/>
  <pageMargins left="0.7" right="0.7" top="0.75" bottom="0.75" header="0.3" footer="0.3"/>
  <pageSetup scale="81" orientation="portrait" r:id="rId1"/>
  <customProperties>
    <customPr name="SSC_SHEET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30</vt:i4>
      </vt:variant>
    </vt:vector>
  </HeadingPairs>
  <TitlesOfParts>
    <vt:vector size="43" baseType="lpstr">
      <vt:lpstr>Intro</vt:lpstr>
      <vt:lpstr>Activity</vt:lpstr>
      <vt:lpstr>Space_Table</vt:lpstr>
      <vt:lpstr>Justification</vt:lpstr>
      <vt:lpstr>Net_To_Gross</vt:lpstr>
      <vt:lpstr>Summary</vt:lpstr>
      <vt:lpstr>Distributed</vt:lpstr>
      <vt:lpstr>Detailed_Analysis</vt:lpstr>
      <vt:lpstr>Bathrooms</vt:lpstr>
      <vt:lpstr>Circulation</vt:lpstr>
      <vt:lpstr>Conference_Rooms</vt:lpstr>
      <vt:lpstr>Floors</vt:lpstr>
      <vt:lpstr>NTG_Spaces</vt:lpstr>
      <vt:lpstr>_options1</vt:lpstr>
      <vt:lpstr>_options2</vt:lpstr>
      <vt:lpstr>_options3</vt:lpstr>
      <vt:lpstr>Activity</vt:lpstr>
      <vt:lpstr>Conference_Room_Table</vt:lpstr>
      <vt:lpstr>Distributed</vt:lpstr>
      <vt:lpstr>email</vt:lpstr>
      <vt:lpstr>Justification</vt:lpstr>
      <vt:lpstr>Bathrooms!Net_To_Gross</vt:lpstr>
      <vt:lpstr>Circulation!Net_To_Gross</vt:lpstr>
      <vt:lpstr>Conference_Rooms!Net_To_Gross</vt:lpstr>
      <vt:lpstr>Detailed_Analysis!Net_To_Gross</vt:lpstr>
      <vt:lpstr>Distributed!Net_To_Gross</vt:lpstr>
      <vt:lpstr>Net_To_Gross!Net_To_Gross</vt:lpstr>
      <vt:lpstr>NTG_Spaces!Net_To_Gross</vt:lpstr>
      <vt:lpstr>Summary!Net_To_Gross</vt:lpstr>
      <vt:lpstr>Net_To_Gross</vt:lpstr>
      <vt:lpstr>NTG_Space_Table</vt:lpstr>
      <vt:lpstr>Activity!Print_Area</vt:lpstr>
      <vt:lpstr>Bathrooms!Print_Area</vt:lpstr>
      <vt:lpstr>Conference_Rooms!Print_Area</vt:lpstr>
      <vt:lpstr>Distributed!Print_Area</vt:lpstr>
      <vt:lpstr>Intro!Print_Area</vt:lpstr>
      <vt:lpstr>Justification!Print_Area</vt:lpstr>
      <vt:lpstr>Net_To_Gross!Print_Area</vt:lpstr>
      <vt:lpstr>NTG_Spaces!Print_Area</vt:lpstr>
      <vt:lpstr>Space_Table!Print_Area</vt:lpstr>
      <vt:lpstr>Summary!Print_Area</vt:lpstr>
      <vt:lpstr>Space_Table</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Cofer, Steven W CIV USN NAVFAC Atlantic</cp:lastModifiedBy>
  <cp:lastPrinted>2022-07-28T04:30:00Z</cp:lastPrinted>
  <dcterms:created xsi:type="dcterms:W3CDTF">2022-06-30T21:24:25Z</dcterms:created>
  <dcterms:modified xsi:type="dcterms:W3CDTF">2022-08-09T19:15:27Z</dcterms:modified>
</cp:coreProperties>
</file>