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showInkAnnotation="0" defaultThemeVersion="124226"/>
  <mc:AlternateContent xmlns:mc="http://schemas.openxmlformats.org/markup-compatibility/2006">
    <mc:Choice Requires="x15">
      <x15ac:absPath xmlns:x15ac="http://schemas.microsoft.com/office/spreadsheetml/2010/11/ac" url="C:\Users\jeffd\OneDrive\Documents\00-attachments\"/>
    </mc:Choice>
  </mc:AlternateContent>
  <xr:revisionPtr revIDLastSave="0" documentId="8_{096694FB-1508-4105-96D1-EECD2268C335}" xr6:coauthVersionLast="47" xr6:coauthVersionMax="47" xr10:uidLastSave="{00000000-0000-0000-0000-000000000000}"/>
  <bookViews>
    <workbookView xWindow="1515" yWindow="1515" windowWidth="21600" windowHeight="11385" tabRatio="913" firstSheet="10" activeTab="10" xr2:uid="{3F1F7729-1F83-46F0-94B0-19AD4BA945FD}"/>
  </bookViews>
  <sheets>
    <sheet name="App G Contents" sheetId="1" r:id="rId1"/>
    <sheet name="Worksheet Overview" sheetId="2" r:id="rId2"/>
    <sheet name="I.1 Assessment Scope" sheetId="3" r:id="rId3"/>
    <sheet name="I.2 Site Info" sheetId="4" r:id="rId4"/>
    <sheet name="I.3 Past Event Info" sheetId="5" r:id="rId5"/>
    <sheet name="I.4 Climate Info Require" sheetId="25" r:id="rId6"/>
    <sheet name="I.5 Current Future Conditions" sheetId="7" r:id="rId7"/>
    <sheet name="I.6 Existing Assmt Eval" sheetId="8" r:id="rId8"/>
    <sheet name="I.7 Impact Characterization" sheetId="24" r:id="rId9"/>
    <sheet name="II.1 Actions " sheetId="27" r:id="rId10"/>
    <sheet name="III.1 LCCA_Grouping" sheetId="28" r:id="rId11"/>
    <sheet name="III.2 CEA" sheetId="29" r:id="rId12"/>
    <sheet name="III.3 Benefits_Grouping" sheetId="30" r:id="rId13"/>
    <sheet name="III.4.1 BCR NPV Grouping" sheetId="31" r:id="rId14"/>
    <sheet name="III.4.2 BCR NPV Seawall Alt" sheetId="32" r:id="rId15"/>
    <sheet name="III.4.3 BCR NPV Flood Gate" sheetId="33" r:id="rId16"/>
    <sheet name="III.4.4 BCR NPV Restore Marsh " sheetId="34" r:id="rId17"/>
    <sheet name="III.4.5 BCR NPV Oyster Reef" sheetId="35" r:id="rId18"/>
    <sheet name="IV.1 Portfolio Summary" sheetId="37" r:id="rId19"/>
  </sheets>
  <definedNames>
    <definedName name="_xlnm.Print_Area" localSheetId="0">'App G Contents'!$A$1:$G$31</definedName>
    <definedName name="_xlnm.Print_Area" localSheetId="2">'I.1 Assessment Scope'!$A$1:$D$15</definedName>
    <definedName name="_xlnm.Print_Area" localSheetId="3">'I.2 Site Info'!$A$1:$J$30</definedName>
    <definedName name="_xlnm.Print_Area" localSheetId="4">'I.3 Past Event Info'!$A$1:$E$27</definedName>
    <definedName name="_xlnm.Print_Area" localSheetId="5">'I.4 Climate Info Require'!$A$1:$M$30</definedName>
    <definedName name="_xlnm.Print_Area" localSheetId="6">'I.5 Current Future Conditions'!$A$1:$P$32</definedName>
    <definedName name="_xlnm.Print_Area" localSheetId="7">'I.6 Existing Assmt Eval'!$A$1:$C$18</definedName>
    <definedName name="_xlnm.Print_Area" localSheetId="8">'I.7 Impact Characterization'!$A$1:$O$38</definedName>
    <definedName name="_xlnm.Print_Area" localSheetId="9">'II.1 Actions '!$A$1:$J$26</definedName>
    <definedName name="_xlnm.Print_Area" localSheetId="10">'III.1 LCCA_Grouping'!$A$1:$N$71</definedName>
    <definedName name="_xlnm.Print_Area" localSheetId="11">'III.2 CEA'!$A$1:$F$40</definedName>
    <definedName name="_xlnm.Print_Area" localSheetId="12">'III.3 Benefits_Grouping'!$A$1:$O$72</definedName>
    <definedName name="_xlnm.Print_Area" localSheetId="13">'III.4.1 BCR NPV Grouping'!$A$1:$N$76</definedName>
    <definedName name="_xlnm.Print_Area" localSheetId="14">'III.4.2 BCR NPV Seawall Alt'!$A$1:$J$75</definedName>
    <definedName name="_xlnm.Print_Area" localSheetId="15">'III.4.3 BCR NPV Flood Gate'!$A$1:$J$75</definedName>
    <definedName name="_xlnm.Print_Area" localSheetId="16">'III.4.4 BCR NPV Restore Marsh '!$A$1:$J$75</definedName>
    <definedName name="_xlnm.Print_Area" localSheetId="17">'III.4.5 BCR NPV Oyster Reef'!$A$1:$K$76</definedName>
    <definedName name="_xlnm.Print_Area" localSheetId="18">'IV.1 Portfolio Summary'!$A$1:$N$22</definedName>
    <definedName name="_xlnm.Print_Area" localSheetId="1">'Worksheet Overview'!$A$1:$A$27</definedName>
    <definedName name="Z_E4212B35_3167_45C2_BD72_B3516EB52D76_.wvu.Cols" localSheetId="11" hidden="1">'III.2 CEA'!#REF!</definedName>
    <definedName name="Z_E4212B35_3167_45C2_BD72_B3516EB52D76_.wvu.PrintArea" localSheetId="0" hidden="1">'App G Contents'!$A$1:$B$31</definedName>
    <definedName name="Z_E4212B35_3167_45C2_BD72_B3516EB52D76_.wvu.PrintArea" localSheetId="2" hidden="1">'I.1 Assessment Scope'!$A$1:$D$15</definedName>
    <definedName name="Z_E4212B35_3167_45C2_BD72_B3516EB52D76_.wvu.PrintArea" localSheetId="3" hidden="1">'I.2 Site Info'!$A$1:$J$19</definedName>
    <definedName name="Z_E4212B35_3167_45C2_BD72_B3516EB52D76_.wvu.PrintArea" localSheetId="4" hidden="1">'I.3 Past Event Info'!$A$1:$E$19</definedName>
    <definedName name="Z_E4212B35_3167_45C2_BD72_B3516EB52D76_.wvu.PrintArea" localSheetId="6" hidden="1">'I.5 Current Future Conditions'!$A$1:$L$22</definedName>
    <definedName name="Z_E4212B35_3167_45C2_BD72_B3516EB52D76_.wvu.PrintArea" localSheetId="7" hidden="1">'I.6 Existing Assmt Eval'!$A$1:$C$18</definedName>
    <definedName name="Z_E4212B35_3167_45C2_BD72_B3516EB52D76_.wvu.PrintArea" localSheetId="9" hidden="1">'II.1 Actions '!$A$1:$J$19</definedName>
    <definedName name="Z_E4212B35_3167_45C2_BD72_B3516EB52D76_.wvu.PrintArea" localSheetId="10" hidden="1">'III.1 LCCA_Grouping'!$A$1:$N$41</definedName>
    <definedName name="Z_E4212B35_3167_45C2_BD72_B3516EB52D76_.wvu.PrintArea" localSheetId="11" hidden="1">'III.2 CEA'!$A$1:$F$30</definedName>
    <definedName name="Z_E4212B35_3167_45C2_BD72_B3516EB52D76_.wvu.PrintArea" localSheetId="12" hidden="1">'III.3 Benefits_Grouping'!$A$1:$O$57</definedName>
    <definedName name="Z_E4212B35_3167_45C2_BD72_B3516EB52D76_.wvu.PrintArea" localSheetId="13" hidden="1">'III.4.1 BCR NPV Grouping'!$A$1:$O$63</definedName>
    <definedName name="Z_E4212B35_3167_45C2_BD72_B3516EB52D76_.wvu.PrintArea" localSheetId="14" hidden="1">'III.4.2 BCR NPV Seawall Alt'!$A$1:$J$62</definedName>
    <definedName name="Z_E4212B35_3167_45C2_BD72_B3516EB52D76_.wvu.PrintArea" localSheetId="15" hidden="1">'III.4.3 BCR NPV Flood Gate'!$A$5:$J$62</definedName>
    <definedName name="Z_E4212B35_3167_45C2_BD72_B3516EB52D76_.wvu.PrintArea" localSheetId="16" hidden="1">'III.4.4 BCR NPV Restore Marsh '!$A$5:$J$62</definedName>
    <definedName name="Z_E4212B35_3167_45C2_BD72_B3516EB52D76_.wvu.PrintArea" localSheetId="17" hidden="1">'III.4.5 BCR NPV Oyster Reef'!$A$5:$L$63</definedName>
    <definedName name="Z_E4212B35_3167_45C2_BD72_B3516EB52D76_.wvu.PrintArea" localSheetId="1" hidden="1">'Worksheet Overview'!$A$1:$A$15</definedName>
    <definedName name="Z_E4212B35_3167_45C2_BD72_B3516EB52D76_.wvu.Rows" localSheetId="11" hidden="1">'III.2 CEA'!$6:$11,'III.2 CEA'!$14:$15,'III.2 CEA'!$18:$19,'III.2 CEA'!$22:$23</definedName>
  </definedNames>
  <calcPr calcId="191029" fullCalcOnLoad="1"/>
  <customWorkbookViews>
    <customWorkbookView name="O'Connell, Robin G CIV NAVFAC HQ, AM - Personal View" guid="{E4212B35-3167-45C2-BD72-B3516EB52D76}" mergeInterval="0" personalView="1" maximized="1" windowWidth="1676" windowHeight="811" tabRatio="949" activeSheetId="4"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7" l="1"/>
  <c r="B6" i="24"/>
  <c r="B7" i="24"/>
  <c r="B5" i="24"/>
  <c r="B5" i="8"/>
  <c r="B6" i="8"/>
  <c r="B5" i="7"/>
  <c r="B6" i="7"/>
  <c r="B6" i="25"/>
  <c r="B4" i="8"/>
  <c r="A27" i="2"/>
  <c r="A25" i="2"/>
  <c r="A23" i="2"/>
  <c r="A21" i="2"/>
  <c r="A19" i="2"/>
  <c r="A17" i="2"/>
  <c r="G10" i="35"/>
  <c r="H10" i="35"/>
  <c r="J10" i="35"/>
  <c r="K10" i="35" s="1"/>
  <c r="I10" i="35"/>
  <c r="A11" i="35"/>
  <c r="A12" i="35"/>
  <c r="A13" i="35" s="1"/>
  <c r="A14" i="35" s="1"/>
  <c r="A15" i="35" s="1"/>
  <c r="A16" i="35" s="1"/>
  <c r="A17" i="35" s="1"/>
  <c r="A18" i="35" s="1"/>
  <c r="A19" i="35" s="1"/>
  <c r="A20" i="35" s="1"/>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50" i="35" s="1"/>
  <c r="A51" i="35" s="1"/>
  <c r="A52" i="35" s="1"/>
  <c r="A53" i="35" s="1"/>
  <c r="A54" i="35" s="1"/>
  <c r="A55" i="35" s="1"/>
  <c r="A56" i="35" s="1"/>
  <c r="A57" i="35" s="1"/>
  <c r="A58" i="35" s="1"/>
  <c r="A59" i="35" s="1"/>
  <c r="A60" i="35" s="1"/>
  <c r="B11" i="35"/>
  <c r="B12" i="35" s="1"/>
  <c r="B13" i="35" s="1"/>
  <c r="B14" i="35" s="1"/>
  <c r="B15" i="35" s="1"/>
  <c r="B16" i="35" s="1"/>
  <c r="B17" i="35" s="1"/>
  <c r="B18" i="35" s="1"/>
  <c r="B19" i="35" s="1"/>
  <c r="B20" i="35" s="1"/>
  <c r="B21" i="35" s="1"/>
  <c r="B22" i="35" s="1"/>
  <c r="B23" i="35" s="1"/>
  <c r="B24" i="35" s="1"/>
  <c r="B25" i="35" s="1"/>
  <c r="B26" i="35" s="1"/>
  <c r="B27" i="35" s="1"/>
  <c r="B28" i="35" s="1"/>
  <c r="B29" i="35" s="1"/>
  <c r="B30" i="35" s="1"/>
  <c r="B31" i="35" s="1"/>
  <c r="B32" i="35" s="1"/>
  <c r="B33" i="35" s="1"/>
  <c r="B34" i="35" s="1"/>
  <c r="B35" i="35" s="1"/>
  <c r="B36" i="35" s="1"/>
  <c r="B37" i="35" s="1"/>
  <c r="B38" i="35" s="1"/>
  <c r="B39" i="35" s="1"/>
  <c r="B40" i="35" s="1"/>
  <c r="B41" i="35" s="1"/>
  <c r="B42" i="35" s="1"/>
  <c r="B43" i="35" s="1"/>
  <c r="B44" i="35" s="1"/>
  <c r="B45" i="35" s="1"/>
  <c r="B46" i="35" s="1"/>
  <c r="B47" i="35" s="1"/>
  <c r="B48" i="35" s="1"/>
  <c r="B49" i="35" s="1"/>
  <c r="B50" i="35" s="1"/>
  <c r="B51" i="35" s="1"/>
  <c r="B52" i="35" s="1"/>
  <c r="B53" i="35" s="1"/>
  <c r="B54" i="35" s="1"/>
  <c r="B55" i="35" s="1"/>
  <c r="B56" i="35" s="1"/>
  <c r="B57" i="35" s="1"/>
  <c r="B58" i="35" s="1"/>
  <c r="B59" i="35" s="1"/>
  <c r="B60" i="35" s="1"/>
  <c r="H11" i="35"/>
  <c r="J11" i="35" s="1"/>
  <c r="I11" i="35"/>
  <c r="F13" i="35"/>
  <c r="F14" i="35" s="1"/>
  <c r="F15" i="35"/>
  <c r="F16" i="35" s="1"/>
  <c r="F17" i="35" s="1"/>
  <c r="E22" i="35"/>
  <c r="E32" i="35" s="1"/>
  <c r="E42" i="35" s="1"/>
  <c r="E9" i="34"/>
  <c r="F9" i="34"/>
  <c r="H9" i="34" s="1"/>
  <c r="I9" i="34"/>
  <c r="G9" i="34"/>
  <c r="A10" i="34"/>
  <c r="A11" i="34" s="1"/>
  <c r="A12" i="34" s="1"/>
  <c r="A13" i="34" s="1"/>
  <c r="A14" i="34" s="1"/>
  <c r="A15" i="34" s="1"/>
  <c r="A16" i="34" s="1"/>
  <c r="A17" i="34" s="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A40" i="34" s="1"/>
  <c r="A41" i="34" s="1"/>
  <c r="A42" i="34" s="1"/>
  <c r="A43" i="34" s="1"/>
  <c r="A44" i="34" s="1"/>
  <c r="A45" i="34" s="1"/>
  <c r="A46" i="34" s="1"/>
  <c r="A47" i="34" s="1"/>
  <c r="A48" i="34" s="1"/>
  <c r="A49" i="34" s="1"/>
  <c r="A50" i="34" s="1"/>
  <c r="A51" i="34" s="1"/>
  <c r="A52" i="34" s="1"/>
  <c r="A53" i="34" s="1"/>
  <c r="A54" i="34" s="1"/>
  <c r="A55" i="34" s="1"/>
  <c r="A56" i="34" s="1"/>
  <c r="A57" i="34" s="1"/>
  <c r="A58" i="34" s="1"/>
  <c r="A59" i="34" s="1"/>
  <c r="B10" i="34"/>
  <c r="B11" i="34" s="1"/>
  <c r="B12" i="34" s="1"/>
  <c r="B13" i="34" s="1"/>
  <c r="B14" i="34" s="1"/>
  <c r="B15" i="34" s="1"/>
  <c r="B16" i="34" s="1"/>
  <c r="B17" i="34" s="1"/>
  <c r="B18" i="34"/>
  <c r="B19" i="34" s="1"/>
  <c r="B20" i="34" s="1"/>
  <c r="B21" i="34" s="1"/>
  <c r="B22" i="34" s="1"/>
  <c r="B23" i="34" s="1"/>
  <c r="B24" i="34" s="1"/>
  <c r="B25" i="34" s="1"/>
  <c r="B26" i="34" s="1"/>
  <c r="B27" i="34" s="1"/>
  <c r="B28" i="34" s="1"/>
  <c r="B29" i="34" s="1"/>
  <c r="B30" i="34" s="1"/>
  <c r="B31" i="34" s="1"/>
  <c r="B32" i="34" s="1"/>
  <c r="B33" i="34" s="1"/>
  <c r="B34" i="34" s="1"/>
  <c r="B35" i="34" s="1"/>
  <c r="B36" i="34" s="1"/>
  <c r="B37" i="34" s="1"/>
  <c r="B38" i="34" s="1"/>
  <c r="B39" i="34" s="1"/>
  <c r="B40" i="34" s="1"/>
  <c r="B41" i="34" s="1"/>
  <c r="B42" i="34" s="1"/>
  <c r="B43" i="34" s="1"/>
  <c r="B44" i="34" s="1"/>
  <c r="B45" i="34" s="1"/>
  <c r="B46" i="34" s="1"/>
  <c r="B47" i="34" s="1"/>
  <c r="B48" i="34" s="1"/>
  <c r="B49" i="34" s="1"/>
  <c r="B50" i="34" s="1"/>
  <c r="B51" i="34" s="1"/>
  <c r="B52" i="34" s="1"/>
  <c r="B53" i="34" s="1"/>
  <c r="B54" i="34" s="1"/>
  <c r="B55" i="34" s="1"/>
  <c r="B56" i="34" s="1"/>
  <c r="B57" i="34" s="1"/>
  <c r="B58" i="34" s="1"/>
  <c r="B59" i="34" s="1"/>
  <c r="F10" i="34"/>
  <c r="G10" i="34"/>
  <c r="F9" i="33"/>
  <c r="G9" i="33"/>
  <c r="H9" i="33"/>
  <c r="A10" i="33"/>
  <c r="A11" i="33"/>
  <c r="A12" i="33" s="1"/>
  <c r="A13" i="33" s="1"/>
  <c r="A14" i="33" s="1"/>
  <c r="A15" i="33" s="1"/>
  <c r="A16" i="33" s="1"/>
  <c r="A17" i="33" s="1"/>
  <c r="B10" i="33"/>
  <c r="B11" i="33" s="1"/>
  <c r="B12" i="33" s="1"/>
  <c r="B13" i="33" s="1"/>
  <c r="B14" i="33" s="1"/>
  <c r="B15" i="33" s="1"/>
  <c r="B16" i="33" s="1"/>
  <c r="B17" i="33" s="1"/>
  <c r="F10" i="33"/>
  <c r="H10" i="33" s="1"/>
  <c r="G10" i="33"/>
  <c r="B18" i="33"/>
  <c r="B19" i="33" s="1"/>
  <c r="B20" i="33"/>
  <c r="B21" i="33" s="1"/>
  <c r="B22" i="33" s="1"/>
  <c r="B23" i="33" s="1"/>
  <c r="B24" i="33" s="1"/>
  <c r="B25" i="33" s="1"/>
  <c r="B26" i="33" s="1"/>
  <c r="B27" i="33" s="1"/>
  <c r="B28" i="33" s="1"/>
  <c r="B29" i="33" s="1"/>
  <c r="B30" i="33" s="1"/>
  <c r="B31" i="33" s="1"/>
  <c r="B32" i="33" s="1"/>
  <c r="B33" i="33" s="1"/>
  <c r="B34" i="33" s="1"/>
  <c r="B35" i="33" s="1"/>
  <c r="B36" i="33" s="1"/>
  <c r="B37" i="33" s="1"/>
  <c r="B38" i="33" s="1"/>
  <c r="B39" i="33" s="1"/>
  <c r="B40" i="33" s="1"/>
  <c r="B41" i="33" s="1"/>
  <c r="B42" i="33" s="1"/>
  <c r="B43" i="33" s="1"/>
  <c r="B44" i="33" s="1"/>
  <c r="B45" i="33" s="1"/>
  <c r="B46" i="33" s="1"/>
  <c r="B47" i="33" s="1"/>
  <c r="B48" i="33" s="1"/>
  <c r="B49" i="33" s="1"/>
  <c r="B50" i="33" s="1"/>
  <c r="B51" i="33" s="1"/>
  <c r="B52" i="33" s="1"/>
  <c r="B53" i="33" s="1"/>
  <c r="B54" i="33" s="1"/>
  <c r="B55" i="33" s="1"/>
  <c r="B56" i="33" s="1"/>
  <c r="B57" i="33" s="1"/>
  <c r="B58" i="33" s="1"/>
  <c r="B59" i="33" s="1"/>
  <c r="A18" i="33"/>
  <c r="A19" i="33" s="1"/>
  <c r="A20" i="33" s="1"/>
  <c r="A21" i="33" s="1"/>
  <c r="A22" i="33" s="1"/>
  <c r="A23" i="33" s="1"/>
  <c r="A24" i="33" s="1"/>
  <c r="A25" i="33" s="1"/>
  <c r="A26" i="33" s="1"/>
  <c r="A27" i="33" s="1"/>
  <c r="A28" i="33" s="1"/>
  <c r="A29" i="33" s="1"/>
  <c r="A30" i="33" s="1"/>
  <c r="A31" i="33" s="1"/>
  <c r="A32" i="33" s="1"/>
  <c r="A33" i="33" s="1"/>
  <c r="A34" i="33" s="1"/>
  <c r="A35" i="33" s="1"/>
  <c r="A36" i="33" s="1"/>
  <c r="A37" i="33" s="1"/>
  <c r="A38" i="33" s="1"/>
  <c r="A39" i="33" s="1"/>
  <c r="A40" i="33" s="1"/>
  <c r="A41" i="33" s="1"/>
  <c r="A42" i="33" s="1"/>
  <c r="A43" i="33" s="1"/>
  <c r="A44" i="33" s="1"/>
  <c r="A45" i="33" s="1"/>
  <c r="A46" i="33" s="1"/>
  <c r="A47" i="33" s="1"/>
  <c r="A48" i="33" s="1"/>
  <c r="A49" i="33" s="1"/>
  <c r="A50" i="33" s="1"/>
  <c r="A51" i="33" s="1"/>
  <c r="A52" i="33" s="1"/>
  <c r="A53" i="33" s="1"/>
  <c r="A54" i="33" s="1"/>
  <c r="A55" i="33" s="1"/>
  <c r="A56" i="33" s="1"/>
  <c r="A57" i="33" s="1"/>
  <c r="A58" i="33" s="1"/>
  <c r="A59" i="33" s="1"/>
  <c r="F9" i="32"/>
  <c r="G9" i="32"/>
  <c r="A10" i="32"/>
  <c r="A11" i="32" s="1"/>
  <c r="A12" i="32" s="1"/>
  <c r="A13" i="32" s="1"/>
  <c r="A14" i="32" s="1"/>
  <c r="A15" i="32" s="1"/>
  <c r="A16" i="32" s="1"/>
  <c r="A17" i="32" s="1"/>
  <c r="A18" i="32" s="1"/>
  <c r="A19" i="32" s="1"/>
  <c r="A20" i="32" s="1"/>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50" i="32" s="1"/>
  <c r="A51" i="32" s="1"/>
  <c r="A52" i="32" s="1"/>
  <c r="A53" i="32" s="1"/>
  <c r="A54" i="32" s="1"/>
  <c r="A55" i="32" s="1"/>
  <c r="A56" i="32" s="1"/>
  <c r="A57" i="32" s="1"/>
  <c r="A58" i="32" s="1"/>
  <c r="A59" i="32" s="1"/>
  <c r="B10" i="32"/>
  <c r="B11" i="32"/>
  <c r="B12" i="32" s="1"/>
  <c r="B13" i="32" s="1"/>
  <c r="B14" i="32" s="1"/>
  <c r="B15" i="32" s="1"/>
  <c r="B16" i="32" s="1"/>
  <c r="B17" i="32" s="1"/>
  <c r="B18" i="32" s="1"/>
  <c r="B19" i="32" s="1"/>
  <c r="B20" i="32" s="1"/>
  <c r="B21" i="32" s="1"/>
  <c r="B22" i="32" s="1"/>
  <c r="B23" i="32" s="1"/>
  <c r="B24" i="32" s="1"/>
  <c r="B25" i="32" s="1"/>
  <c r="B26" i="32" s="1"/>
  <c r="B27" i="32" s="1"/>
  <c r="B28" i="32" s="1"/>
  <c r="B29" i="32" s="1"/>
  <c r="B30" i="32" s="1"/>
  <c r="B31" i="32" s="1"/>
  <c r="B32" i="32" s="1"/>
  <c r="B33" i="32" s="1"/>
  <c r="B34" i="32" s="1"/>
  <c r="B35" i="32" s="1"/>
  <c r="B36" i="32" s="1"/>
  <c r="B37" i="32" s="1"/>
  <c r="B38" i="32" s="1"/>
  <c r="B39" i="32" s="1"/>
  <c r="B40" i="32" s="1"/>
  <c r="B41" i="32" s="1"/>
  <c r="B42" i="32" s="1"/>
  <c r="B43" i="32" s="1"/>
  <c r="B44" i="32" s="1"/>
  <c r="B45" i="32" s="1"/>
  <c r="B46" i="32" s="1"/>
  <c r="B47" i="32" s="1"/>
  <c r="B48" i="32" s="1"/>
  <c r="B49" i="32" s="1"/>
  <c r="B50" i="32" s="1"/>
  <c r="B51" i="32"/>
  <c r="B52" i="32" s="1"/>
  <c r="B53" i="32" s="1"/>
  <c r="B54" i="32" s="1"/>
  <c r="B55" i="32" s="1"/>
  <c r="B56" i="32" s="1"/>
  <c r="B57" i="32" s="1"/>
  <c r="B58" i="32" s="1"/>
  <c r="B59" i="32" s="1"/>
  <c r="F10" i="32"/>
  <c r="G10" i="32"/>
  <c r="H10" i="32" s="1"/>
  <c r="K10" i="31"/>
  <c r="L10" i="31"/>
  <c r="A11" i="31"/>
  <c r="A12" i="31"/>
  <c r="A13" i="31" s="1"/>
  <c r="A14" i="31" s="1"/>
  <c r="A15" i="31" s="1"/>
  <c r="A16" i="31" s="1"/>
  <c r="A17" i="31" s="1"/>
  <c r="A18" i="31" s="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s="1"/>
  <c r="A56" i="31" s="1"/>
  <c r="A57" i="31" s="1"/>
  <c r="A58" i="31" s="1"/>
  <c r="A59" i="31" s="1"/>
  <c r="A60" i="31" s="1"/>
  <c r="B11" i="31"/>
  <c r="B12" i="31"/>
  <c r="B13" i="31" s="1"/>
  <c r="B14" i="31" s="1"/>
  <c r="B15" i="31" s="1"/>
  <c r="B16" i="31" s="1"/>
  <c r="B17" i="31" s="1"/>
  <c r="B18" i="31" s="1"/>
  <c r="B19" i="31" s="1"/>
  <c r="B20" i="31" s="1"/>
  <c r="B21" i="31" s="1"/>
  <c r="B22" i="31" s="1"/>
  <c r="B23" i="31" s="1"/>
  <c r="B24" i="31" s="1"/>
  <c r="B25" i="31" s="1"/>
  <c r="B26" i="31" s="1"/>
  <c r="B27" i="31" s="1"/>
  <c r="B28" i="31" s="1"/>
  <c r="B29" i="31" s="1"/>
  <c r="B30" i="31" s="1"/>
  <c r="B31" i="31" s="1"/>
  <c r="B32" i="31" s="1"/>
  <c r="B33" i="31" s="1"/>
  <c r="B34" i="31" s="1"/>
  <c r="B35" i="31" s="1"/>
  <c r="B36" i="31" s="1"/>
  <c r="B37" i="31" s="1"/>
  <c r="B38" i="31" s="1"/>
  <c r="B39" i="31" s="1"/>
  <c r="B40" i="31" s="1"/>
  <c r="B41" i="31" s="1"/>
  <c r="B42" i="31" s="1"/>
  <c r="B43" i="31" s="1"/>
  <c r="B44" i="31" s="1"/>
  <c r="B45" i="31" s="1"/>
  <c r="B46" i="31" s="1"/>
  <c r="B47" i="31" s="1"/>
  <c r="B48" i="31" s="1"/>
  <c r="B49" i="31" s="1"/>
  <c r="B50" i="31" s="1"/>
  <c r="B51" i="31" s="1"/>
  <c r="B52" i="31" s="1"/>
  <c r="B53" i="31" s="1"/>
  <c r="B54" i="31" s="1"/>
  <c r="B55" i="31" s="1"/>
  <c r="B56" i="31" s="1"/>
  <c r="B57" i="31" s="1"/>
  <c r="B58" i="31" s="1"/>
  <c r="B59" i="31" s="1"/>
  <c r="B60" i="31" s="1"/>
  <c r="K11" i="31"/>
  <c r="L11" i="31"/>
  <c r="K12" i="31"/>
  <c r="L12" i="31"/>
  <c r="I13" i="31"/>
  <c r="H22" i="31"/>
  <c r="H32" i="31" s="1"/>
  <c r="H42" i="31"/>
  <c r="H52" i="31" s="1"/>
  <c r="L6" i="30"/>
  <c r="A7" i="30"/>
  <c r="A8" i="30"/>
  <c r="A9" i="30" s="1"/>
  <c r="A10" i="30" s="1"/>
  <c r="A11" i="30" s="1"/>
  <c r="A12" i="30" s="1"/>
  <c r="A13" i="30" s="1"/>
  <c r="A14" i="30" s="1"/>
  <c r="A15" i="30" s="1"/>
  <c r="A16" i="30"/>
  <c r="A17" i="30" s="1"/>
  <c r="A18" i="30"/>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c r="A41" i="30" s="1"/>
  <c r="A42" i="30" s="1"/>
  <c r="A43" i="30" s="1"/>
  <c r="A44" i="30" s="1"/>
  <c r="A45" i="30" s="1"/>
  <c r="A46" i="30" s="1"/>
  <c r="A47" i="30" s="1"/>
  <c r="A48" i="30" s="1"/>
  <c r="A49" i="30" s="1"/>
  <c r="A50" i="30" s="1"/>
  <c r="A51" i="30" s="1"/>
  <c r="A52" i="30"/>
  <c r="A53" i="30" s="1"/>
  <c r="A54" i="30" s="1"/>
  <c r="A55" i="30" s="1"/>
  <c r="A56" i="30" s="1"/>
  <c r="B7" i="30"/>
  <c r="B8" i="30"/>
  <c r="B9" i="30" s="1"/>
  <c r="B10" i="30" s="1"/>
  <c r="B11" i="30" s="1"/>
  <c r="B12" i="30" s="1"/>
  <c r="B13" i="30" s="1"/>
  <c r="B14" i="30"/>
  <c r="B15" i="30" s="1"/>
  <c r="B16" i="30" s="1"/>
  <c r="B17" i="30" s="1"/>
  <c r="B18" i="30" s="1"/>
  <c r="B19" i="30" s="1"/>
  <c r="B20" i="30" s="1"/>
  <c r="B21" i="30" s="1"/>
  <c r="B22" i="30" s="1"/>
  <c r="B23" i="30" s="1"/>
  <c r="B24" i="30" s="1"/>
  <c r="B25" i="30" s="1"/>
  <c r="B26" i="30" s="1"/>
  <c r="B27" i="30" s="1"/>
  <c r="B28" i="30" s="1"/>
  <c r="B29" i="30" s="1"/>
  <c r="B30" i="30" s="1"/>
  <c r="B31" i="30" s="1"/>
  <c r="B32" i="30" s="1"/>
  <c r="B33" i="30" s="1"/>
  <c r="B34" i="30" s="1"/>
  <c r="B35" i="30" s="1"/>
  <c r="B36" i="30" s="1"/>
  <c r="B37" i="30" s="1"/>
  <c r="B38" i="30" s="1"/>
  <c r="B39" i="30" s="1"/>
  <c r="B40" i="30" s="1"/>
  <c r="B41" i="30" s="1"/>
  <c r="B42" i="30" s="1"/>
  <c r="B43" i="30" s="1"/>
  <c r="B44" i="30" s="1"/>
  <c r="B45" i="30" s="1"/>
  <c r="B46" i="30" s="1"/>
  <c r="B47" i="30" s="1"/>
  <c r="B48" i="30" s="1"/>
  <c r="B49" i="30" s="1"/>
  <c r="B50" i="30" s="1"/>
  <c r="B51" i="30" s="1"/>
  <c r="B52" i="30" s="1"/>
  <c r="B53" i="30" s="1"/>
  <c r="B54" i="30" s="1"/>
  <c r="B55" i="30" s="1"/>
  <c r="B56" i="30" s="1"/>
  <c r="L7" i="30"/>
  <c r="L8" i="30"/>
  <c r="C9" i="30"/>
  <c r="E9" i="30"/>
  <c r="F9" i="30"/>
  <c r="J9" i="30"/>
  <c r="E10" i="30"/>
  <c r="F10" i="30"/>
  <c r="G10" i="30"/>
  <c r="G11" i="30" s="1"/>
  <c r="G12" i="30" s="1"/>
  <c r="G13" i="30" s="1"/>
  <c r="G14" i="30" s="1"/>
  <c r="E11" i="30"/>
  <c r="F11" i="30"/>
  <c r="E12" i="30"/>
  <c r="F12" i="30"/>
  <c r="E13" i="30"/>
  <c r="F13" i="30"/>
  <c r="C14" i="30"/>
  <c r="C10" i="30"/>
  <c r="E14" i="30"/>
  <c r="F14" i="30"/>
  <c r="E15" i="30"/>
  <c r="F15" i="30"/>
  <c r="E16" i="30"/>
  <c r="F16" i="30"/>
  <c r="E17" i="30"/>
  <c r="F17" i="30"/>
  <c r="E18" i="30"/>
  <c r="F18" i="30"/>
  <c r="C19" i="30"/>
  <c r="E19" i="30"/>
  <c r="F19" i="30"/>
  <c r="E20" i="30"/>
  <c r="F20" i="30"/>
  <c r="E21" i="30"/>
  <c r="F21" i="30"/>
  <c r="E22" i="30"/>
  <c r="F22" i="30"/>
  <c r="E23" i="30"/>
  <c r="F23" i="30"/>
  <c r="C24" i="30"/>
  <c r="E24" i="30"/>
  <c r="F24" i="30"/>
  <c r="E25" i="30"/>
  <c r="F25" i="30"/>
  <c r="E26" i="30"/>
  <c r="F26" i="30"/>
  <c r="E27" i="30"/>
  <c r="F27" i="30"/>
  <c r="E28" i="30"/>
  <c r="F28" i="30"/>
  <c r="C29" i="30"/>
  <c r="E29" i="30"/>
  <c r="F29" i="30"/>
  <c r="E30" i="30"/>
  <c r="F30" i="30"/>
  <c r="E31" i="30"/>
  <c r="F31" i="30"/>
  <c r="E32" i="30"/>
  <c r="F32" i="30"/>
  <c r="E33" i="30"/>
  <c r="F33" i="30"/>
  <c r="C34" i="30"/>
  <c r="E34" i="30"/>
  <c r="F34" i="30"/>
  <c r="E35" i="30"/>
  <c r="F35" i="30"/>
  <c r="E36" i="30"/>
  <c r="F36" i="30"/>
  <c r="E37" i="30"/>
  <c r="F37" i="30"/>
  <c r="E38" i="30"/>
  <c r="F38" i="30"/>
  <c r="C39" i="30"/>
  <c r="E39" i="30"/>
  <c r="F39" i="30"/>
  <c r="E40" i="30"/>
  <c r="F40" i="30"/>
  <c r="E41" i="30"/>
  <c r="F41" i="30"/>
  <c r="E42" i="30"/>
  <c r="F42" i="30"/>
  <c r="E43" i="30"/>
  <c r="F43" i="30"/>
  <c r="C44" i="30"/>
  <c r="E44" i="30"/>
  <c r="F44" i="30"/>
  <c r="E45" i="30"/>
  <c r="F45" i="30"/>
  <c r="E46" i="30"/>
  <c r="F46" i="30"/>
  <c r="E47" i="30"/>
  <c r="F47" i="30"/>
  <c r="E48" i="30"/>
  <c r="F48" i="30"/>
  <c r="C49" i="30"/>
  <c r="E49" i="30"/>
  <c r="F49" i="30"/>
  <c r="E50" i="30"/>
  <c r="F50" i="30"/>
  <c r="E51" i="30"/>
  <c r="F51" i="30"/>
  <c r="E52" i="30"/>
  <c r="F52" i="30"/>
  <c r="E53" i="30"/>
  <c r="F53" i="30"/>
  <c r="C54" i="30"/>
  <c r="E54" i="30"/>
  <c r="F54" i="30"/>
  <c r="E55" i="30"/>
  <c r="F55" i="30"/>
  <c r="E56" i="30"/>
  <c r="F56" i="30"/>
  <c r="H57" i="30"/>
  <c r="I57" i="30"/>
  <c r="K57" i="30"/>
  <c r="C6" i="29"/>
  <c r="C7" i="29"/>
  <c r="C8" i="29"/>
  <c r="C9" i="29"/>
  <c r="C10" i="29"/>
  <c r="C11" i="29"/>
  <c r="E20" i="29"/>
  <c r="E28" i="29"/>
  <c r="E30" i="29"/>
  <c r="F8" i="28"/>
  <c r="H8" i="28" s="1"/>
  <c r="I8" i="28" s="1"/>
  <c r="F9" i="28"/>
  <c r="F10" i="28"/>
  <c r="F11" i="28"/>
  <c r="H11" i="28" s="1"/>
  <c r="I11" i="28" s="1"/>
  <c r="F12" i="28"/>
  <c r="H12" i="28" s="1"/>
  <c r="I12" i="28" s="1"/>
  <c r="F13" i="28"/>
  <c r="H13" i="28" s="1"/>
  <c r="F16" i="28"/>
  <c r="F17" i="28"/>
  <c r="J18" i="28"/>
  <c r="D10" i="31"/>
  <c r="K18" i="28"/>
  <c r="D11" i="31"/>
  <c r="F20" i="28"/>
  <c r="F21" i="28"/>
  <c r="K22" i="28"/>
  <c r="F24" i="28"/>
  <c r="F25" i="28"/>
  <c r="J26" i="28"/>
  <c r="K26" i="28"/>
  <c r="L26" i="28"/>
  <c r="F12" i="31" s="1"/>
  <c r="F61" i="31" s="1"/>
  <c r="E31" i="28"/>
  <c r="E32" i="28"/>
  <c r="D11" i="33" s="1"/>
  <c r="E33" i="28"/>
  <c r="D11" i="34" s="1"/>
  <c r="E34" i="28"/>
  <c r="D13" i="35"/>
  <c r="G13" i="35"/>
  <c r="G35" i="28"/>
  <c r="E41" i="28"/>
  <c r="A15" i="2"/>
  <c r="A13" i="2"/>
  <c r="A13" i="8"/>
  <c r="A11" i="2"/>
  <c r="A9" i="2"/>
  <c r="A7" i="2"/>
  <c r="A5" i="2"/>
  <c r="A3" i="2"/>
  <c r="M12" i="31"/>
  <c r="C9" i="33"/>
  <c r="E9" i="33"/>
  <c r="I9" i="33" s="1"/>
  <c r="C11" i="35"/>
  <c r="G11" i="35" s="1"/>
  <c r="F11" i="31"/>
  <c r="C10" i="34"/>
  <c r="E10" i="34"/>
  <c r="E11" i="31"/>
  <c r="E61" i="31"/>
  <c r="C24" i="29"/>
  <c r="E24" i="29" s="1"/>
  <c r="D49" i="30"/>
  <c r="D10" i="30"/>
  <c r="D14" i="30"/>
  <c r="D9" i="30"/>
  <c r="F12" i="32"/>
  <c r="H10" i="34"/>
  <c r="L9" i="30"/>
  <c r="P22" i="7"/>
  <c r="O16" i="24" s="1"/>
  <c r="N22" i="7"/>
  <c r="M16" i="24" s="1"/>
  <c r="L22" i="7"/>
  <c r="K16" i="24"/>
  <c r="J22" i="7"/>
  <c r="I16" i="24" s="1"/>
  <c r="H22" i="7"/>
  <c r="G16" i="24" s="1"/>
  <c r="G22" i="7"/>
  <c r="F16" i="24" s="1"/>
  <c r="F22" i="7"/>
  <c r="E16" i="24" s="1"/>
  <c r="O22" i="7"/>
  <c r="N16" i="24" s="1"/>
  <c r="M22" i="7"/>
  <c r="L16" i="24"/>
  <c r="K22" i="7"/>
  <c r="J16" i="24" s="1"/>
  <c r="I22" i="7"/>
  <c r="H16" i="24" s="1"/>
  <c r="D16" i="24"/>
  <c r="D22" i="7"/>
  <c r="C16" i="24"/>
  <c r="H9" i="32"/>
  <c r="F13" i="33"/>
  <c r="H14" i="35"/>
  <c r="C20" i="30"/>
  <c r="D24" i="30"/>
  <c r="K13" i="31"/>
  <c r="C26" i="29"/>
  <c r="E26" i="29"/>
  <c r="C12" i="35"/>
  <c r="G12" i="35"/>
  <c r="C16" i="29"/>
  <c r="E16" i="29"/>
  <c r="I13" i="28"/>
  <c r="D14" i="35"/>
  <c r="D19" i="30"/>
  <c r="C15" i="30"/>
  <c r="C11" i="30"/>
  <c r="D11" i="30"/>
  <c r="D15" i="30"/>
  <c r="B4" i="25"/>
  <c r="B4" i="7"/>
  <c r="C60" i="34"/>
  <c r="I10" i="34"/>
  <c r="C61" i="35"/>
  <c r="G14" i="35"/>
  <c r="D15" i="35"/>
  <c r="M10" i="31"/>
  <c r="M11" i="31"/>
  <c r="D20" i="30"/>
  <c r="F13" i="34"/>
  <c r="K14" i="31"/>
  <c r="F13" i="32"/>
  <c r="F14" i="33"/>
  <c r="H13" i="35"/>
  <c r="F12" i="33"/>
  <c r="F11" i="33" s="1"/>
  <c r="F12" i="34"/>
  <c r="F11" i="34" s="1"/>
  <c r="C16" i="30"/>
  <c r="F17" i="33"/>
  <c r="H9" i="28"/>
  <c r="I9" i="28" s="1"/>
  <c r="E52" i="35"/>
  <c r="E61" i="35" s="1"/>
  <c r="H18" i="35"/>
  <c r="C10" i="33"/>
  <c r="H61" i="31"/>
  <c r="E10" i="33"/>
  <c r="C60" i="33"/>
  <c r="D16" i="30"/>
  <c r="C17" i="30"/>
  <c r="H12" i="35"/>
  <c r="I10" i="33"/>
  <c r="D17" i="30"/>
  <c r="H10" i="28" l="1"/>
  <c r="I10" i="28"/>
  <c r="I14" i="28"/>
  <c r="C18" i="30"/>
  <c r="E57" i="30"/>
  <c r="F18" i="35"/>
  <c r="F19" i="35" s="1"/>
  <c r="F20" i="35" s="1"/>
  <c r="F21" i="35" s="1"/>
  <c r="F22" i="35" s="1"/>
  <c r="C51" i="30"/>
  <c r="C52" i="30" s="1"/>
  <c r="C55" i="30"/>
  <c r="D54" i="30"/>
  <c r="C50" i="30"/>
  <c r="I14" i="31"/>
  <c r="I15" i="31" s="1"/>
  <c r="I16" i="31" s="1"/>
  <c r="I17" i="31" s="1"/>
  <c r="I18" i="31" s="1"/>
  <c r="I19" i="31" s="1"/>
  <c r="I20" i="31" s="1"/>
  <c r="I21" i="31" s="1"/>
  <c r="I22" i="31" s="1"/>
  <c r="K18" i="31"/>
  <c r="F17" i="32"/>
  <c r="G15" i="30"/>
  <c r="F17" i="34"/>
  <c r="F18" i="33"/>
  <c r="E11" i="34"/>
  <c r="D12" i="34"/>
  <c r="D12" i="33"/>
  <c r="E11" i="33"/>
  <c r="D61" i="31"/>
  <c r="D29" i="30"/>
  <c r="C25" i="30"/>
  <c r="G12" i="32"/>
  <c r="G11" i="32" s="1"/>
  <c r="G12" i="34"/>
  <c r="J10" i="30"/>
  <c r="G12" i="33"/>
  <c r="I13" i="35"/>
  <c r="L13" i="31"/>
  <c r="D11" i="32"/>
  <c r="E35" i="28"/>
  <c r="G12" i="31" s="1"/>
  <c r="D34" i="30"/>
  <c r="C30" i="30"/>
  <c r="C31" i="30" s="1"/>
  <c r="K11" i="35"/>
  <c r="G15" i="35"/>
  <c r="D16" i="35"/>
  <c r="H15" i="35"/>
  <c r="M13" i="31"/>
  <c r="C35" i="30"/>
  <c r="D39" i="30"/>
  <c r="F11" i="32"/>
  <c r="C45" i="30"/>
  <c r="C41" i="30"/>
  <c r="D44" i="30"/>
  <c r="C40" i="30"/>
  <c r="C21" i="30"/>
  <c r="F57" i="30"/>
  <c r="C12" i="30"/>
  <c r="F14" i="34"/>
  <c r="F18" i="34"/>
  <c r="K19" i="31"/>
  <c r="H19" i="35"/>
  <c r="F14" i="32"/>
  <c r="K15" i="31"/>
  <c r="D31" i="30" l="1"/>
  <c r="C32" i="30"/>
  <c r="D52" i="30"/>
  <c r="C53" i="30"/>
  <c r="D45" i="30"/>
  <c r="C46" i="30"/>
  <c r="F18" i="32"/>
  <c r="G16" i="30"/>
  <c r="D25" i="30"/>
  <c r="D51" i="30"/>
  <c r="G11" i="34"/>
  <c r="H12" i="34"/>
  <c r="D41" i="30"/>
  <c r="H12" i="32"/>
  <c r="C26" i="30"/>
  <c r="D18" i="30"/>
  <c r="G13" i="31"/>
  <c r="J12" i="31"/>
  <c r="N12" i="31" s="1"/>
  <c r="F61" i="35"/>
  <c r="I61" i="31"/>
  <c r="I27" i="28"/>
  <c r="K14" i="28"/>
  <c r="J14" i="28"/>
  <c r="D30" i="30"/>
  <c r="I12" i="35"/>
  <c r="J13" i="35"/>
  <c r="K13" i="35" s="1"/>
  <c r="D13" i="33"/>
  <c r="E12" i="33"/>
  <c r="D55" i="30"/>
  <c r="C56" i="30"/>
  <c r="H11" i="32"/>
  <c r="D35" i="30"/>
  <c r="C36" i="30"/>
  <c r="E11" i="32"/>
  <c r="D12" i="32"/>
  <c r="C42" i="30"/>
  <c r="H12" i="33"/>
  <c r="I12" i="33" s="1"/>
  <c r="G11" i="33"/>
  <c r="E12" i="34"/>
  <c r="D13" i="34"/>
  <c r="D50" i="30"/>
  <c r="F15" i="34"/>
  <c r="F15" i="32"/>
  <c r="H16" i="35"/>
  <c r="C13" i="30"/>
  <c r="D12" i="30"/>
  <c r="C22" i="30"/>
  <c r="D21" i="30"/>
  <c r="D17" i="35"/>
  <c r="G16" i="35"/>
  <c r="D40" i="30"/>
  <c r="J11" i="30"/>
  <c r="I14" i="35"/>
  <c r="J14" i="35" s="1"/>
  <c r="K14" i="35" s="1"/>
  <c r="G13" i="34"/>
  <c r="H13" i="34" s="1"/>
  <c r="G13" i="33"/>
  <c r="H13" i="33" s="1"/>
  <c r="L10" i="30"/>
  <c r="L14" i="31"/>
  <c r="M14" i="31" s="1"/>
  <c r="G13" i="32"/>
  <c r="H13" i="32" s="1"/>
  <c r="C10" i="32" l="1"/>
  <c r="E10" i="32" s="1"/>
  <c r="I10" i="32" s="1"/>
  <c r="C11" i="31"/>
  <c r="J11" i="31" s="1"/>
  <c r="N11" i="31" s="1"/>
  <c r="D46" i="30"/>
  <c r="C47" i="30"/>
  <c r="C23" i="30"/>
  <c r="D22" i="30"/>
  <c r="D42" i="30"/>
  <c r="C43" i="30"/>
  <c r="G14" i="32"/>
  <c r="H14" i="32" s="1"/>
  <c r="G14" i="34"/>
  <c r="H14" i="34" s="1"/>
  <c r="L15" i="31"/>
  <c r="M15" i="31" s="1"/>
  <c r="J12" i="30"/>
  <c r="I15" i="35"/>
  <c r="J15" i="35" s="1"/>
  <c r="K15" i="35" s="1"/>
  <c r="G14" i="33"/>
  <c r="H14" i="33" s="1"/>
  <c r="L11" i="30"/>
  <c r="I12" i="34"/>
  <c r="D32" i="30"/>
  <c r="C33" i="30"/>
  <c r="D14" i="33"/>
  <c r="E13" i="33"/>
  <c r="C10" i="31"/>
  <c r="C9" i="32"/>
  <c r="C12" i="29"/>
  <c r="E12" i="29" s="1"/>
  <c r="G17" i="35"/>
  <c r="D18" i="35"/>
  <c r="D26" i="30"/>
  <c r="C27" i="30"/>
  <c r="H11" i="34"/>
  <c r="I11" i="32"/>
  <c r="D56" i="30"/>
  <c r="J12" i="35"/>
  <c r="F16" i="34"/>
  <c r="F16" i="33"/>
  <c r="H17" i="35"/>
  <c r="K17" i="31"/>
  <c r="F16" i="32"/>
  <c r="D13" i="30"/>
  <c r="F15" i="33"/>
  <c r="D36" i="30"/>
  <c r="C37" i="30"/>
  <c r="D53" i="30"/>
  <c r="H11" i="33"/>
  <c r="J13" i="31"/>
  <c r="N13" i="31" s="1"/>
  <c r="G14" i="31"/>
  <c r="E13" i="34"/>
  <c r="I13" i="34" s="1"/>
  <c r="D14" i="34"/>
  <c r="I13" i="33"/>
  <c r="E12" i="32"/>
  <c r="I12" i="32" s="1"/>
  <c r="D13" i="32"/>
  <c r="K16" i="31"/>
  <c r="G17" i="30"/>
  <c r="F19" i="34"/>
  <c r="F19" i="32"/>
  <c r="H20" i="35"/>
  <c r="F19" i="33"/>
  <c r="K20" i="31"/>
  <c r="C61" i="31" l="1"/>
  <c r="J10" i="31"/>
  <c r="I11" i="33"/>
  <c r="C38" i="30"/>
  <c r="D37" i="30"/>
  <c r="D23" i="30"/>
  <c r="D33" i="30"/>
  <c r="D27" i="30"/>
  <c r="C28" i="30"/>
  <c r="E14" i="33"/>
  <c r="D15" i="33"/>
  <c r="M16" i="31"/>
  <c r="J14" i="31"/>
  <c r="N14" i="31" s="1"/>
  <c r="G15" i="31"/>
  <c r="E14" i="34"/>
  <c r="D15" i="34"/>
  <c r="D47" i="30"/>
  <c r="C48" i="30"/>
  <c r="G15" i="34"/>
  <c r="G15" i="33"/>
  <c r="L16" i="31"/>
  <c r="I16" i="35"/>
  <c r="G15" i="32"/>
  <c r="J13" i="30"/>
  <c r="D43" i="30"/>
  <c r="C57" i="30"/>
  <c r="G18" i="30"/>
  <c r="F20" i="34"/>
  <c r="F20" i="33"/>
  <c r="K21" i="31"/>
  <c r="H21" i="35"/>
  <c r="F20" i="32"/>
  <c r="H15" i="33"/>
  <c r="G18" i="35"/>
  <c r="D19" i="35"/>
  <c r="I14" i="34"/>
  <c r="I11" i="34"/>
  <c r="E9" i="32"/>
  <c r="C60" i="32"/>
  <c r="K12" i="35"/>
  <c r="E13" i="32"/>
  <c r="I13" i="32" s="1"/>
  <c r="D14" i="32"/>
  <c r="L12" i="30"/>
  <c r="G16" i="32" l="1"/>
  <c r="H16" i="32" s="1"/>
  <c r="G16" i="33"/>
  <c r="H16" i="33" s="1"/>
  <c r="L17" i="31"/>
  <c r="M17" i="31" s="1"/>
  <c r="G16" i="34"/>
  <c r="H16" i="34" s="1"/>
  <c r="I17" i="35"/>
  <c r="J17" i="35" s="1"/>
  <c r="K17" i="35" s="1"/>
  <c r="J14" i="30"/>
  <c r="D48" i="30"/>
  <c r="D57" i="30"/>
  <c r="G16" i="31"/>
  <c r="J15" i="31"/>
  <c r="N15" i="31" s="1"/>
  <c r="N10" i="31"/>
  <c r="H15" i="32"/>
  <c r="J16" i="35"/>
  <c r="I14" i="33"/>
  <c r="L13" i="30"/>
  <c r="D15" i="32"/>
  <c r="E14" i="32"/>
  <c r="I14" i="32" s="1"/>
  <c r="E15" i="33"/>
  <c r="I15" i="33" s="1"/>
  <c r="D16" i="33"/>
  <c r="H15" i="34"/>
  <c r="E15" i="34"/>
  <c r="D16" i="34"/>
  <c r="I9" i="32"/>
  <c r="G19" i="30"/>
  <c r="F21" i="32"/>
  <c r="K22" i="31"/>
  <c r="F21" i="34"/>
  <c r="F21" i="33"/>
  <c r="H22" i="35"/>
  <c r="D38" i="30"/>
  <c r="G19" i="35"/>
  <c r="D20" i="35"/>
  <c r="D28" i="30"/>
  <c r="K16" i="35" l="1"/>
  <c r="I15" i="32"/>
  <c r="E15" i="32"/>
  <c r="D16" i="32"/>
  <c r="F22" i="34"/>
  <c r="K23" i="31"/>
  <c r="F22" i="33"/>
  <c r="G20" i="30"/>
  <c r="H23" i="35"/>
  <c r="F22" i="32"/>
  <c r="D21" i="35"/>
  <c r="G20" i="35"/>
  <c r="D17" i="34"/>
  <c r="E16" i="34"/>
  <c r="I16" i="34" s="1"/>
  <c r="D17" i="33"/>
  <c r="E16" i="33"/>
  <c r="I16" i="33" s="1"/>
  <c r="I15" i="34"/>
  <c r="G17" i="32"/>
  <c r="G17" i="34"/>
  <c r="H17" i="34" s="1"/>
  <c r="L18" i="31"/>
  <c r="M18" i="31" s="1"/>
  <c r="J15" i="30"/>
  <c r="I18" i="35"/>
  <c r="G17" i="33"/>
  <c r="L14" i="30"/>
  <c r="J16" i="31"/>
  <c r="G17" i="31"/>
  <c r="H17" i="32" l="1"/>
  <c r="E17" i="34"/>
  <c r="I17" i="34" s="1"/>
  <c r="D18" i="34"/>
  <c r="G21" i="30"/>
  <c r="F23" i="32"/>
  <c r="F23" i="34"/>
  <c r="F23" i="33"/>
  <c r="K24" i="31"/>
  <c r="H24" i="35"/>
  <c r="J18" i="35"/>
  <c r="I19" i="35"/>
  <c r="J19" i="35" s="1"/>
  <c r="K19" i="35" s="1"/>
  <c r="G18" i="32"/>
  <c r="H18" i="32" s="1"/>
  <c r="G18" i="33"/>
  <c r="H18" i="33" s="1"/>
  <c r="L19" i="31"/>
  <c r="M19" i="31" s="1"/>
  <c r="J16" i="30"/>
  <c r="G18" i="34"/>
  <c r="H18" i="34" s="1"/>
  <c r="L15" i="30"/>
  <c r="J17" i="31"/>
  <c r="N17" i="31" s="1"/>
  <c r="G18" i="31"/>
  <c r="N16" i="31"/>
  <c r="G21" i="35"/>
  <c r="D22" i="35"/>
  <c r="E16" i="32"/>
  <c r="D17" i="32"/>
  <c r="H17" i="33"/>
  <c r="D18" i="33"/>
  <c r="E17" i="33"/>
  <c r="I16" i="32" l="1"/>
  <c r="G19" i="32"/>
  <c r="H19" i="32" s="1"/>
  <c r="I20" i="35"/>
  <c r="J20" i="35" s="1"/>
  <c r="K20" i="35" s="1"/>
  <c r="G19" i="33"/>
  <c r="H19" i="33" s="1"/>
  <c r="J17" i="30"/>
  <c r="L20" i="31"/>
  <c r="M20" i="31" s="1"/>
  <c r="G19" i="34"/>
  <c r="L16" i="30"/>
  <c r="E17" i="32"/>
  <c r="I17" i="32" s="1"/>
  <c r="D18" i="32"/>
  <c r="E18" i="34"/>
  <c r="D19" i="34"/>
  <c r="I18" i="34"/>
  <c r="G22" i="30"/>
  <c r="F24" i="32"/>
  <c r="H25" i="35"/>
  <c r="F24" i="34"/>
  <c r="K25" i="31"/>
  <c r="F24" i="33"/>
  <c r="I17" i="33"/>
  <c r="K18" i="35"/>
  <c r="D23" i="35"/>
  <c r="G22" i="35"/>
  <c r="D19" i="33"/>
  <c r="E18" i="33"/>
  <c r="I18" i="33" s="1"/>
  <c r="J18" i="31"/>
  <c r="N18" i="31" s="1"/>
  <c r="G19" i="31"/>
  <c r="G20" i="33" l="1"/>
  <c r="H20" i="33" s="1"/>
  <c r="G20" i="34"/>
  <c r="H20" i="34" s="1"/>
  <c r="G20" i="32"/>
  <c r="H20" i="32" s="1"/>
  <c r="I21" i="35"/>
  <c r="J18" i="30"/>
  <c r="L21" i="31"/>
  <c r="M21" i="31" s="1"/>
  <c r="L17" i="30"/>
  <c r="E19" i="33"/>
  <c r="I19" i="33" s="1"/>
  <c r="D20" i="33"/>
  <c r="D24" i="35"/>
  <c r="G23" i="35"/>
  <c r="G23" i="30"/>
  <c r="F25" i="32"/>
  <c r="F25" i="33"/>
  <c r="H26" i="35"/>
  <c r="F25" i="34"/>
  <c r="K26" i="31"/>
  <c r="H19" i="34"/>
  <c r="D19" i="32"/>
  <c r="E18" i="32"/>
  <c r="I18" i="32" s="1"/>
  <c r="E19" i="34"/>
  <c r="D20" i="34"/>
  <c r="J19" i="31"/>
  <c r="G20" i="31"/>
  <c r="J19" i="30" l="1"/>
  <c r="I22" i="35"/>
  <c r="J22" i="35" s="1"/>
  <c r="K22" i="35" s="1"/>
  <c r="L22" i="31"/>
  <c r="M22" i="31" s="1"/>
  <c r="G21" i="33"/>
  <c r="H21" i="33" s="1"/>
  <c r="G21" i="32"/>
  <c r="H21" i="32" s="1"/>
  <c r="G21" i="34"/>
  <c r="H21" i="34" s="1"/>
  <c r="L18" i="30"/>
  <c r="G24" i="30"/>
  <c r="F26" i="34"/>
  <c r="F26" i="32"/>
  <c r="F26" i="33"/>
  <c r="H27" i="35"/>
  <c r="K27" i="31"/>
  <c r="J21" i="35"/>
  <c r="G24" i="35"/>
  <c r="D25" i="35"/>
  <c r="E20" i="34"/>
  <c r="I20" i="34" s="1"/>
  <c r="D21" i="34"/>
  <c r="E19" i="32"/>
  <c r="D20" i="32"/>
  <c r="J20" i="31"/>
  <c r="N20" i="31" s="1"/>
  <c r="G21" i="31"/>
  <c r="I19" i="34"/>
  <c r="N19" i="31"/>
  <c r="E20" i="33"/>
  <c r="I20" i="33" s="1"/>
  <c r="D21" i="33"/>
  <c r="G25" i="35" l="1"/>
  <c r="D26" i="35"/>
  <c r="G22" i="32"/>
  <c r="H22" i="32" s="1"/>
  <c r="G22" i="34"/>
  <c r="H22" i="34" s="1"/>
  <c r="I23" i="35"/>
  <c r="J23" i="35" s="1"/>
  <c r="K23" i="35" s="1"/>
  <c r="J20" i="30"/>
  <c r="L23" i="31"/>
  <c r="M23" i="31" s="1"/>
  <c r="G22" i="33"/>
  <c r="H22" i="33" s="1"/>
  <c r="L19" i="30"/>
  <c r="D21" i="32"/>
  <c r="E20" i="32"/>
  <c r="I20" i="32" s="1"/>
  <c r="G22" i="31"/>
  <c r="J21" i="31"/>
  <c r="N21" i="31" s="1"/>
  <c r="E21" i="33"/>
  <c r="I21" i="33" s="1"/>
  <c r="D22" i="33"/>
  <c r="K21" i="35"/>
  <c r="I19" i="32"/>
  <c r="D22" i="34"/>
  <c r="E21" i="34"/>
  <c r="I21" i="34" s="1"/>
  <c r="H28" i="35"/>
  <c r="K28" i="31"/>
  <c r="G25" i="30"/>
  <c r="F27" i="33"/>
  <c r="F27" i="32"/>
  <c r="F27" i="34"/>
  <c r="G23" i="34" l="1"/>
  <c r="H23" i="34" s="1"/>
  <c r="G23" i="33"/>
  <c r="H23" i="33" s="1"/>
  <c r="L24" i="31"/>
  <c r="M24" i="31" s="1"/>
  <c r="I24" i="35"/>
  <c r="J24" i="35" s="1"/>
  <c r="K24" i="35" s="1"/>
  <c r="J21" i="30"/>
  <c r="G23" i="32"/>
  <c r="H23" i="32" s="1"/>
  <c r="L20" i="30"/>
  <c r="D23" i="34"/>
  <c r="E22" i="34"/>
  <c r="I22" i="34" s="1"/>
  <c r="G23" i="31"/>
  <c r="J22" i="31"/>
  <c r="N22" i="31" s="1"/>
  <c r="D22" i="32"/>
  <c r="E21" i="32"/>
  <c r="I21" i="32" s="1"/>
  <c r="G26" i="30"/>
  <c r="H29" i="35"/>
  <c r="K29" i="31"/>
  <c r="F28" i="32"/>
  <c r="F28" i="33"/>
  <c r="F28" i="34"/>
  <c r="G26" i="35"/>
  <c r="D27" i="35"/>
  <c r="E22" i="33"/>
  <c r="D23" i="33"/>
  <c r="I22" i="33"/>
  <c r="D23" i="32" l="1"/>
  <c r="E22" i="32"/>
  <c r="I22" i="32" s="1"/>
  <c r="G27" i="35"/>
  <c r="D28" i="35"/>
  <c r="L25" i="31"/>
  <c r="M25" i="31" s="1"/>
  <c r="G24" i="34"/>
  <c r="H24" i="34" s="1"/>
  <c r="I25" i="35"/>
  <c r="J25" i="35" s="1"/>
  <c r="K25" i="35" s="1"/>
  <c r="G24" i="33"/>
  <c r="H24" i="33" s="1"/>
  <c r="J22" i="30"/>
  <c r="G24" i="32"/>
  <c r="H24" i="32" s="1"/>
  <c r="L21" i="30"/>
  <c r="J23" i="31"/>
  <c r="N23" i="31" s="1"/>
  <c r="G24" i="31"/>
  <c r="I23" i="33"/>
  <c r="E23" i="34"/>
  <c r="D24" i="34"/>
  <c r="E23" i="33"/>
  <c r="D24" i="33"/>
  <c r="G27" i="30"/>
  <c r="F29" i="34"/>
  <c r="F29" i="32"/>
  <c r="K30" i="31"/>
  <c r="H30" i="35"/>
  <c r="F29" i="33"/>
  <c r="I23" i="34"/>
  <c r="D29" i="35" l="1"/>
  <c r="G28" i="35"/>
  <c r="E24" i="34"/>
  <c r="I24" i="34" s="1"/>
  <c r="D25" i="34"/>
  <c r="J23" i="30"/>
  <c r="I26" i="35"/>
  <c r="J26" i="35" s="1"/>
  <c r="K26" i="35" s="1"/>
  <c r="G25" i="32"/>
  <c r="H25" i="32" s="1"/>
  <c r="L26" i="31"/>
  <c r="M26" i="31" s="1"/>
  <c r="G25" i="33"/>
  <c r="H25" i="33" s="1"/>
  <c r="G25" i="34"/>
  <c r="H25" i="34" s="1"/>
  <c r="L22" i="30"/>
  <c r="E23" i="32"/>
  <c r="I23" i="32" s="1"/>
  <c r="D24" i="32"/>
  <c r="G25" i="31"/>
  <c r="J24" i="31"/>
  <c r="N24" i="31" s="1"/>
  <c r="G28" i="30"/>
  <c r="F30" i="33"/>
  <c r="H31" i="35"/>
  <c r="F30" i="34"/>
  <c r="K31" i="31"/>
  <c r="F30" i="32"/>
  <c r="D25" i="33"/>
  <c r="E24" i="33"/>
  <c r="I24" i="33" s="1"/>
  <c r="L27" i="31" l="1"/>
  <c r="M27" i="31" s="1"/>
  <c r="J24" i="30"/>
  <c r="G26" i="33"/>
  <c r="H26" i="33" s="1"/>
  <c r="I27" i="35"/>
  <c r="J27" i="35" s="1"/>
  <c r="K27" i="35" s="1"/>
  <c r="G26" i="34"/>
  <c r="H26" i="34" s="1"/>
  <c r="G26" i="32"/>
  <c r="H26" i="32" s="1"/>
  <c r="L23" i="30"/>
  <c r="G26" i="31"/>
  <c r="J25" i="31"/>
  <c r="N25" i="31" s="1"/>
  <c r="D26" i="34"/>
  <c r="E25" i="34"/>
  <c r="I25" i="34" s="1"/>
  <c r="G29" i="30"/>
  <c r="F31" i="34"/>
  <c r="H32" i="35"/>
  <c r="K32" i="31"/>
  <c r="F31" i="33"/>
  <c r="F31" i="32"/>
  <c r="G29" i="35"/>
  <c r="D30" i="35"/>
  <c r="E24" i="32"/>
  <c r="I24" i="32" s="1"/>
  <c r="D25" i="32"/>
  <c r="D26" i="33"/>
  <c r="E25" i="33"/>
  <c r="I25" i="33" s="1"/>
  <c r="G27" i="31" l="1"/>
  <c r="J26" i="31"/>
  <c r="N26" i="31" s="1"/>
  <c r="D27" i="34"/>
  <c r="E26" i="34"/>
  <c r="I26" i="34" s="1"/>
  <c r="I26" i="33"/>
  <c r="G27" i="32"/>
  <c r="H27" i="32" s="1"/>
  <c r="I28" i="35"/>
  <c r="J28" i="35" s="1"/>
  <c r="K28" i="35" s="1"/>
  <c r="L28" i="31"/>
  <c r="M28" i="31" s="1"/>
  <c r="J25" i="30"/>
  <c r="G27" i="33"/>
  <c r="H27" i="33" s="1"/>
  <c r="G27" i="34"/>
  <c r="H27" i="34" s="1"/>
  <c r="L24" i="30"/>
  <c r="D27" i="33"/>
  <c r="E26" i="33"/>
  <c r="D26" i="32"/>
  <c r="E25" i="32"/>
  <c r="I25" i="32" s="1"/>
  <c r="D31" i="35"/>
  <c r="G30" i="35"/>
  <c r="G30" i="30"/>
  <c r="F32" i="34"/>
  <c r="K33" i="31"/>
  <c r="H33" i="35"/>
  <c r="F32" i="33"/>
  <c r="F32" i="32"/>
  <c r="D28" i="33" l="1"/>
  <c r="E27" i="33"/>
  <c r="D28" i="34"/>
  <c r="E27" i="34"/>
  <c r="I27" i="34"/>
  <c r="I29" i="35"/>
  <c r="J29" i="35" s="1"/>
  <c r="K29" i="35" s="1"/>
  <c r="G28" i="32"/>
  <c r="H28" i="32" s="1"/>
  <c r="L29" i="31"/>
  <c r="M29" i="31" s="1"/>
  <c r="G28" i="33"/>
  <c r="H28" i="33" s="1"/>
  <c r="J26" i="30"/>
  <c r="G28" i="34"/>
  <c r="H28" i="34" s="1"/>
  <c r="L25" i="30"/>
  <c r="E26" i="32"/>
  <c r="I26" i="32" s="1"/>
  <c r="D27" i="32"/>
  <c r="I27" i="33"/>
  <c r="G31" i="30"/>
  <c r="H34" i="35"/>
  <c r="F33" i="34"/>
  <c r="F33" i="33"/>
  <c r="F33" i="32"/>
  <c r="K34" i="31"/>
  <c r="D32" i="35"/>
  <c r="G31" i="35"/>
  <c r="G28" i="31"/>
  <c r="J27" i="31"/>
  <c r="N27" i="31" s="1"/>
  <c r="G32" i="30" l="1"/>
  <c r="F34" i="33"/>
  <c r="F34" i="32"/>
  <c r="H35" i="35"/>
  <c r="K35" i="31"/>
  <c r="F34" i="34"/>
  <c r="D28" i="32"/>
  <c r="E27" i="32"/>
  <c r="I27" i="32" s="1"/>
  <c r="D33" i="35"/>
  <c r="G32" i="35"/>
  <c r="D29" i="34"/>
  <c r="E28" i="34"/>
  <c r="G29" i="31"/>
  <c r="J28" i="31"/>
  <c r="N28" i="31" s="1"/>
  <c r="I28" i="34"/>
  <c r="J27" i="30"/>
  <c r="L30" i="31"/>
  <c r="M30" i="31" s="1"/>
  <c r="G29" i="33"/>
  <c r="H29" i="33" s="1"/>
  <c r="G29" i="34"/>
  <c r="H29" i="34" s="1"/>
  <c r="I30" i="35"/>
  <c r="J30" i="35" s="1"/>
  <c r="K30" i="35" s="1"/>
  <c r="G29" i="32"/>
  <c r="H29" i="32" s="1"/>
  <c r="L26" i="30"/>
  <c r="D29" i="33"/>
  <c r="E28" i="33"/>
  <c r="I28" i="33"/>
  <c r="D29" i="32" l="1"/>
  <c r="E28" i="32"/>
  <c r="I28" i="32" s="1"/>
  <c r="D34" i="35"/>
  <c r="G33" i="35"/>
  <c r="D30" i="33"/>
  <c r="E29" i="33"/>
  <c r="I29" i="33" s="1"/>
  <c r="G30" i="32"/>
  <c r="H30" i="32" s="1"/>
  <c r="G30" i="33"/>
  <c r="H30" i="33" s="1"/>
  <c r="I31" i="35"/>
  <c r="J31" i="35" s="1"/>
  <c r="K31" i="35" s="1"/>
  <c r="J28" i="30"/>
  <c r="G30" i="34"/>
  <c r="H30" i="34" s="1"/>
  <c r="L31" i="31"/>
  <c r="M31" i="31" s="1"/>
  <c r="L27" i="30"/>
  <c r="D30" i="34"/>
  <c r="E29" i="34"/>
  <c r="I29" i="34" s="1"/>
  <c r="G33" i="30"/>
  <c r="F35" i="33"/>
  <c r="H36" i="35"/>
  <c r="F35" i="32"/>
  <c r="F35" i="34"/>
  <c r="K36" i="31"/>
  <c r="J29" i="31"/>
  <c r="N29" i="31" s="1"/>
  <c r="G30" i="31"/>
  <c r="E30" i="33" l="1"/>
  <c r="D31" i="33"/>
  <c r="E30" i="34"/>
  <c r="D31" i="34"/>
  <c r="I30" i="34"/>
  <c r="L32" i="31"/>
  <c r="M32" i="31" s="1"/>
  <c r="G31" i="34"/>
  <c r="H31" i="34" s="1"/>
  <c r="J29" i="30"/>
  <c r="G31" i="32"/>
  <c r="H31" i="32" s="1"/>
  <c r="G31" i="33"/>
  <c r="H31" i="33" s="1"/>
  <c r="I32" i="35"/>
  <c r="J32" i="35" s="1"/>
  <c r="K32" i="35" s="1"/>
  <c r="L28" i="30"/>
  <c r="J30" i="31"/>
  <c r="N30" i="31" s="1"/>
  <c r="G31" i="31"/>
  <c r="G34" i="35"/>
  <c r="D35" i="35"/>
  <c r="I30" i="33"/>
  <c r="G34" i="30"/>
  <c r="F36" i="33"/>
  <c r="F36" i="32"/>
  <c r="H37" i="35"/>
  <c r="K37" i="31"/>
  <c r="F36" i="34"/>
  <c r="D30" i="32"/>
  <c r="E29" i="32"/>
  <c r="I29" i="32" s="1"/>
  <c r="L33" i="31" l="1"/>
  <c r="M33" i="31" s="1"/>
  <c r="G32" i="33"/>
  <c r="H32" i="33" s="1"/>
  <c r="G32" i="34"/>
  <c r="H32" i="34" s="1"/>
  <c r="G32" i="32"/>
  <c r="H32" i="32" s="1"/>
  <c r="I33" i="35"/>
  <c r="J33" i="35" s="1"/>
  <c r="K33" i="35" s="1"/>
  <c r="J30" i="30"/>
  <c r="L29" i="30"/>
  <c r="I31" i="34"/>
  <c r="I31" i="33"/>
  <c r="D36" i="35"/>
  <c r="G35" i="35"/>
  <c r="G35" i="30"/>
  <c r="F37" i="33"/>
  <c r="F37" i="32"/>
  <c r="K38" i="31"/>
  <c r="F37" i="34"/>
  <c r="H38" i="35"/>
  <c r="G32" i="31"/>
  <c r="J31" i="31"/>
  <c r="N31" i="31" s="1"/>
  <c r="E31" i="34"/>
  <c r="D32" i="34"/>
  <c r="E30" i="32"/>
  <c r="I30" i="32" s="1"/>
  <c r="D31" i="32"/>
  <c r="D32" i="33"/>
  <c r="E31" i="33"/>
  <c r="G33" i="31" l="1"/>
  <c r="J32" i="31"/>
  <c r="N32" i="31" s="1"/>
  <c r="G33" i="32"/>
  <c r="H33" i="32" s="1"/>
  <c r="G33" i="33"/>
  <c r="H33" i="33" s="1"/>
  <c r="L34" i="31"/>
  <c r="M34" i="31" s="1"/>
  <c r="G33" i="34"/>
  <c r="H33" i="34" s="1"/>
  <c r="J31" i="30"/>
  <c r="I34" i="35"/>
  <c r="J34" i="35" s="1"/>
  <c r="K34" i="35" s="1"/>
  <c r="L30" i="30"/>
  <c r="G36" i="30"/>
  <c r="K39" i="31"/>
  <c r="F38" i="33"/>
  <c r="F38" i="34"/>
  <c r="F38" i="32"/>
  <c r="H39" i="35"/>
  <c r="I32" i="34"/>
  <c r="I32" i="33"/>
  <c r="D33" i="33"/>
  <c r="E32" i="33"/>
  <c r="E31" i="32"/>
  <c r="I31" i="32" s="1"/>
  <c r="D32" i="32"/>
  <c r="D33" i="34"/>
  <c r="E32" i="34"/>
  <c r="D37" i="35"/>
  <c r="G36" i="35"/>
  <c r="G34" i="32" l="1"/>
  <c r="H34" i="32" s="1"/>
  <c r="J32" i="30"/>
  <c r="L35" i="31"/>
  <c r="M35" i="31" s="1"/>
  <c r="I35" i="35"/>
  <c r="J35" i="35" s="1"/>
  <c r="K35" i="35" s="1"/>
  <c r="G34" i="33"/>
  <c r="H34" i="33" s="1"/>
  <c r="G34" i="34"/>
  <c r="H34" i="34" s="1"/>
  <c r="L31" i="30"/>
  <c r="G37" i="35"/>
  <c r="D38" i="35"/>
  <c r="I33" i="34"/>
  <c r="D34" i="34"/>
  <c r="E33" i="34"/>
  <c r="D33" i="32"/>
  <c r="E32" i="32"/>
  <c r="I32" i="32" s="1"/>
  <c r="D34" i="33"/>
  <c r="E33" i="33"/>
  <c r="I33" i="33" s="1"/>
  <c r="G37" i="30"/>
  <c r="F39" i="32"/>
  <c r="K40" i="31"/>
  <c r="F39" i="33"/>
  <c r="H40" i="35"/>
  <c r="F39" i="34"/>
  <c r="G34" i="31"/>
  <c r="J33" i="31"/>
  <c r="N33" i="31" s="1"/>
  <c r="E34" i="33" l="1"/>
  <c r="D35" i="33"/>
  <c r="D39" i="35"/>
  <c r="G38" i="35"/>
  <c r="E34" i="34"/>
  <c r="I34" i="34" s="1"/>
  <c r="D35" i="34"/>
  <c r="I34" i="33"/>
  <c r="D34" i="32"/>
  <c r="E33" i="32"/>
  <c r="I33" i="32" s="1"/>
  <c r="I36" i="35"/>
  <c r="J36" i="35" s="1"/>
  <c r="K36" i="35" s="1"/>
  <c r="J33" i="30"/>
  <c r="G35" i="33"/>
  <c r="H35" i="33" s="1"/>
  <c r="G35" i="32"/>
  <c r="H35" i="32" s="1"/>
  <c r="G35" i="34"/>
  <c r="H35" i="34" s="1"/>
  <c r="L36" i="31"/>
  <c r="M36" i="31" s="1"/>
  <c r="L32" i="30"/>
  <c r="G35" i="31"/>
  <c r="J34" i="31"/>
  <c r="N34" i="31" s="1"/>
  <c r="G38" i="30"/>
  <c r="H41" i="35"/>
  <c r="F40" i="32"/>
  <c r="K41" i="31"/>
  <c r="F40" i="34"/>
  <c r="F40" i="33"/>
  <c r="E34" i="32" l="1"/>
  <c r="I34" i="32" s="1"/>
  <c r="D35" i="32"/>
  <c r="D36" i="34"/>
  <c r="E35" i="34"/>
  <c r="I35" i="34" s="1"/>
  <c r="J35" i="31"/>
  <c r="N35" i="31" s="1"/>
  <c r="G36" i="31"/>
  <c r="G36" i="34"/>
  <c r="H36" i="34" s="1"/>
  <c r="J34" i="30"/>
  <c r="L37" i="31"/>
  <c r="M37" i="31" s="1"/>
  <c r="G36" i="33"/>
  <c r="H36" i="33" s="1"/>
  <c r="G36" i="32"/>
  <c r="H36" i="32" s="1"/>
  <c r="I37" i="35"/>
  <c r="J37" i="35" s="1"/>
  <c r="K37" i="35" s="1"/>
  <c r="L33" i="30"/>
  <c r="D40" i="35"/>
  <c r="G39" i="35"/>
  <c r="E35" i="33"/>
  <c r="I35" i="33" s="1"/>
  <c r="D36" i="33"/>
  <c r="G39" i="30"/>
  <c r="H42" i="35"/>
  <c r="F41" i="32"/>
  <c r="F41" i="33"/>
  <c r="F41" i="34"/>
  <c r="K42" i="31"/>
  <c r="G37" i="31" l="1"/>
  <c r="J36" i="31"/>
  <c r="N36" i="31" s="1"/>
  <c r="D41" i="35"/>
  <c r="G40" i="35"/>
  <c r="E36" i="34"/>
  <c r="D37" i="34"/>
  <c r="E36" i="33"/>
  <c r="I36" i="33" s="1"/>
  <c r="D37" i="33"/>
  <c r="G40" i="30"/>
  <c r="H43" i="35"/>
  <c r="F42" i="34"/>
  <c r="F42" i="33"/>
  <c r="F42" i="32"/>
  <c r="K43" i="31"/>
  <c r="I36" i="34"/>
  <c r="E35" i="32"/>
  <c r="I35" i="32" s="1"/>
  <c r="D36" i="32"/>
  <c r="G37" i="32"/>
  <c r="H37" i="32" s="1"/>
  <c r="G37" i="34"/>
  <c r="H37" i="34" s="1"/>
  <c r="L38" i="31"/>
  <c r="M38" i="31" s="1"/>
  <c r="I38" i="35"/>
  <c r="J38" i="35" s="1"/>
  <c r="K38" i="35" s="1"/>
  <c r="J35" i="30"/>
  <c r="G37" i="33"/>
  <c r="H37" i="33" s="1"/>
  <c r="L34" i="30"/>
  <c r="E37" i="34" l="1"/>
  <c r="D38" i="34"/>
  <c r="G38" i="34"/>
  <c r="H38" i="34" s="1"/>
  <c r="G38" i="33"/>
  <c r="H38" i="33" s="1"/>
  <c r="L39" i="31"/>
  <c r="M39" i="31" s="1"/>
  <c r="G38" i="32"/>
  <c r="H38" i="32" s="1"/>
  <c r="I39" i="35"/>
  <c r="J39" i="35" s="1"/>
  <c r="K39" i="35" s="1"/>
  <c r="J36" i="30"/>
  <c r="L35" i="30"/>
  <c r="I37" i="33"/>
  <c r="G41" i="35"/>
  <c r="D42" i="35"/>
  <c r="G41" i="30"/>
  <c r="F43" i="32"/>
  <c r="K44" i="31"/>
  <c r="H44" i="35"/>
  <c r="F43" i="33"/>
  <c r="F43" i="34"/>
  <c r="D38" i="33"/>
  <c r="E37" i="33"/>
  <c r="I37" i="34"/>
  <c r="D37" i="32"/>
  <c r="E36" i="32"/>
  <c r="I36" i="32" s="1"/>
  <c r="G38" i="31"/>
  <c r="J37" i="31"/>
  <c r="N37" i="31" s="1"/>
  <c r="G39" i="34" l="1"/>
  <c r="H39" i="34" s="1"/>
  <c r="L40" i="31"/>
  <c r="M40" i="31" s="1"/>
  <c r="I40" i="35"/>
  <c r="J40" i="35" s="1"/>
  <c r="K40" i="35" s="1"/>
  <c r="J37" i="30"/>
  <c r="G39" i="32"/>
  <c r="H39" i="32" s="1"/>
  <c r="G39" i="33"/>
  <c r="H39" i="33" s="1"/>
  <c r="L36" i="30"/>
  <c r="G39" i="31"/>
  <c r="J38" i="31"/>
  <c r="N38" i="31" s="1"/>
  <c r="E37" i="32"/>
  <c r="I37" i="32" s="1"/>
  <c r="D38" i="32"/>
  <c r="G42" i="30"/>
  <c r="F44" i="33"/>
  <c r="K45" i="31"/>
  <c r="F44" i="34"/>
  <c r="H45" i="35"/>
  <c r="F44" i="32"/>
  <c r="D39" i="34"/>
  <c r="E38" i="34"/>
  <c r="I38" i="34" s="1"/>
  <c r="D43" i="35"/>
  <c r="G42" i="35"/>
  <c r="D39" i="33"/>
  <c r="E38" i="33"/>
  <c r="I38" i="33" s="1"/>
  <c r="G40" i="31" l="1"/>
  <c r="J39" i="31"/>
  <c r="N39" i="31" s="1"/>
  <c r="G40" i="34"/>
  <c r="H40" i="34" s="1"/>
  <c r="J38" i="30"/>
  <c r="G40" i="32"/>
  <c r="H40" i="32" s="1"/>
  <c r="I41" i="35"/>
  <c r="J41" i="35" s="1"/>
  <c r="K41" i="35" s="1"/>
  <c r="L41" i="31"/>
  <c r="M41" i="31" s="1"/>
  <c r="G40" i="33"/>
  <c r="H40" i="33" s="1"/>
  <c r="L37" i="30"/>
  <c r="D39" i="32"/>
  <c r="E38" i="32"/>
  <c r="I38" i="32" s="1"/>
  <c r="E39" i="33"/>
  <c r="I39" i="33" s="1"/>
  <c r="D40" i="33"/>
  <c r="G43" i="30"/>
  <c r="F45" i="34"/>
  <c r="F45" i="32"/>
  <c r="K46" i="31"/>
  <c r="F45" i="33"/>
  <c r="H46" i="35"/>
  <c r="D40" i="34"/>
  <c r="E39" i="34"/>
  <c r="I39" i="34"/>
  <c r="G43" i="35"/>
  <c r="D44" i="35"/>
  <c r="J39" i="30" l="1"/>
  <c r="G41" i="34"/>
  <c r="H41" i="34" s="1"/>
  <c r="L42" i="31"/>
  <c r="M42" i="31" s="1"/>
  <c r="G41" i="32"/>
  <c r="H41" i="32" s="1"/>
  <c r="I42" i="35"/>
  <c r="J42" i="35" s="1"/>
  <c r="K42" i="35" s="1"/>
  <c r="G41" i="33"/>
  <c r="H41" i="33" s="1"/>
  <c r="L38" i="30"/>
  <c r="E39" i="32"/>
  <c r="I39" i="32" s="1"/>
  <c r="D40" i="32"/>
  <c r="G41" i="31"/>
  <c r="J40" i="31"/>
  <c r="N40" i="31" s="1"/>
  <c r="E40" i="34"/>
  <c r="I40" i="34" s="1"/>
  <c r="D41" i="34"/>
  <c r="G44" i="30"/>
  <c r="H47" i="35"/>
  <c r="F46" i="33"/>
  <c r="F46" i="32"/>
  <c r="F46" i="34"/>
  <c r="K47" i="31"/>
  <c r="D45" i="35"/>
  <c r="G44" i="35"/>
  <c r="E40" i="33"/>
  <c r="I40" i="33" s="1"/>
  <c r="D41" i="33"/>
  <c r="D42" i="34" l="1"/>
  <c r="E41" i="34"/>
  <c r="G45" i="30"/>
  <c r="F47" i="34"/>
  <c r="F47" i="33"/>
  <c r="K48" i="31"/>
  <c r="F47" i="32"/>
  <c r="H48" i="35"/>
  <c r="D46" i="35"/>
  <c r="G45" i="35"/>
  <c r="J41" i="31"/>
  <c r="N41" i="31" s="1"/>
  <c r="G42" i="31"/>
  <c r="D42" i="33"/>
  <c r="E41" i="33"/>
  <c r="I41" i="33" s="1"/>
  <c r="D41" i="32"/>
  <c r="E40" i="32"/>
  <c r="I40" i="32" s="1"/>
  <c r="I41" i="34"/>
  <c r="G42" i="33"/>
  <c r="H42" i="33" s="1"/>
  <c r="G42" i="34"/>
  <c r="H42" i="34" s="1"/>
  <c r="I43" i="35"/>
  <c r="J43" i="35" s="1"/>
  <c r="K43" i="35" s="1"/>
  <c r="J40" i="30"/>
  <c r="G42" i="32"/>
  <c r="H42" i="32" s="1"/>
  <c r="L43" i="31"/>
  <c r="M43" i="31" s="1"/>
  <c r="L39" i="30"/>
  <c r="E42" i="33" l="1"/>
  <c r="D43" i="33"/>
  <c r="G46" i="30"/>
  <c r="H49" i="35"/>
  <c r="F48" i="34"/>
  <c r="F48" i="33"/>
  <c r="F48" i="32"/>
  <c r="K49" i="31"/>
  <c r="J42" i="31"/>
  <c r="N42" i="31" s="1"/>
  <c r="G43" i="31"/>
  <c r="E42" i="34"/>
  <c r="I42" i="34" s="1"/>
  <c r="D43" i="34"/>
  <c r="G43" i="33"/>
  <c r="H43" i="33" s="1"/>
  <c r="L44" i="31"/>
  <c r="M44" i="31" s="1"/>
  <c r="G43" i="34"/>
  <c r="H43" i="34" s="1"/>
  <c r="G43" i="32"/>
  <c r="H43" i="32" s="1"/>
  <c r="J41" i="30"/>
  <c r="I44" i="35"/>
  <c r="J44" i="35" s="1"/>
  <c r="K44" i="35" s="1"/>
  <c r="L40" i="30"/>
  <c r="D47" i="35"/>
  <c r="G46" i="35"/>
  <c r="E41" i="32"/>
  <c r="I41" i="32" s="1"/>
  <c r="D42" i="32"/>
  <c r="I42" i="33"/>
  <c r="E43" i="34" l="1"/>
  <c r="I43" i="34" s="1"/>
  <c r="D44" i="34"/>
  <c r="G47" i="30"/>
  <c r="F49" i="33"/>
  <c r="F49" i="32"/>
  <c r="K50" i="31"/>
  <c r="F49" i="34"/>
  <c r="H50" i="35"/>
  <c r="E42" i="32"/>
  <c r="I42" i="32" s="1"/>
  <c r="D43" i="32"/>
  <c r="D44" i="33"/>
  <c r="E43" i="33"/>
  <c r="I43" i="33" s="1"/>
  <c r="G44" i="32"/>
  <c r="H44" i="32" s="1"/>
  <c r="J42" i="30"/>
  <c r="L45" i="31"/>
  <c r="M45" i="31" s="1"/>
  <c r="G44" i="33"/>
  <c r="H44" i="33" s="1"/>
  <c r="I45" i="35"/>
  <c r="J45" i="35" s="1"/>
  <c r="K45" i="35" s="1"/>
  <c r="G44" i="34"/>
  <c r="H44" i="34" s="1"/>
  <c r="L41" i="30"/>
  <c r="G47" i="35"/>
  <c r="D48" i="35"/>
  <c r="G44" i="31"/>
  <c r="J43" i="31"/>
  <c r="N43" i="31" s="1"/>
  <c r="G45" i="31" l="1"/>
  <c r="J44" i="31"/>
  <c r="N44" i="31" s="1"/>
  <c r="E43" i="32"/>
  <c r="I43" i="32" s="1"/>
  <c r="D44" i="32"/>
  <c r="E44" i="34"/>
  <c r="D45" i="34"/>
  <c r="J43" i="30"/>
  <c r="G45" i="32"/>
  <c r="H45" i="32" s="1"/>
  <c r="G45" i="34"/>
  <c r="H45" i="34" s="1"/>
  <c r="I46" i="35"/>
  <c r="J46" i="35" s="1"/>
  <c r="K46" i="35" s="1"/>
  <c r="L46" i="31"/>
  <c r="M46" i="31" s="1"/>
  <c r="G45" i="33"/>
  <c r="H45" i="33" s="1"/>
  <c r="L42" i="30"/>
  <c r="G48" i="30"/>
  <c r="K51" i="31"/>
  <c r="F50" i="34"/>
  <c r="F50" i="32"/>
  <c r="H51" i="35"/>
  <c r="F50" i="33"/>
  <c r="D49" i="35"/>
  <c r="G48" i="35"/>
  <c r="I44" i="34"/>
  <c r="D45" i="33"/>
  <c r="E44" i="33"/>
  <c r="I44" i="33" s="1"/>
  <c r="D46" i="34" l="1"/>
  <c r="E45" i="34"/>
  <c r="G49" i="30"/>
  <c r="F51" i="34"/>
  <c r="F51" i="33"/>
  <c r="F51" i="32"/>
  <c r="H52" i="35"/>
  <c r="K52" i="31"/>
  <c r="I45" i="33"/>
  <c r="J45" i="31"/>
  <c r="N45" i="31" s="1"/>
  <c r="G46" i="31"/>
  <c r="D50" i="35"/>
  <c r="G49" i="35"/>
  <c r="D46" i="33"/>
  <c r="E45" i="33"/>
  <c r="I45" i="34"/>
  <c r="E44" i="32"/>
  <c r="I44" i="32" s="1"/>
  <c r="D45" i="32"/>
  <c r="L47" i="31"/>
  <c r="M47" i="31" s="1"/>
  <c r="G46" i="32"/>
  <c r="H46" i="32" s="1"/>
  <c r="G46" i="33"/>
  <c r="H46" i="33" s="1"/>
  <c r="J44" i="30"/>
  <c r="G46" i="34"/>
  <c r="H46" i="34" s="1"/>
  <c r="I47" i="35"/>
  <c r="J47" i="35" s="1"/>
  <c r="K47" i="35" s="1"/>
  <c r="L43" i="30"/>
  <c r="J45" i="30" l="1"/>
  <c r="G47" i="32"/>
  <c r="H47" i="32" s="1"/>
  <c r="L48" i="31"/>
  <c r="M48" i="31" s="1"/>
  <c r="I48" i="35"/>
  <c r="J48" i="35" s="1"/>
  <c r="K48" i="35" s="1"/>
  <c r="G47" i="33"/>
  <c r="H47" i="33" s="1"/>
  <c r="G47" i="34"/>
  <c r="H47" i="34" s="1"/>
  <c r="L44" i="30"/>
  <c r="D46" i="32"/>
  <c r="E45" i="32"/>
  <c r="I45" i="32" s="1"/>
  <c r="K53" i="31"/>
  <c r="F52" i="33"/>
  <c r="F52" i="32"/>
  <c r="F52" i="34"/>
  <c r="G50" i="30"/>
  <c r="H53" i="35"/>
  <c r="I46" i="34"/>
  <c r="D47" i="33"/>
  <c r="E46" i="33"/>
  <c r="G47" i="31"/>
  <c r="J46" i="31"/>
  <c r="N46" i="31" s="1"/>
  <c r="I46" i="33"/>
  <c r="G50" i="35"/>
  <c r="D51" i="35"/>
  <c r="D47" i="34"/>
  <c r="E46" i="34"/>
  <c r="E47" i="34" l="1"/>
  <c r="I47" i="34" s="1"/>
  <c r="D48" i="34"/>
  <c r="D47" i="32"/>
  <c r="E46" i="32"/>
  <c r="I46" i="32" s="1"/>
  <c r="E47" i="33"/>
  <c r="D48" i="33"/>
  <c r="I49" i="35"/>
  <c r="J49" i="35" s="1"/>
  <c r="K49" i="35" s="1"/>
  <c r="L49" i="31"/>
  <c r="M49" i="31" s="1"/>
  <c r="G48" i="33"/>
  <c r="H48" i="33" s="1"/>
  <c r="G48" i="32"/>
  <c r="H48" i="32" s="1"/>
  <c r="J46" i="30"/>
  <c r="G48" i="34"/>
  <c r="H48" i="34" s="1"/>
  <c r="L45" i="30"/>
  <c r="D52" i="35"/>
  <c r="G51" i="35"/>
  <c r="I47" i="33"/>
  <c r="G51" i="30"/>
  <c r="F53" i="32"/>
  <c r="F53" i="33"/>
  <c r="F53" i="34"/>
  <c r="K54" i="31"/>
  <c r="H54" i="35"/>
  <c r="J47" i="31"/>
  <c r="N47" i="31" s="1"/>
  <c r="G48" i="31"/>
  <c r="D53" i="35" l="1"/>
  <c r="G52" i="35"/>
  <c r="E48" i="33"/>
  <c r="D49" i="33"/>
  <c r="J47" i="30"/>
  <c r="I50" i="35"/>
  <c r="J50" i="35" s="1"/>
  <c r="K50" i="35" s="1"/>
  <c r="L50" i="31"/>
  <c r="M50" i="31" s="1"/>
  <c r="G49" i="32"/>
  <c r="H49" i="32" s="1"/>
  <c r="G49" i="34"/>
  <c r="H49" i="34" s="1"/>
  <c r="G49" i="33"/>
  <c r="H49" i="33" s="1"/>
  <c r="L46" i="30"/>
  <c r="G49" i="31"/>
  <c r="J48" i="31"/>
  <c r="N48" i="31" s="1"/>
  <c r="I48" i="33"/>
  <c r="E47" i="32"/>
  <c r="I47" i="32" s="1"/>
  <c r="D48" i="32"/>
  <c r="D49" i="34"/>
  <c r="E48" i="34"/>
  <c r="I48" i="34" s="1"/>
  <c r="G52" i="30"/>
  <c r="F54" i="32"/>
  <c r="H55" i="35"/>
  <c r="F54" i="34"/>
  <c r="F54" i="33"/>
  <c r="K55" i="31"/>
  <c r="D49" i="32" l="1"/>
  <c r="E48" i="32"/>
  <c r="I48" i="32" s="1"/>
  <c r="J48" i="30"/>
  <c r="G50" i="34"/>
  <c r="H50" i="34" s="1"/>
  <c r="G50" i="33"/>
  <c r="H50" i="33" s="1"/>
  <c r="G50" i="32"/>
  <c r="H50" i="32" s="1"/>
  <c r="L51" i="31"/>
  <c r="M51" i="31" s="1"/>
  <c r="I51" i="35"/>
  <c r="J51" i="35" s="1"/>
  <c r="K51" i="35" s="1"/>
  <c r="L47" i="30"/>
  <c r="E49" i="33"/>
  <c r="I49" i="33" s="1"/>
  <c r="D50" i="33"/>
  <c r="E49" i="34"/>
  <c r="D50" i="34"/>
  <c r="G50" i="31"/>
  <c r="J49" i="31"/>
  <c r="N49" i="31" s="1"/>
  <c r="I49" i="34"/>
  <c r="G53" i="30"/>
  <c r="F55" i="33"/>
  <c r="F55" i="32"/>
  <c r="F55" i="34"/>
  <c r="H56" i="35"/>
  <c r="K56" i="31"/>
  <c r="D54" i="35"/>
  <c r="G53" i="35"/>
  <c r="J50" i="31" l="1"/>
  <c r="N50" i="31" s="1"/>
  <c r="G51" i="31"/>
  <c r="G54" i="35"/>
  <c r="D55" i="35"/>
  <c r="I52" i="35"/>
  <c r="J52" i="35" s="1"/>
  <c r="K52" i="35" s="1"/>
  <c r="G51" i="34"/>
  <c r="H51" i="34" s="1"/>
  <c r="G51" i="33"/>
  <c r="H51" i="33" s="1"/>
  <c r="J49" i="30"/>
  <c r="L52" i="31"/>
  <c r="M52" i="31" s="1"/>
  <c r="G51" i="32"/>
  <c r="H51" i="32" s="1"/>
  <c r="L48" i="30"/>
  <c r="D51" i="33"/>
  <c r="E50" i="33"/>
  <c r="I50" i="33" s="1"/>
  <c r="E49" i="32"/>
  <c r="I49" i="32" s="1"/>
  <c r="D50" i="32"/>
  <c r="E50" i="34"/>
  <c r="I50" i="34" s="1"/>
  <c r="D51" i="34"/>
  <c r="G54" i="30"/>
  <c r="K57" i="31"/>
  <c r="F56" i="34"/>
  <c r="H57" i="35"/>
  <c r="F56" i="33"/>
  <c r="F56" i="32"/>
  <c r="L53" i="31" l="1"/>
  <c r="M53" i="31" s="1"/>
  <c r="G52" i="32"/>
  <c r="H52" i="32" s="1"/>
  <c r="J50" i="30"/>
  <c r="I53" i="35"/>
  <c r="J53" i="35" s="1"/>
  <c r="K53" i="35" s="1"/>
  <c r="G52" i="33"/>
  <c r="H52" i="33" s="1"/>
  <c r="G52" i="34"/>
  <c r="H52" i="34" s="1"/>
  <c r="L49" i="30"/>
  <c r="I51" i="33"/>
  <c r="E51" i="34"/>
  <c r="D52" i="34"/>
  <c r="I51" i="34"/>
  <c r="G55" i="35"/>
  <c r="D56" i="35"/>
  <c r="E51" i="33"/>
  <c r="D52" i="33"/>
  <c r="G55" i="30"/>
  <c r="F57" i="33"/>
  <c r="K58" i="31"/>
  <c r="F57" i="34"/>
  <c r="H58" i="35"/>
  <c r="F57" i="32"/>
  <c r="G52" i="31"/>
  <c r="J51" i="31"/>
  <c r="N51" i="31" s="1"/>
  <c r="E50" i="32"/>
  <c r="I50" i="32" s="1"/>
  <c r="D51" i="32"/>
  <c r="D53" i="34" l="1"/>
  <c r="E52" i="34"/>
  <c r="I52" i="34"/>
  <c r="I52" i="33"/>
  <c r="D52" i="32"/>
  <c r="E51" i="32"/>
  <c r="I51" i="32" s="1"/>
  <c r="G53" i="31"/>
  <c r="J52" i="31"/>
  <c r="N52" i="31" s="1"/>
  <c r="J51" i="30"/>
  <c r="G53" i="34"/>
  <c r="H53" i="34" s="1"/>
  <c r="G53" i="32"/>
  <c r="H53" i="32" s="1"/>
  <c r="G53" i="33"/>
  <c r="H53" i="33" s="1"/>
  <c r="I54" i="35"/>
  <c r="J54" i="35" s="1"/>
  <c r="K54" i="35" s="1"/>
  <c r="L54" i="31"/>
  <c r="M54" i="31" s="1"/>
  <c r="L50" i="30"/>
  <c r="G56" i="30"/>
  <c r="K59" i="31"/>
  <c r="F58" i="33"/>
  <c r="H59" i="35"/>
  <c r="F58" i="34"/>
  <c r="F58" i="32"/>
  <c r="E52" i="33"/>
  <c r="D53" i="33"/>
  <c r="G56" i="35"/>
  <c r="D57" i="35"/>
  <c r="I55" i="35" l="1"/>
  <c r="J55" i="35" s="1"/>
  <c r="K55" i="35" s="1"/>
  <c r="J52" i="30"/>
  <c r="L55" i="31"/>
  <c r="M55" i="31" s="1"/>
  <c r="G54" i="33"/>
  <c r="H54" i="33" s="1"/>
  <c r="G54" i="34"/>
  <c r="H54" i="34" s="1"/>
  <c r="G54" i="32"/>
  <c r="H54" i="32" s="1"/>
  <c r="L51" i="30"/>
  <c r="G57" i="35"/>
  <c r="D58" i="35"/>
  <c r="F59" i="32"/>
  <c r="K60" i="31"/>
  <c r="H60" i="35"/>
  <c r="F59" i="33"/>
  <c r="F59" i="34"/>
  <c r="G57" i="30"/>
  <c r="D54" i="33"/>
  <c r="E53" i="33"/>
  <c r="I53" i="33" s="1"/>
  <c r="J53" i="31"/>
  <c r="N53" i="31" s="1"/>
  <c r="G54" i="31"/>
  <c r="D53" i="32"/>
  <c r="E52" i="32"/>
  <c r="I52" i="32" s="1"/>
  <c r="E53" i="34"/>
  <c r="D54" i="34"/>
  <c r="I53" i="34"/>
  <c r="G58" i="35" l="1"/>
  <c r="D59" i="35"/>
  <c r="H61" i="35"/>
  <c r="I54" i="33"/>
  <c r="E54" i="33"/>
  <c r="D55" i="33"/>
  <c r="F60" i="34"/>
  <c r="K61" i="31"/>
  <c r="E54" i="34"/>
  <c r="D55" i="34"/>
  <c r="F60" i="33"/>
  <c r="F60" i="32"/>
  <c r="J53" i="30"/>
  <c r="G55" i="33"/>
  <c r="H55" i="33" s="1"/>
  <c r="G55" i="34"/>
  <c r="H55" i="34" s="1"/>
  <c r="I56" i="35"/>
  <c r="J56" i="35" s="1"/>
  <c r="K56" i="35" s="1"/>
  <c r="L56" i="31"/>
  <c r="M56" i="31" s="1"/>
  <c r="G55" i="32"/>
  <c r="H55" i="32" s="1"/>
  <c r="L52" i="30"/>
  <c r="I54" i="34"/>
  <c r="D54" i="32"/>
  <c r="E53" i="32"/>
  <c r="I53" i="32" s="1"/>
  <c r="G55" i="31"/>
  <c r="J54" i="31"/>
  <c r="N54" i="31" s="1"/>
  <c r="E55" i="33" l="1"/>
  <c r="I55" i="33" s="1"/>
  <c r="D56" i="33"/>
  <c r="D56" i="34"/>
  <c r="E55" i="34"/>
  <c r="I55" i="34" s="1"/>
  <c r="G59" i="35"/>
  <c r="D60" i="35"/>
  <c r="D55" i="32"/>
  <c r="E54" i="32"/>
  <c r="I54" i="32" s="1"/>
  <c r="I57" i="35"/>
  <c r="J57" i="35" s="1"/>
  <c r="K57" i="35" s="1"/>
  <c r="J54" i="30"/>
  <c r="L57" i="31"/>
  <c r="M57" i="31" s="1"/>
  <c r="G56" i="34"/>
  <c r="H56" i="34" s="1"/>
  <c r="G56" i="32"/>
  <c r="H56" i="32" s="1"/>
  <c r="G56" i="33"/>
  <c r="H56" i="33" s="1"/>
  <c r="L53" i="30"/>
  <c r="J55" i="31"/>
  <c r="N55" i="31" s="1"/>
  <c r="G56" i="31"/>
  <c r="E55" i="32" l="1"/>
  <c r="I55" i="32" s="1"/>
  <c r="D56" i="32"/>
  <c r="E56" i="34"/>
  <c r="D57" i="34"/>
  <c r="G60" i="35"/>
  <c r="G61" i="35" s="1"/>
  <c r="D11" i="37" s="1"/>
  <c r="D61" i="35"/>
  <c r="I56" i="34"/>
  <c r="J56" i="31"/>
  <c r="N56" i="31" s="1"/>
  <c r="G57" i="31"/>
  <c r="E56" i="33"/>
  <c r="I56" i="33" s="1"/>
  <c r="D57" i="33"/>
  <c r="L58" i="31"/>
  <c r="M58" i="31" s="1"/>
  <c r="I58" i="35"/>
  <c r="J58" i="35" s="1"/>
  <c r="K58" i="35" s="1"/>
  <c r="G57" i="32"/>
  <c r="H57" i="32" s="1"/>
  <c r="G57" i="34"/>
  <c r="H57" i="34" s="1"/>
  <c r="G57" i="33"/>
  <c r="H57" i="33" s="1"/>
  <c r="J55" i="30"/>
  <c r="L54" i="30"/>
  <c r="J57" i="31" l="1"/>
  <c r="N57" i="31" s="1"/>
  <c r="G58" i="31"/>
  <c r="E57" i="33"/>
  <c r="D58" i="33"/>
  <c r="E57" i="34"/>
  <c r="I57" i="34" s="1"/>
  <c r="D58" i="34"/>
  <c r="L59" i="31"/>
  <c r="M59" i="31" s="1"/>
  <c r="G58" i="32"/>
  <c r="H58" i="32" s="1"/>
  <c r="G58" i="34"/>
  <c r="H58" i="34" s="1"/>
  <c r="I59" i="35"/>
  <c r="J59" i="35" s="1"/>
  <c r="K59" i="35" s="1"/>
  <c r="J56" i="30"/>
  <c r="G58" i="33"/>
  <c r="H58" i="33" s="1"/>
  <c r="L55" i="30"/>
  <c r="E56" i="32"/>
  <c r="I56" i="32" s="1"/>
  <c r="D57" i="32"/>
  <c r="I57" i="33"/>
  <c r="L60" i="31" l="1"/>
  <c r="I60" i="35"/>
  <c r="G59" i="32"/>
  <c r="G59" i="34"/>
  <c r="G59" i="33"/>
  <c r="J57" i="30"/>
  <c r="L56" i="30"/>
  <c r="L57" i="30" s="1"/>
  <c r="D59" i="33"/>
  <c r="E58" i="33"/>
  <c r="I58" i="33" s="1"/>
  <c r="D59" i="34"/>
  <c r="E58" i="34"/>
  <c r="I58" i="34" s="1"/>
  <c r="D58" i="32"/>
  <c r="E57" i="32"/>
  <c r="I57" i="32" s="1"/>
  <c r="J58" i="31"/>
  <c r="N58" i="31" s="1"/>
  <c r="G59" i="31"/>
  <c r="G60" i="31" l="1"/>
  <c r="J59" i="31"/>
  <c r="N59" i="31" s="1"/>
  <c r="G60" i="32"/>
  <c r="H59" i="32"/>
  <c r="I61" i="35"/>
  <c r="J60" i="35"/>
  <c r="E59" i="33"/>
  <c r="E60" i="33" s="1"/>
  <c r="D9" i="37" s="1"/>
  <c r="D60" i="33"/>
  <c r="G60" i="33"/>
  <c r="H59" i="33"/>
  <c r="G60" i="34"/>
  <c r="H59" i="34"/>
  <c r="D59" i="32"/>
  <c r="E58" i="32"/>
  <c r="I58" i="32" s="1"/>
  <c r="L61" i="31"/>
  <c r="M60" i="31"/>
  <c r="E59" i="34"/>
  <c r="E60" i="34" s="1"/>
  <c r="D10" i="37" s="1"/>
  <c r="D60" i="34"/>
  <c r="I59" i="33" l="1"/>
  <c r="H60" i="33"/>
  <c r="I59" i="34"/>
  <c r="H60" i="34"/>
  <c r="K60" i="35"/>
  <c r="J61" i="35"/>
  <c r="H60" i="32"/>
  <c r="N60" i="31"/>
  <c r="M61" i="31"/>
  <c r="N63" i="31" s="1"/>
  <c r="E59" i="32"/>
  <c r="E60" i="32" s="1"/>
  <c r="D8" i="37" s="1"/>
  <c r="D60" i="32"/>
  <c r="J60" i="31"/>
  <c r="J61" i="31" s="1"/>
  <c r="G61" i="31"/>
  <c r="N64" i="31" l="1"/>
  <c r="N65" i="31"/>
  <c r="E11" i="37"/>
  <c r="F11" i="37" s="1"/>
  <c r="K63" i="35"/>
  <c r="G11" i="37" s="1"/>
  <c r="E10" i="37"/>
  <c r="F10" i="37" s="1"/>
  <c r="I62" i="34"/>
  <c r="G10" i="37" s="1"/>
  <c r="E8" i="37"/>
  <c r="F8" i="37" s="1"/>
  <c r="I62" i="32"/>
  <c r="G8" i="37" s="1"/>
  <c r="I59" i="32"/>
  <c r="K64" i="35"/>
  <c r="K65" i="35"/>
  <c r="I64" i="34"/>
  <c r="I63" i="34"/>
  <c r="E9" i="37"/>
  <c r="F9" i="37" s="1"/>
  <c r="I62" i="33"/>
  <c r="G9" i="37" s="1"/>
  <c r="I63" i="33"/>
  <c r="I64" i="33"/>
  <c r="I64" i="32" l="1"/>
  <c r="I63" i="32"/>
</calcChain>
</file>

<file path=xl/sharedStrings.xml><?xml version="1.0" encoding="utf-8"?>
<sst xmlns="http://schemas.openxmlformats.org/spreadsheetml/2006/main" count="1278" uniqueCount="680">
  <si>
    <t>Notes</t>
  </si>
  <si>
    <t>Question</t>
  </si>
  <si>
    <t>Additional Notes</t>
  </si>
  <si>
    <t>Metadata / Data Quality Assessment</t>
  </si>
  <si>
    <t>Worksheet I.3 - Historical Weather Event and Impacts Information</t>
  </si>
  <si>
    <t>Event Type / Date(s):</t>
  </si>
  <si>
    <t>Event Characteristics:</t>
  </si>
  <si>
    <t>Recovery</t>
  </si>
  <si>
    <t>Future Conditions</t>
  </si>
  <si>
    <t>Site Reference Information</t>
  </si>
  <si>
    <t xml:space="preserve">Site Reference Datum: </t>
  </si>
  <si>
    <t>NAVD88</t>
  </si>
  <si>
    <t>Unit (Feet or Meters):</t>
  </si>
  <si>
    <t>Feet</t>
  </si>
  <si>
    <t>Raw Data &amp; Adjustments</t>
  </si>
  <si>
    <t>Data Category (Datum or Event)</t>
  </si>
  <si>
    <t>Offset</t>
  </si>
  <si>
    <t>Source</t>
  </si>
  <si>
    <t xml:space="preserve">MSL: </t>
  </si>
  <si>
    <t>below NAVD88</t>
  </si>
  <si>
    <t>DoD RSLC EWLS Database</t>
  </si>
  <si>
    <t xml:space="preserve">MHHW: </t>
  </si>
  <si>
    <t xml:space="preserve"> above NAVD88</t>
  </si>
  <si>
    <t>above MHHW</t>
  </si>
  <si>
    <t>DoD RSLC EWLS Database - Single Gauge</t>
  </si>
  <si>
    <t xml:space="preserve">Current Conditions </t>
  </si>
  <si>
    <t>Highest scenario</t>
  </si>
  <si>
    <t>Low scenario</t>
  </si>
  <si>
    <t>Sea level change</t>
  </si>
  <si>
    <t>Worksheet I.6 - Existing Assessment Evaluation</t>
  </si>
  <si>
    <t>What outputs did the assessment generate that you think might be useful to your current purpose statement and why?*</t>
  </si>
  <si>
    <t>DoD Regionalized Sea Level Change and Extreme Water Scenarios (FOUO internal database)</t>
  </si>
  <si>
    <t>flooding</t>
  </si>
  <si>
    <t>flooding, wave damage</t>
  </si>
  <si>
    <t>flooding, wave damage, debris</t>
  </si>
  <si>
    <t>Potential for: 
- erosion of access road due to increased sea levels
- nuisance flooding during extreme high tide.
- Permanent inundation of 20 acres of fresh water marsh</t>
  </si>
  <si>
    <t>WS II.1 – Potential Action Alternatives</t>
  </si>
  <si>
    <t>WS I.3 – Historical Weather Event and Impacts Information</t>
  </si>
  <si>
    <t>Instructions are in red text</t>
  </si>
  <si>
    <t>Assumption(s)</t>
  </si>
  <si>
    <t>Answer(s)</t>
  </si>
  <si>
    <t>Data Type</t>
  </si>
  <si>
    <t>Worksheet I.1 - Assessment Scope</t>
  </si>
  <si>
    <t xml:space="preserve">Assessment Scope: </t>
  </si>
  <si>
    <r>
      <rPr>
        <b/>
        <sz val="11"/>
        <color indexed="8"/>
        <rFont val="Calibri"/>
        <family val="2"/>
      </rPr>
      <t>Hazard of Concern:</t>
    </r>
    <r>
      <rPr>
        <sz val="11"/>
        <color theme="1"/>
        <rFont val="Calibri"/>
        <family val="2"/>
        <scheme val="minor"/>
      </rPr>
      <t xml:space="preserve"> </t>
    </r>
  </si>
  <si>
    <t>1% annual Chance Event</t>
  </si>
  <si>
    <t>From whom and how can you get information?</t>
  </si>
  <si>
    <t>1% annual chance event</t>
  </si>
  <si>
    <t>Sea level change + 1% annual chance event</t>
  </si>
  <si>
    <r>
      <rPr>
        <b/>
        <i/>
        <sz val="11"/>
        <color indexed="56"/>
        <rFont val="Calibri"/>
        <family val="2"/>
      </rPr>
      <t>Purpose:</t>
    </r>
    <r>
      <rPr>
        <sz val="11"/>
        <color indexed="56"/>
        <rFont val="Calibri"/>
        <family val="2"/>
      </rPr>
      <t xml:space="preserve"> Evaluate any existing impact, vulnerability or hazards assessment to determine whether it provides useful information or analysis of the focus area identified in my assessment scope. </t>
    </r>
  </si>
  <si>
    <t>Current &amp; Potential Hazards</t>
  </si>
  <si>
    <t>Current &amp; Potential Impacts Descriptions</t>
  </si>
  <si>
    <t>Impact Magnitude</t>
  </si>
  <si>
    <t>1-Insignificant</t>
  </si>
  <si>
    <t>2-Minor</t>
  </si>
  <si>
    <t>3-Moderate</t>
  </si>
  <si>
    <t>4-Major</t>
  </si>
  <si>
    <t>Worksheet 1.7 - Impact Description and Characterization</t>
  </si>
  <si>
    <t>WS I.6 – Existing Assessment Evaluation</t>
  </si>
  <si>
    <t>WS I.7 – Impact Description and Characterization</t>
  </si>
  <si>
    <r>
      <t xml:space="preserve">What type of information does that decision/process need?
</t>
    </r>
    <r>
      <rPr>
        <i/>
        <sz val="10"/>
        <color indexed="8"/>
        <rFont val="Calibri"/>
        <family val="2"/>
      </rPr>
      <t xml:space="preserve">Considerations: A map with flooding demarcation? A list of impacts to particular infrastructure? </t>
    </r>
  </si>
  <si>
    <t xml:space="preserve">Current land use will not significantly change; there is some flexibility in siting planned infrastructure. </t>
  </si>
  <si>
    <t>Naval Station A will be sustained in its current location for the long term.</t>
  </si>
  <si>
    <t>Permanent inundation and flooding.</t>
  </si>
  <si>
    <t>Worksheet I.2 - Site Information Quality Assessment</t>
  </si>
  <si>
    <t>GIS layer</t>
  </si>
  <si>
    <t>Existing 100-Year Flood Hazard boundary</t>
  </si>
  <si>
    <r>
      <rPr>
        <b/>
        <sz val="11"/>
        <color indexed="8"/>
        <rFont val="Calibri"/>
        <family val="2"/>
      </rPr>
      <t xml:space="preserve">What area / sector / asset do you wish to assess?  </t>
    </r>
    <r>
      <rPr>
        <sz val="11"/>
        <color theme="1"/>
        <rFont val="Calibri"/>
        <family val="2"/>
        <scheme val="minor"/>
      </rPr>
      <t xml:space="preserve">
</t>
    </r>
    <r>
      <rPr>
        <i/>
        <sz val="10"/>
        <color indexed="8"/>
        <rFont val="Calibri"/>
        <family val="2"/>
      </rPr>
      <t>Considerations: Entire installation? A portion of the installation? A particular sector? A particular system or asset? Does the sector/system provide or require a resource - e.g., drinking water from an aquifer or river? Electricity source?</t>
    </r>
  </si>
  <si>
    <t>Base infrastructure map; maps with current and future flooding elevations and extent; description of impacts to site infrastructure.</t>
  </si>
  <si>
    <t>No additional direction</t>
  </si>
  <si>
    <t xml:space="preserve">This is the best method to capture long-term actions and there is time to feed into the next IDP iteration.  </t>
  </si>
  <si>
    <t>Existing design element - finished floor elevation of existing buildings without flood proofing</t>
  </si>
  <si>
    <t>Existing design element - design storm elevation of existing seawall</t>
  </si>
  <si>
    <t>Yes</t>
  </si>
  <si>
    <t>Table</t>
  </si>
  <si>
    <t>GIS layers</t>
  </si>
  <si>
    <t>CIP - link to FEMA data layer</t>
  </si>
  <si>
    <t xml:space="preserve">Step 2: Document your answers in the appropriate rows below. Handbook text will aid you in this step. </t>
  </si>
  <si>
    <t>Data Set</t>
  </si>
  <si>
    <t xml:space="preserve">North American Vertical Datum of 1988 (NAVD 88) </t>
  </si>
  <si>
    <t xml:space="preserve">Do you have this? </t>
  </si>
  <si>
    <t xml:space="preserve">Best to start with whole installation to determine where the primary impacts might be. Initial results may indicate geographic areas or infrastructure sectors that should be the focus of later analyses.  </t>
  </si>
  <si>
    <t xml:space="preserve">I know my GIS staff and feel confident of their capabilities. </t>
  </si>
  <si>
    <t>TBD</t>
  </si>
  <si>
    <t>LIDAR</t>
  </si>
  <si>
    <t>Need to be able to determine flooding height and extent at different flooding scenarios</t>
  </si>
  <si>
    <t>Enter information that does not fall under one of the other column headings</t>
  </si>
  <si>
    <t>Plausible Future Conditions</t>
  </si>
  <si>
    <t>Reference Datum</t>
  </si>
  <si>
    <t>Data Date</t>
  </si>
  <si>
    <t>Data Source</t>
  </si>
  <si>
    <t>Raster</t>
  </si>
  <si>
    <t>FEMA</t>
  </si>
  <si>
    <t>USGS Sandy Restoration Hydro Flattened LiDAR Digital Elevation Model (DEM)</t>
  </si>
  <si>
    <t>Step 1: Enter your answers, assumptions, and any additional helpful notes (e.g., source or date of requirement)  in the columns below.</t>
  </si>
  <si>
    <t>Starting with hazards that have had negative impacts in the past. May need to look at other possible hazards at a later date. For example, impact on water or energy sources.</t>
  </si>
  <si>
    <t>Common Installation Picture (CIP) Base map with vertical and horizontal infrastructure layers</t>
  </si>
  <si>
    <t xml:space="preserve">NAVD 88 </t>
  </si>
  <si>
    <t>DoD Regionalized Sea Level Change and Extreme Water Scenarios; FOUO internal database</t>
  </si>
  <si>
    <t>Future Timeslices</t>
  </si>
  <si>
    <t>Values</t>
  </si>
  <si>
    <t>MSL</t>
  </si>
  <si>
    <t>1992 (the 1983-2001 tidal epoch)</t>
  </si>
  <si>
    <t>NA</t>
  </si>
  <si>
    <t>Weather/Climate Phenomena</t>
  </si>
  <si>
    <t>Weather/Climate Phenomena:</t>
  </si>
  <si>
    <t>Over the next 100 years</t>
  </si>
  <si>
    <r>
      <rPr>
        <b/>
        <sz val="11"/>
        <color indexed="8"/>
        <rFont val="Calibri"/>
        <family val="2"/>
      </rPr>
      <t xml:space="preserve">Hazard(s) of Concern:  </t>
    </r>
    <r>
      <rPr>
        <i/>
        <sz val="11"/>
        <color indexed="56"/>
        <rFont val="Calibri"/>
        <family val="2"/>
      </rPr>
      <t xml:space="preserve">Permanent inundation and flooding </t>
    </r>
  </si>
  <si>
    <t xml:space="preserve">Permanent inundation and flooding </t>
  </si>
  <si>
    <t>Hazard(s) of Concern:</t>
  </si>
  <si>
    <t>Installation GIS experts</t>
  </si>
  <si>
    <t>Seawall Design for Naval Station A</t>
  </si>
  <si>
    <t>Topographic map / vertical elevation data</t>
  </si>
  <si>
    <t>After Action Reports</t>
  </si>
  <si>
    <t>Site has experienced flooding impacts from storm surge in the past; perhaps these reports contain descriptions of impacts and work arounds.</t>
  </si>
  <si>
    <t>Operations &amp; Maintenance Records</t>
  </si>
  <si>
    <t>Site has experienced flooding impacts from storm surge in the past; perhaps these reports contain descriptions of impacts and fixes.</t>
  </si>
  <si>
    <t xml:space="preserve">Enter the date (e.g., date accessed, report date, etc.) </t>
  </si>
  <si>
    <t>Enter the source of the data (e.g., name of document, author, database, etc.)</t>
  </si>
  <si>
    <t xml:space="preserve">Step 2: Document your answers in the rows below using the notes located at the bottom of the spreadsheet. </t>
  </si>
  <si>
    <t>Limitations</t>
  </si>
  <si>
    <t>May not cover the entire focus area</t>
  </si>
  <si>
    <t>May be outdated?</t>
  </si>
  <si>
    <t xml:space="preserve">Contains 1 foot contour intervals </t>
  </si>
  <si>
    <t>None</t>
  </si>
  <si>
    <t>Enter information relating to limitations of the data (e.g., could information be outdated? May not cover the focus area, etc.)</t>
  </si>
  <si>
    <r>
      <rPr>
        <b/>
        <i/>
        <sz val="11"/>
        <color indexed="56"/>
        <rFont val="Calibri"/>
        <family val="2"/>
      </rPr>
      <t>Purpose:</t>
    </r>
    <r>
      <rPr>
        <sz val="11"/>
        <color indexed="56"/>
        <rFont val="Calibri"/>
        <family val="2"/>
      </rPr>
      <t xml:space="preserve"> Learn about and record information regarding past events and their impacts upon the focus area identified in the assessment scope.  Historical event information may provide some sense of how susceptible or sensitive the site and its infrastructure have been and shed light on how future events may impact the focus area. This information could be helpful as you complete Worksheet I.7, but is not critical. </t>
    </r>
  </si>
  <si>
    <t xml:space="preserve">Impact Description </t>
  </si>
  <si>
    <t>Hurricane Isabel, 18 September 2003</t>
  </si>
  <si>
    <t xml:space="preserve">1 - Storm surge at Naval Station A about 5 ft. 
2 - About the Hurricane - greatest impact was storm surge rather than intensity or heavy rains; coastal high water marks surveyed in Western Shore counties showed surge elevations from 3.0 to 7.9 ft, averaging 6.5 ft </t>
  </si>
  <si>
    <t xml:space="preserve">Impact Magnitude </t>
  </si>
  <si>
    <t xml:space="preserve">Enter the sector / asset / area name or other identifier for which you will describe impacts, etc. </t>
  </si>
  <si>
    <t>5 - Catastrophic - Permanent damage and/or loss of infrastructure service.</t>
  </si>
  <si>
    <t>4 - Major - Extensive infrastructure damage requiring extensive repair.</t>
  </si>
  <si>
    <t>3 - Moderate - Widespread infrastructure damage and loss of service. Damage recoverable by maintenance and minor repair.</t>
  </si>
  <si>
    <t>2 - Minor - Localized infrastructure service disruption. No permanent damage.</t>
  </si>
  <si>
    <t>1 - Insignificant - No infrastructure damage.</t>
  </si>
  <si>
    <t>Buildings</t>
  </si>
  <si>
    <t>Natural Infrastructure &amp; Ecosystems</t>
  </si>
  <si>
    <t>Transportation</t>
  </si>
  <si>
    <t>Information Source / Date</t>
  </si>
  <si>
    <t xml:space="preserve">Enter information source and date (e.g., date accessed, report date, etc.) </t>
  </si>
  <si>
    <t>Nuisance flooding occurs during extreme high tide. Currently addressing with sandbags in front of particular building entrances and re-routing traffic on several roads.</t>
  </si>
  <si>
    <t>2 - Minor</t>
  </si>
  <si>
    <t>1 - Insignificant</t>
  </si>
  <si>
    <t>Cleared roads</t>
  </si>
  <si>
    <t xml:space="preserve">Pumped out water and cleaned basements. Moved some equipment to higher floors. </t>
  </si>
  <si>
    <t>Installed shoreline stabilization</t>
  </si>
  <si>
    <r>
      <rPr>
        <b/>
        <i/>
        <sz val="11"/>
        <color indexed="56"/>
        <rFont val="Calibri"/>
        <family val="2"/>
      </rPr>
      <t>Purpose:</t>
    </r>
    <r>
      <rPr>
        <sz val="11"/>
        <color indexed="56"/>
        <rFont val="Calibri"/>
        <family val="2"/>
      </rPr>
      <t xml:space="preserve"> To identify and record which climate data are needed to delineate and evaluate the hazard of concern and weather/climate phenomena identified in the assessment scope and Worksheet I.1, and to assess the quality and type of climate data available.</t>
    </r>
  </si>
  <si>
    <t>Permanent inundation, flooding</t>
  </si>
  <si>
    <t>Enter reference datum (e.g., NAVD88, MSL, MHW, MHHW, etc.); Note: this data element may not apply to all types of data</t>
  </si>
  <si>
    <t>DoD Regionalized Sea Level Change and Extreme Water Scenarios</t>
  </si>
  <si>
    <t>3 - 2035, 2065, 2100</t>
  </si>
  <si>
    <t>5 - lowest, low, medium, high, highest</t>
  </si>
  <si>
    <t>4 - 1%, 2%, 5% and 20% annual chance events</t>
  </si>
  <si>
    <r>
      <rPr>
        <b/>
        <i/>
        <sz val="11"/>
        <color indexed="56"/>
        <rFont val="Calibri"/>
        <family val="2"/>
      </rPr>
      <t>Purpose:</t>
    </r>
    <r>
      <rPr>
        <sz val="11"/>
        <color indexed="56"/>
        <rFont val="Calibri"/>
        <family val="2"/>
      </rPr>
      <t xml:space="preserve"> Confirm important site reference information (e.g., site reference datum and unit of measure) and document baseline and plausible future condition information.</t>
    </r>
  </si>
  <si>
    <t>flooding, debris, shoreline erosion</t>
  </si>
  <si>
    <t xml:space="preserve">Step 3: Document your answers in the rows and columns below using the notes located at the bottom of the spreadsheet. </t>
  </si>
  <si>
    <t>Enter this Information from Worksheet I.5</t>
  </si>
  <si>
    <t>Impacted Sector/Asset/Area Name</t>
  </si>
  <si>
    <t>Current &amp; Potential Impacts</t>
  </si>
  <si>
    <t>Potential negative impacts to existing and planned infrastructure across the entire installation.</t>
  </si>
  <si>
    <r>
      <rPr>
        <b/>
        <sz val="11"/>
        <color indexed="8"/>
        <rFont val="Calibri"/>
        <family val="2"/>
      </rPr>
      <t>What hazards do you wish to assess? (This also defines the Hazard of Concern.)</t>
    </r>
    <r>
      <rPr>
        <sz val="11"/>
        <color theme="1"/>
        <rFont val="Calibri"/>
        <family val="2"/>
        <scheme val="minor"/>
      </rPr>
      <t xml:space="preserve">
</t>
    </r>
    <r>
      <rPr>
        <i/>
        <sz val="10"/>
        <color indexed="8"/>
        <rFont val="Calibri"/>
        <family val="2"/>
      </rPr>
      <t xml:space="preserve">Considerations: Flooding? Permanent inundation? Heat stress? Erosion? Drought? </t>
    </r>
  </si>
  <si>
    <t xml:space="preserve">Naval Station A is located along the coast and has experienced flooding impacts due to storm surge in the past. Assets located at lower elevations would be impacted by sea level change. </t>
  </si>
  <si>
    <r>
      <rPr>
        <b/>
        <sz val="11"/>
        <color indexed="8"/>
        <rFont val="Calibri"/>
        <family val="2"/>
      </rPr>
      <t>What weather or climate phenomena are associated with the hazard of concern you wish to address?</t>
    </r>
    <r>
      <rPr>
        <sz val="11"/>
        <color theme="1"/>
        <rFont val="Calibri"/>
        <family val="2"/>
        <scheme val="minor"/>
      </rPr>
      <t xml:space="preserve">
</t>
    </r>
    <r>
      <rPr>
        <i/>
        <sz val="10"/>
        <color indexed="8"/>
        <rFont val="Calibri"/>
        <family val="2"/>
      </rPr>
      <t xml:space="preserve">Considerations: Sea level change? Storm surge? Changes in precipitation or temperature? Possibility of heavy or reduced precipitation events? </t>
    </r>
  </si>
  <si>
    <t>Storm debris on several roads caused access issues and service disruption for the waste water treatment plant (WWTP).</t>
  </si>
  <si>
    <t>Enter the order of magnitude (i.e., 1-Insignificant, 2-Minor, 3-Moderate, 4-Major, or 5-Catastrophic) for each Sector that best describes the impacts using the definitions below (Table I.2 in Handbook)</t>
  </si>
  <si>
    <t>Worksheet I.4 - Climate Information Requirements &amp; Attributes</t>
  </si>
  <si>
    <t>Emissions Scenarios</t>
  </si>
  <si>
    <t>flooding, wave damage, permanent inundation</t>
  </si>
  <si>
    <t>Spatial Resolution</t>
  </si>
  <si>
    <t>MHHW</t>
  </si>
  <si>
    <t>Answer</t>
  </si>
  <si>
    <t>How does this evaluation's climate data relate to your original Worksheet I.4?</t>
  </si>
  <si>
    <t>Does it address the assessment scope?</t>
  </si>
  <si>
    <t>Does it address the hazard of concern?</t>
  </si>
  <si>
    <t>Does it include data relative to the weather/climate fact of interest?</t>
  </si>
  <si>
    <t>Report</t>
  </si>
  <si>
    <t>Engineering Firm X</t>
  </si>
  <si>
    <t>Shoreline Stabilization Project Summary</t>
  </si>
  <si>
    <t>Assessment Name / Source / Date</t>
  </si>
  <si>
    <t>Shoreline Stabilization Project Summary, Engineering Firm X, 2006</t>
  </si>
  <si>
    <t>Partially; addressed shoreline erosion caused by Hurricane Isabel</t>
  </si>
  <si>
    <t>Partially; addressed flooding due to storm surge caused by Hurricane Isabel</t>
  </si>
  <si>
    <t>No, it does not contain scenarios or projections for future storms</t>
  </si>
  <si>
    <t>Documented the effects of Hurricane Isabel and outlined shoreline stabilization project</t>
  </si>
  <si>
    <t>Maps of Hurricane Isabel flooding extent</t>
  </si>
  <si>
    <t>Potential for:
- temporary flooding of 50,000 sqft of building basements and 20,000 sqft of building first floors (including the Hospital and HQ Complex),  
- debris accumulation on several roads causing access issues and service disruption for WWTP.  
- WWTP is also impacted by salt water.
- 30K LF roadway may be subject to wave erosion damage</t>
  </si>
  <si>
    <t>Potential for:
- erosion of access road due to increased sea levels
- nuisance flooding during extreme high tide.
- Permanent inundation of 35 acres of fresh water marsh, permanent loss of 2 acres salamander critical habitat</t>
  </si>
  <si>
    <t>Potential for: 
- erosion of access road due to increased sea levels
- nuisance flooding during extreme high tide.</t>
  </si>
  <si>
    <t>Potential for:
- nuisance flooding during extreme high tide.</t>
  </si>
  <si>
    <t>Potential for:
- - temporary flooding of 50,000 sqft of building basements and 20,000 sqft of building first floors (including the Hospital and HQ Complex),  
- debris accumulation on several roads causing access issues and service disruption for WWTP.  
- WWTP is also impacted by salt water.
- 30K LF roadway may be subject to wave erosion damage</t>
  </si>
  <si>
    <r>
      <rPr>
        <b/>
        <i/>
        <sz val="11"/>
        <color indexed="56"/>
        <rFont val="Calibri"/>
        <family val="2"/>
      </rPr>
      <t>Purpose:</t>
    </r>
    <r>
      <rPr>
        <sz val="11"/>
        <color indexed="56"/>
        <rFont val="Calibri"/>
        <family val="2"/>
      </rPr>
      <t xml:space="preserve"> Document and describe current and future climate impacts on your focus area from multiple plausible future conditions. </t>
    </r>
  </si>
  <si>
    <t xml:space="preserve">Potential for:
- temporary flooding of 50,000 sqft of building basements and 20,000 sqft of building first floors (including the Hospital and HQ Complex),  
- debris accumulation on several roads causing access issues and service disruption for WWTP.  
- WWTP is also impacted by salt water.
- 30K LF roadway may be subject to wave erosion damage
</t>
  </si>
  <si>
    <t xml:space="preserve">Potential for:
- temporary flooding of 50,000 sqft of building basements and 20,000 sqft of building first floors (including the Hospital and HQ Complex),  
- debris accumulation on several roads causing access issues and service disruption for WWTP.  
- 750K LF roadway may be subject to wave erosion damage
- SW outfall #3 is below EWL 
</t>
  </si>
  <si>
    <t xml:space="preserve">Potential for:
- temporary flooding of 40,000 sqft of building basements and 10,000 sqft of building first floors (including the Hospital, HQ Complex, several RDT&amp;E facilities),  
-debris accumulation on several roads causing access issues and service disruption for WWTP.  
- 500K LF roadway may be subject to wave erosion damage
- SW outfall #3 is below EWL 
</t>
  </si>
  <si>
    <t xml:space="preserve">In addition to assets already permanently inundated, potential for:
- temporary flooding of additional 300,000 sq ft of building basements; 200,000 sqft of building first floors; 3 taxiways with 1.2M SF and aprons with 243K SF
- debris accumulation on several roads, limiting access  
- additional 5000K LF roadway may be subject to wave erosion damage
- stormwater outfall #10 would be below flood stage, impairing drainage </t>
  </si>
  <si>
    <t>Above/Below Indicator</t>
  </si>
  <si>
    <t>1% Chance Event (100-year storm)</t>
  </si>
  <si>
    <t>+MHHW</t>
  </si>
  <si>
    <t>-MSL</t>
  </si>
  <si>
    <t>1% chance event (100 year storm)</t>
  </si>
  <si>
    <t>1 ft</t>
  </si>
  <si>
    <t>Data Converted to Reference Datum</t>
  </si>
  <si>
    <t>RCP 2.6, 4.5 and 8.5</t>
  </si>
  <si>
    <t>Elevation value in database indicates lowest land elevation associated with the installation’s GIS polygon, relative to a designated reference datum.</t>
  </si>
  <si>
    <t>Enter the spatial resolution of the data, where applicable (e.g., 1 degree, 10 meter, 1 foot, etc.)</t>
  </si>
  <si>
    <t xml:space="preserve">Enter information relating to limitations of the data (e.g., is it qualitative or quantitative? etc.) </t>
  </si>
  <si>
    <t xml:space="preserve">Need to validate information quality </t>
  </si>
  <si>
    <t>May require review of standards and confirmation in the field of existing conditions by installation staff or as part of Condition Assessment</t>
  </si>
  <si>
    <t>Was written after Hurricane Isabel in 2003 to address shoreline erosion</t>
  </si>
  <si>
    <t>Enter data description if known (e.g., spatial, tabular, graphic, descriptive, qualitative, quantitative, modeled, measured, etc.); if not known, enter TBD</t>
  </si>
  <si>
    <t xml:space="preserve">Need to go to GeoReadiness POC (too large for CIP) </t>
  </si>
  <si>
    <t>Important: Complete one worksheet for each type of past event (or representative past event) 
Step 1: Complete the next 3 rows: 
- Hazard(s) of Concern: transfer information from Worksheet I.1
- Event Type/Date: List event type (e.g., snow, wind, flooding due to storm surge, heavy precipitation event, drought, etc.) and date(s) of occurrence; list information source. 
- Event Characteristics - List all characteristics you think would be useful to know about the event and its impacts - e.g., duration of event, height of storm surge, number of inches of precipitation. List information source.</t>
  </si>
  <si>
    <t>Enter data description (e.g., values, spatial, graphic, qualitative, quantitative, modeled, measured, etc.); if not known, enter TBD</t>
  </si>
  <si>
    <t>Data entry fields are highlighted in blush</t>
  </si>
  <si>
    <t>Blue italic text represents Notional Installation information</t>
  </si>
  <si>
    <t>Stage I – Establish Scope and Characterize Impacts</t>
  </si>
  <si>
    <t>WS I.1 – Assessment Scope</t>
  </si>
  <si>
    <t>WS I.2 – Site Information Quality Assessment</t>
  </si>
  <si>
    <t>WS I.4 – Climate Information Requirements and Attributes</t>
  </si>
  <si>
    <t>Stage III – Calculate Benefits and Costs Benefits of Action Alternatives</t>
  </si>
  <si>
    <t>WS III.2 – Cost Effectiveness Analysis</t>
  </si>
  <si>
    <t>WS III.4 – Benefit Cost Ratio and Net Present Value</t>
  </si>
  <si>
    <t>Stage IV – Assemble Portfolio of Action Alternatives</t>
  </si>
  <si>
    <t>WS IV.1 – Portfolio Summary</t>
  </si>
  <si>
    <t>Worksheet I.4 - Climate Information Requirements and Attributes</t>
  </si>
  <si>
    <t>Column E - Characterization of Strategic Approach to Decision Uncertainty</t>
  </si>
  <si>
    <t>Column D - Appropriateness</t>
  </si>
  <si>
    <t>Column C - Feasibility</t>
  </si>
  <si>
    <t>Column A - Action Alternatives</t>
  </si>
  <si>
    <t>Increased maintenance extends life of drainage system. Benefits desirable regardless of SLR.</t>
  </si>
  <si>
    <t>Appropriate.  Advance to  WS III.2 - CEA</t>
  </si>
  <si>
    <t xml:space="preserve">• Protects 2,000,000 SF of low-lying roads and parking lots from tidal flooding
• Protects 2,250,000 SF of buildings
• Scheduled replacement of corroded concrete culverts extends life of drainage system
</t>
  </si>
  <si>
    <t>Non-facilities Approaches</t>
  </si>
  <si>
    <t>This alternative is an irreversible solution that would require conservative assumptions about SLR that may be excessive.</t>
  </si>
  <si>
    <t>Not consistent with long-range consolidation of work campuses.</t>
  </si>
  <si>
    <t>Feasible. Advance to  WS III.2 - CEA</t>
  </si>
  <si>
    <t>• Existing MILCON consolidates BRAC in expansion of current HQ Complex; would require revision of 1391</t>
  </si>
  <si>
    <t>Facilities Approaches</t>
  </si>
  <si>
    <t xml:space="preserve">Shares cost with County. </t>
  </si>
  <si>
    <t>• Requires partnership with Oyster Action Network
•Adds design constraints to possible flood gate.
•Unanticipated erosion effects on nearby shoreline</t>
  </si>
  <si>
    <t>• Protects 1,800,000 SF of landward shore from erosion and flooding
• Protects 30 buildings, major shoreline road, historic officer’s quarters and associated landscape (protects 1,200,000 SF of buildings)
• Accommodates current navigation patterns
• Attenuates wave height impacting salamander habitat
• Ecosystem services of water filtration/improved water quality 
• Strengthens community relationship</t>
  </si>
  <si>
    <t>Not appropriate - not consistent with planning goals and objectives identified in the IDP</t>
  </si>
  <si>
    <t>May not be technically or politically feasible; marsh would encroach on operational areas and strategy would require expansion south of current fence line. Do not advance to WS III.2-CEA.</t>
  </si>
  <si>
    <t xml:space="preserve">• Loss of operational areas </t>
  </si>
  <si>
    <t>• Protects 1,200,000 SF of landward shore from erosion and flooding
• Protects 900,000 SF of buildings
• Would improve views from historic officers quarters</t>
  </si>
  <si>
    <t>Conversion to marsh can be reversed in future if conditions are suitable for other types of shoreline development</t>
  </si>
  <si>
    <t>• Extensive environmental review  process</t>
  </si>
  <si>
    <t>• Protects 1,200,000 SF of landward shore from erosion and flooding
• Protects 500,000 SF of buildings
• Increases habitat 
• Preserves existing views of historic officers quarters</t>
  </si>
  <si>
    <t>Natural and Nature-based Approaches</t>
  </si>
  <si>
    <t>Breakwater using relocatables addresses short term impacts and can be replaced as long term SLR is confirmed</t>
  </si>
  <si>
    <t>Construction with relocatable or consumable materials would permit removal or modification</t>
  </si>
  <si>
    <t xml:space="preserve"> </t>
  </si>
  <si>
    <t>• Interferes with harbor channel navigation
• Extensive environmental review  process</t>
  </si>
  <si>
    <t xml:space="preserve">Install offshore breakwater to attenuate wave height </t>
  </si>
  <si>
    <t>Floodgate allows flexible operation</t>
  </si>
  <si>
    <t>Floodgate can be used to impound fresh water to supplement fresh water supply</t>
  </si>
  <si>
    <t>• Extensive environmental review  process
• Water quality reduction
• Habitat impacts</t>
  </si>
  <si>
    <t>•Protects 250,000 SF of back river flood zone
•Reduces storm impact on HQ Complex (600,000 SF)  
•Does not interfere with harbor access
•Prevention of salt water intrusion
•Allows storage of fresh water/augment water supply
•Protects Salamander Critical Habitat</t>
  </si>
  <si>
    <t>Seawall can be designed to allow future increase in height as SLR increases</t>
  </si>
  <si>
    <t xml:space="preserve">• Visual impacts
• Reduced/impaired waterfront access 
• Hardened shoreline increases wave height and number of exceedance events, increases erosion on the seaward side potentially exacerbating loss of near shore ecosystem
• Extensive environmental review  process
</t>
  </si>
  <si>
    <t xml:space="preserve">• Protects 2,000,000 SF of landward shore from erosion and flooding
• Protects 30 buildings, major shoreline road, historic officer’s quarters and associated landscape (protects 1,200,000 SF of buildings)
• Modern equipment can be integrated into new structure, improving efficiency
</t>
  </si>
  <si>
    <t xml:space="preserve">Build a seawall </t>
  </si>
  <si>
    <t>Structural Approaches</t>
  </si>
  <si>
    <t>Reduced Time Horizon</t>
  </si>
  <si>
    <t>Safety Margin</t>
  </si>
  <si>
    <t>Reversible Flexible</t>
  </si>
  <si>
    <t>No Regrets</t>
  </si>
  <si>
    <t>Benefits</t>
  </si>
  <si>
    <t>Description</t>
  </si>
  <si>
    <t>Alt ID #</t>
  </si>
  <si>
    <t xml:space="preserve">Step 2: Document your answers in the rows and columns below using the notes located at the bottom of the spreadsheet. </t>
  </si>
  <si>
    <t>Problem Statement</t>
  </si>
  <si>
    <t>Enter your assumptions</t>
  </si>
  <si>
    <t>Assumption</t>
  </si>
  <si>
    <t>Calculate cumulative present value for each replacement/renewal cost</t>
  </si>
  <si>
    <t>Cumulative Present Value</t>
  </si>
  <si>
    <t>N=</t>
  </si>
  <si>
    <t>Enter frequency that O&amp;M costs would occur (e.g., annual, weekly, etc.)</t>
  </si>
  <si>
    <t>Periodic Frequency</t>
  </si>
  <si>
    <t xml:space="preserve">Enter brief action alternative descriptor and periodic activity that should occur </t>
  </si>
  <si>
    <t xml:space="preserve">Item Description </t>
  </si>
  <si>
    <t>Enter alternative number from WS II.1</t>
  </si>
  <si>
    <t>PERIODIC REPLACEMENT/RENEWAL COSTS</t>
  </si>
  <si>
    <t>Enter your O&amp;M cost assumptions</t>
  </si>
  <si>
    <t>If you anticipate combining several action alternatives together, you may find it useful to understand the relative size and share of  total annual O&amp;M costs per each alternative.</t>
  </si>
  <si>
    <t>% of Total</t>
  </si>
  <si>
    <t>Calculate cumulative present value for each O&amp;M cost</t>
  </si>
  <si>
    <t xml:space="preserve">Enter a nominal annual cost </t>
  </si>
  <si>
    <t>Nominal Annual Amt</t>
  </si>
  <si>
    <t>Enter number of years for the alternative's useful life.  Enter number of O&amp;M costs occurrences you anticipate.</t>
  </si>
  <si>
    <t>Frequency</t>
  </si>
  <si>
    <t>Enter brief action alternative descriptor</t>
  </si>
  <si>
    <t>ANNUAL OPERATIONAL &amp; MAINTENANCE (O&amp;M) COSTS</t>
  </si>
  <si>
    <t>Construction Schedule / % Completion by Year</t>
  </si>
  <si>
    <t>Sum the Estimated and Contingency Amounts</t>
  </si>
  <si>
    <t>Total Cost</t>
  </si>
  <si>
    <t>Calculate contingency amount</t>
  </si>
  <si>
    <t>Contingency Amount ($)</t>
  </si>
  <si>
    <t>Enter contingency %</t>
  </si>
  <si>
    <t>Contingency %</t>
  </si>
  <si>
    <t>Calculate estimated amount (quantity x unit cost)</t>
  </si>
  <si>
    <t>Estimated Amount</t>
  </si>
  <si>
    <t>Unit Cost</t>
  </si>
  <si>
    <t>Enter appropriate unit for that material or input (e.g., EA, CY, etc.)</t>
  </si>
  <si>
    <t>Units</t>
  </si>
  <si>
    <t>Enter quantity of material or input</t>
  </si>
  <si>
    <t>Quantity</t>
  </si>
  <si>
    <t>Enter brief action alternative descriptor and list  the materials and inputs that comprise capital costs</t>
  </si>
  <si>
    <t>CAPITAL COSTS</t>
  </si>
  <si>
    <t xml:space="preserve">  Subtotal:</t>
  </si>
  <si>
    <t>Monitoring activities consist of x, y, z etc.</t>
  </si>
  <si>
    <t>1st 10 years</t>
  </si>
  <si>
    <t>Oyster Reef - Habitat monitoring</t>
  </si>
  <si>
    <t>6b</t>
  </si>
  <si>
    <t>Requires re-seeding based on deployment of X labor, materials etc. every 10 years..</t>
  </si>
  <si>
    <t>every 10 yrs.</t>
  </si>
  <si>
    <t>Oyster Reef - Reseeding reefs</t>
  </si>
  <si>
    <t>6a</t>
  </si>
  <si>
    <t>Periodic Amount</t>
  </si>
  <si>
    <t xml:space="preserve">N= </t>
  </si>
  <si>
    <t>Item Description</t>
  </si>
  <si>
    <t>"   "</t>
  </si>
  <si>
    <t>annual</t>
  </si>
  <si>
    <t>Oyster Reef maintenance</t>
  </si>
  <si>
    <t>Marsh Restoration: vegetation</t>
  </si>
  <si>
    <t>Floodgate maintenance</t>
  </si>
  <si>
    <t>(based on X labor,  materials etc., labor cost etc.)</t>
  </si>
  <si>
    <t>Seawall maintenance</t>
  </si>
  <si>
    <t>% of Total:</t>
  </si>
  <si>
    <t>Nominal Annual Amt.</t>
  </si>
  <si>
    <t>Total Capital Costs:</t>
  </si>
  <si>
    <t>EA</t>
  </si>
  <si>
    <t>materials input 2 etc..</t>
  </si>
  <si>
    <t>CY</t>
  </si>
  <si>
    <t>substrates etc..</t>
  </si>
  <si>
    <t>Install Oyster Reef</t>
  </si>
  <si>
    <t>LS</t>
  </si>
  <si>
    <t>material input 2</t>
  </si>
  <si>
    <t>SF</t>
  </si>
  <si>
    <t>material input 1</t>
  </si>
  <si>
    <t>Restore Marsh Ecosystem</t>
  </si>
  <si>
    <t>Install Floodgate</t>
  </si>
  <si>
    <t>SY</t>
  </si>
  <si>
    <t xml:space="preserve">  topsoil/seed</t>
  </si>
  <si>
    <t xml:space="preserve">  reinforced concrete</t>
  </si>
  <si>
    <t xml:space="preserve">  gravel bedding</t>
  </si>
  <si>
    <t xml:space="preserve">  concrete</t>
  </si>
  <si>
    <t xml:space="preserve">  compacted fill</t>
  </si>
  <si>
    <t xml:space="preserve">  excavation</t>
  </si>
  <si>
    <t xml:space="preserve">Build Seawall </t>
  </si>
  <si>
    <t>Yr t</t>
  </si>
  <si>
    <t>…..</t>
  </si>
  <si>
    <t>Yr 3</t>
  </si>
  <si>
    <t>Yr 2</t>
  </si>
  <si>
    <t>Yr 1</t>
  </si>
  <si>
    <t xml:space="preserve">Document your answers in the rows and columns below using the notes located at the bottom of the spreadsheet. </t>
  </si>
  <si>
    <r>
      <rPr>
        <b/>
        <i/>
        <sz val="11"/>
        <color indexed="56"/>
        <rFont val="Calibri"/>
        <family val="2"/>
      </rPr>
      <t>Purpose:</t>
    </r>
    <r>
      <rPr>
        <sz val="11"/>
        <color indexed="56"/>
        <rFont val="Calibri"/>
        <family val="2"/>
      </rPr>
      <t xml:space="preserve"> Develop conceptual costs for action alternatives. You will use the non-monetized benefits identified in Worksheet I.1 as performance metrics, and estimate and assemble life cycle costs for each action alternative.</t>
    </r>
  </si>
  <si>
    <t>Figure III.1: Cost Effectiveness Analysis of Preliminary Alternatives</t>
  </si>
  <si>
    <t>Enter appropriate notes</t>
  </si>
  <si>
    <t>Calculate and enter the cost per unit (NPV life cycle costs divided by performance metric)</t>
  </si>
  <si>
    <t>Cost per Unit</t>
  </si>
  <si>
    <t>NPV Life Cycle Costs of Action Alternative</t>
  </si>
  <si>
    <t>Alternative Description</t>
  </si>
  <si>
    <t>Square feet of buildings protected</t>
  </si>
  <si>
    <t>*Performance metric unit</t>
  </si>
  <si>
    <t>Increase maintenance of drainage system</t>
  </si>
  <si>
    <t>Relocate HQ Complex</t>
  </si>
  <si>
    <t xml:space="preserve">  substrates etc..</t>
  </si>
  <si>
    <t>Restore Marsh</t>
  </si>
  <si>
    <t>Install Breakwater</t>
  </si>
  <si>
    <t>NPV Life Cycle Costs
of Action Alternative</t>
  </si>
  <si>
    <r>
      <rPr>
        <b/>
        <i/>
        <sz val="11"/>
        <color indexed="56"/>
        <rFont val="Calibri"/>
        <family val="2"/>
      </rPr>
      <t>Purpose:</t>
    </r>
    <r>
      <rPr>
        <sz val="11"/>
        <color indexed="56"/>
        <rFont val="Calibri"/>
        <family val="2"/>
      </rPr>
      <t xml:space="preserve"> Conduct a preliminary screening of your list of action alternatives by applying cost effectiveness analysis, using information from Worksheets II.1 and III.1. Using this type of analysis before a full benefit cost analysis can inform an objective decision making process. </t>
    </r>
  </si>
  <si>
    <t>VI. Total Benefits</t>
  </si>
  <si>
    <t>Placeholder: could potentially be value of displacement costs, emergency costs, injuries etc.</t>
  </si>
  <si>
    <t xml:space="preserve">  Other</t>
  </si>
  <si>
    <t>Take product of critical infrastructure value x Annual Probability of occurrence (1%)</t>
  </si>
  <si>
    <t xml:space="preserve">  Critical Infrastructure</t>
  </si>
  <si>
    <t>Enter a $ value or apply some vehicle assumptions x Annual Probability of occurrence (1%)</t>
  </si>
  <si>
    <t xml:space="preserve">  Vehicles</t>
  </si>
  <si>
    <t>Enter a $ value or use a building contents damage factor (in this case, 25%) and multiply versus Column (a) values</t>
  </si>
  <si>
    <t xml:space="preserve">  Building Contents</t>
  </si>
  <si>
    <t>Take product of Bldg sq. ft. x BRV x % of structure damaged x Annual Probability of occurrence (1%). Insert value every 5 yrs. Increase % of  structural damage by 1% every 6 yrs (SLR). Spreadsheet calculates other years automatically.</t>
  </si>
  <si>
    <t xml:space="preserve">  Structures</t>
  </si>
  <si>
    <t>Start with '0' and include the "N" value from WS III.1</t>
  </si>
  <si>
    <t>Year #</t>
  </si>
  <si>
    <t>Enter first year of alternative implementation from WS III.1</t>
  </si>
  <si>
    <t>Year</t>
  </si>
  <si>
    <t xml:space="preserve">   Estimated total value of damage, (obtain from Study X).</t>
  </si>
  <si>
    <t>Critical Infrastructure Assumption:</t>
  </si>
  <si>
    <t xml:space="preserve">   Percent of vehicle damaged</t>
  </si>
  <si>
    <t xml:space="preserve">  Value per vehicle</t>
  </si>
  <si>
    <t xml:space="preserve">  No. of vehicles inundated:</t>
  </si>
  <si>
    <t>Vehicle Assumptions:</t>
  </si>
  <si>
    <t xml:space="preserve"> (based on applying Tool X)</t>
  </si>
  <si>
    <t>Contents works out to be 25% of structure BRV:</t>
  </si>
  <si>
    <t xml:space="preserve">   Value of Regulating Services: Hurricane Hazard Risk Reduction ($/ac)</t>
  </si>
  <si>
    <t xml:space="preserve">   Value of Supporting Services: New Habitat ($/acre)</t>
  </si>
  <si>
    <t>Ecosystem Service Acres Created:</t>
  </si>
  <si>
    <t>Discount Rate:</t>
  </si>
  <si>
    <t>Return period</t>
  </si>
  <si>
    <t>SLR accretion rate (increment to DDF)</t>
  </si>
  <si>
    <t>Percent of structure damaged at this flood level (USACE Depth Damage Functions (DDF)) (adjusted over time)</t>
  </si>
  <si>
    <t>Weighted Average Cost/sq.ft. BRV</t>
  </si>
  <si>
    <t>Buildings at risk/sq. ft.</t>
  </si>
  <si>
    <t>Parameters</t>
  </si>
  <si>
    <t>Notional Installation Hypothetical  Data ↓</t>
  </si>
  <si>
    <t>This box shows the assumptions and parameters used to develop benefit estimates.</t>
  </si>
  <si>
    <t xml:space="preserve">  e. Other avoided damages</t>
  </si>
  <si>
    <r>
      <t xml:space="preserve">  d. Avoided damages to critical infrastructure  </t>
    </r>
    <r>
      <rPr>
        <b/>
        <sz val="10"/>
        <color indexed="60"/>
        <rFont val="Calibri"/>
        <family val="2"/>
      </rPr>
      <t/>
    </r>
  </si>
  <si>
    <r>
      <t xml:space="preserve">  c. Avoided damages to vehicles </t>
    </r>
    <r>
      <rPr>
        <b/>
        <sz val="10"/>
        <color indexed="60"/>
        <rFont val="Calibri"/>
        <family val="2"/>
      </rPr>
      <t/>
    </r>
  </si>
  <si>
    <r>
      <t xml:space="preserve">  b. Avoided damages to building contents </t>
    </r>
    <r>
      <rPr>
        <b/>
        <sz val="10"/>
        <color indexed="60"/>
        <rFont val="Calibri"/>
        <family val="2"/>
      </rPr>
      <t/>
    </r>
  </si>
  <si>
    <t xml:space="preserve">  a. Avoided damages to structures.</t>
  </si>
  <si>
    <t>Year Number</t>
  </si>
  <si>
    <r>
      <rPr>
        <b/>
        <i/>
        <sz val="11"/>
        <color indexed="56"/>
        <rFont val="Calibri"/>
        <family val="2"/>
      </rPr>
      <t>Purpose:</t>
    </r>
    <r>
      <rPr>
        <sz val="11"/>
        <color indexed="56"/>
        <rFont val="Calibri"/>
        <family val="2"/>
      </rPr>
      <t xml:space="preserve"> Record and transfer the monetary values for the direct, indirect, and cumulative benefits of each action alternative under consideration. </t>
    </r>
  </si>
  <si>
    <t>Internal Rate of Return (IRR)</t>
  </si>
  <si>
    <t>Benefit Cost Ratio: BCR</t>
  </si>
  <si>
    <t>Cumulative Present Values</t>
  </si>
  <si>
    <t>Subtract Total Costs from Total Monetized Benefits</t>
  </si>
  <si>
    <t>Total Monetized Benefits less Total Costs</t>
  </si>
  <si>
    <t>Life Cycle Costs</t>
  </si>
  <si>
    <t>Cumulative Present Values:</t>
  </si>
  <si>
    <t>6b. Habitat monitoring</t>
  </si>
  <si>
    <t>6a. Reseeding reefs</t>
  </si>
  <si>
    <t>O&amp;M</t>
  </si>
  <si>
    <t>4. Restore Marsh</t>
  </si>
  <si>
    <t>2. Flood gate</t>
  </si>
  <si>
    <t xml:space="preserve"> 1. Seawall </t>
  </si>
  <si>
    <t>Total Monetized Benefits</t>
  </si>
  <si>
    <t>Total Costs</t>
  </si>
  <si>
    <t xml:space="preserve"> II. Annual O&amp;M</t>
  </si>
  <si>
    <t xml:space="preserve">  I. Capital Costs</t>
  </si>
  <si>
    <t>Life Cycle Costs: (constant dollars)</t>
  </si>
  <si>
    <t xml:space="preserve">Step 2. Document your answers in the rows and columns below using the notes located at the bottom of the spreadsheet. </t>
  </si>
  <si>
    <r>
      <t xml:space="preserve">Discount Rate, </t>
    </r>
    <r>
      <rPr>
        <b/>
        <i/>
        <sz val="11"/>
        <color indexed="8"/>
        <rFont val="Calibri"/>
        <family val="2"/>
      </rPr>
      <t>i</t>
    </r>
    <r>
      <rPr>
        <b/>
        <sz val="11"/>
        <color indexed="8"/>
        <rFont val="Calibri"/>
        <family val="2"/>
      </rPr>
      <t xml:space="preserve"> = </t>
    </r>
  </si>
  <si>
    <t>Action Alternative:</t>
  </si>
  <si>
    <t>Step 1. Enter your Action Alternative descriptor or title. Enter the Discount Rate.</t>
  </si>
  <si>
    <r>
      <rPr>
        <b/>
        <i/>
        <sz val="11"/>
        <color indexed="56"/>
        <rFont val="Calibri"/>
        <family val="2"/>
      </rPr>
      <t>Purpose:</t>
    </r>
    <r>
      <rPr>
        <sz val="11"/>
        <color indexed="56"/>
        <rFont val="Calibri"/>
        <family val="2"/>
      </rPr>
      <t xml:space="preserve"> Use this worksheet to bring together costs and benefits to calculate BCR and NPV.</t>
    </r>
  </si>
  <si>
    <t>Worksheet III.4 - Benefit Cost Ratio and Net Present Value</t>
  </si>
  <si>
    <t>Build a seawall</t>
  </si>
  <si>
    <t>Restore marsh</t>
  </si>
  <si>
    <t xml:space="preserve"> Habitat monitoring</t>
  </si>
  <si>
    <t xml:space="preserve"> Reseeding reefs</t>
  </si>
  <si>
    <t>III. Renewal , Replacement Costs</t>
  </si>
  <si>
    <t>Install oyster reef</t>
  </si>
  <si>
    <t>Column F - Risk Approach</t>
  </si>
  <si>
    <t xml:space="preserve">   Pivot Points and Data Gaps</t>
  </si>
  <si>
    <t xml:space="preserve">   Funding Constraints</t>
  </si>
  <si>
    <t xml:space="preserve">   External Events</t>
  </si>
  <si>
    <t>Column D - Key Future Variables</t>
  </si>
  <si>
    <t>Column C - Non-Monetized Benefits &amp; Limitations</t>
  </si>
  <si>
    <t>Column B - Key Metrics</t>
  </si>
  <si>
    <t>Column A - Action Alternative Description &amp; Key Benefits</t>
  </si>
  <si>
    <t>None, funding is allocated through established procedures</t>
  </si>
  <si>
    <t>Third party protective measures (e.g. surge barrier protecting larger region) can change aquatic habitat (salinity) such that oyster reef may not be viable and investment is lost</t>
  </si>
  <si>
    <t>• Requires partnership with Oyster Action Network
• Adds design constraints to possible flood gate.
• Unanticipated erosion effects on nearby shoreline</t>
  </si>
  <si>
    <t>• Accommodates current navigation patterns
• Attenuates wave height impacting salamander habitat
• Ecosystem services of water filtration/improved water quality 
• Strengthens community relationship</t>
  </si>
  <si>
    <t xml:space="preserve">Install oyster reef breakwater at mouth of river </t>
  </si>
  <si>
    <r>
      <rPr>
        <b/>
        <i/>
        <sz val="10"/>
        <color indexed="56"/>
        <rFont val="Calibri"/>
        <family val="2"/>
      </rPr>
      <t>Control Risk</t>
    </r>
    <r>
      <rPr>
        <i/>
        <sz val="10"/>
        <color indexed="56"/>
        <rFont val="Calibri"/>
        <family val="2"/>
      </rPr>
      <t xml:space="preserve">
Minor Risk Reduction for small storms only</t>
    </r>
  </si>
  <si>
    <t>Impact of water level on species mix, viability and extent of marsh</t>
  </si>
  <si>
    <t>• Increases habitat 
• Preserves existing views of historic officers quarters</t>
  </si>
  <si>
    <t>Restore and expand fresh water marsh ecosystem</t>
  </si>
  <si>
    <r>
      <rPr>
        <b/>
        <i/>
        <sz val="10"/>
        <color indexed="56"/>
        <rFont val="Calibri"/>
        <family val="2"/>
      </rPr>
      <t xml:space="preserve">Transfer/Share Risk
</t>
    </r>
    <r>
      <rPr>
        <i/>
        <sz val="10"/>
        <color indexed="56"/>
        <rFont val="Calibri"/>
        <family val="2"/>
      </rPr>
      <t xml:space="preserve">Shares cost with County. Reduces investment risk. County pays for 95% of the project and coordinates with other jurisdictions. Navy contribution limited to donation of land and $500M. </t>
    </r>
  </si>
  <si>
    <t>Existing MILCON consolidates BRACed functions to HQ Complex, loss of HQ would require revision of entire 2021 POM and GSIP; unlikely to be funded</t>
  </si>
  <si>
    <t>County requires matching funds from several municipalities.</t>
  </si>
  <si>
    <t xml:space="preserve">• Does not interfere with harbor access
• Prevention of salt water intrusion
• Allows storage of fresh water/augment water supply
</t>
  </si>
  <si>
    <t>Partner with County to Install flood gate at mouth of river</t>
  </si>
  <si>
    <r>
      <rPr>
        <b/>
        <i/>
        <sz val="10"/>
        <color indexed="56"/>
        <rFont val="Calibri"/>
        <family val="2"/>
      </rPr>
      <t xml:space="preserve">Control Risk
</t>
    </r>
    <r>
      <rPr>
        <i/>
        <sz val="10"/>
        <color indexed="56"/>
        <rFont val="Calibri"/>
        <family val="2"/>
      </rPr>
      <t>Increases physical flood barrier protection level to reduce risk</t>
    </r>
  </si>
  <si>
    <t xml:space="preserve">• Protects 2,000,000 SF of landward shore from the impacts of erosion and flooding
• Protects 30 buildings, major shoreline road, historic officer’s quarters and associated landscape (protects 1,200,000 SF of buildings)
</t>
  </si>
  <si>
    <t xml:space="preserve">Build a seawall   </t>
  </si>
  <si>
    <t>Pivot Points and Data Gaps</t>
  </si>
  <si>
    <t>Funding Constraints</t>
  </si>
  <si>
    <t>External Events</t>
  </si>
  <si>
    <t xml:space="preserve">Non-monetized Benefits  </t>
  </si>
  <si>
    <t>Benefit Cost Ratio</t>
  </si>
  <si>
    <t>Total Monetized Benefits Less Costs (Net Present Value)</t>
  </si>
  <si>
    <t>Total Life Cycle Costs</t>
  </si>
  <si>
    <t xml:space="preserve">Key Benefits
</t>
  </si>
  <si>
    <t>Action Alternative Description</t>
  </si>
  <si>
    <r>
      <t xml:space="preserve">Column F - Risk Approach Type
</t>
    </r>
    <r>
      <rPr>
        <sz val="10"/>
        <rFont val="Calibri"/>
        <family val="2"/>
      </rPr>
      <t>• Assume Risk
• Transfer or Share Risk
• Control Risk
• Avoid Risk</t>
    </r>
  </si>
  <si>
    <t>Worksheet II.1 -  Potential Action Alternatives</t>
  </si>
  <si>
    <t>Worksheet III.2 - Cost Effectiveness Analysis</t>
  </si>
  <si>
    <t>Worksheet III.3 - Benefits</t>
  </si>
  <si>
    <r>
      <rPr>
        <b/>
        <i/>
        <sz val="11"/>
        <color indexed="56"/>
        <rFont val="Calibri"/>
        <family val="2"/>
      </rPr>
      <t>Purpose:</t>
    </r>
    <r>
      <rPr>
        <sz val="11"/>
        <color indexed="56"/>
        <rFont val="Calibri"/>
        <family val="2"/>
      </rPr>
      <t xml:space="preserve"> Assemble and screen a list of potential action alternatives that are feasible and appropriate for your installation.</t>
    </r>
  </si>
  <si>
    <t>Worksheet III.1 - Life Cycle Cost Analysis</t>
  </si>
  <si>
    <r>
      <rPr>
        <b/>
        <i/>
        <sz val="10"/>
        <color indexed="56"/>
        <rFont val="Calibri"/>
        <family val="2"/>
      </rPr>
      <t>Purpose:</t>
    </r>
    <r>
      <rPr>
        <sz val="10"/>
        <color indexed="56"/>
        <rFont val="Calibri"/>
        <family val="2"/>
      </rPr>
      <t xml:space="preserve"> Assemble information generated in the previous stages into a concise summary that presents the results of the analyses conducted using this Handbook.</t>
    </r>
  </si>
  <si>
    <t>Worksheet III.4.5 - Benefit Cost Ratio and Net Present Value (Install Oyster Reef)</t>
  </si>
  <si>
    <t>Worksheet III.4.4 - Benefit Cost Ratio and Net Present Value (Restore Marsh)</t>
  </si>
  <si>
    <t>Worksheet III.4.3 - Benefit Cost Ratio and Net Present Value (Install Floodgate)</t>
  </si>
  <si>
    <t>Worksheet III.4.2 - Benefit Cost Ratio and Net Present Value (Build a Seawall)</t>
  </si>
  <si>
    <t xml:space="preserve">    Worksheet III.4.2 - Benefit Cost Ratio and Net Present Value (Build a Seawall)</t>
  </si>
  <si>
    <t xml:space="preserve">    Worksheet III.4.4 - Benefit Cost Ratio and Net Present Value (Restore Marsh)</t>
  </si>
  <si>
    <t xml:space="preserve">    Worksheet III.4.5 - Benefit Cost Ratio and Net Present Value (Install Oyster Reef)</t>
  </si>
  <si>
    <t>Does not account for ALL factors that may affect water levels, such as wave run-up (which include wave-set up and swash) - see Fig 3.12 in Hall et al. 2016.</t>
  </si>
  <si>
    <t>BCA if implemented with other adaptation measures in a hybrid solution</t>
  </si>
  <si>
    <t xml:space="preserve">Adapted from CSIRO 2007. </t>
  </si>
  <si>
    <t>Worksheet Overview</t>
  </si>
  <si>
    <t>Step 2:  Document your site reference datum and what unit of measure (feet or meters) you will use.</t>
  </si>
  <si>
    <t>Step 3:  Document the offset values that are necessary to ensure that your data is relative to your preferred reference datum.</t>
  </si>
  <si>
    <t>Step 1: Document the problem statement you generated at the conclusion of Stage I. You may choose to separate out gradual events (e.g., sea level change) from extreme events (e.g. storm surge).</t>
  </si>
  <si>
    <t>Install a flood gate</t>
  </si>
  <si>
    <t xml:space="preserve">    Worksheet III.4.2 - Benefit Cost Ratio and Net Present Value (Install a Flood Gate)</t>
  </si>
  <si>
    <t>May be available in iNFADS or from review of Record Drawings, engineering studies. Perhaps NAVFAC Capital Improvements Business Line (CIBL).</t>
  </si>
  <si>
    <t>Installation GIS and Remote Sensing experts</t>
  </si>
  <si>
    <t>Installation GIS experts; USGS</t>
  </si>
  <si>
    <t>Engineers (CIBL); Installation Public Works Depart (PWD)</t>
  </si>
  <si>
    <t>CIBL MILCON Magnagers; Environmental Business Line (ENV)</t>
  </si>
  <si>
    <t>Record Drawings (As-builts); DD 1354</t>
  </si>
  <si>
    <t>Contact my local operations and maintenance office at the PWD</t>
  </si>
  <si>
    <t>Damage Assessment Teams (DAT) After action report, Dec 2003</t>
  </si>
  <si>
    <r>
      <t xml:space="preserve">1 - Damage Assessment Teams (DAT) After action report, Dec 2003
2 - Maryland Geological Survey </t>
    </r>
    <r>
      <rPr>
        <i/>
        <sz val="10"/>
        <color indexed="56"/>
        <rFont val="Calibri"/>
        <family val="2"/>
      </rPr>
      <t>(http://www.mgs.md.gov/coastal_geology/isabel/isabel2.html), accessed 9/9/16</t>
    </r>
  </si>
  <si>
    <t>Buildings (Bldg #s)</t>
  </si>
  <si>
    <t>Step 2: Document your answers in the rows below using the notes located at the bottom of the spreadsheet.</t>
  </si>
  <si>
    <t>Data Needed</t>
  </si>
  <si>
    <t xml:space="preserve">• Protects HQ Complex (600,000 SF)  
• Supports current IDP consolidation plan
</t>
  </si>
  <si>
    <t>List the main benefits and limitations of each action alternative. Document the size of the area protected.  Strive to use the same units (SF, acres) so alternatives can be compared during the Cost Effectiveness Analysis (CEA) in Stage III.</t>
  </si>
  <si>
    <t xml:space="preserve"> Installation is already a partner in regional oyster restoration with plans to restore oyster beds.</t>
  </si>
  <si>
    <t>Performance Metric* (SF)</t>
  </si>
  <si>
    <t>Worksheet II.1 - Potential Action Alternatives</t>
  </si>
  <si>
    <t>6. Oyster Reef</t>
  </si>
  <si>
    <t>Worksheet IV.1 - Portfolio Summary</t>
  </si>
  <si>
    <r>
      <t xml:space="preserve">Column E - Strategic Approach to Decisions under Uncertainty
</t>
    </r>
    <r>
      <rPr>
        <sz val="10"/>
        <color indexed="8"/>
        <rFont val="Calibri"/>
        <family val="2"/>
      </rPr>
      <t>• No-regrets strategies
• Reversible and flexible strategies
• Safety margin strategies
• Reduced time-horizon strategies</t>
    </r>
  </si>
  <si>
    <t>Limitations (Disbenefits)</t>
  </si>
  <si>
    <r>
      <t xml:space="preserve">The following facilities and ecosystems may be impacted by </t>
    </r>
    <r>
      <rPr>
        <b/>
        <i/>
        <sz val="11"/>
        <color indexed="56"/>
        <rFont val="Calibri"/>
        <family val="2"/>
      </rPr>
      <t>permanent inundation by 2100 based on a projected sea level change scenario of 8.2 feet adjusted to a common vertical datum:</t>
    </r>
    <r>
      <rPr>
        <i/>
        <sz val="11"/>
        <color indexed="56"/>
        <rFont val="Calibri"/>
        <family val="2"/>
      </rPr>
      <t xml:space="preserve"> permanent loss of 1,000 linear feet of roadway; permanent inundation of 80,000 sq. ft. of building basements and 50,000 sq. ft. of building first floors (including the Hospital, HQ Complex, and several RDT&amp;E facilities); stormwater outfalls #3 and #4 permanently underwater; permanent inundation of 125 acres of fresh water marsh; and permanent loss of all salamander critical habitat.  </t>
    </r>
  </si>
  <si>
    <t>Appendix G – Completed Worksheets for Notional Installation</t>
  </si>
  <si>
    <t xml:space="preserve">WS I.5 – Current and Plausible Future Conditions </t>
  </si>
  <si>
    <r>
      <rPr>
        <b/>
        <sz val="11"/>
        <color indexed="8"/>
        <rFont val="Calibri"/>
        <family val="2"/>
      </rPr>
      <t>Assessment Scope:</t>
    </r>
    <r>
      <rPr>
        <sz val="11"/>
        <color theme="1"/>
        <rFont val="Calibri"/>
        <family val="2"/>
        <scheme val="minor"/>
      </rPr>
      <t xml:space="preserve">  </t>
    </r>
    <r>
      <rPr>
        <i/>
        <sz val="11"/>
        <color indexed="56"/>
        <rFont val="Calibri"/>
        <family val="2"/>
      </rPr>
      <t>Given the stated assumptions in Worksheet I.1, determine how we can protect the installation infrastructure from damage due to flooding and permanent inundation over the next 100 years.</t>
    </r>
  </si>
  <si>
    <r>
      <rPr>
        <b/>
        <sz val="11"/>
        <color indexed="8"/>
        <rFont val="Calibri"/>
        <family val="2"/>
      </rPr>
      <t xml:space="preserve">Weather/Climate Phenomena: </t>
    </r>
    <r>
      <rPr>
        <i/>
        <sz val="11"/>
        <color indexed="56"/>
        <rFont val="Calibri"/>
        <family val="2"/>
      </rPr>
      <t>Sea level change and storm surge (the 1% annual chance event or 100-year storm event)</t>
    </r>
  </si>
  <si>
    <r>
      <t xml:space="preserve">What decision / process / plan do you wish to inform? 
</t>
    </r>
    <r>
      <rPr>
        <i/>
        <sz val="10"/>
        <color indexed="8"/>
        <rFont val="Calibri"/>
        <family val="2"/>
      </rPr>
      <t>Considerations: Did someone direct you to complete the study for a particular purpose? An investment decision? A risk management plan? Installation development planning process? A natural resource management plan? A constraints map?</t>
    </r>
  </si>
  <si>
    <r>
      <t xml:space="preserve">Is there any additional direction or criteria that should be included in your assumptions?
</t>
    </r>
    <r>
      <rPr>
        <i/>
        <sz val="10"/>
        <color indexed="8"/>
        <rFont val="Calibri"/>
        <family val="2"/>
      </rPr>
      <t xml:space="preserve">Considerations: Were you provided a particular schedule for completion? </t>
    </r>
  </si>
  <si>
    <t xml:space="preserve">1 - Damage Assessment Teams (DAT) After action report, Dec 2003
2 - Interviews with operations and maintenance staff
3 - Public Works maintenance logs </t>
  </si>
  <si>
    <t>1 - Damage Assessment Teams (DAT) After action report, Dec 2003
2 - SLVAS, finalized Jan 2015</t>
  </si>
  <si>
    <t>14th AF Weather Squadron</t>
  </si>
  <si>
    <t xml:space="preserve">Worksheet I.5 - Current and Plausible Future Conditions </t>
  </si>
  <si>
    <t>Temporary flooding in several building basements  (A102, A202, B304, B404)</t>
  </si>
  <si>
    <t xml:space="preserve">Naval Station A experienced a storm in 2003 with a  surge height of 5 ft, causing shoreline erosion in several areas (about 25K LF), temporary flooding of some building basements (4), and deposition of debris on several roads causing access issues and service disruption for the waste water treatment plant (WWTP). 
</t>
  </si>
  <si>
    <t>Enter text describing the impact of the event on the sector or asset. Include information regarding critical thresholds (tipping points) at which damage to particular structure/assets occurred (e.g., finished floor height or height of building entry points through which water could penetrate; road height). Include specifics when known (e.g., building #s, linear feet, cubic feet, etc.)</t>
  </si>
  <si>
    <t>Shoreline erosion (25K LF)</t>
  </si>
  <si>
    <t>Name:</t>
  </si>
  <si>
    <t xml:space="preserve">Last Update Date: </t>
  </si>
  <si>
    <t>Given the stated assumptions in Worksheet I.1, determine how we can protect the installation infrastructure from damage due to flooding and permanent inundation over the next 100 years.</t>
  </si>
  <si>
    <t>Sea level change and storm surge (the 1% annual chance event or 100-year storm event)</t>
  </si>
  <si>
    <t>Under both Current Conditions and Future Conditions, enter a new row for each weather/climate phenomena you identified</t>
  </si>
  <si>
    <t>GeoReadiness Center (GRC)</t>
  </si>
  <si>
    <t>Contact my local emergency management office; OPS Contingency Engineering; Contingency Engineering Response Team (CERT); Regional Operations Center (ROC)</t>
  </si>
  <si>
    <t>Information Source</t>
  </si>
  <si>
    <t>Current / Future Condition Parameters</t>
  </si>
  <si>
    <t>Data Converted to Reference</t>
  </si>
  <si>
    <t>Data</t>
  </si>
  <si>
    <t>Data Conversion Notes</t>
  </si>
  <si>
    <t>Data Conversion Notes:</t>
  </si>
  <si>
    <t xml:space="preserve">Information Source </t>
  </si>
  <si>
    <t>Enter the name of your information source below the title cell (from Worksheet I.4)</t>
  </si>
  <si>
    <t xml:space="preserve">Data </t>
  </si>
  <si>
    <t xml:space="preserve">Step 4:  Document your answers in the rows below using the notes located at the bottom of the spreadsheet. </t>
  </si>
  <si>
    <t>Notes (In the order they should be performed; not in the order they appear in Column A)</t>
  </si>
  <si>
    <t xml:space="preserve">Step 2: Answer the questions below. Refer to the Notes located at the bottom of the spreadsheet for the last question. </t>
  </si>
  <si>
    <t xml:space="preserve">Note: You may decide to complete more than one Worksheet I.7. You may find it useful to address one infrastructure category, sector, asset or area per sheet. You may decide you wish to have only one timeframe per sheet. You may wish to address different types of hazards and associated climate phenomena on the same sheet (e.g., flooding and temperature changes). You can make modifications to this sheet for your use. </t>
  </si>
  <si>
    <t xml:space="preserve">Step 1: Complete the next 3 rows using information from Worksheet I.2. </t>
  </si>
  <si>
    <t>Step 2:  Document your site reference datum and what unit of measure (feet of meters) you are using from Worksheet I.5.</t>
  </si>
  <si>
    <t xml:space="preserve">Current / Future Condition Parameters </t>
  </si>
  <si>
    <t>Current Conditions</t>
  </si>
  <si>
    <t xml:space="preserve">Mean sea level </t>
  </si>
  <si>
    <t>Current value for mean sea level is necessary to compare to future sea level change values</t>
  </si>
  <si>
    <t>Baseline Year</t>
  </si>
  <si>
    <t xml:space="preserve">Enter Baseline Year for your data (e.g., center year of a baseline period of time, such as a tidal epoch if associated with sea level change) </t>
  </si>
  <si>
    <t>Future Climate Scenarios or Weather Events</t>
  </si>
  <si>
    <r>
      <t xml:space="preserve">Over what timeframe do you wish to assess impacts, in addition to the current condition?
</t>
    </r>
    <r>
      <rPr>
        <i/>
        <sz val="10"/>
        <color indexed="8"/>
        <rFont val="Calibri"/>
        <family val="2"/>
      </rPr>
      <t>Considerations: How far into the future is your current or planned sector, system or asset expected to perform?</t>
    </r>
  </si>
  <si>
    <t>Enter descriptions of the current impacts (e.g., from Worksheet I. 3) under Current Conditions heading and potential future impacts (e.g., based upon your analyses) under the Plausible Future Conditions headings). Enter as much specificity as you can (e.g., # of buildings, linear feet of road, etc.)</t>
  </si>
  <si>
    <t>Use the generated maps and consultation with subject matter experts to identify and enter the hazard associated with each Current or Plausible Future Condition (e.g., flooding, debris, erosion, permanent inundation, etc.) Remember a hazard is how we experience the weather or climate phenomenon. For example, we may experience flooding due to storm surge (a weather phenomenon) or via climate phenomena such as permanent inundation due to sea level change or flooding due to changes in precipitation patterns that yield heavier rainfall events.</t>
  </si>
  <si>
    <t>Worksheet III.4.1 - Benefit Cost Ratio and Net Present Value (Strategy Grouping: Multiple Lines of Defense)</t>
  </si>
  <si>
    <t xml:space="preserve">Worksheet III.3 -  Benefits (Strategy Grouping: Multiple Lines of Defense) </t>
  </si>
  <si>
    <t xml:space="preserve">Worksheet III.1 - Life Cycle Cost Analysis (Strategy Grouping: Multiple Lines of Defense) </t>
  </si>
  <si>
    <t>Enter Yes or No depending upon whether this data set is already available</t>
  </si>
  <si>
    <t>Enter the data set (one in each row) you believe would be useful to evaluate the impacts noted in the assessment scope</t>
  </si>
  <si>
    <t>Enter the spatial resolution (e.g., measure of the accuracy or detail) of the data</t>
  </si>
  <si>
    <t>WS III.3 – Benefits (Strategy Grouping: Multiple Lines of Defense)</t>
  </si>
  <si>
    <t xml:space="preserve">Enter Yes or No depending upon whether this data set is already available. If your answer if "no," you have documented what you need and can update this worksheet later when the data is obtained. </t>
  </si>
  <si>
    <t>Enter the emission scenario(s) used to generate the data (e.g., SRES B1, RCP 2.6, RCP 8.5, etc.). Note: this data element is relevant only to Future Conditions.</t>
  </si>
  <si>
    <t>Enter the number and dates of available timeslices. Note: this data element is relevant only to Future Conditions.</t>
  </si>
  <si>
    <t>Enter the number and names of available scenarios (e.g., global/regional scenarios) or events (e.g. 1% or 20% annual chance event). Note: this data element is relevant only to Future Conditions.</t>
  </si>
  <si>
    <t>Column B - Benefits &amp; Limitations (Disbenefits)</t>
  </si>
  <si>
    <t>Enter your list of action alternatives.  Assign each an Alt ID# and provide a brief description of adaptation measures that would address the impacts identified for one or all sectors. It is expected you will include multiple action alternatives that achieve the same effect. This worksheet is the opportunity to list all possibilities.</t>
  </si>
  <si>
    <t xml:space="preserve">• Protects 1,000,000 SF of landward shore from erosion and flooding
• Protects 20 buildings, major shoreline road, historic officer’s quarters and associated landscape (protects 600,000 SF of buildings)
• Allows continued operation of waterfront facilities </t>
  </si>
  <si>
    <r>
      <t xml:space="preserve">Damage and loss values increase when the </t>
    </r>
    <r>
      <rPr>
        <b/>
        <i/>
        <sz val="11"/>
        <color indexed="56"/>
        <rFont val="Calibri"/>
        <family val="2"/>
      </rPr>
      <t xml:space="preserve">1% annual chance event of just over 4 feet in storm surge is added to the sea level scenario </t>
    </r>
    <r>
      <rPr>
        <i/>
        <sz val="11"/>
        <color indexed="56"/>
        <rFont val="Calibri"/>
        <family val="2"/>
      </rPr>
      <t>including: temporary flooding of an additional 300,000 sq. ft. of building basements and 200,000 sq. ft. of building first floors, 3 taxiways with 1.2M SF and aprons with 243K SF; debris accumulation on several roads, limiting access; an additional 5,000 LF roadway may be subject to wave erosion damage; and storm water outfall #10 below flood stage, impairing drainage.</t>
    </r>
  </si>
  <si>
    <r>
      <t xml:space="preserve">The following facilities and ecosystems may be impacted by </t>
    </r>
    <r>
      <rPr>
        <b/>
        <i/>
        <sz val="11"/>
        <color indexed="56"/>
        <rFont val="Calibri"/>
        <family val="2"/>
      </rPr>
      <t>permanent inundation by 2100 based on a projected sea level change scenario of 8.2 feet adjusted to a common vertical datum:</t>
    </r>
    <r>
      <rPr>
        <i/>
        <sz val="11"/>
        <color indexed="56"/>
        <rFont val="Calibri"/>
        <family val="2"/>
      </rPr>
      <t xml:space="preserve"> permanent loss of 1,000 linear feet of roadway; permanent inundation of 80,000 sq. ft. of building basements and 50,000 sq. ft. of building first floors (including the Hospital, HQ Complex, and several RDT&amp;E facilities); stormwater outfalls #3 and #4 permanently underwater; permanent inundation of 125 acres of fresh water marsh; and permanent loss of all salamander critical habitat.  </t>
    </r>
  </si>
  <si>
    <t xml:space="preserve">Performance Metric </t>
  </si>
  <si>
    <t>Enter the common performance metric you have chosen for the your action alternatives. You may choose to place the performance metric acronym (e.g., SF) in the Performance Metric column header</t>
  </si>
  <si>
    <t>Column E - Column E - Characterization of Strategic Approach to Decisions under Uncertainty</t>
  </si>
  <si>
    <t xml:space="preserve">Apply the estimated construction schedule, and enter appropriate column headers with Yr # and % completion by year. These are initial costs or upfront capital expenditures. Subtotal row should calculate the subtotaled cost by %.  </t>
  </si>
  <si>
    <t>Strategy Grouping: Multiple Lines of Defense</t>
  </si>
  <si>
    <t>Net Present Value (NPV)</t>
  </si>
  <si>
    <t>The formula for the benefit cost ratio is shown below</t>
  </si>
  <si>
    <t>Calculate IRR [The rate that renders the present value of the cost stream (future annual costs) equal to the present value of the benefits stream (future annual benefits)]</t>
  </si>
  <si>
    <t>Calculate BCR (Total Monetized Benefits divided by Total Costs)</t>
  </si>
  <si>
    <t xml:space="preserve"> Non-monetized Limitations (Disbenefits)</t>
  </si>
  <si>
    <t>I. Resilience Benefit Values</t>
  </si>
  <si>
    <t>II. Economic Revitalization Benefit Values</t>
  </si>
  <si>
    <t>III.  Installation / Community Benefit Values</t>
  </si>
  <si>
    <t>IV. Environmental / Ecosystem Benefit Values</t>
  </si>
  <si>
    <t>V. Other Benefits / Intangibles Values</t>
  </si>
  <si>
    <t>Sum value of each row</t>
  </si>
  <si>
    <t>I. Resilience Benefit Values (Avoided Damages to):</t>
  </si>
  <si>
    <t>Transfer the appropriate values from WS III.1. If helpful, add columns with further detail about the particular costs. Sum the rows to calculate Total Costs.</t>
  </si>
  <si>
    <t>Transfer the appropriate values from WS III.3 or from other spreadsheet or monetization tool you have used to calculate benefit values.  Sum the rows to calculate Total Monetized Benefits.</t>
  </si>
  <si>
    <t xml:space="preserve"> I. Resilience Benefit Values</t>
  </si>
  <si>
    <t>III. Renewal, Replacement Costs (various years )</t>
  </si>
  <si>
    <t>Calculate and enter the Net Present Value (NPV) Life Cycle Costs of the action alternative life cycle costs found in WS III.1 LCCA</t>
  </si>
  <si>
    <r>
      <rPr>
        <i/>
        <sz val="10"/>
        <color indexed="56"/>
        <rFont val="Calibri"/>
        <family val="2"/>
      </rPr>
      <t xml:space="preserve">→ Advance to BCA: </t>
    </r>
    <r>
      <rPr>
        <i/>
        <sz val="10"/>
        <color indexed="56"/>
        <rFont val="Calibri"/>
        <family val="2"/>
      </rPr>
      <t>See WS III.4 BCR NPV Grouping</t>
    </r>
  </si>
  <si>
    <t>Column E - Strategic Approach to Decision under Uncertainty</t>
  </si>
  <si>
    <r>
      <rPr>
        <b/>
        <i/>
        <sz val="10"/>
        <color indexed="56"/>
        <rFont val="Calibri"/>
        <family val="2"/>
      </rPr>
      <t>No regrets</t>
    </r>
    <r>
      <rPr>
        <i/>
        <sz val="10"/>
        <color indexed="56"/>
        <rFont val="Calibri"/>
        <family val="2"/>
      </rPr>
      <t xml:space="preserve"> 
Shore facilities modernization already planned for 2045. Incorporating seawall adds minor cost
</t>
    </r>
    <r>
      <rPr>
        <b/>
        <i/>
        <sz val="10"/>
        <color indexed="56"/>
        <rFont val="Calibri"/>
        <family val="2"/>
      </rPr>
      <t>Reversible/Flexible</t>
    </r>
    <r>
      <rPr>
        <i/>
        <sz val="10"/>
        <color indexed="56"/>
        <rFont val="Calibri"/>
        <family val="2"/>
      </rPr>
      <t xml:space="preserve">
Seawall can be designed to allow future increase in height as sea level rises</t>
    </r>
  </si>
  <si>
    <r>
      <rPr>
        <b/>
        <i/>
        <sz val="10"/>
        <color indexed="56"/>
        <rFont val="Calibri"/>
        <family val="2"/>
      </rPr>
      <t>Reduced time horizon</t>
    </r>
    <r>
      <rPr>
        <i/>
        <sz val="10"/>
        <color indexed="56"/>
        <rFont val="Calibri"/>
        <family val="2"/>
      </rPr>
      <t xml:space="preserve">
Avoids commitment to relocating HQ Complex and revising other GSIP goals</t>
    </r>
  </si>
  <si>
    <r>
      <rPr>
        <b/>
        <i/>
        <sz val="10"/>
        <color indexed="56"/>
        <rFont val="Calibri"/>
        <family val="2"/>
      </rPr>
      <t xml:space="preserve">Reversible/flexible
</t>
    </r>
    <r>
      <rPr>
        <i/>
        <sz val="10"/>
        <color indexed="56"/>
        <rFont val="Calibri"/>
        <family val="2"/>
      </rPr>
      <t>Conversion to marsh can be reversed in future if conditions are suitable for other types of shoreline development</t>
    </r>
  </si>
  <si>
    <r>
      <rPr>
        <b/>
        <i/>
        <sz val="10"/>
        <color indexed="56"/>
        <rFont val="Calibri"/>
        <family val="2"/>
      </rPr>
      <t>No Regrets</t>
    </r>
    <r>
      <rPr>
        <i/>
        <sz val="10"/>
        <color indexed="56"/>
        <rFont val="Calibri"/>
        <family val="2"/>
      </rPr>
      <t xml:space="preserve">
Installation is already a partner in regional oyster restoration with plans to restore oyster beds in partnership with Oyster Action Network as part of Chesapeake Bay Partnership obligations under E.O. 13508</t>
    </r>
  </si>
  <si>
    <r>
      <t xml:space="preserve">Share risk
</t>
    </r>
    <r>
      <rPr>
        <i/>
        <sz val="10"/>
        <color indexed="56"/>
        <rFont val="Calibri"/>
        <family val="2"/>
      </rPr>
      <t>Shares cost with County</t>
    </r>
  </si>
  <si>
    <t xml:space="preserve">• Protects historic  landscape
• Modern equipment can be integrated into new structure, improving efficiency
</t>
  </si>
  <si>
    <t>• Protects HQ Complex, other riverfront facilities from storm surge
• Reduces storm impact on HQ Complex (600,000 SF) 
• Protects Salamander Critical Habitat</t>
  </si>
  <si>
    <t>• Protects 500,000 SF of infrastructure from erosion and flooding
• Provides stormwater storage, reducing precipitation flooding
• Improves water quality and improves and expands freshwater wetland species habitat</t>
  </si>
  <si>
    <t>• Serves as living shoreline, protecting 1.2 M SF of infrastructure  from erosion and flooding. 
• Attenuates wave energy and storm surge.
• Protects salamander habitat</t>
  </si>
  <si>
    <t>Sea level change and storm surge (the 1% annual chance event or 100-year storm event).</t>
  </si>
  <si>
    <t>These are the weather and climate phenomena that correlate to the hazards of concern - permanent inundation and flooding.</t>
  </si>
  <si>
    <t xml:space="preserve">
Installation development planning </t>
  </si>
  <si>
    <t>The visualization of flooding and permanent inundation changing over time will allow planners to better understand the potential negative impacts and develop potential adaptation action alternatives.</t>
  </si>
  <si>
    <t>Potential for: 
- permanent loss of 1000 LF roadway
- permanent inundation of 80,000 sqft of building basements and 50,000 sq ft of building first floors (including the Hospital, HQ Complex, several RDT&amp;E facilities)
- Impaired drainage due to stormwater outfalls #3 and #4 permanently underwater
- permanent inundation of 125 acres of fresh water marsh
- permanent loss of all salamander critical habitat</t>
  </si>
  <si>
    <t>Accommodate expansion of natural marsh buffer by removing hardened shoreline structures and replacing finger piers with adjustable floating piers</t>
  </si>
  <si>
    <t>Install oyster reef breakwater at mouth of river to attenuate wave impact on salamander habitat</t>
  </si>
  <si>
    <t>Relocate HQ Complex from existing operational area to land reserved outside flood plain</t>
  </si>
  <si>
    <t>Increase maintenance of drainage system to reduce nuisance flooding</t>
  </si>
  <si>
    <t>Appropriate. Advance to  WS III.2 - CEA</t>
  </si>
  <si>
    <t>Shore facilities modernization already planned for 2045. Incorporating seawall adds minor cost</t>
  </si>
  <si>
    <t>Reduced time horizon - avoids commitment to relocating HQ Complex</t>
  </si>
  <si>
    <t>Not currently appropriate due to interference with harbor channel navigation.  Reevaluate if harbor channel use change</t>
  </si>
  <si>
    <t>• Status change in county plans for surge barrier
• Data on performance of marsh in limiting surge height
• BCA if implemented with other adaptation measures in a hybrid solution
• Data on loss of marsh area, effect on seawall performance</t>
  </si>
  <si>
    <t>• Data on performance of marsh in limiting surge height
• Data on loss of marsh area, effect on resiliency values
• BCA if implemented with other adaptation measures in a hybrid solution</t>
  </si>
  <si>
    <t>Partner with County to install flood gate at mouth of river</t>
  </si>
  <si>
    <t>• Requires MOA with County</t>
  </si>
  <si>
    <t>Requires MOA with County; not politically feasible at this time</t>
  </si>
  <si>
    <t>• Third party protective measures (e.g. surge barrier protecting larger region) can render investment redundant
• Incremental asset protection (flood proofing, elevation) can reduce cost effectiveness of the Action Alternative</t>
  </si>
  <si>
    <t>Worksheet 1.7 - Impact Description and Characterization continued</t>
  </si>
  <si>
    <t>Worksheet II.1 - Potential Action Alternatives continued</t>
  </si>
  <si>
    <t>Worksheet III.1 - Life Cycle Cost Analysis (Strategy Grouping: Multiple Lines of Defense) continued</t>
  </si>
  <si>
    <t>Worksheet IV.1 - Portfolio Summary continued</t>
  </si>
  <si>
    <r>
      <rPr>
        <b/>
        <i/>
        <sz val="11"/>
        <color indexed="56"/>
        <rFont val="Calibri"/>
        <family val="2"/>
      </rPr>
      <t>Purpose:</t>
    </r>
    <r>
      <rPr>
        <sz val="11"/>
        <color indexed="56"/>
        <rFont val="Calibri"/>
        <family val="2"/>
      </rPr>
      <t xml:space="preserve"> Develop an assessment scope  to maintain focus and discipline through a complex analytical process. Document answers and assumptions to develop an assessment scope and guide preliminary research steps needed to develop a problem statement, which is the output of this stage.</t>
    </r>
  </si>
  <si>
    <r>
      <rPr>
        <b/>
        <i/>
        <sz val="11"/>
        <color indexed="56"/>
        <rFont val="Calibri"/>
        <family val="2"/>
      </rPr>
      <t>Purpose:</t>
    </r>
    <r>
      <rPr>
        <sz val="11"/>
        <color indexed="56"/>
        <rFont val="Calibri"/>
        <family val="2"/>
      </rPr>
      <t xml:space="preserve"> To identify and assess necessary datasets, information, and expertise to evaluate impacts on the focus area established during your assessment scope development. This information will help you prepare Worksheets I.3 and Worksheet I.7. </t>
    </r>
  </si>
  <si>
    <t>Column C - Non-Monetized Benefits &amp; 
Limitations (Disbenefits)</t>
  </si>
  <si>
    <t>Describe how you might get this information and from whom. Note how long it might take and whether a formal procurement might be necessary</t>
  </si>
  <si>
    <t>List any useful information relative to event recovery (e.g., time, cost, actions)</t>
  </si>
  <si>
    <t>Enter the parameters of your evaluation in the cells to the right (e.g., year and  data name for Current Conditions; the chosen timeslices and climate scenarios for the Plausible Future Conditions). Enter the weather/climate phenomena under each set of timeslices and climate scenarios</t>
  </si>
  <si>
    <t>Enter the values for your chosen timeslices and scenarios for each weather/climate phenomena</t>
  </si>
  <si>
    <t>Perform calculations if necessary due to offsets and place those values in this row. Refer to Appendix C, Section 3 for discussion about how to align projection data to a common reference datum</t>
  </si>
  <si>
    <t>You may wish to document what conversion took place in this row</t>
  </si>
  <si>
    <r>
      <t xml:space="preserve">*Notes. Things to consider - Did the assessment: 
- </t>
    </r>
    <r>
      <rPr>
        <sz val="11"/>
        <color indexed="60"/>
        <rFont val="Calibri"/>
        <family val="2"/>
      </rPr>
      <t>Provide preliminary prioritized inventory and maps of impacted assets, systems and functions? 
- Indicate what assets are at risk from projected climate change? What types of climate variables? 
- Update constraints maps or flood hazard areas? 
- Assess exposure of assets within new Flood Hazard Areas?  
- Identify internal and external interdependence and interconnectivity of systems and functions? 
- Identify potential Master Plan changes/trends through the selected climate timeslices? 
- Identify common risk exposure among community and Installation (current and future milestone years)?</t>
    </r>
    <r>
      <rPr>
        <b/>
        <sz val="11"/>
        <color indexed="60"/>
        <rFont val="Calibri"/>
        <family val="2"/>
      </rPr>
      <t xml:space="preserve">
</t>
    </r>
  </si>
  <si>
    <t>Enter the sector / asset / area name or other identifier for which you will describe impacts in the rows below the title cell</t>
  </si>
  <si>
    <t>Enter the order of magnitude (i.e., 1-Insignificant, 2-Minor, 3-Moderate, 4-Major, or 5-Catastrophic) that best describes the impacts for each Sector using the definitions below (Table 1.2 in Handbook).  Carryover magnitude information for Current Condition from Worksheet 1.3</t>
  </si>
  <si>
    <t>Document whether potential action alternative is feasible or not; provide a brief reason why an action alternative is currently NOT feasible</t>
  </si>
  <si>
    <t>Document whether potential action alternative is appropriate or not; provide a brief reason why an action alternative is currently NOT appropriate</t>
  </si>
  <si>
    <t>Indicate which strategy type(s) the action alternative represents</t>
  </si>
  <si>
    <t>Enter unit cost for that material or input. Source unit costs from feasibility studies, preliminary engineering design studies/concept costs or use parametric costing tools such as R.S. Means</t>
  </si>
  <si>
    <t>Enter number of years for the alternative's useful life. Enter number of replacement/renewal costs occurrences you anticipate over the life of the alternative</t>
  </si>
  <si>
    <t xml:space="preserve">Step 1. Transfer the monetized benefits for each year from the output from one of the Monetization tools you have applied. The benefits categories below are those that have been monetized. Be advised that you may not be able to monetize all of these category groupings in this phase; in Stage IV you will be able to document non-monetized benefits. You may choose to complete more than one worksheet so that you can back up your detailed analyses with more specific input worksheets or dependent data and information. The Notional Installation Hypothetical Data table is an example of how you can capture your assumptions and data. You can also set up calculations in the Benefits columns themselves, if useful.  </t>
  </si>
  <si>
    <t>Enter a $ value or use a calculation similar to one in Notional Installation Hypothetical Data table</t>
  </si>
  <si>
    <t xml:space="preserve">Enter a $ value or use a calculation similar to one in Notional Installation Hypothetical Data table </t>
  </si>
  <si>
    <t>The net present value formula (referencing the discount rate) should be applied to the sum of each column after the 1st year of activity + the 1st year</t>
  </si>
  <si>
    <r>
      <t xml:space="preserve">Calculate NPV (absolute difference between the cumulative </t>
    </r>
    <r>
      <rPr>
        <i/>
        <sz val="11"/>
        <color indexed="60"/>
        <rFont val="Calibri"/>
        <family val="2"/>
      </rPr>
      <t>present</t>
    </r>
    <r>
      <rPr>
        <sz val="11"/>
        <color indexed="60"/>
        <rFont val="Calibri"/>
        <family val="2"/>
      </rPr>
      <t xml:space="preserve"> value of benefits and the cumulative </t>
    </r>
    <r>
      <rPr>
        <i/>
        <sz val="11"/>
        <color indexed="60"/>
        <rFont val="Calibri"/>
        <family val="2"/>
      </rPr>
      <t>present</t>
    </r>
    <r>
      <rPr>
        <sz val="11"/>
        <color indexed="60"/>
        <rFont val="Calibri"/>
        <family val="2"/>
      </rPr>
      <t xml:space="preserve"> value of costs)</t>
    </r>
  </si>
  <si>
    <t>Transfer the ID#,  Description, and Key Benefits of each action alternative evaluated in Stage III</t>
  </si>
  <si>
    <t>Transfer the cumulative values for each of the key metrics from the worksheets in Stage III</t>
  </si>
  <si>
    <t>List benefits and limitations (or disbenefits) that have not been monetized and included in the BCR</t>
  </si>
  <si>
    <t>Enter key external events that could impact the action alterative</t>
  </si>
  <si>
    <t>Identify any funding constraints or issues</t>
  </si>
  <si>
    <t>Identify conditions that will require evaluation or reevaluation of the action alternative</t>
  </si>
  <si>
    <t>Characterize the risk approach each action alternative represents</t>
  </si>
  <si>
    <r>
      <t xml:space="preserve">Re-evaluate the assessment performed in Stage II, Step </t>
    </r>
    <r>
      <rPr>
        <sz val="10"/>
        <color indexed="60"/>
        <rFont val="Calibri"/>
        <family val="2"/>
      </rPr>
      <t>⑤</t>
    </r>
    <r>
      <rPr>
        <sz val="11"/>
        <color indexed="60"/>
        <rFont val="Calibri"/>
        <family val="2"/>
      </rPr>
      <t>, regarding the type of strategic approach to decision uncertainty each action alternative represents. Enter same or new information</t>
    </r>
  </si>
  <si>
    <t>Stage II – Identify and Screen Action Alternatives</t>
  </si>
  <si>
    <t xml:space="preserve">    Worksheet III.4.1 - Benefit Cost Ratio and Net Present Value (Grouping Strategy: Multiple Lines of Defense)</t>
  </si>
  <si>
    <t>WS III.1 – Life Cycle Cost Analysis (Grouping Strategy: Multiple Lines of Defense)</t>
  </si>
  <si>
    <t>Step 3: If the existing assessment utilized climate data, complete a new Worksheet I.4.1 and title it Existing Assessment Climate Information &amp; Attributes.</t>
  </si>
  <si>
    <t>Document your answers in the rows and columns below using the notes located at the bottom of the spreadsheet. More information can be found in Appendix E, Fact Sheet 1: Life Cycle Cost Analysis.</t>
  </si>
  <si>
    <t>Worksheet I-6 - Existing Assessment Evaluation</t>
  </si>
  <si>
    <r>
      <t xml:space="preserve">Step 1: Document your answers from Worksheet I.1 in the 3 rows below. Remember to focus on the answers and assumptions you recorded in answer to the question - </t>
    </r>
    <r>
      <rPr>
        <b/>
        <i/>
        <sz val="11"/>
        <color indexed="60"/>
        <rFont val="Calibri"/>
        <family val="2"/>
      </rPr>
      <t>What type of information does that decision/process need?</t>
    </r>
    <r>
      <rPr>
        <b/>
        <sz val="11"/>
        <color indexed="60"/>
        <rFont val="Calibri"/>
        <family val="2"/>
      </rPr>
      <t xml:space="preserve"> in Worksheet I.1.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</si>
</sst>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_(&quot;$&quot;* #,##0.0_);_(&quot;$&quot;* \(#,##0.0\);_(&quot;$&quot;* &quot;-&quot;??_);_(@_)"/>
    <numFmt numFmtId="166" formatCode="&quot;$&quot;#,##0"/>
    <numFmt numFmtId="167" formatCode="_(&quot;$&quot;* #,##0_);_(&quot;$&quot;* \(#,##0\);_(&quot;$&quot;* &quot;-&quot;??_);_(@_)"/>
    <numFmt numFmtId="168" formatCode="0.0%"/>
    <numFmt numFmtId="169" formatCode="_(* #,##0_);_(* \(#,##0\);_(* &quot;-&quot;??_);_(@_)"/>
    <numFmt numFmtId="170" formatCode="&quot;$&quot;#,##0.00"/>
    <numFmt numFmtId="171" formatCode="_(* #,##0.000_);_(* \(#,##0.000\);_(* &quot;-&quot;??_);_(@_)"/>
  </numFmts>
  <fonts count="60" x14ac:knownFonts="1">
    <font>
      <sz val="11"/>
      <color theme="1"/>
      <name val="Calibri"/>
      <family val="2"/>
      <scheme val="minor"/>
    </font>
    <font>
      <sz val="10"/>
      <color indexed="8"/>
      <name val="Calibri"/>
      <family val="2"/>
    </font>
    <font>
      <b/>
      <sz val="10"/>
      <color indexed="60"/>
      <name val="Calibri"/>
      <family val="2"/>
    </font>
    <font>
      <i/>
      <sz val="10"/>
      <color indexed="8"/>
      <name val="Calibri"/>
      <family val="2"/>
    </font>
    <font>
      <b/>
      <sz val="11"/>
      <color indexed="8"/>
      <name val="Calibri"/>
      <family val="2"/>
    </font>
    <font>
      <sz val="11"/>
      <color indexed="56"/>
      <name val="Calibri"/>
      <family val="2"/>
    </font>
    <font>
      <b/>
      <i/>
      <sz val="11"/>
      <color indexed="56"/>
      <name val="Calibri"/>
      <family val="2"/>
    </font>
    <font>
      <b/>
      <sz val="11"/>
      <name val="Calibri"/>
      <family val="2"/>
    </font>
    <font>
      <i/>
      <sz val="11"/>
      <color indexed="56"/>
      <name val="Calibri"/>
      <family val="2"/>
    </font>
    <font>
      <i/>
      <sz val="10"/>
      <color indexed="56"/>
      <name val="Calibri"/>
      <family val="2"/>
    </font>
    <font>
      <i/>
      <sz val="10"/>
      <color indexed="56"/>
      <name val="Calibri"/>
      <family val="2"/>
    </font>
    <font>
      <sz val="10"/>
      <color indexed="56"/>
      <name val="Calibri"/>
      <family val="2"/>
    </font>
    <font>
      <b/>
      <i/>
      <sz val="10"/>
      <color indexed="56"/>
      <name val="Calibri"/>
      <family val="2"/>
    </font>
    <font>
      <sz val="10"/>
      <name val="Calibri"/>
      <family val="2"/>
    </font>
    <font>
      <b/>
      <i/>
      <sz val="11"/>
      <color indexed="8"/>
      <name val="Calibri"/>
      <family val="2"/>
    </font>
    <font>
      <sz val="11"/>
      <color indexed="56"/>
      <name val="Calibri"/>
      <family val="2"/>
    </font>
    <font>
      <b/>
      <i/>
      <sz val="11"/>
      <color indexed="56"/>
      <name val="Calibri"/>
      <family val="2"/>
    </font>
    <font>
      <b/>
      <i/>
      <sz val="11"/>
      <color indexed="56"/>
      <name val="Calibri"/>
      <family val="2"/>
    </font>
    <font>
      <i/>
      <sz val="11"/>
      <color indexed="56"/>
      <name val="Calibri"/>
      <family val="2"/>
    </font>
    <font>
      <b/>
      <sz val="11"/>
      <color indexed="60"/>
      <name val="Calibri"/>
      <family val="2"/>
    </font>
    <font>
      <sz val="11"/>
      <color indexed="60"/>
      <name val="Calibri"/>
      <family val="2"/>
    </font>
    <font>
      <i/>
      <sz val="11"/>
      <color indexed="60"/>
      <name val="Calibri"/>
      <family val="2"/>
    </font>
    <font>
      <sz val="10"/>
      <color indexed="60"/>
      <name val="Calibri"/>
      <family val="2"/>
    </font>
    <font>
      <b/>
      <i/>
      <sz val="11"/>
      <color indexed="60"/>
      <name val="Calibri"/>
      <family val="2"/>
    </font>
    <font>
      <b/>
      <sz val="11"/>
      <color indexed="60"/>
      <name val="Calibri"/>
      <family val="2"/>
    </font>
    <font>
      <sz val="11"/>
      <color theme="1"/>
      <name val="Calibri"/>
      <family val="2"/>
      <scheme val="minor"/>
    </font>
    <font>
      <b/>
      <sz val="11"/>
      <color theme="3"/>
      <name val="Calibri"/>
      <family val="2"/>
      <scheme val="minor"/>
    </font>
    <font>
      <b/>
      <sz val="11"/>
      <color theme="1"/>
      <name val="Calibri"/>
      <family val="2"/>
      <scheme val="minor"/>
    </font>
    <font>
      <sz val="11"/>
      <color rgb="FFFF0000"/>
      <name val="Calibri"/>
      <family val="2"/>
      <scheme val="minor"/>
    </font>
    <font>
      <sz val="11"/>
      <color theme="3"/>
      <name val="Calibri"/>
      <family val="2"/>
      <scheme val="minor"/>
    </font>
    <font>
      <b/>
      <sz val="11"/>
      <name val="Calibri"/>
      <family val="2"/>
      <scheme val="minor"/>
    </font>
    <font>
      <b/>
      <sz val="10"/>
      <color theme="5"/>
      <name val="Calibri"/>
      <family val="2"/>
      <scheme val="minor"/>
    </font>
    <font>
      <b/>
      <sz val="10"/>
      <color theme="1"/>
      <name val="Calibri"/>
      <family val="2"/>
      <scheme val="minor"/>
    </font>
    <font>
      <b/>
      <sz val="12"/>
      <color theme="1"/>
      <name val="Calibri"/>
      <family val="2"/>
      <scheme val="minor"/>
    </font>
    <font>
      <i/>
      <sz val="11"/>
      <color theme="3"/>
      <name val="Calibri"/>
      <family val="2"/>
      <scheme val="minor"/>
    </font>
    <font>
      <i/>
      <sz val="10"/>
      <color theme="3"/>
      <name val="Calibri"/>
      <family val="2"/>
      <scheme val="minor"/>
    </font>
    <font>
      <i/>
      <sz val="10"/>
      <color theme="3"/>
      <name val="Calibri"/>
      <family val="2"/>
    </font>
    <font>
      <b/>
      <sz val="12"/>
      <color rgb="FFC00000"/>
      <name val="Calibri"/>
      <family val="2"/>
      <scheme val="minor"/>
    </font>
    <font>
      <b/>
      <sz val="11"/>
      <color rgb="FFC00000"/>
      <name val="Calibri"/>
      <family val="2"/>
      <scheme val="minor"/>
    </font>
    <font>
      <sz val="10"/>
      <color theme="1"/>
      <name val="Calibri"/>
      <family val="2"/>
      <scheme val="minor"/>
    </font>
    <font>
      <sz val="11"/>
      <color rgb="FFC00000"/>
      <name val="Calibri"/>
      <family val="2"/>
      <scheme val="minor"/>
    </font>
    <font>
      <i/>
      <sz val="11"/>
      <color theme="4" tint="-0.249977111117893"/>
      <name val="Calibri"/>
      <family val="2"/>
      <scheme val="minor"/>
    </font>
    <font>
      <b/>
      <i/>
      <sz val="10"/>
      <color theme="4" tint="-0.249977111117893"/>
      <name val="Calibri"/>
      <family val="2"/>
      <scheme val="minor"/>
    </font>
    <font>
      <i/>
      <sz val="11"/>
      <color theme="4" tint="-0.499984740745262"/>
      <name val="Calibri"/>
      <family val="2"/>
      <scheme val="minor"/>
    </font>
    <font>
      <sz val="10"/>
      <color theme="3"/>
      <name val="Calibri"/>
      <family val="2"/>
      <scheme val="minor"/>
    </font>
    <font>
      <b/>
      <sz val="11"/>
      <color theme="1"/>
      <name val="Calibri"/>
      <family val="2"/>
    </font>
    <font>
      <sz val="10"/>
      <color theme="5"/>
      <name val="Calibri"/>
      <family val="2"/>
      <scheme val="minor"/>
    </font>
    <font>
      <b/>
      <i/>
      <sz val="10"/>
      <color theme="3"/>
      <name val="Calibri"/>
      <family val="2"/>
      <scheme val="minor"/>
    </font>
    <font>
      <sz val="10"/>
      <name val="Calibri"/>
      <family val="2"/>
      <scheme val="minor"/>
    </font>
    <font>
      <sz val="14"/>
      <color rgb="FF595959"/>
      <name val="Calibri"/>
      <family val="2"/>
      <scheme val="minor"/>
    </font>
    <font>
      <b/>
      <sz val="10"/>
      <color rgb="FFC00000"/>
      <name val="Calibri"/>
      <family val="2"/>
      <scheme val="minor"/>
    </font>
    <font>
      <b/>
      <sz val="10"/>
      <color theme="1"/>
      <name val="Calibri"/>
      <family val="2"/>
    </font>
    <font>
      <b/>
      <i/>
      <sz val="11"/>
      <color theme="3"/>
      <name val="Calibri"/>
      <family val="2"/>
      <scheme val="minor"/>
    </font>
    <font>
      <i/>
      <sz val="10"/>
      <color theme="4" tint="-0.499984740745262"/>
      <name val="Calibri"/>
      <family val="2"/>
      <scheme val="minor"/>
    </font>
    <font>
      <sz val="10"/>
      <color rgb="FFC00000"/>
      <name val="Calibri"/>
      <family val="2"/>
      <scheme val="minor"/>
    </font>
    <font>
      <sz val="11"/>
      <color theme="1"/>
      <name val="Calibri"/>
      <family val="2"/>
    </font>
    <font>
      <sz val="11"/>
      <color theme="5"/>
      <name val="Calibri"/>
      <family val="2"/>
      <scheme val="minor"/>
    </font>
    <font>
      <sz val="11"/>
      <color theme="4" tint="-0.499984740745262"/>
      <name val="Calibri"/>
      <family val="2"/>
      <scheme val="minor"/>
    </font>
    <font>
      <i/>
      <sz val="11"/>
      <color theme="1"/>
      <name val="Calibri"/>
      <family val="2"/>
      <scheme val="minor"/>
    </font>
    <font>
      <b/>
      <sz val="1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rgb="FFFDE9D9"/>
        <bgColor indexed="64"/>
      </patternFill>
    </fill>
    <fill>
      <patternFill patternType="solid">
        <fgColor theme="4" tint="0.7999816888943144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Dashed">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mediumDashed">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thin">
        <color indexed="64"/>
      </bottom>
      <diagonal/>
    </border>
    <border>
      <left style="mediumDashed">
        <color indexed="64"/>
      </left>
      <right style="thin">
        <color indexed="64"/>
      </right>
      <top style="thin">
        <color indexed="64"/>
      </top>
      <bottom style="thin">
        <color indexed="64"/>
      </bottom>
      <diagonal/>
    </border>
    <border>
      <left/>
      <right style="mediumDashed">
        <color indexed="64"/>
      </right>
      <top/>
      <bottom/>
      <diagonal/>
    </border>
    <border>
      <left style="mediumDash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mediumDashed">
        <color indexed="64"/>
      </right>
      <top style="thin">
        <color indexed="64"/>
      </top>
      <bottom style="medium">
        <color indexed="64"/>
      </bottom>
      <diagonal/>
    </border>
    <border>
      <left style="mediumDashed">
        <color indexed="64"/>
      </left>
      <right style="thin">
        <color indexed="64"/>
      </right>
      <top style="thin">
        <color indexed="64"/>
      </top>
      <bottom style="medium">
        <color indexed="64"/>
      </bottom>
      <diagonal/>
    </border>
    <border>
      <left style="mediumDashed">
        <color indexed="64"/>
      </left>
      <right style="mediumDashed">
        <color indexed="64"/>
      </right>
      <top/>
      <bottom style="medium">
        <color indexed="64"/>
      </bottom>
      <diagonal/>
    </border>
    <border>
      <left style="mediumDashed">
        <color indexed="64"/>
      </left>
      <right style="medium">
        <color indexed="64"/>
      </right>
      <top style="thin">
        <color indexed="64"/>
      </top>
      <bottom style="thin">
        <color indexed="64"/>
      </bottom>
      <diagonal/>
    </border>
    <border>
      <left style="mediumDashed">
        <color indexed="64"/>
      </left>
      <right style="mediumDashed">
        <color indexed="64"/>
      </right>
      <top style="thin">
        <color indexed="64"/>
      </top>
      <bottom style="thin">
        <color indexed="64"/>
      </bottom>
      <diagonal/>
    </border>
    <border>
      <left style="mediumDashed">
        <color indexed="64"/>
      </left>
      <right style="medium">
        <color indexed="64"/>
      </right>
      <top style="mediumDashed">
        <color indexed="64"/>
      </top>
      <bottom style="thin">
        <color indexed="64"/>
      </bottom>
      <diagonal/>
    </border>
    <border>
      <left style="mediumDashed">
        <color indexed="64"/>
      </left>
      <right style="mediumDashed">
        <color indexed="64"/>
      </right>
      <top style="mediumDashed">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
        <color indexed="64"/>
      </left>
      <right/>
      <top style="mediumDashed">
        <color indexed="64"/>
      </top>
      <bottom style="thin">
        <color indexed="64"/>
      </bottom>
      <diagonal/>
    </border>
    <border>
      <left/>
      <right/>
      <top style="mediumDashed">
        <color indexed="64"/>
      </top>
      <bottom style="thin">
        <color indexed="64"/>
      </bottom>
      <diagonal/>
    </border>
    <border>
      <left/>
      <right style="mediumDashed">
        <color indexed="64"/>
      </right>
      <top style="mediumDashed">
        <color indexed="64"/>
      </top>
      <bottom style="thin">
        <color indexed="64"/>
      </bottom>
      <diagonal/>
    </border>
    <border>
      <left style="mediumDashed">
        <color indexed="64"/>
      </left>
      <right/>
      <top style="mediumDashed">
        <color indexed="64"/>
      </top>
      <bottom style="thin">
        <color indexed="64"/>
      </bottom>
      <diagonal/>
    </border>
  </borders>
  <cellStyleXfs count="4">
    <xf numFmtId="0" fontId="0" fillId="0" borderId="0"/>
    <xf numFmtId="43" fontId="25" fillId="0" borderId="0" applyFont="0" applyFill="0" applyBorder="0" applyAlignment="0" applyProtection="0"/>
    <xf numFmtId="44" fontId="25" fillId="0" borderId="0" applyFont="0" applyFill="0" applyBorder="0" applyAlignment="0" applyProtection="0"/>
    <xf numFmtId="9" fontId="25" fillId="0" borderId="0" applyFont="0" applyFill="0" applyBorder="0" applyAlignment="0" applyProtection="0"/>
  </cellStyleXfs>
  <cellXfs count="789">
    <xf numFmtId="0" fontId="0" fillId="0" borderId="0" xfId="0"/>
    <xf numFmtId="0" fontId="27" fillId="0" borderId="0" xfId="0" applyFont="1" applyAlignment="1"/>
    <xf numFmtId="0" fontId="0" fillId="0" borderId="0" xfId="0" applyAlignment="1">
      <alignment vertical="top" wrapText="1"/>
    </xf>
    <xf numFmtId="0" fontId="27" fillId="0" borderId="1" xfId="0" applyFont="1" applyBorder="1" applyAlignment="1">
      <alignment vertical="top" wrapText="1"/>
    </xf>
    <xf numFmtId="0" fontId="27" fillId="0" borderId="1" xfId="0" applyFont="1" applyBorder="1" applyAlignment="1">
      <alignment horizontal="center" vertical="center" wrapText="1"/>
    </xf>
    <xf numFmtId="0" fontId="0" fillId="0" borderId="1" xfId="0" applyBorder="1" applyAlignment="1">
      <alignment vertical="top" wrapText="1"/>
    </xf>
    <xf numFmtId="0" fontId="0" fillId="0" borderId="1" xfId="0" applyFont="1" applyBorder="1" applyAlignment="1">
      <alignment vertical="top" wrapText="1"/>
    </xf>
    <xf numFmtId="0" fontId="27" fillId="0" borderId="0" xfId="0" applyFont="1" applyBorder="1" applyAlignment="1"/>
    <xf numFmtId="0" fontId="0" fillId="0" borderId="0" xfId="0" applyBorder="1"/>
    <xf numFmtId="0" fontId="29" fillId="0" borderId="0" xfId="0" applyFont="1" applyBorder="1" applyAlignment="1">
      <alignment vertical="center"/>
    </xf>
    <xf numFmtId="0" fontId="27" fillId="0" borderId="1" xfId="0" applyFont="1" applyBorder="1" applyAlignment="1">
      <alignment horizontal="center" vertical="center"/>
    </xf>
    <xf numFmtId="0" fontId="0" fillId="0" borderId="0" xfId="0" applyFill="1" applyBorder="1"/>
    <xf numFmtId="0" fontId="27" fillId="0" borderId="0" xfId="0" applyFont="1" applyBorder="1"/>
    <xf numFmtId="0" fontId="27" fillId="0" borderId="2" xfId="0" applyFont="1" applyFill="1" applyBorder="1" applyAlignment="1">
      <alignment vertical="center"/>
    </xf>
    <xf numFmtId="0" fontId="27" fillId="0" borderId="2" xfId="0" applyFont="1" applyFill="1" applyBorder="1" applyAlignment="1">
      <alignment vertical="center" wrapText="1"/>
    </xf>
    <xf numFmtId="0" fontId="27" fillId="0" borderId="1" xfId="0" applyFont="1" applyFill="1" applyBorder="1" applyAlignment="1">
      <alignment horizontal="center" vertical="center" wrapText="1"/>
    </xf>
    <xf numFmtId="0" fontId="27" fillId="0" borderId="0" xfId="0" applyFont="1"/>
    <xf numFmtId="0" fontId="30" fillId="0" borderId="2" xfId="0" applyFont="1" applyBorder="1" applyAlignment="1">
      <alignment vertical="top" wrapText="1"/>
    </xf>
    <xf numFmtId="0" fontId="30" fillId="0" borderId="1" xfId="0" applyFont="1" applyBorder="1" applyAlignment="1">
      <alignment vertical="top" wrapText="1"/>
    </xf>
    <xf numFmtId="0" fontId="27" fillId="0" borderId="3" xfId="0" applyFont="1" applyFill="1" applyBorder="1" applyAlignment="1">
      <alignment horizontal="left" vertical="top" wrapText="1"/>
    </xf>
    <xf numFmtId="0" fontId="31" fillId="0" borderId="0" xfId="0" applyFont="1" applyBorder="1" applyAlignment="1">
      <alignment horizontal="left" vertical="top" wrapText="1"/>
    </xf>
    <xf numFmtId="0" fontId="32" fillId="0" borderId="4" xfId="0" applyFont="1" applyFill="1" applyBorder="1"/>
    <xf numFmtId="0" fontId="32" fillId="0" borderId="5" xfId="0" applyFont="1" applyFill="1" applyBorder="1" applyAlignment="1">
      <alignment horizontal="left" vertical="top" wrapText="1"/>
    </xf>
    <xf numFmtId="0" fontId="27" fillId="0" borderId="6" xfId="0" applyFont="1" applyBorder="1"/>
    <xf numFmtId="0" fontId="0" fillId="0" borderId="7" xfId="0" applyBorder="1"/>
    <xf numFmtId="0" fontId="31" fillId="0" borderId="8" xfId="0" applyFont="1" applyBorder="1" applyAlignment="1">
      <alignment horizontal="left" vertical="top" wrapText="1"/>
    </xf>
    <xf numFmtId="0" fontId="32" fillId="0" borderId="1" xfId="0" applyFont="1" applyFill="1" applyBorder="1" applyAlignment="1">
      <alignment horizontal="center" wrapText="1"/>
    </xf>
    <xf numFmtId="0" fontId="32" fillId="0" borderId="2" xfId="0" applyFont="1" applyFill="1" applyBorder="1" applyAlignment="1">
      <alignment horizontal="center" wrapText="1"/>
    </xf>
    <xf numFmtId="0" fontId="0" fillId="0" borderId="0" xfId="0" applyFill="1"/>
    <xf numFmtId="0" fontId="27" fillId="0" borderId="1" xfId="0" applyFont="1" applyBorder="1" applyAlignment="1">
      <alignment horizontal="left" vertical="center" wrapText="1"/>
    </xf>
    <xf numFmtId="0" fontId="30" fillId="0" borderId="1" xfId="0" applyFont="1" applyBorder="1" applyAlignment="1">
      <alignment vertical="center" wrapText="1"/>
    </xf>
    <xf numFmtId="0" fontId="30" fillId="0" borderId="1" xfId="0" applyFont="1" applyBorder="1" applyAlignment="1">
      <alignment horizontal="left" vertical="center" wrapText="1"/>
    </xf>
    <xf numFmtId="0" fontId="0" fillId="0" borderId="0" xfId="0" applyAlignment="1">
      <alignment wrapText="1"/>
    </xf>
    <xf numFmtId="0" fontId="33" fillId="0" borderId="0" xfId="0" applyFont="1" applyAlignment="1">
      <alignment vertical="center" wrapText="1"/>
    </xf>
    <xf numFmtId="0" fontId="34" fillId="0" borderId="1" xfId="0" applyFont="1" applyBorder="1" applyAlignment="1">
      <alignment horizontal="left" vertical="center" wrapText="1"/>
    </xf>
    <xf numFmtId="0" fontId="33" fillId="0" borderId="0" xfId="0" applyFont="1"/>
    <xf numFmtId="0" fontId="27" fillId="0" borderId="0" xfId="0" applyFont="1" applyAlignment="1">
      <alignment vertical="center"/>
    </xf>
    <xf numFmtId="0" fontId="0" fillId="2" borderId="0" xfId="0" applyFill="1"/>
    <xf numFmtId="0" fontId="28" fillId="0" borderId="0" xfId="0" applyFont="1" applyAlignment="1">
      <alignment wrapText="1"/>
    </xf>
    <xf numFmtId="0" fontId="0" fillId="0" borderId="1" xfId="0" applyFont="1" applyBorder="1" applyAlignment="1">
      <alignment horizontal="left" vertical="center"/>
    </xf>
    <xf numFmtId="0" fontId="27" fillId="0" borderId="1" xfId="0" applyFont="1" applyBorder="1" applyAlignment="1">
      <alignment horizontal="left" vertical="center"/>
    </xf>
    <xf numFmtId="0" fontId="27" fillId="0" borderId="0" xfId="0" applyFont="1" applyFill="1"/>
    <xf numFmtId="0" fontId="27" fillId="0" borderId="0" xfId="0" applyFont="1" applyFill="1" applyBorder="1" applyAlignment="1"/>
    <xf numFmtId="0" fontId="30" fillId="0" borderId="0" xfId="0" applyFont="1" applyAlignment="1">
      <alignment wrapText="1"/>
    </xf>
    <xf numFmtId="0" fontId="27" fillId="0" borderId="0" xfId="0" applyFont="1" applyFill="1" applyBorder="1" applyAlignment="1">
      <alignment horizontal="left" vertical="top" wrapText="1"/>
    </xf>
    <xf numFmtId="0" fontId="32" fillId="0" borderId="9"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6" fillId="0" borderId="0" xfId="0" applyFont="1"/>
    <xf numFmtId="0" fontId="27"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35" fillId="2" borderId="1" xfId="0" applyFont="1" applyFill="1" applyBorder="1" applyAlignment="1">
      <alignment horizontal="left" vertical="center" wrapText="1"/>
    </xf>
    <xf numFmtId="0" fontId="35" fillId="2" borderId="1" xfId="0" applyFont="1" applyFill="1" applyBorder="1" applyAlignment="1">
      <alignment horizontal="center" vertical="center" wrapText="1"/>
    </xf>
    <xf numFmtId="0" fontId="36" fillId="3" borderId="1" xfId="0" applyFont="1" applyFill="1" applyBorder="1" applyAlignment="1">
      <alignment horizontal="left" vertical="center" wrapText="1"/>
    </xf>
    <xf numFmtId="0" fontId="35" fillId="2" borderId="1" xfId="0" quotePrefix="1" applyFont="1" applyFill="1" applyBorder="1" applyAlignment="1">
      <alignment horizontal="left" vertical="center" wrapText="1"/>
    </xf>
    <xf numFmtId="0" fontId="37" fillId="0" borderId="6" xfId="0" applyFont="1" applyBorder="1"/>
    <xf numFmtId="0" fontId="0" fillId="0" borderId="3" xfId="0" applyBorder="1"/>
    <xf numFmtId="0" fontId="38" fillId="0" borderId="10" xfId="0" applyFont="1" applyBorder="1" applyAlignment="1">
      <alignment horizontal="left"/>
    </xf>
    <xf numFmtId="0" fontId="38" fillId="0" borderId="10" xfId="0" applyFont="1" applyBorder="1" applyAlignment="1">
      <alignment horizontal="left" vertical="center" wrapText="1"/>
    </xf>
    <xf numFmtId="0" fontId="38" fillId="0" borderId="10" xfId="0" applyFont="1" applyFill="1" applyBorder="1" applyAlignment="1">
      <alignment horizontal="left" vertical="center" wrapText="1"/>
    </xf>
    <xf numFmtId="0" fontId="38" fillId="0" borderId="11" xfId="0" applyFont="1" applyBorder="1" applyAlignment="1">
      <alignment horizontal="left" vertical="center" wrapText="1"/>
    </xf>
    <xf numFmtId="0" fontId="39" fillId="2" borderId="1" xfId="0" applyFont="1" applyFill="1" applyBorder="1"/>
    <xf numFmtId="0" fontId="39" fillId="2" borderId="1" xfId="0" applyFont="1" applyFill="1" applyBorder="1" applyAlignment="1">
      <alignment vertical="top" wrapText="1"/>
    </xf>
    <xf numFmtId="0" fontId="38" fillId="0" borderId="12" xfId="0" applyFont="1" applyBorder="1" applyAlignment="1">
      <alignment horizontal="left"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31" fillId="0" borderId="0" xfId="0" applyFont="1" applyBorder="1" applyAlignment="1">
      <alignment horizontal="left" vertical="top" wrapText="1"/>
    </xf>
    <xf numFmtId="0" fontId="27" fillId="0" borderId="7" xfId="0" applyFont="1" applyFill="1" applyBorder="1" applyAlignment="1">
      <alignment horizontal="left" vertical="top" wrapText="1"/>
    </xf>
    <xf numFmtId="0" fontId="27" fillId="0" borderId="1" xfId="0" applyFont="1" applyBorder="1" applyAlignment="1">
      <alignment horizontal="center" vertical="center" wrapText="1"/>
    </xf>
    <xf numFmtId="0" fontId="30" fillId="0" borderId="2" xfId="0" applyFont="1" applyBorder="1" applyAlignment="1">
      <alignment vertical="center" wrapText="1"/>
    </xf>
    <xf numFmtId="0" fontId="30" fillId="0" borderId="1" xfId="0" applyFont="1" applyFill="1" applyBorder="1" applyAlignment="1">
      <alignment horizontal="center" vertical="center" wrapText="1"/>
    </xf>
    <xf numFmtId="0" fontId="38" fillId="0" borderId="11" xfId="0" applyFont="1" applyFill="1" applyBorder="1" applyAlignment="1">
      <alignment horizontal="left" vertical="center" wrapText="1"/>
    </xf>
    <xf numFmtId="0" fontId="30" fillId="0" borderId="6" xfId="0" applyFont="1" applyFill="1" applyBorder="1" applyAlignment="1">
      <alignment vertical="center" wrapText="1"/>
    </xf>
    <xf numFmtId="0" fontId="0" fillId="0" borderId="2" xfId="0" applyFont="1" applyBorder="1" applyAlignment="1">
      <alignment horizontal="left" vertical="center"/>
    </xf>
    <xf numFmtId="0" fontId="27" fillId="0" borderId="2" xfId="0" applyFont="1" applyBorder="1" applyAlignment="1">
      <alignment horizontal="left" vertical="center"/>
    </xf>
    <xf numFmtId="0" fontId="40" fillId="0" borderId="0" xfId="0" applyFont="1" applyBorder="1" applyAlignment="1">
      <alignment horizontal="left" vertical="center"/>
    </xf>
    <xf numFmtId="0" fontId="40" fillId="0" borderId="0" xfId="0" applyFont="1" applyBorder="1" applyAlignment="1">
      <alignment horizontal="left" vertical="center" wrapText="1"/>
    </xf>
    <xf numFmtId="0" fontId="38" fillId="0" borderId="0" xfId="0" applyFont="1" applyFill="1" applyBorder="1" applyAlignment="1">
      <alignment vertical="center"/>
    </xf>
    <xf numFmtId="0" fontId="27" fillId="0" borderId="0" xfId="0" applyFont="1" applyFill="1" applyBorder="1" applyAlignment="1">
      <alignment vertical="center"/>
    </xf>
    <xf numFmtId="0" fontId="38" fillId="0" borderId="10" xfId="0" applyFont="1" applyBorder="1" applyAlignment="1">
      <alignment horizontal="left" wrapText="1"/>
    </xf>
    <xf numFmtId="0" fontId="0" fillId="0" borderId="7" xfId="0" applyFont="1" applyBorder="1" applyAlignment="1">
      <alignment vertical="center"/>
    </xf>
    <xf numFmtId="0" fontId="41" fillId="2" borderId="1" xfId="0" applyFont="1" applyFill="1" applyBorder="1" applyAlignment="1">
      <alignment horizontal="center" vertical="center" wrapText="1"/>
    </xf>
    <xf numFmtId="0" fontId="41" fillId="2" borderId="1" xfId="0" applyFont="1" applyFill="1" applyBorder="1" applyAlignment="1">
      <alignment vertical="top" wrapText="1"/>
    </xf>
    <xf numFmtId="0" fontId="41" fillId="2" borderId="1" xfId="0" applyFont="1" applyFill="1" applyBorder="1" applyAlignment="1">
      <alignment horizontal="left" vertical="center" wrapText="1"/>
    </xf>
    <xf numFmtId="0" fontId="41" fillId="2" borderId="1" xfId="0" applyFont="1" applyFill="1" applyBorder="1" applyAlignment="1">
      <alignment horizontal="left" vertical="top" wrapText="1"/>
    </xf>
    <xf numFmtId="164" fontId="42" fillId="2" borderId="9" xfId="0" applyNumberFormat="1" applyFont="1" applyFill="1" applyBorder="1" applyAlignment="1">
      <alignment horizontal="center" vertical="center" wrapText="1"/>
    </xf>
    <xf numFmtId="0" fontId="42" fillId="2" borderId="5" xfId="0" applyFont="1" applyFill="1" applyBorder="1" applyAlignment="1">
      <alignment horizontal="center" wrapText="1"/>
    </xf>
    <xf numFmtId="0" fontId="42" fillId="2" borderId="13" xfId="0" applyFont="1" applyFill="1" applyBorder="1" applyAlignment="1">
      <alignment horizontal="center" vertical="center" wrapText="1"/>
    </xf>
    <xf numFmtId="0" fontId="32" fillId="0" borderId="4" xfId="0" applyFont="1" applyFill="1" applyBorder="1" applyAlignment="1">
      <alignment vertical="center"/>
    </xf>
    <xf numFmtId="0" fontId="32" fillId="0" borderId="14" xfId="0" applyFont="1" applyFill="1" applyBorder="1" applyAlignment="1">
      <alignment horizontal="center" wrapText="1"/>
    </xf>
    <xf numFmtId="0" fontId="32" fillId="0" borderId="15" xfId="0" applyFont="1" applyFill="1" applyBorder="1" applyAlignment="1">
      <alignment horizontal="center" wrapText="1"/>
    </xf>
    <xf numFmtId="0" fontId="32" fillId="0" borderId="1" xfId="0" applyFont="1" applyFill="1" applyBorder="1" applyAlignment="1">
      <alignment horizontal="center"/>
    </xf>
    <xf numFmtId="0" fontId="34" fillId="2" borderId="1" xfId="0" applyFont="1" applyFill="1" applyBorder="1" applyAlignment="1">
      <alignment horizontal="center" vertical="center"/>
    </xf>
    <xf numFmtId="0" fontId="0" fillId="0" borderId="0" xfId="0" applyFont="1" applyBorder="1" applyAlignment="1">
      <alignment horizontal="left" vertical="center"/>
    </xf>
    <xf numFmtId="0" fontId="36" fillId="2" borderId="1" xfId="0" applyFont="1" applyFill="1" applyBorder="1" applyAlignment="1">
      <alignment horizontal="left" vertical="center" wrapText="1"/>
    </xf>
    <xf numFmtId="0" fontId="35" fillId="2" borderId="1" xfId="0" applyFont="1" applyFill="1" applyBorder="1" applyAlignment="1">
      <alignment wrapText="1"/>
    </xf>
    <xf numFmtId="0" fontId="35" fillId="2" borderId="1" xfId="0" applyFont="1" applyFill="1" applyBorder="1" applyAlignment="1">
      <alignment vertical="center" wrapText="1"/>
    </xf>
    <xf numFmtId="0" fontId="34" fillId="2" borderId="1" xfId="0" applyFont="1" applyFill="1" applyBorder="1" applyAlignment="1">
      <alignment vertical="center" wrapText="1"/>
    </xf>
    <xf numFmtId="0" fontId="35" fillId="2" borderId="1" xfId="0" applyFont="1" applyFill="1" applyBorder="1" applyAlignment="1">
      <alignment horizontal="left" vertical="top" wrapText="1"/>
    </xf>
    <xf numFmtId="0" fontId="35" fillId="2" borderId="1" xfId="0" applyFont="1" applyFill="1" applyBorder="1"/>
    <xf numFmtId="0" fontId="35" fillId="2" borderId="1" xfId="0" applyFont="1" applyFill="1" applyBorder="1" applyAlignment="1">
      <alignment vertical="center"/>
    </xf>
    <xf numFmtId="0" fontId="27" fillId="0" borderId="16" xfId="0" applyFont="1" applyFill="1" applyBorder="1" applyAlignment="1">
      <alignment horizontal="left" vertical="top" wrapText="1"/>
    </xf>
    <xf numFmtId="0" fontId="30" fillId="0" borderId="17" xfId="0" applyFont="1" applyBorder="1" applyAlignment="1">
      <alignment vertical="top" wrapText="1"/>
    </xf>
    <xf numFmtId="0" fontId="0" fillId="0" borderId="10" xfId="0" applyFont="1" applyBorder="1" applyAlignment="1">
      <alignment horizontal="left" vertical="center"/>
    </xf>
    <xf numFmtId="0" fontId="27" fillId="0" borderId="11" xfId="0" applyFont="1" applyBorder="1" applyAlignment="1">
      <alignment horizontal="left" vertical="center"/>
    </xf>
    <xf numFmtId="0" fontId="27" fillId="0" borderId="2" xfId="0" applyFont="1" applyBorder="1" applyAlignment="1">
      <alignment horizontal="left" vertical="center" wrapText="1"/>
    </xf>
    <xf numFmtId="0" fontId="39" fillId="0" borderId="11" xfId="0" applyFont="1" applyFill="1" applyBorder="1" applyAlignment="1">
      <alignment horizontal="center" wrapText="1"/>
    </xf>
    <xf numFmtId="0" fontId="27" fillId="0" borderId="1" xfId="0" applyFont="1" applyBorder="1"/>
    <xf numFmtId="0" fontId="0" fillId="0" borderId="18" xfId="0" applyBorder="1"/>
    <xf numFmtId="0" fontId="27" fillId="0" borderId="19" xfId="0" applyFont="1" applyBorder="1"/>
    <xf numFmtId="0" fontId="0" fillId="0" borderId="20" xfId="0" applyBorder="1"/>
    <xf numFmtId="0" fontId="0" fillId="0" borderId="21" xfId="0" applyBorder="1"/>
    <xf numFmtId="0" fontId="32" fillId="0" borderId="10" xfId="0" applyFont="1" applyFill="1" applyBorder="1" applyAlignment="1">
      <alignment horizontal="center" wrapText="1"/>
    </xf>
    <xf numFmtId="0" fontId="38" fillId="0" borderId="0" xfId="0" applyFont="1"/>
    <xf numFmtId="0" fontId="43" fillId="2" borderId="0" xfId="0" applyFont="1" applyFill="1"/>
    <xf numFmtId="0" fontId="39" fillId="0" borderId="0" xfId="0" applyFont="1" applyBorder="1"/>
    <xf numFmtId="0" fontId="39" fillId="0" borderId="0" xfId="0" applyFont="1" applyBorder="1" applyAlignment="1">
      <alignment horizontal="center"/>
    </xf>
    <xf numFmtId="0" fontId="40" fillId="0" borderId="0" xfId="0" applyFont="1" applyBorder="1" applyAlignment="1">
      <alignment vertical="center"/>
    </xf>
    <xf numFmtId="0" fontId="40" fillId="0" borderId="0" xfId="0" applyFont="1" applyBorder="1" applyAlignment="1">
      <alignment vertical="center" wrapText="1"/>
    </xf>
    <xf numFmtId="0" fontId="44" fillId="2" borderId="22" xfId="0" applyFont="1" applyFill="1" applyBorder="1" applyAlignment="1">
      <alignment horizontal="left" vertical="top" wrapText="1"/>
    </xf>
    <xf numFmtId="0" fontId="35" fillId="2" borderId="23" xfId="0" applyFont="1" applyFill="1" applyBorder="1" applyAlignment="1">
      <alignment horizontal="left" vertical="top" wrapText="1"/>
    </xf>
    <xf numFmtId="0" fontId="35" fillId="2" borderId="11" xfId="0" applyFont="1" applyFill="1" applyBorder="1" applyAlignment="1">
      <alignment horizontal="left" vertical="top" wrapText="1"/>
    </xf>
    <xf numFmtId="0" fontId="35" fillId="2" borderId="24" xfId="0" applyFont="1" applyFill="1" applyBorder="1" applyAlignment="1">
      <alignment horizontal="left" vertical="top" wrapText="1"/>
    </xf>
    <xf numFmtId="0" fontId="35" fillId="2" borderId="25" xfId="0" applyFont="1" applyFill="1" applyBorder="1" applyAlignment="1">
      <alignment horizontal="left" vertical="top" wrapText="1"/>
    </xf>
    <xf numFmtId="0" fontId="35" fillId="2" borderId="22" xfId="0" applyFont="1" applyFill="1" applyBorder="1" applyAlignment="1">
      <alignment horizontal="left" vertical="top" wrapText="1"/>
    </xf>
    <xf numFmtId="0" fontId="35" fillId="2" borderId="11" xfId="0" applyFont="1" applyFill="1" applyBorder="1" applyAlignment="1">
      <alignment horizontal="center" vertical="center" wrapText="1"/>
    </xf>
    <xf numFmtId="0" fontId="39" fillId="0" borderId="15" xfId="0" applyFont="1" applyFill="1" applyBorder="1" applyAlignment="1">
      <alignment horizontal="left" vertical="top" wrapText="1"/>
    </xf>
    <xf numFmtId="0" fontId="39" fillId="0" borderId="14" xfId="0" applyFont="1" applyFill="1" applyBorder="1" applyAlignment="1">
      <alignment horizontal="left" vertical="top" wrapText="1"/>
    </xf>
    <xf numFmtId="0" fontId="39" fillId="0" borderId="26" xfId="0" applyFont="1" applyFill="1" applyBorder="1" applyAlignment="1">
      <alignment horizontal="left" vertical="top" wrapText="1"/>
    </xf>
    <xf numFmtId="0" fontId="39" fillId="0" borderId="27" xfId="0" applyFont="1" applyFill="1" applyBorder="1" applyAlignment="1">
      <alignment horizontal="left" vertical="top" wrapText="1"/>
    </xf>
    <xf numFmtId="0" fontId="39" fillId="0" borderId="26" xfId="0" applyFont="1" applyFill="1" applyBorder="1" applyAlignment="1">
      <alignment horizontal="center" vertical="center" wrapText="1"/>
    </xf>
    <xf numFmtId="0" fontId="35" fillId="2" borderId="28" xfId="0" applyFont="1" applyFill="1" applyBorder="1" applyAlignment="1">
      <alignment horizontal="left" vertical="top" wrapText="1"/>
    </xf>
    <xf numFmtId="0" fontId="35" fillId="2" borderId="27" xfId="0" applyFont="1" applyFill="1" applyBorder="1" applyAlignment="1">
      <alignment horizontal="left" vertical="top" wrapText="1"/>
    </xf>
    <xf numFmtId="0" fontId="35" fillId="2" borderId="29" xfId="0" applyFont="1" applyFill="1" applyBorder="1" applyAlignment="1">
      <alignment horizontal="left" vertical="top" wrapText="1"/>
    </xf>
    <xf numFmtId="0" fontId="35" fillId="2" borderId="30" xfId="0" applyFont="1" applyFill="1" applyBorder="1" applyAlignment="1">
      <alignment horizontal="left" vertical="top" wrapText="1"/>
    </xf>
    <xf numFmtId="0" fontId="35" fillId="2" borderId="30" xfId="0" applyFont="1" applyFill="1" applyBorder="1" applyAlignment="1">
      <alignment horizontal="center" vertical="center" wrapText="1"/>
    </xf>
    <xf numFmtId="0" fontId="35" fillId="2" borderId="9" xfId="0" applyFont="1" applyFill="1" applyBorder="1" applyAlignment="1">
      <alignment horizontal="left" vertical="top" wrapText="1"/>
    </xf>
    <xf numFmtId="0" fontId="35" fillId="2" borderId="10" xfId="0" applyFont="1" applyFill="1" applyBorder="1" applyAlignment="1">
      <alignment horizontal="left" vertical="top" wrapText="1"/>
    </xf>
    <xf numFmtId="0" fontId="35" fillId="2" borderId="10" xfId="0" applyFont="1" applyFill="1" applyBorder="1" applyAlignment="1">
      <alignment horizontal="center" vertical="center" wrapText="1"/>
    </xf>
    <xf numFmtId="0" fontId="35" fillId="2" borderId="9" xfId="0" applyFont="1" applyFill="1" applyBorder="1" applyAlignment="1">
      <alignment horizontal="left" vertical="center" wrapText="1"/>
    </xf>
    <xf numFmtId="0" fontId="35" fillId="2" borderId="10" xfId="0" applyFont="1" applyFill="1" applyBorder="1" applyAlignment="1">
      <alignment horizontal="left" vertical="center" wrapText="1"/>
    </xf>
    <xf numFmtId="0" fontId="39" fillId="0" borderId="0" xfId="0" applyFont="1" applyBorder="1" applyAlignment="1">
      <alignment vertical="top"/>
    </xf>
    <xf numFmtId="0" fontId="35" fillId="2" borderId="10" xfId="0" applyFont="1" applyFill="1" applyBorder="1" applyAlignment="1">
      <alignment horizontal="center" vertical="top" wrapText="1"/>
    </xf>
    <xf numFmtId="0" fontId="39" fillId="0" borderId="0" xfId="0" applyFont="1" applyFill="1" applyBorder="1"/>
    <xf numFmtId="0" fontId="39" fillId="0" borderId="0" xfId="0" applyFont="1" applyFill="1" applyBorder="1" applyAlignment="1">
      <alignment horizontal="left" vertical="top" wrapText="1"/>
    </xf>
    <xf numFmtId="0" fontId="32" fillId="0" borderId="0" xfId="0" applyFont="1" applyFill="1" applyBorder="1" applyAlignment="1">
      <alignment horizontal="left" vertical="top" wrapText="1"/>
    </xf>
    <xf numFmtId="0" fontId="39" fillId="0" borderId="0" xfId="0" applyFont="1" applyFill="1" applyBorder="1" applyAlignment="1">
      <alignment horizontal="center" vertical="center" wrapText="1"/>
    </xf>
    <xf numFmtId="0" fontId="39" fillId="0" borderId="31" xfId="0" applyFont="1" applyFill="1" applyBorder="1" applyAlignment="1">
      <alignment horizontal="left" vertical="top" wrapText="1"/>
    </xf>
    <xf numFmtId="0" fontId="39" fillId="0" borderId="16" xfId="0" applyFont="1" applyFill="1" applyBorder="1" applyAlignment="1">
      <alignment horizontal="left" vertical="top" wrapText="1"/>
    </xf>
    <xf numFmtId="0" fontId="39" fillId="0" borderId="32" xfId="0" applyFont="1" applyFill="1" applyBorder="1" applyAlignment="1">
      <alignment horizontal="left" vertical="top" wrapText="1"/>
    </xf>
    <xf numFmtId="0" fontId="39" fillId="0" borderId="16" xfId="0" applyFont="1" applyFill="1" applyBorder="1" applyAlignment="1">
      <alignment horizontal="center" vertical="center" wrapText="1"/>
    </xf>
    <xf numFmtId="0" fontId="35" fillId="2" borderId="9" xfId="0" applyFont="1" applyFill="1" applyBorder="1" applyAlignment="1">
      <alignment vertical="top"/>
    </xf>
    <xf numFmtId="0" fontId="27" fillId="0" borderId="9" xfId="0" applyFont="1" applyBorder="1" applyAlignment="1">
      <alignment horizontal="center" vertical="center" wrapText="1"/>
    </xf>
    <xf numFmtId="0" fontId="27" fillId="0" borderId="10" xfId="0" applyFont="1" applyBorder="1" applyAlignment="1">
      <alignment horizontal="center" vertical="center"/>
    </xf>
    <xf numFmtId="0" fontId="27" fillId="0" borderId="9" xfId="0" applyFont="1" applyBorder="1" applyAlignment="1">
      <alignment horizontal="center" vertical="center"/>
    </xf>
    <xf numFmtId="44" fontId="27" fillId="0" borderId="9" xfId="2" applyFont="1" applyFill="1" applyBorder="1" applyAlignment="1">
      <alignment horizontal="center" vertical="center" wrapText="1"/>
    </xf>
    <xf numFmtId="44" fontId="27" fillId="0" borderId="10" xfId="2" applyFont="1" applyFill="1" applyBorder="1" applyAlignment="1">
      <alignment horizontal="center" vertical="center" wrapText="1"/>
    </xf>
    <xf numFmtId="0" fontId="32" fillId="0" borderId="0" xfId="0" applyFont="1" applyBorder="1"/>
    <xf numFmtId="0" fontId="27" fillId="0" borderId="0" xfId="0" applyFont="1" applyBorder="1" applyAlignment="1">
      <alignment horizontal="left" vertical="center" wrapText="1"/>
    </xf>
    <xf numFmtId="0" fontId="32" fillId="0" borderId="0" xfId="0" applyFont="1" applyBorder="1" applyAlignment="1">
      <alignment horizontal="left" vertical="top" wrapText="1"/>
    </xf>
    <xf numFmtId="0" fontId="44" fillId="0" borderId="0" xfId="0" applyFont="1" applyBorder="1" applyAlignment="1">
      <alignment vertical="center"/>
    </xf>
    <xf numFmtId="0" fontId="29" fillId="0" borderId="0" xfId="0" applyFont="1" applyBorder="1" applyAlignment="1">
      <alignment horizontal="left" vertical="center"/>
    </xf>
    <xf numFmtId="0" fontId="39" fillId="0" borderId="13" xfId="0" applyFont="1" applyBorder="1"/>
    <xf numFmtId="0" fontId="39" fillId="0" borderId="5" xfId="0" applyFont="1" applyBorder="1"/>
    <xf numFmtId="165" fontId="39" fillId="0" borderId="33" xfId="0" applyNumberFormat="1" applyFont="1" applyBorder="1"/>
    <xf numFmtId="166" fontId="35" fillId="2" borderId="23" xfId="0" applyNumberFormat="1" applyFont="1" applyFill="1" applyBorder="1" applyAlignment="1">
      <alignment horizontal="right"/>
    </xf>
    <xf numFmtId="165" fontId="35" fillId="2" borderId="23" xfId="0" applyNumberFormat="1" applyFont="1" applyFill="1" applyBorder="1"/>
    <xf numFmtId="0" fontId="39" fillId="0" borderId="34" xfId="0" applyFont="1" applyBorder="1"/>
    <xf numFmtId="0" fontId="39" fillId="0" borderId="4" xfId="0" applyFont="1" applyBorder="1"/>
    <xf numFmtId="166" fontId="35" fillId="2" borderId="1" xfId="0" applyNumberFormat="1" applyFont="1" applyFill="1" applyBorder="1" applyAlignment="1">
      <alignment horizontal="right" vertical="center"/>
    </xf>
    <xf numFmtId="167" fontId="35" fillId="2" borderId="1" xfId="2" applyNumberFormat="1" applyFont="1" applyFill="1" applyBorder="1" applyAlignment="1">
      <alignment vertical="center"/>
    </xf>
    <xf numFmtId="0" fontId="35" fillId="2" borderId="1" xfId="0" applyFont="1" applyFill="1" applyBorder="1" applyAlignment="1">
      <alignment horizontal="center" vertical="center"/>
    </xf>
    <xf numFmtId="0" fontId="35" fillId="2" borderId="10" xfId="0" applyFont="1" applyFill="1" applyBorder="1" applyAlignment="1">
      <alignment horizontal="center" vertical="center"/>
    </xf>
    <xf numFmtId="0" fontId="39" fillId="0" borderId="0" xfId="0" applyFont="1" applyBorder="1" applyAlignment="1">
      <alignment horizontal="left" vertical="top"/>
    </xf>
    <xf numFmtId="165" fontId="35" fillId="2" borderId="1" xfId="2" applyNumberFormat="1" applyFont="1" applyFill="1" applyBorder="1" applyAlignment="1">
      <alignment horizontal="left" vertical="center"/>
    </xf>
    <xf numFmtId="0" fontId="35" fillId="2" borderId="1" xfId="0" applyFont="1" applyFill="1" applyBorder="1" applyAlignment="1">
      <alignment horizontal="left" vertical="center"/>
    </xf>
    <xf numFmtId="0" fontId="27" fillId="0" borderId="1" xfId="0" applyFont="1" applyBorder="1" applyAlignment="1">
      <alignment horizontal="center" wrapText="1"/>
    </xf>
    <xf numFmtId="0" fontId="39" fillId="0" borderId="3" xfId="0" applyFont="1" applyBorder="1"/>
    <xf numFmtId="0" fontId="39" fillId="0" borderId="7" xfId="0" applyFont="1" applyBorder="1"/>
    <xf numFmtId="168" fontId="35" fillId="2" borderId="33" xfId="0" applyNumberFormat="1" applyFont="1" applyFill="1" applyBorder="1"/>
    <xf numFmtId="166" fontId="35" fillId="2" borderId="23" xfId="0" applyNumberFormat="1" applyFont="1" applyFill="1" applyBorder="1"/>
    <xf numFmtId="44" fontId="35" fillId="2" borderId="34" xfId="0" applyNumberFormat="1" applyFont="1" applyFill="1" applyBorder="1"/>
    <xf numFmtId="168" fontId="35" fillId="2" borderId="1" xfId="3" applyNumberFormat="1" applyFont="1" applyFill="1" applyBorder="1"/>
    <xf numFmtId="166" fontId="35" fillId="2" borderId="1" xfId="0" applyNumberFormat="1" applyFont="1" applyFill="1" applyBorder="1"/>
    <xf numFmtId="44" fontId="35" fillId="2" borderId="1" xfId="2" applyFont="1" applyFill="1" applyBorder="1"/>
    <xf numFmtId="0" fontId="35" fillId="2" borderId="1" xfId="0" applyFont="1" applyFill="1" applyBorder="1" applyAlignment="1">
      <alignment horizontal="center"/>
    </xf>
    <xf numFmtId="0" fontId="35" fillId="2" borderId="10" xfId="0" applyFont="1" applyFill="1" applyBorder="1" applyAlignment="1">
      <alignment horizontal="center"/>
    </xf>
    <xf numFmtId="168" fontId="39" fillId="0" borderId="0" xfId="3" applyNumberFormat="1" applyFont="1" applyFill="1" applyBorder="1"/>
    <xf numFmtId="0" fontId="39" fillId="0" borderId="35" xfId="0" applyFont="1" applyBorder="1"/>
    <xf numFmtId="0" fontId="39" fillId="0" borderId="36" xfId="0" applyFont="1" applyBorder="1"/>
    <xf numFmtId="0" fontId="35" fillId="0" borderId="36" xfId="0" applyFont="1" applyBorder="1"/>
    <xf numFmtId="0" fontId="35" fillId="0" borderId="37" xfId="0" applyFont="1" applyBorder="1"/>
    <xf numFmtId="166" fontId="35" fillId="2" borderId="33" xfId="0" applyNumberFormat="1" applyFont="1" applyFill="1" applyBorder="1"/>
    <xf numFmtId="166" fontId="39" fillId="0" borderId="5" xfId="0" applyNumberFormat="1" applyFont="1" applyBorder="1"/>
    <xf numFmtId="0" fontId="27" fillId="0" borderId="5" xfId="0" applyFont="1" applyBorder="1"/>
    <xf numFmtId="0" fontId="45" fillId="0" borderId="4" xfId="0" applyFont="1" applyBorder="1"/>
    <xf numFmtId="166" fontId="39" fillId="0" borderId="0" xfId="0" applyNumberFormat="1" applyFont="1" applyBorder="1"/>
    <xf numFmtId="166" fontId="39" fillId="2" borderId="38" xfId="0" applyNumberFormat="1" applyFont="1" applyFill="1" applyBorder="1"/>
    <xf numFmtId="166" fontId="39" fillId="2" borderId="1" xfId="0" applyNumberFormat="1" applyFont="1" applyFill="1" applyBorder="1"/>
    <xf numFmtId="166" fontId="35" fillId="2" borderId="39" xfId="0" applyNumberFormat="1" applyFont="1" applyFill="1" applyBorder="1"/>
    <xf numFmtId="166" fontId="35" fillId="2" borderId="2" xfId="2" applyNumberFormat="1" applyFont="1" applyFill="1" applyBorder="1"/>
    <xf numFmtId="0" fontId="32" fillId="0" borderId="0" xfId="0" applyFont="1" applyBorder="1" applyAlignment="1">
      <alignment horizontal="right"/>
    </xf>
    <xf numFmtId="0" fontId="46" fillId="0" borderId="16" xfId="0" applyFont="1" applyBorder="1" applyAlignment="1">
      <alignment horizontal="left"/>
    </xf>
    <xf numFmtId="0" fontId="39" fillId="2" borderId="38" xfId="0" applyFont="1" applyFill="1" applyBorder="1"/>
    <xf numFmtId="9" fontId="39" fillId="2" borderId="1" xfId="3" applyFont="1" applyFill="1" applyBorder="1"/>
    <xf numFmtId="9" fontId="35" fillId="2" borderId="1" xfId="3" applyFont="1" applyFill="1" applyBorder="1"/>
    <xf numFmtId="9" fontId="35" fillId="2" borderId="39" xfId="3" applyFont="1" applyFill="1" applyBorder="1"/>
    <xf numFmtId="166" fontId="39" fillId="2" borderId="1" xfId="2" applyNumberFormat="1" applyFont="1" applyFill="1" applyBorder="1"/>
    <xf numFmtId="0" fontId="35" fillId="0" borderId="16" xfId="0" applyFont="1" applyBorder="1" applyAlignment="1">
      <alignment horizontal="left"/>
    </xf>
    <xf numFmtId="0" fontId="39" fillId="0" borderId="38" xfId="0" applyFont="1" applyBorder="1"/>
    <xf numFmtId="9" fontId="39" fillId="0" borderId="1" xfId="3" applyFont="1" applyBorder="1"/>
    <xf numFmtId="9" fontId="35" fillId="0" borderId="1" xfId="3" applyFont="1" applyBorder="1"/>
    <xf numFmtId="9" fontId="35" fillId="0" borderId="39" xfId="3" applyFont="1" applyBorder="1"/>
    <xf numFmtId="0" fontId="35" fillId="0" borderId="16" xfId="0" applyFont="1" applyBorder="1" applyAlignment="1">
      <alignment horizontal="center"/>
    </xf>
    <xf numFmtId="0" fontId="39" fillId="0" borderId="40" xfId="0" applyFont="1" applyBorder="1"/>
    <xf numFmtId="9" fontId="39" fillId="0" borderId="0" xfId="3" applyFont="1" applyBorder="1"/>
    <xf numFmtId="9" fontId="35" fillId="0" borderId="0" xfId="3" applyFont="1" applyBorder="1"/>
    <xf numFmtId="9" fontId="35" fillId="0" borderId="41" xfId="3" applyFont="1" applyBorder="1"/>
    <xf numFmtId="166" fontId="35" fillId="0" borderId="0" xfId="2" applyNumberFormat="1" applyFont="1" applyBorder="1"/>
    <xf numFmtId="0" fontId="35" fillId="0" borderId="0" xfId="0" applyFont="1" applyBorder="1" applyAlignment="1">
      <alignment horizontal="center"/>
    </xf>
    <xf numFmtId="0" fontId="35" fillId="0" borderId="0" xfId="0" applyFont="1" applyBorder="1"/>
    <xf numFmtId="0" fontId="47" fillId="2" borderId="42" xfId="0" applyFont="1" applyFill="1" applyBorder="1"/>
    <xf numFmtId="0" fontId="47" fillId="2" borderId="10" xfId="0" applyFont="1" applyFill="1" applyBorder="1" applyAlignment="1">
      <alignment horizontal="center"/>
    </xf>
    <xf numFmtId="166" fontId="35" fillId="2" borderId="1" xfId="2" applyNumberFormat="1" applyFont="1" applyFill="1" applyBorder="1"/>
    <xf numFmtId="0" fontId="48" fillId="0" borderId="16" xfId="0" applyFont="1" applyBorder="1" applyAlignment="1">
      <alignment horizontal="center"/>
    </xf>
    <xf numFmtId="166" fontId="35" fillId="0" borderId="0" xfId="0" applyNumberFormat="1" applyFont="1" applyBorder="1"/>
    <xf numFmtId="166" fontId="35" fillId="2" borderId="39" xfId="2" applyNumberFormat="1" applyFont="1" applyFill="1" applyBorder="1"/>
    <xf numFmtId="166" fontId="39" fillId="2" borderId="1" xfId="3" applyNumberFormat="1" applyFont="1" applyFill="1" applyBorder="1"/>
    <xf numFmtId="0" fontId="35" fillId="2" borderId="38" xfId="0" applyFont="1" applyFill="1" applyBorder="1"/>
    <xf numFmtId="0" fontId="35" fillId="0" borderId="38" xfId="0" applyFont="1" applyBorder="1"/>
    <xf numFmtId="0" fontId="35" fillId="0" borderId="1" xfId="0" applyFont="1" applyBorder="1"/>
    <xf numFmtId="0" fontId="35" fillId="0" borderId="39" xfId="0" applyFont="1" applyBorder="1"/>
    <xf numFmtId="0" fontId="35" fillId="2" borderId="43" xfId="0" applyFont="1" applyFill="1" applyBorder="1"/>
    <xf numFmtId="0" fontId="35" fillId="0" borderId="40" xfId="0" applyFont="1" applyBorder="1"/>
    <xf numFmtId="0" fontId="35" fillId="0" borderId="41" xfId="0" applyFont="1" applyBorder="1"/>
    <xf numFmtId="0" fontId="35" fillId="0" borderId="0" xfId="0" applyFont="1" applyFill="1" applyBorder="1"/>
    <xf numFmtId="0" fontId="47" fillId="2" borderId="43" xfId="0" applyFont="1" applyFill="1" applyBorder="1"/>
    <xf numFmtId="0" fontId="27" fillId="0" borderId="38" xfId="0" applyFont="1" applyBorder="1" applyAlignment="1">
      <alignment vertical="center"/>
    </xf>
    <xf numFmtId="0" fontId="27" fillId="0" borderId="39" xfId="0" applyFont="1" applyFill="1" applyBorder="1" applyAlignment="1">
      <alignment horizontal="center" vertical="center" wrapText="1"/>
    </xf>
    <xf numFmtId="0" fontId="27" fillId="0" borderId="2" xfId="0" applyFont="1" applyBorder="1" applyAlignment="1">
      <alignment horizontal="center" vertical="center" wrapText="1"/>
    </xf>
    <xf numFmtId="44" fontId="27" fillId="0" borderId="12" xfId="2" applyFont="1" applyFill="1" applyBorder="1" applyAlignment="1">
      <alignment horizontal="center" vertical="center" wrapText="1"/>
    </xf>
    <xf numFmtId="0" fontId="40" fillId="0" borderId="7" xfId="0" applyFont="1" applyBorder="1" applyAlignment="1">
      <alignment horizontal="left" wrapText="1"/>
    </xf>
    <xf numFmtId="0" fontId="30" fillId="0" borderId="5" xfId="0" applyFont="1" applyBorder="1"/>
    <xf numFmtId="0" fontId="44" fillId="0" borderId="5" xfId="0" applyFont="1" applyBorder="1" applyAlignment="1">
      <alignment vertical="center"/>
    </xf>
    <xf numFmtId="0" fontId="29" fillId="0" borderId="5" xfId="0" applyFont="1" applyBorder="1" applyAlignment="1">
      <alignment horizontal="left"/>
    </xf>
    <xf numFmtId="44" fontId="39" fillId="0" borderId="0" xfId="2" applyFont="1" applyBorder="1"/>
    <xf numFmtId="0" fontId="49" fillId="0" borderId="0" xfId="0" applyFont="1" applyAlignment="1">
      <alignment horizontal="left" vertical="center" readingOrder="1"/>
    </xf>
    <xf numFmtId="8" fontId="39" fillId="0" borderId="0" xfId="0" applyNumberFormat="1" applyFont="1" applyBorder="1"/>
    <xf numFmtId="3" fontId="39" fillId="0" borderId="0" xfId="0" applyNumberFormat="1" applyFont="1" applyBorder="1"/>
    <xf numFmtId="6" fontId="39" fillId="0" borderId="0" xfId="0" applyNumberFormat="1" applyFont="1" applyBorder="1"/>
    <xf numFmtId="0" fontId="0" fillId="0" borderId="3" xfId="0" applyFont="1" applyBorder="1"/>
    <xf numFmtId="0" fontId="0" fillId="0" borderId="7" xfId="0" applyFont="1" applyBorder="1"/>
    <xf numFmtId="0" fontId="38" fillId="0" borderId="6" xfId="0" applyFont="1" applyBorder="1"/>
    <xf numFmtId="0" fontId="39" fillId="2" borderId="0" xfId="0" applyFont="1" applyFill="1" applyBorder="1" applyAlignment="1">
      <alignment vertical="center"/>
    </xf>
    <xf numFmtId="44" fontId="39" fillId="2" borderId="1" xfId="2" applyFont="1" applyFill="1" applyBorder="1"/>
    <xf numFmtId="169" fontId="39" fillId="2" borderId="1" xfId="1" applyNumberFormat="1" applyFont="1" applyFill="1" applyBorder="1"/>
    <xf numFmtId="0" fontId="39" fillId="0" borderId="1" xfId="0" applyFont="1" applyBorder="1" applyAlignment="1">
      <alignment horizontal="right"/>
    </xf>
    <xf numFmtId="0" fontId="48" fillId="0" borderId="1" xfId="0" applyFont="1" applyBorder="1" applyAlignment="1">
      <alignment horizontal="center"/>
    </xf>
    <xf numFmtId="166" fontId="39" fillId="0" borderId="1" xfId="0" applyNumberFormat="1" applyFont="1" applyFill="1" applyBorder="1"/>
    <xf numFmtId="169" fontId="39" fillId="0" borderId="1" xfId="1" applyNumberFormat="1" applyFont="1" applyFill="1" applyBorder="1"/>
    <xf numFmtId="166" fontId="39" fillId="0" borderId="1" xfId="2" applyNumberFormat="1" applyFont="1" applyFill="1" applyBorder="1"/>
    <xf numFmtId="0" fontId="46" fillId="0" borderId="1" xfId="0" applyFont="1" applyBorder="1" applyAlignment="1">
      <alignment horizontal="left"/>
    </xf>
    <xf numFmtId="44" fontId="39" fillId="0" borderId="1" xfId="2" applyFont="1" applyBorder="1"/>
    <xf numFmtId="166" fontId="39" fillId="0" borderId="1" xfId="2" applyNumberFormat="1" applyFont="1" applyBorder="1"/>
    <xf numFmtId="169" fontId="39" fillId="0" borderId="1" xfId="1" applyNumberFormat="1" applyFont="1" applyBorder="1"/>
    <xf numFmtId="0" fontId="39" fillId="0" borderId="1" xfId="0" applyFont="1" applyBorder="1"/>
    <xf numFmtId="44" fontId="27" fillId="0" borderId="1" xfId="2" applyFont="1" applyFill="1" applyBorder="1" applyAlignment="1">
      <alignment horizontal="center" vertical="center" wrapText="1"/>
    </xf>
    <xf numFmtId="0" fontId="50" fillId="0" borderId="0" xfId="0" applyFont="1" applyBorder="1" applyAlignment="1">
      <alignment vertical="center"/>
    </xf>
    <xf numFmtId="0" fontId="27" fillId="0" borderId="0" xfId="0" applyFont="1" applyBorder="1" applyAlignment="1">
      <alignment vertical="center"/>
    </xf>
    <xf numFmtId="0" fontId="39" fillId="0" borderId="0" xfId="0" applyFont="1"/>
    <xf numFmtId="0" fontId="39" fillId="0" borderId="0" xfId="0" applyFont="1" applyFill="1"/>
    <xf numFmtId="0" fontId="40" fillId="0" borderId="15" xfId="0" applyFont="1" applyBorder="1" applyAlignment="1">
      <alignment vertical="center" wrapText="1"/>
    </xf>
    <xf numFmtId="0" fontId="40" fillId="0" borderId="14" xfId="0" applyFont="1" applyBorder="1" applyAlignment="1">
      <alignment vertical="center" wrapText="1"/>
    </xf>
    <xf numFmtId="170" fontId="39" fillId="0" borderId="0" xfId="0" applyNumberFormat="1" applyFont="1" applyFill="1"/>
    <xf numFmtId="170" fontId="39" fillId="0" borderId="0" xfId="0" applyNumberFormat="1" applyFont="1"/>
    <xf numFmtId="166" fontId="35" fillId="0" borderId="0" xfId="0" applyNumberFormat="1" applyFont="1" applyFill="1"/>
    <xf numFmtId="0" fontId="30" fillId="0" borderId="0" xfId="0" applyFont="1" applyFill="1"/>
    <xf numFmtId="166" fontId="35" fillId="0" borderId="0" xfId="0" applyNumberFormat="1" applyFont="1" applyFill="1" applyBorder="1"/>
    <xf numFmtId="166" fontId="35" fillId="2" borderId="1" xfId="3" applyNumberFormat="1" applyFont="1" applyFill="1" applyBorder="1"/>
    <xf numFmtId="166" fontId="47" fillId="2" borderId="1" xfId="0" applyNumberFormat="1" applyFont="1" applyFill="1" applyBorder="1"/>
    <xf numFmtId="166" fontId="35" fillId="2" borderId="13" xfId="0" applyNumberFormat="1" applyFont="1" applyFill="1" applyBorder="1"/>
    <xf numFmtId="0" fontId="35" fillId="2" borderId="4" xfId="0" applyFont="1" applyFill="1" applyBorder="1"/>
    <xf numFmtId="0" fontId="35" fillId="2" borderId="31" xfId="0" applyFont="1" applyFill="1" applyBorder="1"/>
    <xf numFmtId="0" fontId="47" fillId="2" borderId="16" xfId="0" applyFont="1" applyFill="1" applyBorder="1"/>
    <xf numFmtId="0" fontId="35" fillId="2" borderId="16" xfId="0" applyFont="1" applyFill="1" applyBorder="1"/>
    <xf numFmtId="166" fontId="35" fillId="2" borderId="31" xfId="2" applyNumberFormat="1" applyFont="1" applyFill="1" applyBorder="1" applyAlignment="1"/>
    <xf numFmtId="0" fontId="47" fillId="2" borderId="16" xfId="0" applyFont="1" applyFill="1" applyBorder="1" applyAlignment="1">
      <alignment wrapText="1"/>
    </xf>
    <xf numFmtId="166" fontId="35" fillId="2" borderId="31" xfId="0" applyNumberFormat="1" applyFont="1" applyFill="1" applyBorder="1"/>
    <xf numFmtId="0" fontId="35" fillId="2" borderId="16" xfId="0" applyFont="1" applyFill="1" applyBorder="1" applyAlignment="1">
      <alignment horizontal="left" wrapText="1"/>
    </xf>
    <xf numFmtId="166" fontId="35" fillId="2" borderId="31" xfId="2" applyNumberFormat="1" applyFont="1" applyFill="1" applyBorder="1"/>
    <xf numFmtId="0" fontId="35" fillId="2" borderId="16" xfId="0" applyFont="1" applyFill="1" applyBorder="1" applyAlignment="1">
      <alignment horizontal="left"/>
    </xf>
    <xf numFmtId="0" fontId="47" fillId="2" borderId="16" xfId="0" applyFont="1" applyFill="1" applyBorder="1" applyAlignment="1">
      <alignment horizontal="left"/>
    </xf>
    <xf numFmtId="168" fontId="35" fillId="2" borderId="31" xfId="3" applyNumberFormat="1" applyFont="1" applyFill="1" applyBorder="1"/>
    <xf numFmtId="9" fontId="35" fillId="2" borderId="31" xfId="3" applyFont="1" applyFill="1" applyBorder="1"/>
    <xf numFmtId="0" fontId="35" fillId="2" borderId="16" xfId="0" applyFont="1" applyFill="1" applyBorder="1" applyAlignment="1">
      <alignment wrapText="1"/>
    </xf>
    <xf numFmtId="5" fontId="35" fillId="2" borderId="31" xfId="2" applyNumberFormat="1" applyFont="1" applyFill="1" applyBorder="1"/>
    <xf numFmtId="169" fontId="35" fillId="2" borderId="44" xfId="1" applyNumberFormat="1" applyFont="1" applyFill="1" applyBorder="1"/>
    <xf numFmtId="0" fontId="47" fillId="2" borderId="45" xfId="0" applyFont="1" applyFill="1" applyBorder="1"/>
    <xf numFmtId="0" fontId="32" fillId="2" borderId="8" xfId="0" applyFont="1" applyFill="1" applyBorder="1"/>
    <xf numFmtId="0" fontId="51" fillId="2" borderId="46" xfId="0" applyFont="1" applyFill="1" applyBorder="1" applyAlignment="1">
      <alignment horizontal="left"/>
    </xf>
    <xf numFmtId="0" fontId="39" fillId="0" borderId="0" xfId="0" applyFont="1" applyAlignment="1">
      <alignment horizontal="left" vertical="top"/>
    </xf>
    <xf numFmtId="0" fontId="27" fillId="0" borderId="0"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32" fillId="0" borderId="0" xfId="0" applyFont="1"/>
    <xf numFmtId="0" fontId="0" fillId="0" borderId="0" xfId="0" applyFont="1"/>
    <xf numFmtId="0" fontId="39" fillId="0" borderId="0" xfId="0" applyFont="1" applyAlignment="1">
      <alignment horizontal="center"/>
    </xf>
    <xf numFmtId="0" fontId="39" fillId="0" borderId="0" xfId="0" applyFont="1" applyFill="1" applyAlignment="1">
      <alignment horizontal="center"/>
    </xf>
    <xf numFmtId="0" fontId="0" fillId="0" borderId="0" xfId="0" applyFont="1" applyFill="1"/>
    <xf numFmtId="166" fontId="39" fillId="0" borderId="0" xfId="0" applyNumberFormat="1" applyFont="1"/>
    <xf numFmtId="166" fontId="0" fillId="0" borderId="0" xfId="0" applyNumberFormat="1" applyFont="1" applyFill="1"/>
    <xf numFmtId="166" fontId="35" fillId="2" borderId="22" xfId="0" applyNumberFormat="1" applyFont="1" applyFill="1" applyBorder="1"/>
    <xf numFmtId="166" fontId="35" fillId="2" borderId="11" xfId="0" applyNumberFormat="1" applyFont="1" applyFill="1" applyBorder="1"/>
    <xf numFmtId="166" fontId="35" fillId="2" borderId="5" xfId="0" applyNumberFormat="1" applyFont="1" applyFill="1" applyBorder="1"/>
    <xf numFmtId="166" fontId="35" fillId="2" borderId="47" xfId="0" applyNumberFormat="1" applyFont="1" applyFill="1" applyBorder="1"/>
    <xf numFmtId="166" fontId="35" fillId="2" borderId="48" xfId="0" applyNumberFormat="1" applyFont="1" applyFill="1" applyBorder="1"/>
    <xf numFmtId="166" fontId="35" fillId="2" borderId="49" xfId="0" applyNumberFormat="1" applyFont="1" applyFill="1" applyBorder="1"/>
    <xf numFmtId="166" fontId="35" fillId="2" borderId="27" xfId="0" applyNumberFormat="1" applyFont="1" applyFill="1" applyBorder="1"/>
    <xf numFmtId="166" fontId="35" fillId="2" borderId="9" xfId="0" applyNumberFormat="1" applyFont="1" applyFill="1" applyBorder="1"/>
    <xf numFmtId="166" fontId="35" fillId="2" borderId="10" xfId="0" applyNumberFormat="1" applyFont="1" applyFill="1" applyBorder="1"/>
    <xf numFmtId="166" fontId="35" fillId="2" borderId="50" xfId="0" applyNumberFormat="1" applyFont="1" applyFill="1" applyBorder="1"/>
    <xf numFmtId="166" fontId="35" fillId="2" borderId="38" xfId="0" applyNumberFormat="1" applyFont="1" applyFill="1" applyBorder="1"/>
    <xf numFmtId="166" fontId="35" fillId="2" borderId="51" xfId="0" applyNumberFormat="1" applyFont="1" applyFill="1" applyBorder="1"/>
    <xf numFmtId="0" fontId="35" fillId="2" borderId="9" xfId="0" applyFont="1" applyFill="1" applyBorder="1" applyAlignment="1">
      <alignment horizontal="center"/>
    </xf>
    <xf numFmtId="0" fontId="39" fillId="0" borderId="0" xfId="0" applyFont="1" applyAlignment="1">
      <alignment vertical="center"/>
    </xf>
    <xf numFmtId="0" fontId="39" fillId="0" borderId="0" xfId="0" applyFont="1" applyFill="1" applyAlignment="1">
      <alignment vertical="center"/>
    </xf>
    <xf numFmtId="0" fontId="39" fillId="0" borderId="32" xfId="0" applyFont="1" applyBorder="1" applyAlignment="1">
      <alignment vertical="center"/>
    </xf>
    <xf numFmtId="0" fontId="39" fillId="0" borderId="31" xfId="0" applyFont="1" applyBorder="1" applyAlignment="1">
      <alignment vertical="center"/>
    </xf>
    <xf numFmtId="0" fontId="39" fillId="0" borderId="0" xfId="0" applyFont="1" applyBorder="1" applyAlignment="1">
      <alignment vertical="center"/>
    </xf>
    <xf numFmtId="0" fontId="39" fillId="0" borderId="16" xfId="0" applyFont="1" applyBorder="1" applyAlignment="1">
      <alignment vertical="center"/>
    </xf>
    <xf numFmtId="0" fontId="35" fillId="2" borderId="38" xfId="0" applyFont="1" applyFill="1" applyBorder="1" applyAlignment="1">
      <alignment horizontal="center" vertical="center" wrapText="1"/>
    </xf>
    <xf numFmtId="0" fontId="35" fillId="2" borderId="39" xfId="0" applyFont="1" applyFill="1" applyBorder="1" applyAlignment="1">
      <alignment horizontal="center" vertical="center" wrapText="1"/>
    </xf>
    <xf numFmtId="0" fontId="35" fillId="2" borderId="51" xfId="0" applyFont="1" applyFill="1" applyBorder="1" applyAlignment="1">
      <alignment horizontal="center" vertical="center"/>
    </xf>
    <xf numFmtId="0" fontId="27" fillId="0" borderId="9"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53" xfId="0" applyFont="1" applyBorder="1" applyAlignment="1">
      <alignment horizontal="center" vertical="center" wrapText="1"/>
    </xf>
    <xf numFmtId="0" fontId="34" fillId="0" borderId="0" xfId="0" applyFont="1" applyFill="1" applyBorder="1" applyAlignment="1">
      <alignment vertical="center"/>
    </xf>
    <xf numFmtId="0" fontId="27" fillId="0" borderId="0" xfId="0" applyFont="1" applyBorder="1" applyAlignment="1">
      <alignment horizontal="center" vertical="center"/>
    </xf>
    <xf numFmtId="0" fontId="38" fillId="0" borderId="0" xfId="0" applyFont="1" applyBorder="1" applyAlignment="1">
      <alignment vertical="center"/>
    </xf>
    <xf numFmtId="0" fontId="34" fillId="2" borderId="0" xfId="0" applyFont="1" applyFill="1" applyBorder="1" applyAlignment="1">
      <alignment vertical="center"/>
    </xf>
    <xf numFmtId="0" fontId="52" fillId="0" borderId="0" xfId="0" applyFont="1" applyFill="1" applyBorder="1" applyAlignment="1">
      <alignment vertical="center"/>
    </xf>
    <xf numFmtId="0" fontId="39" fillId="0" borderId="0" xfId="0" applyFont="1" applyAlignment="1"/>
    <xf numFmtId="0" fontId="0" fillId="0" borderId="0" xfId="0" applyFont="1" applyBorder="1"/>
    <xf numFmtId="10" fontId="39" fillId="0" borderId="0" xfId="3" applyNumberFormat="1" applyFont="1"/>
    <xf numFmtId="0" fontId="27" fillId="0" borderId="2" xfId="0" applyFont="1" applyBorder="1" applyAlignment="1">
      <alignment horizontal="center" vertical="center"/>
    </xf>
    <xf numFmtId="0" fontId="39" fillId="0" borderId="0" xfId="0" applyFont="1" applyAlignment="1">
      <alignment horizontal="left"/>
    </xf>
    <xf numFmtId="0" fontId="35" fillId="2" borderId="0" xfId="0" applyFont="1" applyFill="1" applyBorder="1" applyAlignment="1">
      <alignment horizontal="center" vertical="center"/>
    </xf>
    <xf numFmtId="0" fontId="0" fillId="0" borderId="0" xfId="0" applyFont="1" applyFill="1" applyBorder="1"/>
    <xf numFmtId="168" fontId="39" fillId="0" borderId="0" xfId="3" applyNumberFormat="1" applyFont="1"/>
    <xf numFmtId="0" fontId="35" fillId="0" borderId="0" xfId="0" applyFont="1" applyFill="1" applyBorder="1" applyAlignment="1">
      <alignment vertical="center"/>
    </xf>
    <xf numFmtId="0" fontId="35" fillId="2" borderId="0" xfId="0" applyFont="1" applyFill="1" applyBorder="1" applyAlignment="1">
      <alignment vertical="center"/>
    </xf>
    <xf numFmtId="171" fontId="39" fillId="0" borderId="0" xfId="1" applyNumberFormat="1" applyFont="1"/>
    <xf numFmtId="166" fontId="35" fillId="2" borderId="54" xfId="0" applyNumberFormat="1" applyFont="1" applyFill="1" applyBorder="1"/>
    <xf numFmtId="166" fontId="35" fillId="2" borderId="55" xfId="0" applyNumberFormat="1" applyFont="1" applyFill="1" applyBorder="1"/>
    <xf numFmtId="0" fontId="39" fillId="0" borderId="2" xfId="0" applyFont="1" applyBorder="1" applyAlignment="1">
      <alignment horizontal="center"/>
    </xf>
    <xf numFmtId="166" fontId="35" fillId="2" borderId="15" xfId="0" applyNumberFormat="1" applyFont="1" applyFill="1" applyBorder="1"/>
    <xf numFmtId="166" fontId="35" fillId="2" borderId="2" xfId="0" applyNumberFormat="1" applyFont="1" applyFill="1" applyBorder="1"/>
    <xf numFmtId="0" fontId="35" fillId="2" borderId="2" xfId="0" applyFont="1" applyFill="1" applyBorder="1" applyAlignment="1">
      <alignment horizontal="center"/>
    </xf>
    <xf numFmtId="0" fontId="35" fillId="0" borderId="0" xfId="0" applyFont="1"/>
    <xf numFmtId="0" fontId="27" fillId="0" borderId="9" xfId="0" applyFont="1" applyFill="1" applyBorder="1" applyAlignment="1">
      <alignment horizontal="center" wrapText="1"/>
    </xf>
    <xf numFmtId="0" fontId="35" fillId="2" borderId="1" xfId="0" applyFont="1" applyFill="1" applyBorder="1" applyAlignment="1">
      <alignment horizontal="center" wrapText="1"/>
    </xf>
    <xf numFmtId="0" fontId="35" fillId="2" borderId="38" xfId="0" applyFont="1" applyFill="1" applyBorder="1" applyAlignment="1">
      <alignment horizontal="center" wrapText="1"/>
    </xf>
    <xf numFmtId="0" fontId="35" fillId="2" borderId="39" xfId="0" applyFont="1" applyFill="1" applyBorder="1" applyAlignment="1">
      <alignment horizontal="center" wrapText="1"/>
    </xf>
    <xf numFmtId="0" fontId="0" fillId="0" borderId="0" xfId="0" applyFont="1" applyAlignment="1">
      <alignment horizontal="left"/>
    </xf>
    <xf numFmtId="2" fontId="34" fillId="0" borderId="0" xfId="0" applyNumberFormat="1" applyFont="1" applyFill="1" applyBorder="1" applyAlignment="1">
      <alignment horizontal="center"/>
    </xf>
    <xf numFmtId="2" fontId="34" fillId="2" borderId="0" xfId="0" applyNumberFormat="1" applyFont="1" applyFill="1" applyBorder="1" applyAlignment="1">
      <alignment horizontal="center"/>
    </xf>
    <xf numFmtId="0" fontId="39" fillId="0" borderId="0" xfId="0" applyFont="1" applyBorder="1" applyAlignment="1">
      <alignment horizontal="center" vertical="center"/>
    </xf>
    <xf numFmtId="0" fontId="39" fillId="0" borderId="3" xfId="0" applyFont="1" applyBorder="1" applyAlignment="1">
      <alignment horizontal="center" vertical="center"/>
    </xf>
    <xf numFmtId="0" fontId="39" fillId="0" borderId="7" xfId="0" applyFont="1" applyBorder="1" applyAlignment="1">
      <alignment horizontal="center" vertical="center"/>
    </xf>
    <xf numFmtId="0" fontId="39" fillId="0" borderId="0" xfId="0" applyFont="1" applyBorder="1" applyAlignment="1">
      <alignment horizontal="left" vertical="center" wrapText="1"/>
    </xf>
    <xf numFmtId="0" fontId="47" fillId="2" borderId="24" xfId="0" applyFont="1" applyFill="1" applyBorder="1" applyAlignment="1">
      <alignment horizontal="left" vertical="top" wrapText="1"/>
    </xf>
    <xf numFmtId="0" fontId="30" fillId="0" borderId="9"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34" fillId="0" borderId="56" xfId="0" applyFont="1" applyFill="1" applyBorder="1" applyAlignment="1">
      <alignment horizontal="left" vertical="top" wrapText="1"/>
    </xf>
    <xf numFmtId="0" fontId="34" fillId="0" borderId="0" xfId="0" applyFont="1" applyFill="1" applyBorder="1" applyAlignment="1">
      <alignment horizontal="left" vertical="top" wrapText="1"/>
    </xf>
    <xf numFmtId="0" fontId="32" fillId="0" borderId="1" xfId="0" applyFont="1" applyBorder="1" applyAlignment="1">
      <alignment horizontal="center" vertical="center" wrapText="1"/>
    </xf>
    <xf numFmtId="0" fontId="38" fillId="0" borderId="0" xfId="0" applyFont="1" applyBorder="1" applyAlignment="1">
      <alignment vertical="center" wrapText="1"/>
    </xf>
    <xf numFmtId="0" fontId="38" fillId="0" borderId="5" xfId="0" applyFont="1" applyBorder="1" applyAlignment="1">
      <alignment horizontal="center" vertical="center" wrapText="1"/>
    </xf>
    <xf numFmtId="0" fontId="35" fillId="2" borderId="11" xfId="0" applyFont="1" applyFill="1" applyBorder="1" applyAlignment="1">
      <alignment horizontal="center" vertical="top" wrapText="1"/>
    </xf>
    <xf numFmtId="0" fontId="38" fillId="0" borderId="11" xfId="0" applyFont="1" applyFill="1" applyBorder="1" applyAlignment="1">
      <alignment horizontal="left" vertical="center" wrapText="1"/>
    </xf>
    <xf numFmtId="0" fontId="38" fillId="0" borderId="10" xfId="0" applyFont="1" applyBorder="1" applyAlignment="1">
      <alignment horizontal="left" vertical="center" wrapText="1"/>
    </xf>
    <xf numFmtId="0" fontId="38" fillId="0" borderId="10"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27" fillId="0" borderId="0" xfId="0" applyFont="1" applyBorder="1" applyAlignment="1">
      <alignment horizontal="left" vertical="top"/>
    </xf>
    <xf numFmtId="0" fontId="35" fillId="2" borderId="0" xfId="0" applyFont="1" applyFill="1" applyBorder="1"/>
    <xf numFmtId="6" fontId="35" fillId="2" borderId="10" xfId="0" applyNumberFormat="1" applyFont="1" applyFill="1" applyBorder="1" applyAlignment="1">
      <alignment horizontal="center" vertical="top" wrapText="1"/>
    </xf>
    <xf numFmtId="6" fontId="35" fillId="2" borderId="1" xfId="0" applyNumberFormat="1" applyFont="1" applyFill="1" applyBorder="1" applyAlignment="1">
      <alignment horizontal="center" vertical="top" wrapText="1"/>
    </xf>
    <xf numFmtId="43" fontId="35" fillId="2" borderId="9" xfId="1" applyFont="1" applyFill="1" applyBorder="1" applyAlignment="1">
      <alignment horizontal="center" vertical="top" wrapText="1"/>
    </xf>
    <xf numFmtId="6" fontId="35" fillId="2" borderId="11" xfId="0" applyNumberFormat="1" applyFont="1" applyFill="1" applyBorder="1" applyAlignment="1">
      <alignment horizontal="center" vertical="top" wrapText="1"/>
    </xf>
    <xf numFmtId="6" fontId="35" fillId="2" borderId="23" xfId="0" applyNumberFormat="1" applyFont="1" applyFill="1" applyBorder="1" applyAlignment="1">
      <alignment horizontal="center" vertical="top" wrapText="1"/>
    </xf>
    <xf numFmtId="43" fontId="35" fillId="2" borderId="22" xfId="1" applyFont="1" applyFill="1" applyBorder="1" applyAlignment="1">
      <alignment horizontal="center" vertical="top" wrapText="1"/>
    </xf>
    <xf numFmtId="0" fontId="35" fillId="2" borderId="1" xfId="0" applyFont="1" applyFill="1" applyBorder="1" applyAlignment="1">
      <alignment vertical="center" wrapText="1"/>
    </xf>
    <xf numFmtId="0" fontId="35" fillId="2" borderId="1" xfId="0" applyFont="1" applyFill="1" applyBorder="1" applyAlignment="1">
      <alignment horizontal="center"/>
    </xf>
    <xf numFmtId="0" fontId="34" fillId="2" borderId="1" xfId="0" applyFont="1" applyFill="1" applyBorder="1" applyAlignment="1">
      <alignment horizontal="left" vertical="top" wrapText="1"/>
    </xf>
    <xf numFmtId="0" fontId="27" fillId="0" borderId="7" xfId="0" applyFont="1" applyFill="1" applyBorder="1" applyAlignment="1">
      <alignment horizontal="left" vertical="top" wrapText="1"/>
    </xf>
    <xf numFmtId="0" fontId="34" fillId="2" borderId="1" xfId="0" applyFont="1" applyFill="1" applyBorder="1" applyAlignment="1">
      <alignment vertical="center"/>
    </xf>
    <xf numFmtId="0" fontId="34" fillId="2" borderId="1" xfId="0" applyFont="1" applyFill="1" applyBorder="1" applyAlignment="1">
      <alignment horizontal="center" vertical="center" wrapText="1"/>
    </xf>
    <xf numFmtId="0" fontId="47" fillId="2" borderId="13" xfId="0" applyFont="1" applyFill="1" applyBorder="1" applyAlignment="1">
      <alignment horizontal="center" vertical="center" wrapText="1"/>
    </xf>
    <xf numFmtId="0" fontId="35" fillId="2" borderId="10" xfId="0" applyFont="1" applyFill="1" applyBorder="1" applyAlignment="1">
      <alignment vertical="top" wrapText="1"/>
    </xf>
    <xf numFmtId="0" fontId="35" fillId="2" borderId="2" xfId="0" applyFont="1" applyFill="1" applyBorder="1" applyAlignment="1">
      <alignment horizontal="left"/>
    </xf>
    <xf numFmtId="0" fontId="35" fillId="2" borderId="14" xfId="0" applyFont="1" applyFill="1" applyBorder="1" applyAlignment="1">
      <alignment horizontal="left"/>
    </xf>
    <xf numFmtId="0" fontId="35" fillId="2" borderId="15" xfId="0" applyFont="1" applyFill="1" applyBorder="1" applyAlignment="1">
      <alignment horizontal="center" wrapText="1"/>
    </xf>
    <xf numFmtId="0" fontId="35" fillId="2" borderId="11" xfId="0" quotePrefix="1" applyFont="1" applyFill="1" applyBorder="1" applyAlignment="1">
      <alignment vertical="top" wrapText="1"/>
    </xf>
    <xf numFmtId="0" fontId="35" fillId="2" borderId="23" xfId="0" applyFont="1" applyFill="1" applyBorder="1" applyAlignment="1">
      <alignment horizontal="center"/>
    </xf>
    <xf numFmtId="0" fontId="35" fillId="2" borderId="33" xfId="0" applyFont="1" applyFill="1" applyBorder="1" applyAlignment="1"/>
    <xf numFmtId="0" fontId="35" fillId="2" borderId="57" xfId="0" applyFont="1" applyFill="1" applyBorder="1" applyAlignment="1"/>
    <xf numFmtId="0" fontId="35" fillId="2" borderId="55" xfId="0" applyFont="1" applyFill="1" applyBorder="1" applyAlignment="1"/>
    <xf numFmtId="0" fontId="47" fillId="2" borderId="9" xfId="0" applyFont="1" applyFill="1" applyBorder="1" applyAlignment="1">
      <alignment horizontal="center" vertical="center" wrapText="1"/>
    </xf>
    <xf numFmtId="0" fontId="47" fillId="2" borderId="10" xfId="0" applyFont="1" applyFill="1" applyBorder="1" applyAlignment="1">
      <alignment horizontal="center" vertical="center" wrapText="1"/>
    </xf>
    <xf numFmtId="164" fontId="47" fillId="2" borderId="22" xfId="0" applyNumberFormat="1" applyFont="1" applyFill="1" applyBorder="1" applyAlignment="1">
      <alignment horizontal="center" vertical="center" wrapText="1"/>
    </xf>
    <xf numFmtId="164" fontId="47" fillId="2" borderId="58" xfId="0" applyNumberFormat="1" applyFont="1" applyFill="1" applyBorder="1" applyAlignment="1">
      <alignment horizontal="center" vertical="center" wrapText="1"/>
    </xf>
    <xf numFmtId="164" fontId="47" fillId="2" borderId="33" xfId="0" applyNumberFormat="1" applyFont="1" applyFill="1" applyBorder="1" applyAlignment="1">
      <alignment horizontal="center" vertical="center" wrapText="1"/>
    </xf>
    <xf numFmtId="0" fontId="34" fillId="2" borderId="1" xfId="0" quotePrefix="1" applyFont="1" applyFill="1" applyBorder="1" applyAlignment="1">
      <alignment horizontal="center" vertical="center"/>
    </xf>
    <xf numFmtId="0" fontId="34" fillId="2" borderId="1" xfId="0" applyFont="1" applyFill="1" applyBorder="1" applyAlignment="1">
      <alignment vertical="top" wrapText="1"/>
    </xf>
    <xf numFmtId="0" fontId="34" fillId="2" borderId="1" xfId="0" applyFont="1" applyFill="1" applyBorder="1" applyAlignment="1">
      <alignment horizontal="left" vertical="center" wrapText="1"/>
    </xf>
    <xf numFmtId="0" fontId="35" fillId="2" borderId="9" xfId="0" applyFont="1" applyFill="1" applyBorder="1" applyAlignment="1">
      <alignment horizontal="center" vertical="center" wrapText="1"/>
    </xf>
    <xf numFmtId="0" fontId="35" fillId="2" borderId="9" xfId="0" quotePrefix="1" applyFont="1" applyFill="1" applyBorder="1" applyAlignment="1">
      <alignment horizontal="center" vertical="center" wrapText="1"/>
    </xf>
    <xf numFmtId="0" fontId="35" fillId="2" borderId="1" xfId="0" quotePrefix="1" applyFont="1" applyFill="1" applyBorder="1" applyAlignment="1">
      <alignment horizontal="center" vertical="center" wrapText="1"/>
    </xf>
    <xf numFmtId="164" fontId="47" fillId="2" borderId="10" xfId="0" applyNumberFormat="1" applyFont="1" applyFill="1" applyBorder="1" applyAlignment="1">
      <alignment horizontal="center" vertical="center" wrapText="1"/>
    </xf>
    <xf numFmtId="164" fontId="47" fillId="2" borderId="1" xfId="0" applyNumberFormat="1" applyFont="1" applyFill="1" applyBorder="1" applyAlignment="1">
      <alignment horizontal="center" vertical="center" wrapText="1"/>
    </xf>
    <xf numFmtId="164" fontId="47" fillId="2" borderId="9" xfId="0" applyNumberFormat="1" applyFont="1" applyFill="1" applyBorder="1" applyAlignment="1">
      <alignment horizontal="center" vertical="center" wrapText="1"/>
    </xf>
    <xf numFmtId="0" fontId="35" fillId="2" borderId="10" xfId="0" quotePrefix="1" applyFont="1" applyFill="1" applyBorder="1" applyAlignment="1">
      <alignment horizontal="center" vertical="center" wrapText="1"/>
    </xf>
    <xf numFmtId="0" fontId="35" fillId="2" borderId="11" xfId="0" applyFont="1" applyFill="1" applyBorder="1" applyAlignment="1">
      <alignment vertical="top" wrapText="1"/>
    </xf>
    <xf numFmtId="0" fontId="35" fillId="2" borderId="22" xfId="0" applyFont="1" applyFill="1" applyBorder="1" applyAlignment="1">
      <alignment vertical="top" wrapText="1"/>
    </xf>
    <xf numFmtId="0" fontId="35" fillId="2" borderId="23" xfId="0" quotePrefix="1" applyFont="1" applyFill="1" applyBorder="1" applyAlignment="1">
      <alignment vertical="top" wrapText="1"/>
    </xf>
    <xf numFmtId="0" fontId="35" fillId="2" borderId="22" xfId="0" quotePrefix="1" applyFont="1" applyFill="1" applyBorder="1" applyAlignment="1">
      <alignment vertical="top" wrapText="1"/>
    </xf>
    <xf numFmtId="169" fontId="35" fillId="2" borderId="1" xfId="1" applyNumberFormat="1" applyFont="1" applyFill="1" applyBorder="1"/>
    <xf numFmtId="0" fontId="47" fillId="2" borderId="9" xfId="0" applyFont="1" applyFill="1" applyBorder="1" applyAlignment="1">
      <alignment horizontal="center" vertical="center" wrapText="1"/>
    </xf>
    <xf numFmtId="0" fontId="38" fillId="0" borderId="10" xfId="0" applyFont="1" applyFill="1" applyBorder="1" applyAlignment="1">
      <alignment horizontal="left" vertical="center" wrapText="1"/>
    </xf>
    <xf numFmtId="0" fontId="38" fillId="0" borderId="10" xfId="0" applyFont="1" applyBorder="1" applyAlignment="1">
      <alignment horizontal="left" vertical="center" wrapText="1"/>
    </xf>
    <xf numFmtId="0" fontId="27" fillId="0" borderId="1" xfId="0" applyFont="1" applyFill="1" applyBorder="1" applyAlignment="1">
      <alignment horizontal="center" vertical="center" wrapText="1"/>
    </xf>
    <xf numFmtId="0" fontId="32" fillId="0" borderId="10" xfId="0" applyFont="1" applyBorder="1" applyAlignment="1">
      <alignment wrapText="1"/>
    </xf>
    <xf numFmtId="0" fontId="27" fillId="0" borderId="56" xfId="0" applyFont="1" applyFill="1" applyBorder="1" applyAlignment="1">
      <alignment horizontal="center"/>
    </xf>
    <xf numFmtId="0" fontId="30" fillId="0" borderId="9" xfId="0" applyFont="1" applyFill="1" applyBorder="1" applyAlignment="1">
      <alignment vertical="top" wrapText="1"/>
    </xf>
    <xf numFmtId="0" fontId="30" fillId="0" borderId="29" xfId="0" quotePrefix="1" applyFont="1" applyFill="1" applyBorder="1" applyAlignment="1">
      <alignment vertical="center" wrapText="1"/>
    </xf>
    <xf numFmtId="0" fontId="30" fillId="0" borderId="9" xfId="0" applyFont="1" applyFill="1" applyBorder="1" applyAlignment="1">
      <alignment horizontal="left" vertical="top" wrapText="1"/>
    </xf>
    <xf numFmtId="0" fontId="35" fillId="2" borderId="9" xfId="0" applyFont="1" applyFill="1" applyBorder="1" applyAlignment="1">
      <alignment vertical="center" wrapText="1"/>
    </xf>
    <xf numFmtId="0" fontId="30" fillId="0" borderId="22" xfId="0" applyFont="1" applyFill="1" applyBorder="1" applyAlignment="1">
      <alignment vertical="top" wrapText="1"/>
    </xf>
    <xf numFmtId="0" fontId="38" fillId="0" borderId="20" xfId="0" applyFont="1" applyBorder="1" applyAlignment="1">
      <alignment horizontal="left" vertical="center"/>
    </xf>
    <xf numFmtId="0" fontId="47" fillId="2" borderId="10" xfId="0" applyFont="1" applyFill="1" applyBorder="1" applyAlignment="1">
      <alignment horizontal="center" vertical="center" wrapText="1"/>
    </xf>
    <xf numFmtId="0" fontId="47" fillId="2" borderId="9"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38" fillId="0" borderId="10" xfId="0" applyFont="1" applyFill="1" applyBorder="1" applyAlignment="1">
      <alignment horizontal="left" vertical="center" wrapText="1"/>
    </xf>
    <xf numFmtId="0" fontId="35" fillId="2" borderId="1" xfId="0" applyFont="1" applyFill="1" applyBorder="1" applyAlignment="1">
      <alignment horizontal="center"/>
    </xf>
    <xf numFmtId="0" fontId="35" fillId="2" borderId="1" xfId="0" applyFont="1" applyFill="1" applyBorder="1" applyAlignment="1">
      <alignment vertical="center" wrapText="1"/>
    </xf>
    <xf numFmtId="0" fontId="38" fillId="0" borderId="0" xfId="0" applyFont="1" applyBorder="1" applyAlignment="1">
      <alignment horizontal="left" vertical="center"/>
    </xf>
    <xf numFmtId="0" fontId="9" fillId="2" borderId="27" xfId="0" applyFont="1" applyFill="1" applyBorder="1" applyAlignment="1">
      <alignment horizontal="left" vertical="top" wrapText="1"/>
    </xf>
    <xf numFmtId="0" fontId="34" fillId="0" borderId="1" xfId="0" applyFont="1" applyBorder="1" applyAlignment="1">
      <alignment vertical="center" wrapText="1"/>
    </xf>
    <xf numFmtId="0" fontId="27" fillId="0" borderId="1" xfId="0" applyFont="1" applyBorder="1" applyAlignment="1">
      <alignment horizontal="center" vertical="center"/>
    </xf>
    <xf numFmtId="0" fontId="27" fillId="0" borderId="9" xfId="0" applyFont="1" applyBorder="1" applyAlignment="1">
      <alignment horizontal="center" vertical="center"/>
    </xf>
    <xf numFmtId="0" fontId="47" fillId="2" borderId="5" xfId="0" applyFont="1" applyFill="1" applyBorder="1" applyAlignment="1">
      <alignment horizontal="center" vertical="center" wrapText="1"/>
    </xf>
    <xf numFmtId="0" fontId="27" fillId="0" borderId="57" xfId="0" applyFont="1" applyBorder="1" applyAlignment="1">
      <alignment vertical="center" wrapText="1"/>
    </xf>
    <xf numFmtId="0" fontId="38" fillId="0" borderId="21" xfId="0" applyFont="1" applyBorder="1" applyAlignment="1">
      <alignment horizontal="left" vertical="center"/>
    </xf>
    <xf numFmtId="0" fontId="38" fillId="0" borderId="19" xfId="0" applyFont="1" applyBorder="1" applyAlignment="1">
      <alignment horizontal="left" vertical="center"/>
    </xf>
    <xf numFmtId="169" fontId="53" fillId="2" borderId="1" xfId="1" applyNumberFormat="1" applyFont="1" applyFill="1" applyBorder="1"/>
    <xf numFmtId="170" fontId="35" fillId="2" borderId="1" xfId="2" applyNumberFormat="1" applyFont="1" applyFill="1" applyBorder="1"/>
    <xf numFmtId="170" fontId="39" fillId="0" borderId="1" xfId="2" applyNumberFormat="1" applyFont="1" applyBorder="1"/>
    <xf numFmtId="170" fontId="39" fillId="2" borderId="1" xfId="2" applyNumberFormat="1" applyFont="1" applyFill="1" applyBorder="1"/>
    <xf numFmtId="170" fontId="53" fillId="2" borderId="1" xfId="2" applyNumberFormat="1" applyFont="1" applyFill="1" applyBorder="1"/>
    <xf numFmtId="170" fontId="39" fillId="0" borderId="1" xfId="2" applyNumberFormat="1" applyFont="1" applyFill="1" applyBorder="1"/>
    <xf numFmtId="166" fontId="9" fillId="2" borderId="1" xfId="3" applyNumberFormat="1" applyFont="1" applyFill="1" applyBorder="1"/>
    <xf numFmtId="0" fontId="39" fillId="0" borderId="59" xfId="0" applyFont="1" applyBorder="1"/>
    <xf numFmtId="2" fontId="52" fillId="2" borderId="8" xfId="0" applyNumberFormat="1" applyFont="1" applyFill="1" applyBorder="1"/>
    <xf numFmtId="0" fontId="39" fillId="0" borderId="14" xfId="0" applyFont="1" applyBorder="1"/>
    <xf numFmtId="168" fontId="52" fillId="2" borderId="15" xfId="0" applyNumberFormat="1" applyFont="1" applyFill="1" applyBorder="1"/>
    <xf numFmtId="0" fontId="39" fillId="0" borderId="57" xfId="0" applyFont="1" applyBorder="1"/>
    <xf numFmtId="166" fontId="52" fillId="2" borderId="55" xfId="0" applyNumberFormat="1" applyFont="1" applyFill="1" applyBorder="1"/>
    <xf numFmtId="166" fontId="47" fillId="2" borderId="60" xfId="0" applyNumberFormat="1" applyFont="1" applyFill="1" applyBorder="1"/>
    <xf numFmtId="0" fontId="39" fillId="0" borderId="0" xfId="0" applyFont="1" applyFill="1" applyBorder="1" applyAlignment="1">
      <alignment horizontal="center"/>
    </xf>
    <xf numFmtId="0" fontId="30" fillId="0" borderId="0" xfId="0" applyFont="1" applyFill="1" applyBorder="1" applyAlignment="1">
      <alignment vertical="center" wrapText="1"/>
    </xf>
    <xf numFmtId="0" fontId="26" fillId="2" borderId="10" xfId="0" applyFont="1" applyFill="1" applyBorder="1" applyAlignment="1">
      <alignment horizontal="center" vertical="center" wrapText="1"/>
    </xf>
    <xf numFmtId="0" fontId="26" fillId="2" borderId="1" xfId="0" applyFont="1" applyFill="1" applyBorder="1" applyAlignment="1">
      <alignment horizontal="center" vertical="center" wrapText="1"/>
    </xf>
    <xf numFmtId="2" fontId="47" fillId="2" borderId="8" xfId="0" applyNumberFormat="1" applyFont="1" applyFill="1" applyBorder="1"/>
    <xf numFmtId="168" fontId="47" fillId="2" borderId="15" xfId="0" applyNumberFormat="1" applyFont="1" applyFill="1" applyBorder="1"/>
    <xf numFmtId="166" fontId="47" fillId="2" borderId="55" xfId="0" applyNumberFormat="1" applyFont="1" applyFill="1" applyBorder="1"/>
    <xf numFmtId="0" fontId="27" fillId="0" borderId="46" xfId="0" applyFont="1" applyBorder="1" applyAlignment="1">
      <alignment horizontal="left"/>
    </xf>
    <xf numFmtId="0" fontId="27" fillId="0" borderId="59" xfId="0" applyFont="1" applyBorder="1" applyAlignment="1">
      <alignment horizontal="left"/>
    </xf>
    <xf numFmtId="0" fontId="27" fillId="0" borderId="26" xfId="0" applyFont="1" applyBorder="1" applyAlignment="1">
      <alignment horizontal="left"/>
    </xf>
    <xf numFmtId="0" fontId="27" fillId="0" borderId="14" xfId="0" applyFont="1" applyBorder="1" applyAlignment="1">
      <alignment horizontal="left"/>
    </xf>
    <xf numFmtId="0" fontId="27" fillId="0" borderId="58" xfId="0" applyFont="1" applyBorder="1" applyAlignment="1">
      <alignment horizontal="left"/>
    </xf>
    <xf numFmtId="0" fontId="27" fillId="0" borderId="57" xfId="0" applyFont="1" applyBorder="1" applyAlignment="1">
      <alignment horizontal="left"/>
    </xf>
    <xf numFmtId="0" fontId="38" fillId="0" borderId="6" xfId="0" applyFont="1" applyBorder="1" applyAlignment="1">
      <alignment horizontal="left"/>
    </xf>
    <xf numFmtId="0" fontId="0" fillId="0" borderId="7" xfId="0" applyFont="1" applyBorder="1" applyAlignment="1">
      <alignment horizontal="left"/>
    </xf>
    <xf numFmtId="0" fontId="27" fillId="0" borderId="46" xfId="0" applyFont="1" applyBorder="1"/>
    <xf numFmtId="0" fontId="27" fillId="0" borderId="26" xfId="0" applyFont="1" applyBorder="1"/>
    <xf numFmtId="0" fontId="39" fillId="0" borderId="8" xfId="0" applyFont="1" applyBorder="1"/>
    <xf numFmtId="0" fontId="39" fillId="0" borderId="14" xfId="0" applyFont="1" applyBorder="1" applyAlignment="1"/>
    <xf numFmtId="0" fontId="39" fillId="0" borderId="15" xfId="0" applyFont="1" applyBorder="1" applyAlignment="1"/>
    <xf numFmtId="0" fontId="39" fillId="0" borderId="57" xfId="0" applyFont="1" applyFill="1" applyBorder="1" applyAlignment="1"/>
    <xf numFmtId="0" fontId="39" fillId="0" borderId="55" xfId="0" applyFont="1" applyFill="1" applyBorder="1" applyAlignment="1"/>
    <xf numFmtId="0" fontId="39" fillId="0" borderId="59" xfId="0" applyFont="1" applyBorder="1" applyAlignment="1"/>
    <xf numFmtId="0" fontId="39" fillId="0" borderId="8" xfId="0" applyFont="1" applyBorder="1" applyAlignment="1"/>
    <xf numFmtId="0" fontId="37" fillId="0" borderId="61" xfId="0" applyFont="1" applyBorder="1"/>
    <xf numFmtId="0" fontId="0" fillId="0" borderId="62" xfId="0" applyBorder="1"/>
    <xf numFmtId="0" fontId="39" fillId="0" borderId="62" xfId="0" applyFont="1" applyBorder="1"/>
    <xf numFmtId="0" fontId="39" fillId="0" borderId="63" xfId="0" applyFont="1" applyBorder="1"/>
    <xf numFmtId="170" fontId="35" fillId="2" borderId="1" xfId="0" applyNumberFormat="1" applyFont="1" applyFill="1" applyBorder="1"/>
    <xf numFmtId="170" fontId="35" fillId="2" borderId="2" xfId="0" applyNumberFormat="1" applyFont="1" applyFill="1" applyBorder="1"/>
    <xf numFmtId="166" fontId="35" fillId="2" borderId="42" xfId="0" applyNumberFormat="1" applyFont="1" applyFill="1" applyBorder="1"/>
    <xf numFmtId="0" fontId="9" fillId="2" borderId="24" xfId="0" applyFont="1" applyFill="1" applyBorder="1" applyAlignment="1">
      <alignment horizontal="left" vertical="top" wrapText="1"/>
    </xf>
    <xf numFmtId="0" fontId="27" fillId="0" borderId="0" xfId="0" applyFont="1" applyBorder="1" applyAlignment="1">
      <alignment horizontal="left"/>
    </xf>
    <xf numFmtId="0" fontId="32" fillId="2" borderId="0" xfId="0" applyFont="1" applyFill="1" applyAlignment="1">
      <alignment vertical="top" wrapText="1"/>
    </xf>
    <xf numFmtId="0" fontId="38" fillId="0" borderId="20" xfId="0" applyFont="1" applyBorder="1" applyAlignment="1">
      <alignment vertical="center" wrapText="1"/>
    </xf>
    <xf numFmtId="166" fontId="35" fillId="2" borderId="24" xfId="0" applyNumberFormat="1" applyFont="1" applyFill="1" applyBorder="1"/>
    <xf numFmtId="0" fontId="33" fillId="4" borderId="1" xfId="0" applyFont="1" applyFill="1" applyBorder="1" applyAlignment="1">
      <alignment vertical="center" wrapText="1"/>
    </xf>
    <xf numFmtId="0" fontId="27" fillId="4" borderId="1" xfId="0" applyFont="1" applyFill="1" applyBorder="1" applyAlignment="1">
      <alignment vertical="center" wrapText="1"/>
    </xf>
    <xf numFmtId="0" fontId="54" fillId="0" borderId="14" xfId="0" applyFont="1" applyBorder="1" applyAlignment="1">
      <alignment horizontal="left" vertical="center"/>
    </xf>
    <xf numFmtId="0" fontId="54" fillId="0" borderId="0" xfId="0" applyFont="1" applyBorder="1" applyAlignment="1">
      <alignment horizontal="left" vertical="center"/>
    </xf>
    <xf numFmtId="0" fontId="54" fillId="0" borderId="31" xfId="0" applyFont="1" applyBorder="1" applyAlignment="1">
      <alignment horizontal="left" vertical="center"/>
    </xf>
    <xf numFmtId="0" fontId="29" fillId="0" borderId="0" xfId="0" applyFont="1" applyBorder="1" applyAlignment="1">
      <alignment vertical="center" wrapText="1"/>
    </xf>
    <xf numFmtId="0" fontId="0" fillId="2" borderId="1" xfId="0" applyFill="1" applyBorder="1" applyAlignment="1">
      <alignment horizontal="left" vertical="top" wrapText="1"/>
    </xf>
    <xf numFmtId="0" fontId="55" fillId="2" borderId="2" xfId="0" applyFont="1" applyFill="1" applyBorder="1" applyAlignment="1">
      <alignment horizontal="left" vertical="top" wrapText="1"/>
    </xf>
    <xf numFmtId="0" fontId="0" fillId="2" borderId="14" xfId="0" applyFill="1" applyBorder="1" applyAlignment="1">
      <alignment horizontal="left" vertical="top" wrapText="1"/>
    </xf>
    <xf numFmtId="0" fontId="0" fillId="2" borderId="54" xfId="0" applyFill="1" applyBorder="1" applyAlignment="1">
      <alignment horizontal="left" vertical="top" wrapText="1"/>
    </xf>
    <xf numFmtId="0" fontId="38" fillId="0" borderId="2" xfId="0" applyFont="1" applyFill="1" applyBorder="1" applyAlignment="1">
      <alignment horizontal="left" vertical="center" wrapText="1"/>
    </xf>
    <xf numFmtId="0" fontId="38" fillId="0" borderId="14" xfId="0" applyFont="1" applyFill="1" applyBorder="1" applyAlignment="1">
      <alignment horizontal="left" vertical="center" wrapText="1"/>
    </xf>
    <xf numFmtId="0" fontId="38" fillId="0" borderId="20" xfId="0" applyFont="1" applyBorder="1" applyAlignment="1">
      <alignment horizontal="left" vertical="center" wrapText="1"/>
    </xf>
    <xf numFmtId="0" fontId="40" fillId="0" borderId="2" xfId="0" applyFont="1" applyBorder="1" applyAlignment="1">
      <alignment horizontal="left" vertical="center"/>
    </xf>
    <xf numFmtId="0" fontId="40" fillId="0" borderId="14" xfId="0" applyFont="1" applyBorder="1" applyAlignment="1">
      <alignment horizontal="left" vertical="center"/>
    </xf>
    <xf numFmtId="0" fontId="40" fillId="0" borderId="15" xfId="0" applyFont="1" applyBorder="1" applyAlignment="1">
      <alignment horizontal="left" vertical="center"/>
    </xf>
    <xf numFmtId="0" fontId="40" fillId="0" borderId="1" xfId="0" applyFont="1" applyBorder="1" applyAlignment="1">
      <alignment horizontal="left" vertical="center"/>
    </xf>
    <xf numFmtId="0" fontId="40" fillId="0" borderId="9" xfId="0" applyFont="1" applyBorder="1" applyAlignment="1">
      <alignment horizontal="left" vertical="center"/>
    </xf>
    <xf numFmtId="0" fontId="38" fillId="0" borderId="0" xfId="0" applyFont="1" applyBorder="1" applyAlignment="1">
      <alignment horizontal="left" vertical="center"/>
    </xf>
    <xf numFmtId="0" fontId="38" fillId="0" borderId="20" xfId="0" applyFont="1" applyBorder="1" applyAlignment="1">
      <alignment horizontal="left" vertical="center"/>
    </xf>
    <xf numFmtId="0" fontId="30" fillId="4" borderId="2"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54" xfId="0" applyFont="1" applyFill="1" applyBorder="1" applyAlignment="1">
      <alignment horizontal="center" vertical="center" wrapText="1"/>
    </xf>
    <xf numFmtId="0" fontId="5" fillId="0" borderId="0" xfId="0" applyFont="1" applyBorder="1" applyAlignment="1">
      <alignment horizontal="left" vertical="center" wrapText="1"/>
    </xf>
    <xf numFmtId="0" fontId="29" fillId="0" borderId="0" xfId="0" applyFont="1" applyBorder="1" applyAlignment="1">
      <alignment horizontal="left" vertical="center" wrapText="1"/>
    </xf>
    <xf numFmtId="0" fontId="34" fillId="2" borderId="14" xfId="0" applyFont="1" applyFill="1" applyBorder="1" applyAlignment="1">
      <alignment horizontal="left" vertical="center" wrapText="1"/>
    </xf>
    <xf numFmtId="0" fontId="56" fillId="2" borderId="1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43" fillId="2" borderId="14" xfId="0" applyFont="1" applyFill="1" applyBorder="1" applyAlignment="1">
      <alignment horizontal="left" vertical="center" wrapText="1"/>
    </xf>
    <xf numFmtId="0" fontId="57" fillId="2" borderId="14" xfId="0" applyFont="1" applyFill="1" applyBorder="1" applyAlignment="1">
      <alignment horizontal="left" vertical="center" wrapText="1"/>
    </xf>
    <xf numFmtId="0" fontId="57" fillId="2" borderId="54" xfId="0" applyFont="1" applyFill="1" applyBorder="1" applyAlignment="1">
      <alignment horizontal="left" vertical="center" wrapText="1"/>
    </xf>
    <xf numFmtId="0" fontId="32" fillId="2" borderId="0" xfId="0" applyFont="1" applyFill="1" applyAlignment="1">
      <alignment horizontal="left" vertical="top" wrapText="1"/>
    </xf>
    <xf numFmtId="0" fontId="40" fillId="0" borderId="23" xfId="0" applyFont="1" applyBorder="1" applyAlignment="1">
      <alignment horizontal="left" vertical="center" wrapText="1"/>
    </xf>
    <xf numFmtId="0" fontId="40" fillId="0" borderId="33" xfId="0" applyFont="1" applyBorder="1" applyAlignment="1">
      <alignment horizontal="left" vertical="center" wrapText="1"/>
    </xf>
    <xf numFmtId="0" fontId="40" fillId="0" borderId="22" xfId="0" applyFont="1" applyBorder="1" applyAlignment="1">
      <alignment horizontal="left" vertical="center" wrapText="1"/>
    </xf>
    <xf numFmtId="0" fontId="40" fillId="0" borderId="1" xfId="0" applyFont="1" applyBorder="1" applyAlignment="1">
      <alignment horizontal="left" vertical="center" wrapText="1"/>
    </xf>
    <xf numFmtId="0" fontId="40" fillId="0" borderId="2" xfId="0" applyFont="1" applyBorder="1" applyAlignment="1">
      <alignment horizontal="left" vertical="center" wrapText="1"/>
    </xf>
    <xf numFmtId="0" fontId="40" fillId="0" borderId="9" xfId="0" applyFont="1" applyBorder="1" applyAlignment="1">
      <alignment horizontal="left" vertical="center" wrapText="1"/>
    </xf>
    <xf numFmtId="0" fontId="0" fillId="0" borderId="16" xfId="0" applyFont="1" applyBorder="1" applyAlignment="1">
      <alignment horizontal="left" vertical="center"/>
    </xf>
    <xf numFmtId="0" fontId="0" fillId="0" borderId="0" xfId="0" applyFont="1" applyBorder="1" applyAlignment="1">
      <alignment horizontal="left" vertical="center"/>
    </xf>
    <xf numFmtId="0" fontId="0" fillId="0" borderId="31" xfId="0" applyFont="1" applyBorder="1" applyAlignment="1">
      <alignment horizontal="left" vertical="center"/>
    </xf>
    <xf numFmtId="0" fontId="0" fillId="0" borderId="16" xfId="0" applyFont="1" applyBorder="1" applyAlignment="1">
      <alignment horizontal="left" vertical="center" wrapText="1"/>
    </xf>
    <xf numFmtId="0" fontId="0" fillId="0" borderId="0" xfId="0" applyFont="1" applyBorder="1" applyAlignment="1">
      <alignment horizontal="left" vertical="center" wrapText="1"/>
    </xf>
    <xf numFmtId="0" fontId="0" fillId="0" borderId="31" xfId="0" applyFont="1" applyBorder="1" applyAlignment="1">
      <alignment horizontal="left" vertical="center" wrapText="1"/>
    </xf>
    <xf numFmtId="0" fontId="58" fillId="0" borderId="4" xfId="0" applyFont="1" applyBorder="1" applyAlignment="1">
      <alignment horizontal="left" vertical="center"/>
    </xf>
    <xf numFmtId="0" fontId="58" fillId="0" borderId="5" xfId="0" applyFont="1" applyBorder="1" applyAlignment="1">
      <alignment horizontal="left" vertical="center"/>
    </xf>
    <xf numFmtId="0" fontId="58" fillId="0" borderId="13" xfId="0" applyFont="1" applyBorder="1" applyAlignment="1">
      <alignment horizontal="left" vertical="center"/>
    </xf>
    <xf numFmtId="0" fontId="0" fillId="0" borderId="56" xfId="0" applyBorder="1" applyAlignment="1">
      <alignment horizontal="left" vertical="top" wrapText="1"/>
    </xf>
    <xf numFmtId="0" fontId="38" fillId="0" borderId="14" xfId="0" applyFont="1" applyBorder="1" applyAlignment="1">
      <alignment horizontal="left" vertical="center"/>
    </xf>
    <xf numFmtId="0" fontId="40" fillId="0" borderId="14" xfId="0" applyFont="1" applyBorder="1" applyAlignment="1">
      <alignment horizontal="left" vertical="center" wrapText="1"/>
    </xf>
    <xf numFmtId="0" fontId="40" fillId="0" borderId="15" xfId="0" applyFont="1" applyBorder="1" applyAlignment="1">
      <alignment horizontal="left" vertical="center" wrapText="1"/>
    </xf>
    <xf numFmtId="0" fontId="40" fillId="0" borderId="2" xfId="0" applyFont="1" applyBorder="1" applyAlignment="1">
      <alignment horizontal="left" wrapText="1"/>
    </xf>
    <xf numFmtId="0" fontId="40" fillId="0" borderId="14" xfId="0" applyFont="1" applyBorder="1" applyAlignment="1">
      <alignment horizontal="left" wrapText="1"/>
    </xf>
    <xf numFmtId="0" fontId="40" fillId="0" borderId="15" xfId="0" applyFont="1" applyBorder="1" applyAlignment="1">
      <alignment horizontal="left" wrapText="1"/>
    </xf>
    <xf numFmtId="0" fontId="40" fillId="0" borderId="33" xfId="0" applyFont="1" applyBorder="1" applyAlignment="1">
      <alignment horizontal="left" vertical="center"/>
    </xf>
    <xf numFmtId="0" fontId="40" fillId="0" borderId="57" xfId="0" applyFont="1" applyBorder="1" applyAlignment="1">
      <alignment horizontal="left" vertical="center"/>
    </xf>
    <xf numFmtId="0" fontId="40" fillId="0" borderId="55" xfId="0" applyFont="1" applyBorder="1" applyAlignment="1">
      <alignment horizontal="left" vertical="center"/>
    </xf>
    <xf numFmtId="0" fontId="40" fillId="0" borderId="2" xfId="0" applyFont="1" applyFill="1" applyBorder="1" applyAlignment="1">
      <alignment horizontal="left" vertical="center" wrapText="1"/>
    </xf>
    <xf numFmtId="0" fontId="40" fillId="0" borderId="14" xfId="0" applyFont="1" applyFill="1" applyBorder="1" applyAlignment="1">
      <alignment horizontal="left" vertical="center" wrapText="1"/>
    </xf>
    <xf numFmtId="0" fontId="40" fillId="0" borderId="15" xfId="0" applyFont="1" applyFill="1" applyBorder="1" applyAlignment="1">
      <alignment horizontal="left" vertical="center" wrapText="1"/>
    </xf>
    <xf numFmtId="0" fontId="40" fillId="0" borderId="2" xfId="0" applyFont="1" applyFill="1" applyBorder="1" applyAlignment="1">
      <alignment horizontal="left" vertical="center"/>
    </xf>
    <xf numFmtId="0" fontId="40" fillId="0" borderId="14" xfId="0" applyFont="1" applyFill="1" applyBorder="1" applyAlignment="1">
      <alignment horizontal="left" vertical="center"/>
    </xf>
    <xf numFmtId="0" fontId="40" fillId="0" borderId="15" xfId="0" applyFont="1" applyFill="1" applyBorder="1" applyAlignment="1">
      <alignment horizontal="left" vertical="center"/>
    </xf>
    <xf numFmtId="0" fontId="27" fillId="0" borderId="2" xfId="0" applyFont="1" applyBorder="1" applyAlignment="1">
      <alignment horizontal="left" vertical="top" wrapText="1"/>
    </xf>
    <xf numFmtId="0" fontId="27" fillId="0" borderId="14" xfId="0" applyFont="1" applyBorder="1" applyAlignment="1">
      <alignment horizontal="left" vertical="top" wrapText="1"/>
    </xf>
    <xf numFmtId="0" fontId="27" fillId="0" borderId="54" xfId="0" applyFont="1" applyBorder="1" applyAlignment="1">
      <alignment horizontal="left" vertical="top" wrapText="1"/>
    </xf>
    <xf numFmtId="0" fontId="34" fillId="2" borderId="14" xfId="0" applyFont="1" applyFill="1" applyBorder="1" applyAlignment="1">
      <alignment horizontal="left" vertical="top" wrapText="1"/>
    </xf>
    <xf numFmtId="0" fontId="29" fillId="2" borderId="14" xfId="0" applyFont="1" applyFill="1" applyBorder="1" applyAlignment="1">
      <alignment horizontal="left" vertical="top" wrapText="1"/>
    </xf>
    <xf numFmtId="0" fontId="29" fillId="2" borderId="54" xfId="0" applyFont="1" applyFill="1" applyBorder="1" applyAlignment="1">
      <alignment horizontal="left" vertical="top" wrapText="1"/>
    </xf>
    <xf numFmtId="0" fontId="38" fillId="0" borderId="20" xfId="0" applyFont="1" applyBorder="1" applyAlignment="1">
      <alignment horizontal="left" vertical="top" wrapText="1"/>
    </xf>
    <xf numFmtId="0" fontId="27" fillId="4" borderId="2" xfId="0" applyFont="1" applyFill="1" applyBorder="1" applyAlignment="1">
      <alignment horizontal="left" vertical="center" wrapText="1"/>
    </xf>
    <xf numFmtId="0" fontId="27" fillId="4" borderId="54" xfId="0" applyFont="1" applyFill="1" applyBorder="1" applyAlignment="1">
      <alignment horizontal="left" vertical="center" wrapText="1"/>
    </xf>
    <xf numFmtId="0" fontId="40" fillId="0" borderId="1" xfId="0" applyFont="1" applyFill="1" applyBorder="1" applyAlignment="1">
      <alignment horizontal="left" vertical="center"/>
    </xf>
    <xf numFmtId="0" fontId="40" fillId="0" borderId="9" xfId="0" applyFont="1" applyFill="1" applyBorder="1" applyAlignment="1">
      <alignment horizontal="left" vertical="center"/>
    </xf>
    <xf numFmtId="0" fontId="40" fillId="0" borderId="1" xfId="0" applyFont="1" applyFill="1" applyBorder="1" applyAlignment="1">
      <alignment horizontal="left" vertical="center" wrapText="1"/>
    </xf>
    <xf numFmtId="0" fontId="40" fillId="0" borderId="9" xfId="0" applyFont="1" applyFill="1" applyBorder="1" applyAlignment="1">
      <alignment horizontal="left" vertical="center" wrapText="1"/>
    </xf>
    <xf numFmtId="0" fontId="40" fillId="0" borderId="23" xfId="0" applyFont="1" applyFill="1" applyBorder="1" applyAlignment="1">
      <alignment horizontal="left" vertical="center" wrapText="1"/>
    </xf>
    <xf numFmtId="0" fontId="40" fillId="0" borderId="33" xfId="0" applyFont="1" applyFill="1" applyBorder="1" applyAlignment="1">
      <alignment horizontal="left" vertical="center" wrapText="1"/>
    </xf>
    <xf numFmtId="0" fontId="40" fillId="0" borderId="22" xfId="0" applyFont="1" applyFill="1" applyBorder="1" applyAlignment="1">
      <alignment horizontal="left" vertical="center" wrapText="1"/>
    </xf>
    <xf numFmtId="0" fontId="29" fillId="0" borderId="0" xfId="0" applyFont="1" applyBorder="1" applyAlignment="1">
      <alignment horizontal="left" vertical="top" wrapText="1"/>
    </xf>
    <xf numFmtId="0" fontId="47" fillId="2" borderId="10" xfId="0" applyFont="1" applyFill="1" applyBorder="1" applyAlignment="1">
      <alignment horizontal="center" vertical="center" wrapText="1"/>
    </xf>
    <xf numFmtId="0" fontId="47" fillId="2" borderId="9"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27" fillId="0" borderId="6" xfId="0" applyFont="1" applyFill="1" applyBorder="1" applyAlignment="1">
      <alignment horizontal="left" vertical="top" wrapText="1"/>
    </xf>
    <xf numFmtId="0" fontId="27" fillId="0" borderId="7" xfId="0" applyFont="1" applyFill="1" applyBorder="1" applyAlignment="1">
      <alignment horizontal="left" vertical="top" wrapText="1"/>
    </xf>
    <xf numFmtId="0" fontId="38" fillId="0" borderId="0" xfId="0" applyFont="1" applyBorder="1" applyAlignment="1">
      <alignment horizontal="left" vertical="center" wrapText="1"/>
    </xf>
    <xf numFmtId="0" fontId="38" fillId="0" borderId="0" xfId="0" applyFont="1" applyBorder="1" applyAlignment="1">
      <alignment horizontal="left" vertical="top" wrapText="1"/>
    </xf>
    <xf numFmtId="0" fontId="27" fillId="0" borderId="61" xfId="0" applyFont="1" applyFill="1" applyBorder="1" applyAlignment="1">
      <alignment horizontal="center" wrapText="1"/>
    </xf>
    <xf numFmtId="0" fontId="27" fillId="0" borderId="62" xfId="0" applyFont="1" applyFill="1" applyBorder="1" applyAlignment="1">
      <alignment horizontal="center" wrapText="1"/>
    </xf>
    <xf numFmtId="0" fontId="27" fillId="0" borderId="63" xfId="0" applyFont="1" applyFill="1" applyBorder="1" applyAlignment="1">
      <alignment horizontal="center" wrapText="1"/>
    </xf>
    <xf numFmtId="0" fontId="27" fillId="0" borderId="6" xfId="0" applyFont="1" applyFill="1" applyBorder="1" applyAlignment="1">
      <alignment horizontal="center" wrapText="1"/>
    </xf>
    <xf numFmtId="0" fontId="27" fillId="0" borderId="3" xfId="0" applyFont="1" applyFill="1" applyBorder="1" applyAlignment="1">
      <alignment horizontal="center" wrapText="1"/>
    </xf>
    <xf numFmtId="0" fontId="47" fillId="2" borderId="46" xfId="0" applyFont="1" applyFill="1" applyBorder="1" applyAlignment="1">
      <alignment horizontal="center" vertical="center" wrapText="1"/>
    </xf>
    <xf numFmtId="0" fontId="47" fillId="2" borderId="59" xfId="0" applyFont="1" applyFill="1" applyBorder="1" applyAlignment="1">
      <alignment horizontal="center" vertical="center" wrapText="1"/>
    </xf>
    <xf numFmtId="0" fontId="47" fillId="2" borderId="8"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34" fillId="2" borderId="54" xfId="0" applyFont="1" applyFill="1" applyBorder="1" applyAlignment="1">
      <alignment horizontal="left" vertical="center" wrapText="1"/>
    </xf>
    <xf numFmtId="0" fontId="59" fillId="0" borderId="2" xfId="0" quotePrefix="1" applyFont="1" applyFill="1" applyBorder="1" applyAlignment="1">
      <alignment horizontal="left" vertical="top" wrapText="1"/>
    </xf>
    <xf numFmtId="0" fontId="59" fillId="0" borderId="14" xfId="0" quotePrefix="1" applyFont="1" applyFill="1" applyBorder="1" applyAlignment="1">
      <alignment horizontal="left" vertical="top" wrapText="1"/>
    </xf>
    <xf numFmtId="0" fontId="7" fillId="0" borderId="64" xfId="0" quotePrefix="1" applyFont="1" applyFill="1" applyBorder="1" applyAlignment="1">
      <alignment horizontal="left" vertical="center" wrapText="1"/>
    </xf>
    <xf numFmtId="0" fontId="59" fillId="0" borderId="56" xfId="0" quotePrefix="1" applyFont="1" applyFill="1" applyBorder="1" applyAlignment="1">
      <alignment horizontal="left" vertical="center" wrapText="1"/>
    </xf>
    <xf numFmtId="0" fontId="59" fillId="0" borderId="19" xfId="0" quotePrefix="1" applyFont="1" applyFill="1" applyBorder="1" applyAlignment="1">
      <alignment horizontal="left" vertical="center" wrapText="1"/>
    </xf>
    <xf numFmtId="0" fontId="59" fillId="0" borderId="20" xfId="0" quotePrefix="1" applyFont="1" applyFill="1" applyBorder="1" applyAlignment="1">
      <alignment horizontal="left" vertical="center" wrapText="1"/>
    </xf>
    <xf numFmtId="0" fontId="27" fillId="0" borderId="64" xfId="0" applyFont="1" applyBorder="1" applyAlignment="1">
      <alignment horizontal="left"/>
    </xf>
    <xf numFmtId="0" fontId="27" fillId="0" borderId="56" xfId="0" applyFont="1" applyBorder="1" applyAlignment="1">
      <alignment horizontal="left"/>
    </xf>
    <xf numFmtId="0" fontId="47" fillId="2" borderId="2" xfId="0" quotePrefix="1" applyFont="1" applyFill="1" applyBorder="1" applyAlignment="1">
      <alignment horizontal="left" vertical="center" wrapText="1"/>
    </xf>
    <xf numFmtId="0" fontId="47" fillId="2" borderId="14" xfId="0" quotePrefix="1" applyFont="1" applyFill="1" applyBorder="1" applyAlignment="1">
      <alignment horizontal="left" vertical="center" wrapText="1"/>
    </xf>
    <xf numFmtId="0" fontId="30" fillId="0" borderId="2" xfId="0" quotePrefix="1" applyFont="1" applyFill="1" applyBorder="1" applyAlignment="1">
      <alignment horizontal="left" vertical="center" wrapText="1"/>
    </xf>
    <xf numFmtId="0" fontId="30" fillId="0" borderId="14" xfId="0" quotePrefix="1" applyFont="1" applyFill="1" applyBorder="1" applyAlignment="1">
      <alignment horizontal="left" vertical="center" wrapText="1"/>
    </xf>
    <xf numFmtId="0" fontId="34" fillId="2" borderId="2" xfId="0" applyFont="1" applyFill="1" applyBorder="1" applyAlignment="1">
      <alignment horizontal="left" vertical="top" wrapText="1"/>
    </xf>
    <xf numFmtId="0" fontId="34" fillId="2" borderId="54" xfId="0" applyFont="1" applyFill="1" applyBorder="1" applyAlignment="1">
      <alignment horizontal="left" vertical="top" wrapText="1"/>
    </xf>
    <xf numFmtId="0" fontId="38" fillId="0" borderId="61" xfId="0" applyFont="1" applyBorder="1" applyAlignment="1">
      <alignment horizontal="left" vertical="top" wrapText="1"/>
    </xf>
    <xf numFmtId="0" fontId="38" fillId="0" borderId="62" xfId="0" applyFont="1" applyBorder="1" applyAlignment="1">
      <alignment horizontal="left" vertical="top" wrapText="1"/>
    </xf>
    <xf numFmtId="0" fontId="38" fillId="0" borderId="63" xfId="0" applyFont="1" applyBorder="1" applyAlignment="1">
      <alignment horizontal="left" vertical="top" wrapText="1"/>
    </xf>
    <xf numFmtId="0" fontId="38" fillId="0" borderId="14" xfId="0" applyFont="1" applyBorder="1" applyAlignment="1">
      <alignment horizontal="left" vertical="center" wrapText="1"/>
    </xf>
    <xf numFmtId="0" fontId="59" fillId="0" borderId="10" xfId="0" quotePrefix="1" applyFont="1" applyFill="1" applyBorder="1" applyAlignment="1">
      <alignment horizontal="center" vertical="center" wrapText="1"/>
    </xf>
    <xf numFmtId="0" fontId="59" fillId="0" borderId="1" xfId="0" quotePrefix="1" applyFont="1" applyFill="1" applyBorder="1" applyAlignment="1">
      <alignment horizontal="center" vertical="center" wrapText="1"/>
    </xf>
    <xf numFmtId="0" fontId="59" fillId="0" borderId="9" xfId="0" quotePrefix="1" applyFont="1" applyFill="1" applyBorder="1" applyAlignment="1">
      <alignment horizontal="center" vertical="center" wrapText="1"/>
    </xf>
    <xf numFmtId="0" fontId="34" fillId="2" borderId="67" xfId="0" applyFont="1" applyFill="1" applyBorder="1" applyAlignment="1">
      <alignment horizontal="left" vertical="top" wrapText="1"/>
    </xf>
    <xf numFmtId="0" fontId="29" fillId="2" borderId="59" xfId="0" applyFont="1" applyFill="1" applyBorder="1" applyAlignment="1">
      <alignment horizontal="left" vertical="top" wrapText="1"/>
    </xf>
    <xf numFmtId="0" fontId="29" fillId="2" borderId="8" xfId="0" applyFont="1" applyFill="1" applyBorder="1" applyAlignment="1">
      <alignment horizontal="left" vertical="top" wrapText="1"/>
    </xf>
    <xf numFmtId="0" fontId="29" fillId="2" borderId="15" xfId="0" applyFont="1" applyFill="1" applyBorder="1" applyAlignment="1">
      <alignment horizontal="left" vertical="top" wrapText="1"/>
    </xf>
    <xf numFmtId="0" fontId="47" fillId="2" borderId="65" xfId="0" quotePrefix="1" applyFont="1" applyFill="1" applyBorder="1" applyAlignment="1">
      <alignment horizontal="left" vertical="center" wrapText="1"/>
    </xf>
    <xf numFmtId="0" fontId="47" fillId="2" borderId="29" xfId="0" quotePrefix="1" applyFont="1" applyFill="1" applyBorder="1" applyAlignment="1">
      <alignment horizontal="left" vertical="center" wrapText="1"/>
    </xf>
    <xf numFmtId="0" fontId="47" fillId="2" borderId="16" xfId="0" applyFont="1" applyFill="1" applyBorder="1" applyAlignment="1">
      <alignment horizontal="center" vertical="center" wrapText="1"/>
    </xf>
    <xf numFmtId="0" fontId="47" fillId="2" borderId="31"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2" borderId="69" xfId="0" applyFont="1" applyFill="1" applyBorder="1" applyAlignment="1">
      <alignment horizontal="center" vertical="center" wrapText="1"/>
    </xf>
    <xf numFmtId="0" fontId="32" fillId="0" borderId="12" xfId="0" applyFont="1" applyFill="1" applyBorder="1" applyAlignment="1">
      <alignment horizontal="center" wrapText="1"/>
    </xf>
    <xf numFmtId="0" fontId="32" fillId="0" borderId="30" xfId="0" applyFont="1" applyFill="1" applyBorder="1" applyAlignment="1">
      <alignment horizontal="center" wrapText="1"/>
    </xf>
    <xf numFmtId="0" fontId="47" fillId="2" borderId="2" xfId="0" applyFont="1" applyFill="1" applyBorder="1" applyAlignment="1">
      <alignment horizontal="center" vertical="center" wrapText="1"/>
    </xf>
    <xf numFmtId="0" fontId="47" fillId="2" borderId="15" xfId="0" applyFont="1" applyFill="1" applyBorder="1" applyAlignment="1">
      <alignment horizontal="center" vertical="center" wrapText="1"/>
    </xf>
    <xf numFmtId="0" fontId="30" fillId="0" borderId="65" xfId="0" quotePrefix="1" applyFont="1" applyFill="1" applyBorder="1" applyAlignment="1">
      <alignment horizontal="left" vertical="center" wrapText="1"/>
    </xf>
    <xf numFmtId="0" fontId="30" fillId="0" borderId="66" xfId="0" quotePrefix="1" applyFont="1" applyFill="1" applyBorder="1" applyAlignment="1">
      <alignment horizontal="left" vertical="center" wrapText="1"/>
    </xf>
    <xf numFmtId="0" fontId="59" fillId="0" borderId="27" xfId="0" quotePrefix="1" applyFont="1" applyFill="1" applyBorder="1" applyAlignment="1">
      <alignment horizontal="center" vertical="center" wrapText="1"/>
    </xf>
    <xf numFmtId="0" fontId="38" fillId="0" borderId="0" xfId="0" applyFont="1" applyAlignment="1">
      <alignment horizontal="left" vertical="center" wrapText="1"/>
    </xf>
    <xf numFmtId="0" fontId="47" fillId="2" borderId="26" xfId="0" applyFont="1" applyFill="1" applyBorder="1" applyAlignment="1">
      <alignment horizontal="center" vertical="center" wrapText="1"/>
    </xf>
    <xf numFmtId="0" fontId="47" fillId="2" borderId="54" xfId="0" applyFont="1" applyFill="1" applyBorder="1" applyAlignment="1">
      <alignment horizontal="center" vertical="center" wrapText="1"/>
    </xf>
    <xf numFmtId="0" fontId="38" fillId="0" borderId="10" xfId="0" applyFont="1" applyBorder="1" applyAlignment="1">
      <alignment horizontal="left" vertical="center" wrapText="1"/>
    </xf>
    <xf numFmtId="0" fontId="38" fillId="0" borderId="1" xfId="0" applyFont="1" applyBorder="1" applyAlignment="1">
      <alignment horizontal="left" vertical="center" wrapText="1"/>
    </xf>
    <xf numFmtId="0" fontId="38" fillId="0" borderId="10" xfId="0" applyFont="1" applyFill="1" applyBorder="1" applyAlignment="1">
      <alignment horizontal="left" vertical="center" wrapText="1"/>
    </xf>
    <xf numFmtId="0" fontId="38" fillId="0" borderId="1" xfId="0" applyFont="1" applyFill="1" applyBorder="1" applyAlignment="1">
      <alignment horizontal="left" vertical="center" wrapText="1"/>
    </xf>
    <xf numFmtId="0" fontId="32" fillId="0" borderId="14" xfId="0" applyFont="1" applyFill="1" applyBorder="1" applyAlignment="1">
      <alignment horizontal="left" vertical="center" wrapText="1"/>
    </xf>
    <xf numFmtId="0" fontId="40" fillId="0" borderId="33" xfId="0" applyFont="1" applyBorder="1" applyAlignment="1">
      <alignment vertical="center" wrapText="1"/>
    </xf>
    <xf numFmtId="0" fontId="40" fillId="0" borderId="55" xfId="0" applyFont="1" applyBorder="1" applyAlignment="1">
      <alignment vertical="center" wrapText="1"/>
    </xf>
    <xf numFmtId="0" fontId="40" fillId="0" borderId="2" xfId="0" applyFont="1" applyBorder="1" applyAlignment="1">
      <alignment vertical="center" wrapText="1"/>
    </xf>
    <xf numFmtId="0" fontId="40" fillId="0" borderId="15" xfId="0" applyFont="1" applyBorder="1" applyAlignment="1">
      <alignment vertical="center" wrapText="1"/>
    </xf>
    <xf numFmtId="0" fontId="35" fillId="2" borderId="26" xfId="0" applyFont="1" applyFill="1" applyBorder="1" applyAlignment="1">
      <alignment horizontal="center" vertical="top" wrapText="1"/>
    </xf>
    <xf numFmtId="0" fontId="35" fillId="2" borderId="14" xfId="0" applyFont="1" applyFill="1" applyBorder="1" applyAlignment="1">
      <alignment horizontal="center" vertical="top" wrapText="1"/>
    </xf>
    <xf numFmtId="0" fontId="35" fillId="2" borderId="15" xfId="0" applyFont="1" applyFill="1" applyBorder="1" applyAlignment="1">
      <alignment horizontal="center" vertical="top" wrapText="1"/>
    </xf>
    <xf numFmtId="0" fontId="38" fillId="0" borderId="11" xfId="0" applyFont="1" applyFill="1" applyBorder="1" applyAlignment="1">
      <alignment horizontal="left" vertical="center" wrapText="1"/>
    </xf>
    <xf numFmtId="0" fontId="38" fillId="0" borderId="23" xfId="0" applyFont="1" applyFill="1" applyBorder="1" applyAlignment="1">
      <alignment horizontal="left" vertical="center" wrapText="1"/>
    </xf>
    <xf numFmtId="44" fontId="27" fillId="0" borderId="17" xfId="2" applyFont="1" applyFill="1" applyBorder="1" applyAlignment="1">
      <alignment horizontal="center" vertical="center" wrapText="1"/>
    </xf>
    <xf numFmtId="44" fontId="27" fillId="0" borderId="71" xfId="2" applyFont="1" applyFill="1" applyBorder="1" applyAlignment="1">
      <alignment horizontal="center" vertical="center" wrapText="1"/>
    </xf>
    <xf numFmtId="0" fontId="38" fillId="0" borderId="57" xfId="0" applyFont="1" applyBorder="1" applyAlignment="1">
      <alignment horizontal="left" vertical="center"/>
    </xf>
    <xf numFmtId="0" fontId="30" fillId="0" borderId="17"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71" xfId="0" applyFont="1" applyFill="1" applyBorder="1" applyAlignment="1">
      <alignment horizontal="center" vertical="center" wrapText="1"/>
    </xf>
    <xf numFmtId="0" fontId="38" fillId="0" borderId="5" xfId="0" applyFont="1" applyFill="1" applyBorder="1" applyAlignment="1">
      <alignment horizontal="center" vertical="center" wrapText="1"/>
    </xf>
    <xf numFmtId="44" fontId="27" fillId="0" borderId="46" xfId="2" applyFont="1" applyFill="1" applyBorder="1" applyAlignment="1">
      <alignment horizontal="center" vertical="center" wrapText="1"/>
    </xf>
    <xf numFmtId="44" fontId="27" fillId="0" borderId="8" xfId="2" applyFont="1" applyFill="1" applyBorder="1" applyAlignment="1">
      <alignment horizontal="center" vertical="center" wrapText="1"/>
    </xf>
    <xf numFmtId="0" fontId="34" fillId="2" borderId="42" xfId="0" applyFont="1" applyFill="1" applyBorder="1" applyAlignment="1">
      <alignment horizontal="left" vertical="top" wrapText="1"/>
    </xf>
    <xf numFmtId="44" fontId="27" fillId="0" borderId="72" xfId="2" applyFont="1" applyFill="1" applyBorder="1" applyAlignment="1">
      <alignment horizontal="center" vertical="center" wrapText="1"/>
    </xf>
    <xf numFmtId="44" fontId="27" fillId="0" borderId="28" xfId="2" applyFont="1" applyFill="1" applyBorder="1" applyAlignment="1">
      <alignment horizontal="center" vertical="center" wrapText="1"/>
    </xf>
    <xf numFmtId="0" fontId="40" fillId="0" borderId="14" xfId="0" applyNumberFormat="1" applyFont="1" applyFill="1" applyBorder="1" applyAlignment="1">
      <alignment vertical="center" wrapText="1"/>
    </xf>
    <xf numFmtId="0" fontId="40" fillId="0" borderId="15" xfId="0" applyNumberFormat="1" applyFont="1" applyFill="1" applyBorder="1" applyAlignment="1">
      <alignment vertical="center" wrapText="1"/>
    </xf>
    <xf numFmtId="0" fontId="40" fillId="0" borderId="56" xfId="0" applyNumberFormat="1" applyFont="1" applyBorder="1" applyAlignment="1">
      <alignment vertical="center" wrapText="1"/>
    </xf>
    <xf numFmtId="0" fontId="40" fillId="0" borderId="44" xfId="0" applyNumberFormat="1" applyFont="1" applyBorder="1" applyAlignment="1">
      <alignment vertical="center" wrapText="1"/>
    </xf>
    <xf numFmtId="0" fontId="32" fillId="2" borderId="0" xfId="0" applyFont="1" applyFill="1" applyAlignment="1">
      <alignment horizontal="left" vertical="top"/>
    </xf>
    <xf numFmtId="0" fontId="38" fillId="0" borderId="0" xfId="0" applyFont="1" applyBorder="1" applyAlignment="1">
      <alignment horizontal="left" wrapText="1"/>
    </xf>
    <xf numFmtId="0" fontId="40" fillId="0" borderId="14" xfId="0" applyNumberFormat="1" applyFont="1" applyBorder="1" applyAlignment="1">
      <alignment vertical="center" wrapText="1"/>
    </xf>
    <xf numFmtId="0" fontId="40" fillId="0" borderId="15" xfId="0" applyNumberFormat="1" applyFont="1" applyBorder="1" applyAlignment="1">
      <alignment vertical="center" wrapText="1"/>
    </xf>
    <xf numFmtId="0" fontId="27" fillId="0" borderId="0" xfId="0" applyFont="1" applyBorder="1" applyAlignment="1">
      <alignment horizontal="left" vertical="center" wrapText="1"/>
    </xf>
    <xf numFmtId="0" fontId="33" fillId="0" borderId="6" xfId="0" applyFont="1" applyBorder="1" applyAlignment="1">
      <alignment horizontal="left"/>
    </xf>
    <xf numFmtId="0" fontId="33" fillId="0" borderId="7" xfId="0" applyFont="1" applyBorder="1" applyAlignment="1">
      <alignment horizontal="left"/>
    </xf>
    <xf numFmtId="0" fontId="38" fillId="0" borderId="45" xfId="0" applyNumberFormat="1" applyFont="1" applyBorder="1" applyAlignment="1">
      <alignment vertical="center" wrapText="1"/>
    </xf>
    <xf numFmtId="0" fontId="38" fillId="0" borderId="18" xfId="0" applyNumberFormat="1" applyFont="1" applyBorder="1" applyAlignment="1">
      <alignment vertical="center" wrapText="1"/>
    </xf>
    <xf numFmtId="0" fontId="38" fillId="0" borderId="26" xfId="0" applyNumberFormat="1" applyFont="1" applyBorder="1" applyAlignment="1">
      <alignment vertical="center" wrapText="1"/>
    </xf>
    <xf numFmtId="0" fontId="38" fillId="0" borderId="54" xfId="0" applyNumberFormat="1" applyFont="1" applyBorder="1" applyAlignment="1">
      <alignment vertical="center" wrapText="1"/>
    </xf>
    <xf numFmtId="0" fontId="27" fillId="0" borderId="1" xfId="0" applyFont="1" applyBorder="1" applyAlignment="1">
      <alignment horizontal="center" vertical="center"/>
    </xf>
    <xf numFmtId="0" fontId="27" fillId="0" borderId="9" xfId="0" applyFont="1" applyBorder="1" applyAlignment="1">
      <alignment horizontal="center" vertical="center"/>
    </xf>
    <xf numFmtId="0" fontId="35" fillId="2" borderId="1" xfId="0" applyFont="1" applyFill="1" applyBorder="1" applyAlignment="1">
      <alignment horizontal="center"/>
    </xf>
    <xf numFmtId="0" fontId="35" fillId="2" borderId="9" xfId="0" applyFont="1" applyFill="1" applyBorder="1" applyAlignment="1">
      <alignment horizontal="center"/>
    </xf>
    <xf numFmtId="0" fontId="27" fillId="0" borderId="73" xfId="0" applyFont="1" applyBorder="1" applyAlignment="1">
      <alignment horizontal="center" vertical="center"/>
    </xf>
    <xf numFmtId="0" fontId="27" fillId="0" borderId="74" xfId="0" applyFont="1" applyBorder="1" applyAlignment="1">
      <alignment horizontal="center" vertical="center"/>
    </xf>
    <xf numFmtId="0" fontId="27" fillId="0" borderId="75" xfId="0" applyFont="1" applyBorder="1" applyAlignment="1">
      <alignment horizontal="center" vertical="center"/>
    </xf>
    <xf numFmtId="0" fontId="35" fillId="2" borderId="1" xfId="0" applyFont="1" applyFill="1" applyBorder="1" applyAlignment="1">
      <alignment vertical="center" wrapText="1"/>
    </xf>
    <xf numFmtId="0" fontId="34" fillId="0" borderId="1" xfId="0" applyFont="1" applyBorder="1" applyAlignment="1">
      <alignment vertical="center" wrapText="1"/>
    </xf>
    <xf numFmtId="0" fontId="34" fillId="0" borderId="9" xfId="0" applyFont="1" applyBorder="1" applyAlignment="1">
      <alignment vertical="center" wrapText="1"/>
    </xf>
    <xf numFmtId="0" fontId="38" fillId="0" borderId="26" xfId="2" applyNumberFormat="1" applyFont="1" applyFill="1" applyBorder="1" applyAlignment="1">
      <alignment vertical="center" wrapText="1"/>
    </xf>
    <xf numFmtId="0" fontId="38" fillId="0" borderId="54" xfId="2" applyNumberFormat="1" applyFont="1" applyFill="1" applyBorder="1" applyAlignment="1">
      <alignment vertical="center" wrapText="1"/>
    </xf>
    <xf numFmtId="0" fontId="38" fillId="0" borderId="26" xfId="0" applyNumberFormat="1" applyFont="1" applyFill="1" applyBorder="1" applyAlignment="1">
      <alignment vertical="center" wrapText="1"/>
    </xf>
    <xf numFmtId="0" fontId="38" fillId="0" borderId="54" xfId="0" applyNumberFormat="1" applyFont="1" applyFill="1" applyBorder="1" applyAlignment="1">
      <alignment vertical="center" wrapText="1"/>
    </xf>
    <xf numFmtId="0" fontId="38" fillId="0" borderId="58" xfId="0" applyNumberFormat="1" applyFont="1" applyFill="1" applyBorder="1" applyAlignment="1">
      <alignment vertical="center" wrapText="1"/>
    </xf>
    <xf numFmtId="0" fontId="38" fillId="0" borderId="34" xfId="0" applyNumberFormat="1" applyFont="1" applyFill="1" applyBorder="1" applyAlignment="1">
      <alignment vertical="center" wrapText="1"/>
    </xf>
    <xf numFmtId="0" fontId="40" fillId="0" borderId="57" xfId="0" applyNumberFormat="1" applyFont="1" applyFill="1" applyBorder="1" applyAlignment="1">
      <alignment vertical="center" wrapText="1"/>
    </xf>
    <xf numFmtId="0" fontId="27" fillId="0" borderId="1" xfId="0" applyFont="1" applyBorder="1" applyAlignment="1">
      <alignment horizontal="center"/>
    </xf>
    <xf numFmtId="0" fontId="27" fillId="0" borderId="9" xfId="0" applyFont="1" applyBorder="1" applyAlignment="1">
      <alignment horizontal="center"/>
    </xf>
    <xf numFmtId="6" fontId="35" fillId="2" borderId="1" xfId="0" applyNumberFormat="1" applyFont="1" applyFill="1" applyBorder="1" applyAlignment="1">
      <alignment vertical="center"/>
    </xf>
    <xf numFmtId="6" fontId="35" fillId="2" borderId="9" xfId="0" applyNumberFormat="1" applyFont="1" applyFill="1" applyBorder="1" applyAlignment="1">
      <alignment vertical="center"/>
    </xf>
    <xf numFmtId="0" fontId="38" fillId="0" borderId="46" xfId="0" applyNumberFormat="1" applyFont="1" applyBorder="1" applyAlignment="1">
      <alignment vertical="center"/>
    </xf>
    <xf numFmtId="0" fontId="38" fillId="0" borderId="59" xfId="0" applyNumberFormat="1" applyFont="1" applyBorder="1" applyAlignment="1">
      <alignment vertical="center"/>
    </xf>
    <xf numFmtId="0" fontId="38" fillId="0" borderId="46" xfId="0" applyNumberFormat="1" applyFont="1" applyBorder="1" applyAlignment="1">
      <alignment horizontal="left" vertical="center"/>
    </xf>
    <xf numFmtId="0" fontId="38" fillId="0" borderId="59" xfId="0" applyNumberFormat="1" applyFont="1" applyBorder="1" applyAlignment="1">
      <alignment horizontal="left" vertical="center"/>
    </xf>
    <xf numFmtId="0" fontId="40" fillId="0" borderId="23" xfId="0" applyFont="1" applyBorder="1" applyAlignment="1">
      <alignment horizontal="left" vertical="center"/>
    </xf>
    <xf numFmtId="0" fontId="40" fillId="0" borderId="22" xfId="0" applyFont="1" applyBorder="1" applyAlignment="1">
      <alignment horizontal="left" vertical="center"/>
    </xf>
    <xf numFmtId="0" fontId="38" fillId="0" borderId="10" xfId="2" applyNumberFormat="1" applyFont="1" applyFill="1" applyBorder="1" applyAlignment="1">
      <alignment horizontal="left" vertical="center" wrapText="1"/>
    </xf>
    <xf numFmtId="0" fontId="38" fillId="0" borderId="1" xfId="2" applyNumberFormat="1" applyFont="1" applyFill="1" applyBorder="1" applyAlignment="1">
      <alignment horizontal="left" vertical="center" wrapText="1"/>
    </xf>
    <xf numFmtId="0" fontId="27" fillId="0" borderId="0" xfId="0" applyFont="1" applyBorder="1" applyAlignment="1">
      <alignment horizontal="right" vertical="center" wrapText="1"/>
    </xf>
    <xf numFmtId="0" fontId="31" fillId="0" borderId="5" xfId="0" applyFont="1" applyFill="1" applyBorder="1" applyAlignment="1">
      <alignment horizontal="left"/>
    </xf>
    <xf numFmtId="0" fontId="30" fillId="0" borderId="42"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8" fillId="0" borderId="10" xfId="0" applyFont="1" applyFill="1" applyBorder="1" applyAlignment="1">
      <alignment horizontal="left" vertical="top" wrapText="1"/>
    </xf>
    <xf numFmtId="0" fontId="38" fillId="0" borderId="1" xfId="0" applyFont="1" applyFill="1" applyBorder="1" applyAlignment="1">
      <alignment horizontal="left" vertical="top" wrapText="1"/>
    </xf>
    <xf numFmtId="0" fontId="27" fillId="0" borderId="42" xfId="0" applyFont="1" applyFill="1" applyBorder="1" applyAlignment="1">
      <alignment horizontal="center" vertical="center" wrapText="1"/>
    </xf>
    <xf numFmtId="0" fontId="27" fillId="0" borderId="43" xfId="0" applyFont="1" applyFill="1" applyBorder="1" applyAlignment="1">
      <alignment horizontal="center" vertical="center" wrapText="1"/>
    </xf>
    <xf numFmtId="0" fontId="38" fillId="0" borderId="26" xfId="0" applyFont="1" applyBorder="1" applyAlignment="1">
      <alignment horizontal="left" vertical="center" wrapText="1"/>
    </xf>
    <xf numFmtId="0" fontId="38" fillId="0" borderId="11" xfId="0" applyFont="1" applyFill="1" applyBorder="1" applyAlignment="1">
      <alignment horizontal="left" vertical="top" wrapText="1"/>
    </xf>
    <xf numFmtId="0" fontId="38" fillId="0" borderId="23" xfId="0" applyFont="1" applyFill="1" applyBorder="1" applyAlignment="1">
      <alignment horizontal="left" vertical="top" wrapText="1"/>
    </xf>
    <xf numFmtId="0" fontId="27" fillId="0" borderId="1" xfId="0" applyFont="1" applyBorder="1" applyAlignment="1">
      <alignment horizontal="right" vertical="center"/>
    </xf>
    <xf numFmtId="0" fontId="27" fillId="0" borderId="9" xfId="0" applyFont="1" applyBorder="1" applyAlignment="1">
      <alignment horizontal="right" vertical="center"/>
    </xf>
    <xf numFmtId="0" fontId="52" fillId="2" borderId="0" xfId="0" applyFont="1" applyFill="1" applyBorder="1" applyAlignment="1">
      <alignment horizontal="left" vertical="center"/>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38" fillId="0" borderId="26" xfId="0" applyFont="1" applyBorder="1" applyAlignment="1">
      <alignment horizontal="left" vertical="center"/>
    </xf>
    <xf numFmtId="0" fontId="38" fillId="0" borderId="54" xfId="0" applyFont="1" applyBorder="1" applyAlignment="1">
      <alignment horizontal="left" vertical="center"/>
    </xf>
    <xf numFmtId="0" fontId="38" fillId="0" borderId="10" xfId="0" applyFont="1" applyBorder="1" applyAlignment="1">
      <alignment horizontal="left" vertical="center"/>
    </xf>
    <xf numFmtId="0" fontId="38" fillId="0" borderId="1" xfId="0" applyFont="1" applyBorder="1" applyAlignment="1">
      <alignment horizontal="left" vertical="center"/>
    </xf>
    <xf numFmtId="0" fontId="27" fillId="0" borderId="72" xfId="0" applyFont="1" applyFill="1" applyBorder="1" applyAlignment="1">
      <alignment horizontal="center" vertical="center" wrapText="1"/>
    </xf>
    <xf numFmtId="0" fontId="27" fillId="0" borderId="28" xfId="0" applyFont="1" applyFill="1" applyBorder="1" applyAlignment="1">
      <alignment horizontal="center" vertical="center" wrapText="1"/>
    </xf>
    <xf numFmtId="0" fontId="30" fillId="0" borderId="0" xfId="0" applyFont="1" applyBorder="1" applyAlignment="1">
      <alignment horizontal="left" vertical="center" wrapText="1"/>
    </xf>
    <xf numFmtId="0" fontId="27" fillId="0" borderId="0" xfId="0" applyFont="1" applyAlignment="1">
      <alignment horizontal="left" vertical="center"/>
    </xf>
    <xf numFmtId="0" fontId="27" fillId="0" borderId="0" xfId="0" applyFont="1" applyBorder="1" applyAlignment="1">
      <alignment horizontal="left" vertical="center"/>
    </xf>
    <xf numFmtId="0" fontId="38" fillId="0" borderId="54" xfId="0" applyFont="1" applyBorder="1" applyAlignment="1">
      <alignment horizontal="left" vertical="center" wrapText="1"/>
    </xf>
    <xf numFmtId="0" fontId="27" fillId="0" borderId="76" xfId="0" applyFont="1" applyBorder="1" applyAlignment="1">
      <alignment horizontal="center" vertical="center" wrapText="1"/>
    </xf>
    <xf numFmtId="0" fontId="27" fillId="0" borderId="77" xfId="0" applyFont="1" applyBorder="1" applyAlignment="1">
      <alignment horizontal="center" vertical="center" wrapText="1"/>
    </xf>
    <xf numFmtId="0" fontId="27" fillId="0" borderId="78" xfId="0" applyFont="1" applyBorder="1" applyAlignment="1">
      <alignment horizontal="center" vertical="center" wrapText="1"/>
    </xf>
    <xf numFmtId="0" fontId="27" fillId="0" borderId="79" xfId="0" applyFont="1" applyBorder="1" applyAlignment="1">
      <alignment horizontal="center" vertical="center" wrapText="1"/>
    </xf>
    <xf numFmtId="0" fontId="27" fillId="0" borderId="3" xfId="0" applyFont="1" applyBorder="1" applyAlignment="1">
      <alignment horizontal="center" vertical="center" wrapText="1"/>
    </xf>
    <xf numFmtId="0" fontId="38" fillId="0" borderId="11" xfId="0" applyFont="1" applyBorder="1" applyAlignment="1">
      <alignment horizontal="left" vertical="center"/>
    </xf>
    <xf numFmtId="0" fontId="38" fillId="0" borderId="23" xfId="0" applyFont="1" applyBorder="1" applyAlignment="1">
      <alignment horizontal="left" vertical="center"/>
    </xf>
    <xf numFmtId="0" fontId="27" fillId="0" borderId="58" xfId="0" applyFont="1" applyBorder="1" applyAlignment="1">
      <alignment horizontal="left"/>
    </xf>
    <xf numFmtId="0" fontId="27" fillId="0" borderId="57" xfId="0" applyFont="1" applyBorder="1" applyAlignment="1">
      <alignment horizontal="left"/>
    </xf>
    <xf numFmtId="0" fontId="27" fillId="0" borderId="0" xfId="0" applyFont="1" applyBorder="1" applyAlignment="1">
      <alignment horizontal="left" vertical="top"/>
    </xf>
    <xf numFmtId="0" fontId="30" fillId="0" borderId="56" xfId="0" applyFont="1" applyFill="1" applyBorder="1" applyAlignment="1">
      <alignment horizontal="center"/>
    </xf>
    <xf numFmtId="0" fontId="27" fillId="0" borderId="46" xfId="0" applyFont="1" applyBorder="1" applyAlignment="1">
      <alignment horizontal="left"/>
    </xf>
    <xf numFmtId="0" fontId="27" fillId="0" borderId="59" xfId="0" applyFont="1" applyBorder="1" applyAlignment="1">
      <alignment horizontal="left"/>
    </xf>
    <xf numFmtId="0" fontId="27" fillId="0" borderId="26" xfId="0" applyFont="1" applyBorder="1" applyAlignment="1">
      <alignment horizontal="left"/>
    </xf>
    <xf numFmtId="0" fontId="27" fillId="0" borderId="14" xfId="0" applyFont="1" applyBorder="1" applyAlignment="1">
      <alignment horizontal="left"/>
    </xf>
    <xf numFmtId="0" fontId="27" fillId="0" borderId="1" xfId="0" applyFont="1" applyFill="1" applyBorder="1" applyAlignment="1">
      <alignment horizontal="center" wrapText="1"/>
    </xf>
    <xf numFmtId="0" fontId="27" fillId="0" borderId="1" xfId="0" applyFont="1" applyBorder="1" applyAlignment="1">
      <alignment horizontal="center" vertical="center" wrapText="1"/>
    </xf>
    <xf numFmtId="0" fontId="0" fillId="0" borderId="1" xfId="0" applyFont="1" applyBorder="1" applyAlignment="1">
      <alignment horizontal="center" vertical="center" wrapText="1"/>
    </xf>
    <xf numFmtId="0" fontId="27" fillId="0" borderId="1" xfId="0" applyFont="1" applyBorder="1" applyAlignment="1">
      <alignment horizontal="center" vertical="top" wrapText="1"/>
    </xf>
    <xf numFmtId="0" fontId="27" fillId="0" borderId="2"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4" xfId="0" applyFont="1" applyBorder="1" applyAlignment="1">
      <alignment horizontal="center" vertical="center" wrapText="1"/>
    </xf>
    <xf numFmtId="0" fontId="27" fillId="0" borderId="42" xfId="0" applyFont="1" applyFill="1" applyBorder="1" applyAlignment="1">
      <alignment horizontal="center" wrapText="1"/>
    </xf>
    <xf numFmtId="0" fontId="27" fillId="0" borderId="43" xfId="0" applyFont="1" applyFill="1" applyBorder="1" applyAlignment="1">
      <alignment horizontal="center" wrapText="1"/>
    </xf>
    <xf numFmtId="0" fontId="27" fillId="0" borderId="2" xfId="0" applyFont="1" applyBorder="1" applyAlignment="1">
      <alignment horizontal="center" vertical="top" wrapText="1"/>
    </xf>
    <xf numFmtId="0" fontId="27" fillId="0" borderId="14" xfId="0" applyFont="1" applyBorder="1" applyAlignment="1">
      <alignment horizontal="center" vertical="top" wrapText="1"/>
    </xf>
    <xf numFmtId="0" fontId="27" fillId="0" borderId="54" xfId="0" applyFont="1" applyBorder="1" applyAlignment="1">
      <alignment horizontal="center" vertical="top" wrapText="1"/>
    </xf>
    <xf numFmtId="0" fontId="27" fillId="0" borderId="17" xfId="0" applyFont="1" applyBorder="1" applyAlignment="1">
      <alignment horizontal="center" vertical="top" wrapText="1"/>
    </xf>
    <xf numFmtId="0" fontId="27" fillId="0" borderId="70" xfId="0" applyFont="1" applyBorder="1" applyAlignment="1">
      <alignment horizontal="center" vertical="top" wrapText="1"/>
    </xf>
    <xf numFmtId="0" fontId="27" fillId="0" borderId="71" xfId="0" applyFont="1" applyBorder="1" applyAlignment="1">
      <alignment horizontal="center" vertical="top" wrapText="1"/>
    </xf>
    <xf numFmtId="0" fontId="27" fillId="0" borderId="0" xfId="0" applyFont="1" applyBorder="1" applyAlignment="1">
      <alignment horizontal="left" vertical="top" wrapText="1"/>
    </xf>
    <xf numFmtId="0" fontId="27" fillId="0" borderId="54" xfId="0" applyFont="1" applyFill="1" applyBorder="1" applyAlignment="1">
      <alignment horizontal="center" wrapText="1"/>
    </xf>
    <xf numFmtId="0" fontId="27" fillId="0" borderId="10" xfId="0" applyFont="1" applyBorder="1" applyAlignment="1">
      <alignment horizontal="center" vertical="center" wrapText="1"/>
    </xf>
    <xf numFmtId="0" fontId="27" fillId="0" borderId="15" xfId="0" applyFont="1" applyFill="1" applyBorder="1" applyAlignment="1">
      <alignment horizontal="center" vertical="center" wrapText="1"/>
    </xf>
    <xf numFmtId="0" fontId="27" fillId="0" borderId="17" xfId="0" applyFont="1" applyBorder="1" applyAlignment="1">
      <alignment horizontal="center" wrapText="1"/>
    </xf>
    <xf numFmtId="0" fontId="27" fillId="0" borderId="70" xfId="0" applyFont="1" applyBorder="1" applyAlignment="1">
      <alignment horizontal="center" wrapText="1"/>
    </xf>
    <xf numFmtId="0" fontId="27" fillId="0" borderId="71" xfId="0" applyFont="1" applyBorder="1" applyAlignment="1">
      <alignment horizontal="center" wrapText="1"/>
    </xf>
    <xf numFmtId="0" fontId="27" fillId="0" borderId="39" xfId="0" applyFont="1" applyBorder="1" applyAlignment="1">
      <alignment horizontal="center" vertical="top" wrapText="1"/>
    </xf>
    <xf numFmtId="0" fontId="27" fillId="0" borderId="38" xfId="0" applyFont="1" applyBorder="1" applyAlignment="1">
      <alignment horizontal="center" vertical="top" wrapText="1"/>
    </xf>
    <xf numFmtId="0" fontId="44" fillId="0" borderId="0" xfId="0" applyFont="1" applyBorder="1" applyAlignment="1">
      <alignment horizontal="left" vertical="center"/>
    </xf>
    <xf numFmtId="0" fontId="27" fillId="0" borderId="6"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38" fillId="0" borderId="58" xfId="0" applyFont="1" applyBorder="1" applyAlignment="1">
      <alignment horizontal="left" vertical="center"/>
    </xf>
    <xf numFmtId="0" fontId="38" fillId="0" borderId="34" xfId="0" applyFont="1" applyBorder="1" applyAlignment="1">
      <alignment horizontal="left" vertical="center"/>
    </xf>
    <xf numFmtId="0" fontId="38" fillId="0" borderId="26" xfId="0" applyFont="1" applyFill="1" applyBorder="1" applyAlignment="1">
      <alignment horizontal="left" vertical="center" wrapText="1"/>
    </xf>
    <xf numFmtId="0" fontId="27" fillId="0" borderId="7" xfId="0" applyFont="1" applyFill="1" applyBorder="1" applyAlignment="1">
      <alignment horizontal="center" vertical="center" wrapText="1"/>
    </xf>
    <xf numFmtId="0" fontId="30" fillId="0" borderId="72" xfId="0" applyFont="1" applyFill="1" applyBorder="1" applyAlignment="1">
      <alignment horizontal="center" vertical="center" wrapText="1"/>
    </xf>
    <xf numFmtId="0" fontId="30" fillId="0" borderId="28" xfId="0" applyFont="1" applyFill="1" applyBorder="1" applyAlignment="1">
      <alignment horizontal="center" vertical="center" wrapText="1"/>
    </xf>
    <xf numFmtId="0" fontId="27" fillId="0" borderId="46" xfId="0" applyFont="1" applyFill="1" applyBorder="1" applyAlignment="1">
      <alignment horizontal="center" vertical="center" wrapText="1"/>
    </xf>
    <xf numFmtId="0" fontId="27" fillId="0" borderId="59" xfId="0" applyFont="1" applyFill="1" applyBorder="1" applyAlignment="1">
      <alignment horizontal="center" vertical="center" wrapText="1"/>
    </xf>
    <xf numFmtId="0" fontId="27" fillId="0" borderId="8" xfId="0"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49350973985397"/>
          <c:y val="9.2464515688250468E-2"/>
          <c:w val="0.80413091220740263"/>
          <c:h val="0.79582899209182356"/>
        </c:manualLayout>
      </c:layout>
      <c:scatterChart>
        <c:scatterStyle val="lineMarker"/>
        <c:varyColors val="0"/>
        <c:ser>
          <c:idx val="0"/>
          <c:order val="0"/>
          <c:tx>
            <c:strRef>
              <c:f>'III.2 CEA'!$A$5:$B$5</c:f>
              <c:strCache>
                <c:ptCount val="1"/>
                <c:pt idx="0">
                  <c:v>1 Build Seawall </c:v>
                </c:pt>
              </c:strCache>
            </c:strRef>
          </c:tx>
          <c:spPr>
            <a:ln w="28575">
              <a:noFill/>
            </a:ln>
          </c:spPr>
          <c:marker>
            <c:symbol val="circle"/>
            <c:size val="5"/>
            <c:spPr>
              <a:solidFill>
                <a:schemeClr val="accent1"/>
              </a:solidFill>
              <a:ln w="9525">
                <a:solidFill>
                  <a:schemeClr val="accent1"/>
                </a:solidFill>
              </a:ln>
              <a:effectLst/>
            </c:spPr>
          </c:marker>
          <c:dLbls>
            <c:dLbl>
              <c:idx val="0"/>
              <c:layout>
                <c:manualLayout>
                  <c:x val="1.8042470672221374E-2"/>
                  <c:y val="-2.6030368763557483E-2"/>
                </c:manualLayout>
              </c:layout>
              <c:spPr>
                <a:noFill/>
                <a:ln w="25400">
                  <a:noFill/>
                </a:ln>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826-466A-B95D-28D4BA796555}"/>
                </c:ext>
              </c:extLst>
            </c:dLbl>
            <c:spPr>
              <a:solidFill>
                <a:srgbClr val="FFFF00"/>
              </a:solid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xVal>
            <c:numRef>
              <c:f>'III.2 CEA'!$D$12</c:f>
              <c:numCache>
                <c:formatCode>_(* #,##0_);_(* \(#,##0\);_(* "-"??_);_(@_)</c:formatCode>
                <c:ptCount val="1"/>
                <c:pt idx="0">
                  <c:v>1200000</c:v>
                </c:pt>
              </c:numCache>
            </c:numRef>
          </c:xVal>
          <c:yVal>
            <c:numRef>
              <c:f>'III.2 CEA'!$C$12</c:f>
              <c:numCache>
                <c:formatCode>"$"#,##0</c:formatCode>
                <c:ptCount val="1"/>
                <c:pt idx="0">
                  <c:v>5776874.2423095023</c:v>
                </c:pt>
              </c:numCache>
            </c:numRef>
          </c:yVal>
          <c:smooth val="0"/>
          <c:extLst>
            <c:ext xmlns:c16="http://schemas.microsoft.com/office/drawing/2014/chart" uri="{C3380CC4-5D6E-409C-BE32-E72D297353CC}">
              <c16:uniqueId val="{00000001-C826-466A-B95D-28D4BA796555}"/>
            </c:ext>
          </c:extLst>
        </c:ser>
        <c:ser>
          <c:idx val="1"/>
          <c:order val="1"/>
          <c:tx>
            <c:strRef>
              <c:f>'III.2 CEA'!$A$13:$B$13</c:f>
              <c:strCache>
                <c:ptCount val="1"/>
                <c:pt idx="0">
                  <c:v>2 Install Floodgate</c:v>
                </c:pt>
              </c:strCache>
            </c:strRef>
          </c:tx>
          <c:spPr>
            <a:ln w="28575">
              <a:noFill/>
            </a:ln>
          </c:spPr>
          <c:marker>
            <c:symbol val="circle"/>
            <c:size val="5"/>
            <c:spPr>
              <a:solidFill>
                <a:schemeClr val="accent2"/>
              </a:solidFill>
              <a:ln w="9525">
                <a:solidFill>
                  <a:schemeClr val="accent2"/>
                </a:solidFill>
              </a:ln>
              <a:effectLst/>
            </c:spPr>
          </c:marker>
          <c:dLbls>
            <c:dLbl>
              <c:idx val="0"/>
              <c:layout>
                <c:manualLayout>
                  <c:x val="-6.5696010584601644E-2"/>
                  <c:y val="-0.14469539133695256"/>
                </c:manualLayout>
              </c:layout>
              <c:spPr>
                <a:noFill/>
                <a:ln w="25400">
                  <a:noFill/>
                </a:ln>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826-466A-B95D-28D4BA796555}"/>
                </c:ext>
              </c:extLst>
            </c:dLbl>
            <c:spPr>
              <a:solidFill>
                <a:srgbClr val="FFFF00"/>
              </a:solid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xVal>
            <c:numRef>
              <c:f>'III.2 CEA'!$D$16</c:f>
              <c:numCache>
                <c:formatCode>_(* #,##0_);_(* \(#,##0\);_(* "-"??_);_(@_)</c:formatCode>
                <c:ptCount val="1"/>
                <c:pt idx="0">
                  <c:v>600000</c:v>
                </c:pt>
              </c:numCache>
            </c:numRef>
          </c:xVal>
          <c:yVal>
            <c:numRef>
              <c:f>'III.2 CEA'!$C$16</c:f>
              <c:numCache>
                <c:formatCode>"$"#,##0</c:formatCode>
                <c:ptCount val="1"/>
                <c:pt idx="0">
                  <c:v>144421.0256368402</c:v>
                </c:pt>
              </c:numCache>
            </c:numRef>
          </c:yVal>
          <c:smooth val="0"/>
          <c:extLst>
            <c:ext xmlns:c16="http://schemas.microsoft.com/office/drawing/2014/chart" uri="{C3380CC4-5D6E-409C-BE32-E72D297353CC}">
              <c16:uniqueId val="{00000003-C826-466A-B95D-28D4BA796555}"/>
            </c:ext>
          </c:extLst>
        </c:ser>
        <c:ser>
          <c:idx val="2"/>
          <c:order val="2"/>
          <c:tx>
            <c:strRef>
              <c:f>'III.2 CEA'!$A$17:$B$17</c:f>
              <c:strCache>
                <c:ptCount val="1"/>
                <c:pt idx="0">
                  <c:v>3 Install Breakwater</c:v>
                </c:pt>
              </c:strCache>
            </c:strRef>
          </c:tx>
          <c:spPr>
            <a:ln w="28575">
              <a:noFill/>
            </a:ln>
          </c:spPr>
          <c:marker>
            <c:symbol val="circle"/>
            <c:size val="5"/>
            <c:spPr>
              <a:solidFill>
                <a:schemeClr val="accent3"/>
              </a:solidFill>
              <a:ln w="9525">
                <a:solidFill>
                  <a:schemeClr val="accent3"/>
                </a:solidFill>
              </a:ln>
              <a:effectLst/>
            </c:spPr>
          </c:marker>
          <c:dLbls>
            <c:dLbl>
              <c:idx val="0"/>
              <c:layout>
                <c:manualLayout>
                  <c:x val="-9.2016238159675232E-2"/>
                  <c:y val="-6.6522053506869225E-2"/>
                </c:manualLayout>
              </c:layout>
              <c:spPr>
                <a:noFill/>
                <a:ln w="25400">
                  <a:noFill/>
                </a:ln>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826-466A-B95D-28D4BA796555}"/>
                </c:ext>
              </c:extLst>
            </c:dLbl>
            <c:spPr>
              <a:noFill/>
              <a:ln w="25400">
                <a:noFill/>
              </a:ln>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xVal>
            <c:numRef>
              <c:f>'III.2 CEA'!$D$20</c:f>
              <c:numCache>
                <c:formatCode>_(* #,##0_);_(* \(#,##0\);_(* "-"??_);_(@_)</c:formatCode>
                <c:ptCount val="1"/>
                <c:pt idx="0">
                  <c:v>600000</c:v>
                </c:pt>
              </c:numCache>
            </c:numRef>
          </c:xVal>
          <c:yVal>
            <c:numRef>
              <c:f>'III.2 CEA'!$C$20</c:f>
              <c:numCache>
                <c:formatCode>"$"#,##0</c:formatCode>
                <c:ptCount val="1"/>
                <c:pt idx="0">
                  <c:v>6500000</c:v>
                </c:pt>
              </c:numCache>
            </c:numRef>
          </c:yVal>
          <c:smooth val="0"/>
          <c:extLst>
            <c:ext xmlns:c16="http://schemas.microsoft.com/office/drawing/2014/chart" uri="{C3380CC4-5D6E-409C-BE32-E72D297353CC}">
              <c16:uniqueId val="{00000005-C826-466A-B95D-28D4BA796555}"/>
            </c:ext>
          </c:extLst>
        </c:ser>
        <c:ser>
          <c:idx val="3"/>
          <c:order val="3"/>
          <c:tx>
            <c:strRef>
              <c:f>'III.2 CEA'!$A$21:$B$21</c:f>
              <c:strCache>
                <c:ptCount val="1"/>
                <c:pt idx="0">
                  <c:v>4 Restore Marsh</c:v>
                </c:pt>
              </c:strCache>
            </c:strRef>
          </c:tx>
          <c:spPr>
            <a:ln w="28575">
              <a:noFill/>
            </a:ln>
          </c:spPr>
          <c:marker>
            <c:symbol val="circle"/>
            <c:size val="5"/>
            <c:spPr>
              <a:solidFill>
                <a:schemeClr val="accent4"/>
              </a:solidFill>
              <a:ln w="9525">
                <a:solidFill>
                  <a:schemeClr val="accent4"/>
                </a:solidFill>
              </a:ln>
              <a:effectLst/>
            </c:spPr>
          </c:marker>
          <c:dLbls>
            <c:dLbl>
              <c:idx val="0"/>
              <c:layout>
                <c:manualLayout>
                  <c:x val="-0.17246749229996006"/>
                  <c:y val="-6.4809507507213773E-2"/>
                </c:manualLayout>
              </c:layout>
              <c:spPr>
                <a:noFill/>
                <a:ln w="25400">
                  <a:noFill/>
                </a:ln>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826-466A-B95D-28D4BA796555}"/>
                </c:ext>
              </c:extLst>
            </c:dLbl>
            <c:spPr>
              <a:solidFill>
                <a:srgbClr val="FFFF00"/>
              </a:solidFill>
              <a:ln w="25400">
                <a:noFill/>
              </a:ln>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xVal>
            <c:numRef>
              <c:f>'III.2 CEA'!$D$24</c:f>
              <c:numCache>
                <c:formatCode>_(* #,##0_);_(* \(#,##0\);_(* "-"??_);_(@_)</c:formatCode>
                <c:ptCount val="1"/>
                <c:pt idx="0">
                  <c:v>500000</c:v>
                </c:pt>
              </c:numCache>
            </c:numRef>
          </c:xVal>
          <c:yVal>
            <c:numRef>
              <c:f>'III.2 CEA'!$C$24</c:f>
              <c:numCache>
                <c:formatCode>"$"#,##0</c:formatCode>
                <c:ptCount val="1"/>
                <c:pt idx="0">
                  <c:v>225437.69855506762</c:v>
                </c:pt>
              </c:numCache>
            </c:numRef>
          </c:yVal>
          <c:smooth val="0"/>
          <c:extLst>
            <c:ext xmlns:c16="http://schemas.microsoft.com/office/drawing/2014/chart" uri="{C3380CC4-5D6E-409C-BE32-E72D297353CC}">
              <c16:uniqueId val="{00000007-C826-466A-B95D-28D4BA796555}"/>
            </c:ext>
          </c:extLst>
        </c:ser>
        <c:ser>
          <c:idx val="4"/>
          <c:order val="4"/>
          <c:tx>
            <c:strRef>
              <c:f>'III.2 CEA'!$A$25:$B$25</c:f>
              <c:strCache>
                <c:ptCount val="1"/>
                <c:pt idx="0">
                  <c:v>6 Install Oyster Reef</c:v>
                </c:pt>
              </c:strCache>
            </c:strRef>
          </c:tx>
          <c:spPr>
            <a:ln w="28575">
              <a:noFill/>
            </a:ln>
          </c:spPr>
          <c:marker>
            <c:symbol val="circle"/>
            <c:size val="5"/>
            <c:spPr>
              <a:solidFill>
                <a:schemeClr val="accent5"/>
              </a:solidFill>
              <a:ln w="9525">
                <a:solidFill>
                  <a:schemeClr val="accent5"/>
                </a:solidFill>
              </a:ln>
              <a:effectLst/>
            </c:spPr>
          </c:marker>
          <c:dLbls>
            <c:dLbl>
              <c:idx val="0"/>
              <c:layout>
                <c:manualLayout>
                  <c:x val="1.9846639603067207E-2"/>
                  <c:y val="-2.6030368763557483E-2"/>
                </c:manualLayout>
              </c:layout>
              <c:spPr>
                <a:noFill/>
                <a:ln w="25400">
                  <a:noFill/>
                </a:ln>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826-466A-B95D-28D4BA796555}"/>
                </c:ext>
              </c:extLst>
            </c:dLbl>
            <c:spPr>
              <a:solidFill>
                <a:srgbClr val="FFFF00"/>
              </a:solid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xVal>
            <c:numRef>
              <c:f>'III.2 CEA'!$D$26</c:f>
              <c:numCache>
                <c:formatCode>_(* #,##0_);_(* \(#,##0\);_(* "-"??_);_(@_)</c:formatCode>
                <c:ptCount val="1"/>
                <c:pt idx="0">
                  <c:v>1200000</c:v>
                </c:pt>
              </c:numCache>
            </c:numRef>
          </c:xVal>
          <c:yVal>
            <c:numRef>
              <c:f>'III.2 CEA'!$C$26</c:f>
              <c:numCache>
                <c:formatCode>"$"#,##0</c:formatCode>
                <c:ptCount val="1"/>
                <c:pt idx="0">
                  <c:v>1535641.7488570672</c:v>
                </c:pt>
              </c:numCache>
            </c:numRef>
          </c:yVal>
          <c:smooth val="0"/>
          <c:extLst>
            <c:ext xmlns:c16="http://schemas.microsoft.com/office/drawing/2014/chart" uri="{C3380CC4-5D6E-409C-BE32-E72D297353CC}">
              <c16:uniqueId val="{00000009-C826-466A-B95D-28D4BA796555}"/>
            </c:ext>
          </c:extLst>
        </c:ser>
        <c:ser>
          <c:idx val="5"/>
          <c:order val="5"/>
          <c:tx>
            <c:strRef>
              <c:f>'III.2 CEA'!$A$27:$B$27</c:f>
              <c:strCache>
                <c:ptCount val="1"/>
                <c:pt idx="0">
                  <c:v>7 Relocate HQ Complex</c:v>
                </c:pt>
              </c:strCache>
            </c:strRef>
          </c:tx>
          <c:spPr>
            <a:ln w="28575">
              <a:noFill/>
            </a:ln>
          </c:spPr>
          <c:marker>
            <c:symbol val="circle"/>
            <c:size val="5"/>
            <c:spPr>
              <a:solidFill>
                <a:schemeClr val="accent6"/>
              </a:solidFill>
              <a:ln w="9525">
                <a:solidFill>
                  <a:schemeClr val="accent6"/>
                </a:solidFill>
              </a:ln>
              <a:effectLst/>
            </c:spPr>
          </c:marker>
          <c:dLbls>
            <c:dLbl>
              <c:idx val="0"/>
              <c:layout>
                <c:manualLayout>
                  <c:x val="-0.12185382104638814"/>
                  <c:y val="6.4222818134717974E-2"/>
                </c:manualLayout>
              </c:layout>
              <c:spPr>
                <a:noFill/>
                <a:ln w="25400">
                  <a:noFill/>
                </a:ln>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826-466A-B95D-28D4BA796555}"/>
                </c:ext>
              </c:extLst>
            </c:dLbl>
            <c:spPr>
              <a:noFill/>
              <a:ln w="25400">
                <a:noFill/>
              </a:ln>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xVal>
            <c:numRef>
              <c:f>'III.2 CEA'!$D$28</c:f>
              <c:numCache>
                <c:formatCode>_(* #,##0_);_(* \(#,##0\);_(* "-"??_);_(@_)</c:formatCode>
                <c:ptCount val="1"/>
                <c:pt idx="0">
                  <c:v>600000</c:v>
                </c:pt>
              </c:numCache>
            </c:numRef>
          </c:xVal>
          <c:yVal>
            <c:numRef>
              <c:f>'III.2 CEA'!$C$28</c:f>
              <c:numCache>
                <c:formatCode>"$"#,##0</c:formatCode>
                <c:ptCount val="1"/>
                <c:pt idx="0">
                  <c:v>15000000</c:v>
                </c:pt>
              </c:numCache>
            </c:numRef>
          </c:yVal>
          <c:smooth val="0"/>
          <c:extLst>
            <c:ext xmlns:c16="http://schemas.microsoft.com/office/drawing/2014/chart" uri="{C3380CC4-5D6E-409C-BE32-E72D297353CC}">
              <c16:uniqueId val="{0000000B-C826-466A-B95D-28D4BA796555}"/>
            </c:ext>
          </c:extLst>
        </c:ser>
        <c:ser>
          <c:idx val="6"/>
          <c:order val="6"/>
          <c:tx>
            <c:strRef>
              <c:f>'III.2 CEA'!$A$29:$B$29</c:f>
              <c:strCache>
                <c:ptCount val="1"/>
                <c:pt idx="0">
                  <c:v>8 Increase maintenance of drainage system</c:v>
                </c:pt>
              </c:strCache>
            </c:strRef>
          </c:tx>
          <c:spPr>
            <a:ln w="28575">
              <a:noFill/>
            </a:ln>
          </c:spPr>
          <c:marker>
            <c:symbol val="circle"/>
            <c:size val="5"/>
            <c:spPr>
              <a:solidFill>
                <a:schemeClr val="accent1">
                  <a:lumMod val="60000"/>
                </a:schemeClr>
              </a:solidFill>
              <a:ln w="9525">
                <a:solidFill>
                  <a:schemeClr val="accent1">
                    <a:lumMod val="60000"/>
                  </a:schemeClr>
                </a:solidFill>
              </a:ln>
              <a:effectLst/>
            </c:spPr>
          </c:marker>
          <c:dLbls>
            <c:dLbl>
              <c:idx val="0"/>
              <c:layout>
                <c:manualLayout>
                  <c:x val="-0.17136301805305473"/>
                  <c:y val="1.1569052783803326E-2"/>
                </c:manualLayout>
              </c:layout>
              <c:spPr>
                <a:noFill/>
                <a:ln w="25400">
                  <a:noFill/>
                </a:ln>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826-466A-B95D-28D4BA796555}"/>
                </c:ext>
              </c:extLst>
            </c:dLbl>
            <c:spPr>
              <a:noFill/>
              <a:ln w="25400">
                <a:noFill/>
              </a:ln>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l"/>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xVal>
            <c:numRef>
              <c:f>'III.2 CEA'!$D$30</c:f>
              <c:numCache>
                <c:formatCode>_(* #,##0_);_(* \(#,##0\);_(* "-"??_);_(@_)</c:formatCode>
                <c:ptCount val="1"/>
                <c:pt idx="0">
                  <c:v>2250000</c:v>
                </c:pt>
              </c:numCache>
            </c:numRef>
          </c:xVal>
          <c:yVal>
            <c:numRef>
              <c:f>'III.2 CEA'!$C$30</c:f>
              <c:numCache>
                <c:formatCode>"$"#,##0</c:formatCode>
                <c:ptCount val="1"/>
                <c:pt idx="0">
                  <c:v>15000000</c:v>
                </c:pt>
              </c:numCache>
            </c:numRef>
          </c:yVal>
          <c:smooth val="0"/>
          <c:extLst>
            <c:ext xmlns:c16="http://schemas.microsoft.com/office/drawing/2014/chart" uri="{C3380CC4-5D6E-409C-BE32-E72D297353CC}">
              <c16:uniqueId val="{0000000D-C826-466A-B95D-28D4BA796555}"/>
            </c:ext>
          </c:extLst>
        </c:ser>
        <c:dLbls>
          <c:showLegendKey val="0"/>
          <c:showVal val="0"/>
          <c:showCatName val="0"/>
          <c:showSerName val="0"/>
          <c:showPercent val="0"/>
          <c:showBubbleSize val="0"/>
        </c:dLbls>
        <c:axId val="1265339151"/>
        <c:axId val="1"/>
      </c:scatterChart>
      <c:valAx>
        <c:axId val="126533915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sz="1050" b="1"/>
                  <a:t>Sq. Ft. </a:t>
                </a:r>
                <a:r>
                  <a:rPr lang="en-US" sz="1050" b="1" baseline="0"/>
                  <a:t>Protected</a:t>
                </a:r>
                <a:endParaRPr lang="en-US" sz="1050" b="1"/>
              </a:p>
            </c:rich>
          </c:tx>
          <c:overlay val="0"/>
          <c:spPr>
            <a:noFill/>
            <a:ln w="25400">
              <a:noFill/>
            </a:ln>
          </c:spPr>
        </c:title>
        <c:numFmt formatCode="_(* #,##0_);_(* \(#,##0\);_(* &quot;-&quot;??_);_(@_)"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val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sz="1050" b="1"/>
                  <a:t>Total Cost</a:t>
                </a:r>
              </a:p>
            </c:rich>
          </c:tx>
          <c:layout>
            <c:manualLayout>
              <c:xMode val="edge"/>
              <c:yMode val="edge"/>
              <c:x val="2.3255702793248408E-2"/>
              <c:y val="2.0550533650086907E-2"/>
            </c:manualLayout>
          </c:layout>
          <c:overlay val="0"/>
          <c:spPr>
            <a:noFill/>
            <a:ln w="25400">
              <a:noFill/>
            </a:ln>
          </c:spPr>
        </c:title>
        <c:numFmt formatCode="&quot;$&quot;#,##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339151"/>
        <c:crosses val="autoZero"/>
        <c:crossBetween val="midCat"/>
        <c:majorUnit val="2500000"/>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1409428</xdr:colOff>
      <xdr:row>19</xdr:row>
      <xdr:rowOff>63952</xdr:rowOff>
    </xdr:from>
    <xdr:to>
      <xdr:col>0</xdr:col>
      <xdr:colOff>1605371</xdr:colOff>
      <xdr:row>20</xdr:row>
      <xdr:rowOff>126475</xdr:rowOff>
    </xdr:to>
    <xdr:sp macro="" textlink="">
      <xdr:nvSpPr>
        <xdr:cNvPr id="2" name="Down Arrow 1">
          <a:extLst>
            <a:ext uri="{FF2B5EF4-FFF2-40B4-BE49-F238E27FC236}">
              <a16:creationId xmlns:a16="http://schemas.microsoft.com/office/drawing/2014/main" id="{D10E6EE3-4360-2F4A-A901-3FFA6624D1C7}"/>
            </a:ext>
          </a:extLst>
        </xdr:cNvPr>
        <xdr:cNvSpPr/>
      </xdr:nvSpPr>
      <xdr:spPr>
        <a:xfrm>
          <a:off x="1415143" y="5538106"/>
          <a:ext cx="190500" cy="25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xdr:col>
      <xdr:colOff>424543</xdr:colOff>
      <xdr:row>17</xdr:row>
      <xdr:rowOff>95251</xdr:rowOff>
    </xdr:from>
    <xdr:to>
      <xdr:col>1</xdr:col>
      <xdr:colOff>656220</xdr:colOff>
      <xdr:row>18</xdr:row>
      <xdr:rowOff>100944</xdr:rowOff>
    </xdr:to>
    <xdr:sp macro="" textlink="">
      <xdr:nvSpPr>
        <xdr:cNvPr id="3" name="Right Arrow 2">
          <a:extLst>
            <a:ext uri="{FF2B5EF4-FFF2-40B4-BE49-F238E27FC236}">
              <a16:creationId xmlns:a16="http://schemas.microsoft.com/office/drawing/2014/main" id="{152982B8-E6E1-4DAD-A95B-4BB2C295EBE3}"/>
            </a:ext>
          </a:extLst>
        </xdr:cNvPr>
        <xdr:cNvSpPr/>
      </xdr:nvSpPr>
      <xdr:spPr>
        <a:xfrm>
          <a:off x="2339068" y="4591051"/>
          <a:ext cx="231322" cy="200024"/>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1438752</xdr:colOff>
      <xdr:row>11</xdr:row>
      <xdr:rowOff>166687</xdr:rowOff>
    </xdr:from>
    <xdr:to>
      <xdr:col>0</xdr:col>
      <xdr:colOff>1669500</xdr:colOff>
      <xdr:row>12</xdr:row>
      <xdr:rowOff>182705</xdr:rowOff>
    </xdr:to>
    <xdr:sp macro="" textlink="">
      <xdr:nvSpPr>
        <xdr:cNvPr id="2" name="Right Arrow 1">
          <a:extLst>
            <a:ext uri="{FF2B5EF4-FFF2-40B4-BE49-F238E27FC236}">
              <a16:creationId xmlns:a16="http://schemas.microsoft.com/office/drawing/2014/main" id="{1C8B2C51-06AD-D9B0-6965-BF792F0FE013}"/>
            </a:ext>
          </a:extLst>
        </xdr:cNvPr>
        <xdr:cNvSpPr/>
      </xdr:nvSpPr>
      <xdr:spPr>
        <a:xfrm>
          <a:off x="1440657" y="3071812"/>
          <a:ext cx="231322" cy="204106"/>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1143001</xdr:colOff>
      <xdr:row>13</xdr:row>
      <xdr:rowOff>55720</xdr:rowOff>
    </xdr:from>
    <xdr:to>
      <xdr:col>0</xdr:col>
      <xdr:colOff>1333501</xdr:colOff>
      <xdr:row>14</xdr:row>
      <xdr:rowOff>131449</xdr:rowOff>
    </xdr:to>
    <xdr:sp macro="" textlink="">
      <xdr:nvSpPr>
        <xdr:cNvPr id="3" name="Down Arrow 2">
          <a:extLst>
            <a:ext uri="{FF2B5EF4-FFF2-40B4-BE49-F238E27FC236}">
              <a16:creationId xmlns:a16="http://schemas.microsoft.com/office/drawing/2014/main" id="{DD13E9A1-5D6B-65EC-567D-1BA1419F3646}"/>
            </a:ext>
          </a:extLst>
        </xdr:cNvPr>
        <xdr:cNvSpPr/>
      </xdr:nvSpPr>
      <xdr:spPr>
        <a:xfrm>
          <a:off x="1143001" y="3345655"/>
          <a:ext cx="190500" cy="25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1396842</xdr:colOff>
      <xdr:row>16</xdr:row>
      <xdr:rowOff>188594</xdr:rowOff>
    </xdr:from>
    <xdr:to>
      <xdr:col>0</xdr:col>
      <xdr:colOff>1640792</xdr:colOff>
      <xdr:row>16</xdr:row>
      <xdr:rowOff>392081</xdr:rowOff>
    </xdr:to>
    <xdr:sp macro="" textlink="">
      <xdr:nvSpPr>
        <xdr:cNvPr id="4" name="Right Arrow 3">
          <a:extLst>
            <a:ext uri="{FF2B5EF4-FFF2-40B4-BE49-F238E27FC236}">
              <a16:creationId xmlns:a16="http://schemas.microsoft.com/office/drawing/2014/main" id="{272B99E7-8B8A-7B0B-A45A-F19B8BDE4658}"/>
            </a:ext>
          </a:extLst>
        </xdr:cNvPr>
        <xdr:cNvSpPr/>
      </xdr:nvSpPr>
      <xdr:spPr>
        <a:xfrm>
          <a:off x="1402557" y="4510087"/>
          <a:ext cx="231322" cy="204106"/>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956311</xdr:colOff>
      <xdr:row>17</xdr:row>
      <xdr:rowOff>166686</xdr:rowOff>
    </xdr:from>
    <xdr:to>
      <xdr:col>0</xdr:col>
      <xdr:colOff>1152254</xdr:colOff>
      <xdr:row>18</xdr:row>
      <xdr:rowOff>2553</xdr:rowOff>
    </xdr:to>
    <xdr:sp macro="" textlink="">
      <xdr:nvSpPr>
        <xdr:cNvPr id="5" name="Down Arrow 4">
          <a:extLst>
            <a:ext uri="{FF2B5EF4-FFF2-40B4-BE49-F238E27FC236}">
              <a16:creationId xmlns:a16="http://schemas.microsoft.com/office/drawing/2014/main" id="{C97645F4-CA39-DEF0-7A51-8259B7011B7D}"/>
            </a:ext>
          </a:extLst>
        </xdr:cNvPr>
        <xdr:cNvSpPr/>
      </xdr:nvSpPr>
      <xdr:spPr>
        <a:xfrm>
          <a:off x="962026" y="4974430"/>
          <a:ext cx="190500" cy="25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495300</xdr:colOff>
      <xdr:row>3</xdr:row>
      <xdr:rowOff>0</xdr:rowOff>
    </xdr:from>
    <xdr:to>
      <xdr:col>15</xdr:col>
      <xdr:colOff>38100</xdr:colOff>
      <xdr:row>39</xdr:row>
      <xdr:rowOff>95250</xdr:rowOff>
    </xdr:to>
    <xdr:graphicFrame macro="">
      <xdr:nvGraphicFramePr>
        <xdr:cNvPr id="15504" name="Chart 1">
          <a:extLst>
            <a:ext uri="{FF2B5EF4-FFF2-40B4-BE49-F238E27FC236}">
              <a16:creationId xmlns:a16="http://schemas.microsoft.com/office/drawing/2014/main" id="{39DF6F01-5F17-2CA2-0238-DD84CC06C4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95250</xdr:colOff>
      <xdr:row>67</xdr:row>
      <xdr:rowOff>9525</xdr:rowOff>
    </xdr:from>
    <xdr:to>
      <xdr:col>9</xdr:col>
      <xdr:colOff>828675</xdr:colOff>
      <xdr:row>70</xdr:row>
      <xdr:rowOff>419100</xdr:rowOff>
    </xdr:to>
    <xdr:pic>
      <xdr:nvPicPr>
        <xdr:cNvPr id="16523" name="Picture 1">
          <a:extLst>
            <a:ext uri="{FF2B5EF4-FFF2-40B4-BE49-F238E27FC236}">
              <a16:creationId xmlns:a16="http://schemas.microsoft.com/office/drawing/2014/main" id="{5401B280-FEB7-1976-EBA5-CDE0BB931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29600" y="12277725"/>
          <a:ext cx="733425" cy="1162050"/>
        </a:xfrm>
        <a:prstGeom prst="rect">
          <a:avLst/>
        </a:prstGeom>
        <a:solidFill>
          <a:srgbClr val="EBF1DE"/>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2245A-C648-4DE4-9680-604B4D001384}">
  <sheetPr>
    <pageSetUpPr fitToPage="1"/>
  </sheetPr>
  <dimension ref="A1:B31"/>
  <sheetViews>
    <sheetView view="pageBreakPreview" topLeftCell="A7" zoomScaleNormal="100" zoomScaleSheetLayoutView="100" workbookViewId="0">
      <selection activeCell="N24" sqref="N24"/>
    </sheetView>
  </sheetViews>
  <sheetFormatPr defaultRowHeight="15" x14ac:dyDescent="0.25"/>
  <cols>
    <col min="2" max="2" width="57.140625" customWidth="1"/>
    <col min="7" max="7" width="13.42578125" customWidth="1"/>
  </cols>
  <sheetData>
    <row r="1" spans="1:2" ht="15.75" x14ac:dyDescent="0.25">
      <c r="A1" s="35" t="s">
        <v>525</v>
      </c>
    </row>
    <row r="3" spans="1:2" x14ac:dyDescent="0.25">
      <c r="A3" s="36" t="s">
        <v>217</v>
      </c>
    </row>
    <row r="4" spans="1:2" x14ac:dyDescent="0.25">
      <c r="B4" t="s">
        <v>218</v>
      </c>
    </row>
    <row r="5" spans="1:2" x14ac:dyDescent="0.25">
      <c r="B5" t="s">
        <v>219</v>
      </c>
    </row>
    <row r="6" spans="1:2" x14ac:dyDescent="0.25">
      <c r="B6" t="s">
        <v>37</v>
      </c>
    </row>
    <row r="7" spans="1:2" x14ac:dyDescent="0.25">
      <c r="B7" t="s">
        <v>220</v>
      </c>
    </row>
    <row r="8" spans="1:2" x14ac:dyDescent="0.25">
      <c r="B8" t="s">
        <v>526</v>
      </c>
    </row>
    <row r="9" spans="1:2" x14ac:dyDescent="0.25">
      <c r="B9" t="s">
        <v>58</v>
      </c>
    </row>
    <row r="10" spans="1:2" x14ac:dyDescent="0.25">
      <c r="B10" t="s">
        <v>59</v>
      </c>
    </row>
    <row r="12" spans="1:2" ht="15" customHeight="1" x14ac:dyDescent="0.25">
      <c r="A12" s="36" t="s">
        <v>673</v>
      </c>
    </row>
    <row r="13" spans="1:2" x14ac:dyDescent="0.25">
      <c r="B13" t="s">
        <v>36</v>
      </c>
    </row>
    <row r="15" spans="1:2" x14ac:dyDescent="0.25">
      <c r="A15" s="36" t="s">
        <v>221</v>
      </c>
    </row>
    <row r="16" spans="1:2" x14ac:dyDescent="0.25">
      <c r="B16" t="s">
        <v>675</v>
      </c>
    </row>
    <row r="17" spans="1:2" x14ac:dyDescent="0.25">
      <c r="B17" t="s">
        <v>222</v>
      </c>
    </row>
    <row r="18" spans="1:2" x14ac:dyDescent="0.25">
      <c r="B18" t="s">
        <v>577</v>
      </c>
    </row>
    <row r="19" spans="1:2" x14ac:dyDescent="0.25">
      <c r="B19" t="s">
        <v>223</v>
      </c>
    </row>
    <row r="20" spans="1:2" x14ac:dyDescent="0.25">
      <c r="B20" t="s">
        <v>674</v>
      </c>
    </row>
    <row r="21" spans="1:2" x14ac:dyDescent="0.25">
      <c r="B21" t="s">
        <v>491</v>
      </c>
    </row>
    <row r="22" spans="1:2" x14ac:dyDescent="0.25">
      <c r="B22" t="s">
        <v>502</v>
      </c>
    </row>
    <row r="23" spans="1:2" x14ac:dyDescent="0.25">
      <c r="B23" t="s">
        <v>492</v>
      </c>
    </row>
    <row r="24" spans="1:2" x14ac:dyDescent="0.25">
      <c r="B24" t="s">
        <v>493</v>
      </c>
    </row>
    <row r="26" spans="1:2" x14ac:dyDescent="0.25">
      <c r="A26" s="16" t="s">
        <v>224</v>
      </c>
    </row>
    <row r="27" spans="1:2" x14ac:dyDescent="0.25">
      <c r="B27" t="s">
        <v>225</v>
      </c>
    </row>
    <row r="29" spans="1:2" x14ac:dyDescent="0.25">
      <c r="B29" s="112" t="s">
        <v>38</v>
      </c>
    </row>
    <row r="30" spans="1:2" x14ac:dyDescent="0.25">
      <c r="B30" s="37" t="s">
        <v>215</v>
      </c>
    </row>
    <row r="31" spans="1:2" x14ac:dyDescent="0.25">
      <c r="B31" s="113" t="s">
        <v>216</v>
      </c>
    </row>
  </sheetData>
  <customSheetViews>
    <customSheetView guid="{E4212B35-3167-45C2-BD72-B3516EB52D76}">
      <selection activeCell="B12" sqref="B12"/>
      <pageMargins left="0.7" right="0.7" top="0.75" bottom="0.75" header="0.3" footer="0.3"/>
      <pageSetup orientation="landscape" r:id="rId1"/>
    </customSheetView>
  </customSheetViews>
  <pageMargins left="0.7" right="0.7" top="0.75" bottom="0.75" header="0.3" footer="0.3"/>
  <pageSetup orientation="landscape" cellComments="asDisplayed"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FC87B-BD16-416D-B0F4-A98A7D1AE6DA}">
  <dimension ref="A1:IV26"/>
  <sheetViews>
    <sheetView view="pageBreakPreview" topLeftCell="A3" zoomScaleNormal="90" zoomScaleSheetLayoutView="100" workbookViewId="0">
      <selection activeCell="N24" sqref="N24"/>
    </sheetView>
  </sheetViews>
  <sheetFormatPr defaultRowHeight="12.75" x14ac:dyDescent="0.2"/>
  <cols>
    <col min="1" max="1" width="10.42578125" style="115" customWidth="1"/>
    <col min="2" max="2" width="32.140625" style="114" customWidth="1"/>
    <col min="3" max="4" width="55.5703125" style="114" customWidth="1"/>
    <col min="5" max="5" width="31.140625" style="114" customWidth="1"/>
    <col min="6" max="6" width="30.5703125" style="114" customWidth="1"/>
    <col min="7" max="10" width="29" style="114" customWidth="1"/>
    <col min="11" max="11" width="24" style="114" customWidth="1"/>
    <col min="12" max="16384" width="9.140625" style="114"/>
  </cols>
  <sheetData>
    <row r="1" spans="1:256" ht="15" customHeight="1" x14ac:dyDescent="0.25">
      <c r="A1" s="7" t="s">
        <v>519</v>
      </c>
      <c r="B1" s="7"/>
      <c r="C1" s="500" t="s">
        <v>539</v>
      </c>
      <c r="D1" s="500" t="s">
        <v>540</v>
      </c>
      <c r="E1" s="156" t="s">
        <v>640</v>
      </c>
      <c r="F1" s="7"/>
      <c r="G1" s="7"/>
      <c r="H1" s="7"/>
      <c r="I1" s="7"/>
      <c r="J1" s="7"/>
    </row>
    <row r="2" spans="1:256" ht="20.25" customHeight="1" x14ac:dyDescent="0.25">
      <c r="A2" s="160" t="s">
        <v>484</v>
      </c>
      <c r="B2" s="159"/>
      <c r="C2" s="159"/>
      <c r="D2" s="159"/>
      <c r="G2" s="159"/>
      <c r="H2" s="158"/>
      <c r="I2" s="47" t="s">
        <v>253</v>
      </c>
      <c r="J2" s="158"/>
    </row>
    <row r="3" spans="1:256" ht="33.75" customHeight="1" x14ac:dyDescent="0.25">
      <c r="A3" s="515" t="s">
        <v>500</v>
      </c>
      <c r="B3" s="515"/>
      <c r="C3" s="515"/>
      <c r="D3" s="515"/>
      <c r="E3" s="375"/>
      <c r="F3" s="375"/>
      <c r="G3" s="375"/>
      <c r="H3" s="158"/>
      <c r="I3" s="47"/>
      <c r="J3" s="158"/>
    </row>
    <row r="4" spans="1:256" ht="65.25" customHeight="1" x14ac:dyDescent="0.2">
      <c r="A4" s="29" t="s">
        <v>273</v>
      </c>
      <c r="B4" s="664" t="s">
        <v>586</v>
      </c>
      <c r="C4" s="664"/>
      <c r="D4" s="664"/>
      <c r="E4" s="612" t="s">
        <v>585</v>
      </c>
      <c r="F4" s="569"/>
      <c r="G4" s="569"/>
      <c r="H4" s="569"/>
      <c r="I4" s="569"/>
      <c r="J4" s="613"/>
    </row>
    <row r="5" spans="1:256" ht="19.5" customHeight="1" thickBot="1" x14ac:dyDescent="0.25">
      <c r="A5" s="657" t="s">
        <v>272</v>
      </c>
      <c r="B5" s="657"/>
      <c r="C5" s="657"/>
      <c r="D5" s="657"/>
      <c r="E5" s="376"/>
      <c r="F5" s="376"/>
      <c r="G5" s="661"/>
      <c r="H5" s="661"/>
      <c r="I5" s="661"/>
      <c r="J5" s="661"/>
    </row>
    <row r="6" spans="1:256" s="156" customFormat="1" ht="23.25" customHeight="1" x14ac:dyDescent="0.2">
      <c r="A6" s="662" t="s">
        <v>230</v>
      </c>
      <c r="B6" s="663"/>
      <c r="C6" s="655" t="s">
        <v>582</v>
      </c>
      <c r="D6" s="656"/>
      <c r="E6" s="665" t="s">
        <v>229</v>
      </c>
      <c r="F6" s="665" t="s">
        <v>228</v>
      </c>
      <c r="G6" s="658" t="s">
        <v>589</v>
      </c>
      <c r="H6" s="659"/>
      <c r="I6" s="659"/>
      <c r="J6" s="660"/>
    </row>
    <row r="7" spans="1:256" s="140" customFormat="1" ht="15" x14ac:dyDescent="0.25">
      <c r="A7" s="155" t="s">
        <v>271</v>
      </c>
      <c r="B7" s="154" t="s">
        <v>270</v>
      </c>
      <c r="C7" s="152" t="s">
        <v>269</v>
      </c>
      <c r="D7" s="448" t="s">
        <v>523</v>
      </c>
      <c r="E7" s="666"/>
      <c r="F7" s="666"/>
      <c r="G7" s="152" t="s">
        <v>268</v>
      </c>
      <c r="H7" s="447" t="s">
        <v>267</v>
      </c>
      <c r="I7" s="447" t="s">
        <v>266</v>
      </c>
      <c r="J7" s="151" t="s">
        <v>265</v>
      </c>
    </row>
    <row r="8" spans="1:256" s="142" customFormat="1" ht="16.5" customHeight="1" x14ac:dyDescent="0.2">
      <c r="A8" s="149"/>
      <c r="B8" s="645" t="s">
        <v>264</v>
      </c>
      <c r="C8" s="645"/>
      <c r="D8" s="146"/>
      <c r="E8" s="148"/>
      <c r="F8" s="148"/>
      <c r="G8" s="147"/>
      <c r="H8" s="143"/>
      <c r="I8" s="143"/>
      <c r="J8" s="146"/>
      <c r="K8" s="145"/>
      <c r="L8" s="144"/>
      <c r="M8" s="143"/>
      <c r="N8" s="143"/>
      <c r="O8" s="143"/>
      <c r="P8" s="143"/>
      <c r="Q8" s="143"/>
      <c r="R8" s="143"/>
      <c r="S8" s="143"/>
      <c r="T8" s="143"/>
      <c r="U8" s="145"/>
      <c r="V8" s="144"/>
      <c r="W8" s="143"/>
      <c r="X8" s="143"/>
      <c r="Y8" s="143"/>
      <c r="Z8" s="143"/>
      <c r="AA8" s="143"/>
      <c r="AB8" s="143"/>
      <c r="AC8" s="143"/>
      <c r="AD8" s="143"/>
      <c r="AE8" s="145"/>
      <c r="AF8" s="144"/>
      <c r="AG8" s="143"/>
      <c r="AH8" s="143"/>
      <c r="AI8" s="143"/>
      <c r="AJ8" s="143"/>
      <c r="AK8" s="143"/>
      <c r="AL8" s="143"/>
      <c r="AM8" s="143"/>
      <c r="AN8" s="143"/>
      <c r="AO8" s="145"/>
      <c r="AP8" s="144"/>
      <c r="AQ8" s="143"/>
      <c r="AR8" s="143"/>
      <c r="AS8" s="143"/>
      <c r="AT8" s="143"/>
      <c r="AU8" s="143"/>
      <c r="AV8" s="143"/>
      <c r="AW8" s="143"/>
      <c r="AX8" s="143"/>
      <c r="AY8" s="145"/>
      <c r="AZ8" s="144"/>
      <c r="BA8" s="143"/>
      <c r="BB8" s="143"/>
      <c r="BC8" s="143"/>
      <c r="BD8" s="143"/>
      <c r="BE8" s="143"/>
      <c r="BF8" s="143"/>
      <c r="BG8" s="143"/>
      <c r="BH8" s="143"/>
      <c r="BI8" s="145"/>
      <c r="BJ8" s="144"/>
      <c r="BK8" s="143"/>
      <c r="BL8" s="143"/>
      <c r="BM8" s="143"/>
      <c r="BN8" s="143"/>
      <c r="BO8" s="143"/>
      <c r="BP8" s="143"/>
      <c r="BQ8" s="143"/>
      <c r="BR8" s="143"/>
      <c r="BS8" s="145"/>
      <c r="BT8" s="144"/>
      <c r="BU8" s="143"/>
      <c r="BV8" s="143"/>
      <c r="BW8" s="143"/>
      <c r="BX8" s="143"/>
      <c r="BY8" s="143"/>
      <c r="BZ8" s="143"/>
      <c r="CA8" s="143"/>
      <c r="CB8" s="143"/>
      <c r="CC8" s="145"/>
      <c r="CD8" s="144"/>
      <c r="CE8" s="143"/>
      <c r="CF8" s="143"/>
      <c r="CG8" s="143"/>
      <c r="CH8" s="143"/>
      <c r="CI8" s="143"/>
      <c r="CJ8" s="143"/>
      <c r="CK8" s="143"/>
      <c r="CL8" s="143"/>
      <c r="CM8" s="145"/>
      <c r="CN8" s="144"/>
      <c r="CO8" s="143"/>
      <c r="CP8" s="143"/>
      <c r="CQ8" s="143"/>
      <c r="CR8" s="143"/>
      <c r="CS8" s="143"/>
      <c r="CT8" s="143"/>
      <c r="CU8" s="143"/>
      <c r="CV8" s="143"/>
      <c r="CW8" s="145"/>
      <c r="CX8" s="144"/>
      <c r="CY8" s="143"/>
      <c r="CZ8" s="143"/>
      <c r="DA8" s="143"/>
      <c r="DB8" s="143"/>
      <c r="DC8" s="143"/>
      <c r="DD8" s="143"/>
      <c r="DE8" s="143"/>
      <c r="DF8" s="143"/>
      <c r="DG8" s="145"/>
      <c r="DH8" s="144"/>
      <c r="DI8" s="143"/>
      <c r="DJ8" s="143"/>
      <c r="DK8" s="143"/>
      <c r="DL8" s="143"/>
      <c r="DM8" s="143"/>
      <c r="DN8" s="143"/>
      <c r="DO8" s="143"/>
      <c r="DP8" s="143"/>
      <c r="DQ8" s="145"/>
      <c r="DR8" s="144"/>
      <c r="DS8" s="143"/>
      <c r="DT8" s="143"/>
      <c r="DU8" s="143"/>
      <c r="DV8" s="143"/>
      <c r="DW8" s="143"/>
      <c r="DX8" s="143"/>
      <c r="DY8" s="143"/>
      <c r="DZ8" s="143"/>
      <c r="EA8" s="145"/>
      <c r="EB8" s="144"/>
      <c r="EC8" s="143"/>
      <c r="ED8" s="143"/>
      <c r="EE8" s="143"/>
      <c r="EF8" s="143"/>
      <c r="EG8" s="143"/>
      <c r="EH8" s="143"/>
      <c r="EI8" s="143"/>
      <c r="EJ8" s="143"/>
      <c r="EK8" s="145"/>
      <c r="EL8" s="144"/>
      <c r="EM8" s="143"/>
      <c r="EN8" s="143"/>
      <c r="EO8" s="143"/>
      <c r="EP8" s="143"/>
      <c r="EQ8" s="143"/>
      <c r="ER8" s="143"/>
      <c r="ES8" s="143"/>
      <c r="ET8" s="143"/>
      <c r="EU8" s="145"/>
      <c r="EV8" s="144"/>
      <c r="EW8" s="143"/>
      <c r="EX8" s="143"/>
      <c r="EY8" s="143"/>
      <c r="EZ8" s="143"/>
      <c r="FA8" s="143"/>
      <c r="FB8" s="143"/>
      <c r="FC8" s="143"/>
      <c r="FD8" s="143"/>
      <c r="FE8" s="145"/>
      <c r="FF8" s="144"/>
      <c r="FG8" s="143"/>
      <c r="FH8" s="143"/>
      <c r="FI8" s="143"/>
      <c r="FJ8" s="143"/>
      <c r="FK8" s="143"/>
      <c r="FL8" s="143"/>
      <c r="FM8" s="143"/>
      <c r="FN8" s="143"/>
      <c r="FO8" s="145"/>
      <c r="FP8" s="144"/>
      <c r="FQ8" s="143"/>
      <c r="FR8" s="143"/>
      <c r="FS8" s="143"/>
      <c r="FT8" s="143"/>
      <c r="FU8" s="143"/>
      <c r="FV8" s="143"/>
      <c r="FW8" s="143"/>
      <c r="FX8" s="143"/>
      <c r="FY8" s="145"/>
      <c r="FZ8" s="144"/>
      <c r="GA8" s="143"/>
      <c r="GB8" s="143"/>
      <c r="GC8" s="143"/>
      <c r="GD8" s="143"/>
      <c r="GE8" s="143"/>
      <c r="GF8" s="143"/>
      <c r="GG8" s="143"/>
      <c r="GH8" s="143"/>
      <c r="GI8" s="145"/>
      <c r="GJ8" s="144"/>
      <c r="GK8" s="143"/>
      <c r="GL8" s="143"/>
      <c r="GM8" s="143"/>
      <c r="GN8" s="143"/>
      <c r="GO8" s="143"/>
      <c r="GP8" s="143"/>
      <c r="GQ8" s="143"/>
      <c r="GR8" s="143"/>
      <c r="GS8" s="145"/>
      <c r="GT8" s="144"/>
      <c r="GU8" s="143"/>
      <c r="GV8" s="143"/>
      <c r="GW8" s="143"/>
      <c r="GX8" s="143"/>
      <c r="GY8" s="143"/>
      <c r="GZ8" s="143"/>
      <c r="HA8" s="143"/>
      <c r="HB8" s="143"/>
      <c r="HC8" s="145"/>
      <c r="HD8" s="144"/>
      <c r="HE8" s="143"/>
      <c r="HF8" s="143"/>
      <c r="HG8" s="143"/>
      <c r="HH8" s="143"/>
      <c r="HI8" s="143"/>
      <c r="HJ8" s="143"/>
      <c r="HK8" s="143"/>
      <c r="HL8" s="143"/>
      <c r="HM8" s="145"/>
      <c r="HN8" s="144"/>
      <c r="HO8" s="143"/>
      <c r="HP8" s="143"/>
      <c r="HQ8" s="143"/>
      <c r="HR8" s="143"/>
      <c r="HS8" s="143"/>
      <c r="HT8" s="143"/>
      <c r="HU8" s="143"/>
      <c r="HV8" s="143"/>
      <c r="HW8" s="145"/>
      <c r="HX8" s="144"/>
      <c r="HY8" s="143"/>
      <c r="HZ8" s="143"/>
      <c r="IA8" s="143"/>
      <c r="IB8" s="143"/>
      <c r="IC8" s="143"/>
      <c r="ID8" s="143"/>
      <c r="IE8" s="143"/>
      <c r="IF8" s="143"/>
      <c r="IG8" s="145"/>
      <c r="IH8" s="144"/>
      <c r="II8" s="143"/>
      <c r="IJ8" s="143"/>
      <c r="IK8" s="143"/>
      <c r="IL8" s="143"/>
      <c r="IM8" s="143"/>
      <c r="IN8" s="143"/>
      <c r="IO8" s="143"/>
      <c r="IP8" s="143"/>
      <c r="IQ8" s="145"/>
      <c r="IR8" s="144"/>
      <c r="IS8" s="143"/>
      <c r="IT8" s="143"/>
      <c r="IU8" s="143"/>
      <c r="IV8" s="143"/>
    </row>
    <row r="9" spans="1:256" ht="92.25" customHeight="1" x14ac:dyDescent="0.2">
      <c r="A9" s="137">
        <v>1</v>
      </c>
      <c r="B9" s="150" t="s">
        <v>263</v>
      </c>
      <c r="C9" s="136" t="s">
        <v>262</v>
      </c>
      <c r="D9" s="135" t="s">
        <v>261</v>
      </c>
      <c r="E9" s="131" t="s">
        <v>237</v>
      </c>
      <c r="F9" s="131" t="s">
        <v>629</v>
      </c>
      <c r="G9" s="136" t="s">
        <v>630</v>
      </c>
      <c r="H9" s="97" t="s">
        <v>260</v>
      </c>
      <c r="I9" s="97" t="s">
        <v>253</v>
      </c>
      <c r="J9" s="135"/>
    </row>
    <row r="10" spans="1:256" ht="82.5" customHeight="1" x14ac:dyDescent="0.2">
      <c r="A10" s="137">
        <v>2</v>
      </c>
      <c r="B10" s="135" t="s">
        <v>635</v>
      </c>
      <c r="C10" s="136" t="s">
        <v>259</v>
      </c>
      <c r="D10" s="135" t="s">
        <v>258</v>
      </c>
      <c r="E10" s="131" t="s">
        <v>237</v>
      </c>
      <c r="F10" s="131" t="s">
        <v>629</v>
      </c>
      <c r="G10" s="136" t="s">
        <v>257</v>
      </c>
      <c r="H10" s="97" t="s">
        <v>256</v>
      </c>
      <c r="I10" s="97"/>
      <c r="J10" s="135" t="s">
        <v>631</v>
      </c>
    </row>
    <row r="11" spans="1:256" ht="78.75" customHeight="1" x14ac:dyDescent="0.2">
      <c r="A11" s="137">
        <v>3</v>
      </c>
      <c r="B11" s="135" t="s">
        <v>255</v>
      </c>
      <c r="C11" s="136" t="s">
        <v>584</v>
      </c>
      <c r="D11" s="135" t="s">
        <v>254</v>
      </c>
      <c r="E11" s="131" t="s">
        <v>237</v>
      </c>
      <c r="F11" s="131" t="s">
        <v>632</v>
      </c>
      <c r="G11" s="136" t="s">
        <v>253</v>
      </c>
      <c r="H11" s="97" t="s">
        <v>252</v>
      </c>
      <c r="I11" s="97"/>
      <c r="J11" s="135" t="s">
        <v>251</v>
      </c>
    </row>
    <row r="12" spans="1:256" s="142" customFormat="1" ht="16.5" customHeight="1" x14ac:dyDescent="0.2">
      <c r="A12" s="149"/>
      <c r="B12" s="645" t="s">
        <v>250</v>
      </c>
      <c r="C12" s="645"/>
      <c r="D12" s="146"/>
      <c r="E12" s="148"/>
      <c r="F12" s="148"/>
      <c r="G12" s="147"/>
      <c r="H12" s="143"/>
      <c r="I12" s="143"/>
      <c r="J12" s="146"/>
      <c r="K12" s="145"/>
      <c r="L12" s="144"/>
      <c r="M12" s="143"/>
      <c r="N12" s="143"/>
      <c r="O12" s="143"/>
      <c r="P12" s="143"/>
      <c r="Q12" s="143"/>
      <c r="R12" s="143"/>
      <c r="S12" s="143"/>
      <c r="T12" s="143"/>
      <c r="U12" s="145"/>
      <c r="V12" s="144"/>
      <c r="W12" s="143"/>
      <c r="X12" s="143"/>
      <c r="Y12" s="143"/>
      <c r="Z12" s="143"/>
      <c r="AA12" s="143"/>
      <c r="AB12" s="143"/>
      <c r="AC12" s="143"/>
      <c r="AD12" s="143"/>
      <c r="AE12" s="145"/>
      <c r="AF12" s="144"/>
      <c r="AG12" s="143"/>
      <c r="AH12" s="143"/>
      <c r="AI12" s="143"/>
      <c r="AJ12" s="143"/>
      <c r="AK12" s="143"/>
      <c r="AL12" s="143"/>
      <c r="AM12" s="143"/>
      <c r="AN12" s="143"/>
      <c r="AO12" s="145"/>
      <c r="AP12" s="144"/>
      <c r="AQ12" s="143"/>
      <c r="AR12" s="143"/>
      <c r="AS12" s="143"/>
      <c r="AT12" s="143"/>
      <c r="AU12" s="143"/>
      <c r="AV12" s="143"/>
      <c r="AW12" s="143"/>
      <c r="AX12" s="143"/>
      <c r="AY12" s="145"/>
      <c r="AZ12" s="144"/>
      <c r="BA12" s="143"/>
      <c r="BB12" s="143"/>
      <c r="BC12" s="143"/>
      <c r="BD12" s="143"/>
      <c r="BE12" s="143"/>
      <c r="BF12" s="143"/>
      <c r="BG12" s="143"/>
      <c r="BH12" s="143"/>
      <c r="BI12" s="145"/>
      <c r="BJ12" s="144"/>
      <c r="BK12" s="143"/>
      <c r="BL12" s="143"/>
      <c r="BM12" s="143"/>
      <c r="BN12" s="143"/>
      <c r="BO12" s="143"/>
      <c r="BP12" s="143"/>
      <c r="BQ12" s="143"/>
      <c r="BR12" s="143"/>
      <c r="BS12" s="145"/>
      <c r="BT12" s="144"/>
      <c r="BU12" s="143"/>
      <c r="BV12" s="143"/>
      <c r="BW12" s="143"/>
      <c r="BX12" s="143"/>
      <c r="BY12" s="143"/>
      <c r="BZ12" s="143"/>
      <c r="CA12" s="143"/>
      <c r="CB12" s="143"/>
      <c r="CC12" s="145"/>
      <c r="CD12" s="144"/>
      <c r="CE12" s="143"/>
      <c r="CF12" s="143"/>
      <c r="CG12" s="143"/>
      <c r="CH12" s="143"/>
      <c r="CI12" s="143"/>
      <c r="CJ12" s="143"/>
      <c r="CK12" s="143"/>
      <c r="CL12" s="143"/>
      <c r="CM12" s="145"/>
      <c r="CN12" s="144"/>
      <c r="CO12" s="143"/>
      <c r="CP12" s="143"/>
      <c r="CQ12" s="143"/>
      <c r="CR12" s="143"/>
      <c r="CS12" s="143"/>
      <c r="CT12" s="143"/>
      <c r="CU12" s="143"/>
      <c r="CV12" s="143"/>
      <c r="CW12" s="145"/>
      <c r="CX12" s="144"/>
      <c r="CY12" s="143"/>
      <c r="CZ12" s="143"/>
      <c r="DA12" s="143"/>
      <c r="DB12" s="143"/>
      <c r="DC12" s="143"/>
      <c r="DD12" s="143"/>
      <c r="DE12" s="143"/>
      <c r="DF12" s="143"/>
      <c r="DG12" s="145"/>
      <c r="DH12" s="144"/>
      <c r="DI12" s="143"/>
      <c r="DJ12" s="143"/>
      <c r="DK12" s="143"/>
      <c r="DL12" s="143"/>
      <c r="DM12" s="143"/>
      <c r="DN12" s="143"/>
      <c r="DO12" s="143"/>
      <c r="DP12" s="143"/>
      <c r="DQ12" s="145"/>
      <c r="DR12" s="144"/>
      <c r="DS12" s="143"/>
      <c r="DT12" s="143"/>
      <c r="DU12" s="143"/>
      <c r="DV12" s="143"/>
      <c r="DW12" s="143"/>
      <c r="DX12" s="143"/>
      <c r="DY12" s="143"/>
      <c r="DZ12" s="143"/>
      <c r="EA12" s="145"/>
      <c r="EB12" s="144"/>
      <c r="EC12" s="143"/>
      <c r="ED12" s="143"/>
      <c r="EE12" s="143"/>
      <c r="EF12" s="143"/>
      <c r="EG12" s="143"/>
      <c r="EH12" s="143"/>
      <c r="EI12" s="143"/>
      <c r="EJ12" s="143"/>
      <c r="EK12" s="145"/>
      <c r="EL12" s="144"/>
      <c r="EM12" s="143"/>
      <c r="EN12" s="143"/>
      <c r="EO12" s="143"/>
      <c r="EP12" s="143"/>
      <c r="EQ12" s="143"/>
      <c r="ER12" s="143"/>
      <c r="ES12" s="143"/>
      <c r="ET12" s="143"/>
      <c r="EU12" s="145"/>
      <c r="EV12" s="144"/>
      <c r="EW12" s="143"/>
      <c r="EX12" s="143"/>
      <c r="EY12" s="143"/>
      <c r="EZ12" s="143"/>
      <c r="FA12" s="143"/>
      <c r="FB12" s="143"/>
      <c r="FC12" s="143"/>
      <c r="FD12" s="143"/>
      <c r="FE12" s="145"/>
      <c r="FF12" s="144"/>
      <c r="FG12" s="143"/>
      <c r="FH12" s="143"/>
      <c r="FI12" s="143"/>
      <c r="FJ12" s="143"/>
      <c r="FK12" s="143"/>
      <c r="FL12" s="143"/>
      <c r="FM12" s="143"/>
      <c r="FN12" s="143"/>
      <c r="FO12" s="145"/>
      <c r="FP12" s="144"/>
      <c r="FQ12" s="143"/>
      <c r="FR12" s="143"/>
      <c r="FS12" s="143"/>
      <c r="FT12" s="143"/>
      <c r="FU12" s="143"/>
      <c r="FV12" s="143"/>
      <c r="FW12" s="143"/>
      <c r="FX12" s="143"/>
      <c r="FY12" s="145"/>
      <c r="FZ12" s="144"/>
      <c r="GA12" s="143"/>
      <c r="GB12" s="143"/>
      <c r="GC12" s="143"/>
      <c r="GD12" s="143"/>
      <c r="GE12" s="143"/>
      <c r="GF12" s="143"/>
      <c r="GG12" s="143"/>
      <c r="GH12" s="143"/>
      <c r="GI12" s="145"/>
      <c r="GJ12" s="144"/>
      <c r="GK12" s="143"/>
      <c r="GL12" s="143"/>
      <c r="GM12" s="143"/>
      <c r="GN12" s="143"/>
      <c r="GO12" s="143"/>
      <c r="GP12" s="143"/>
      <c r="GQ12" s="143"/>
      <c r="GR12" s="143"/>
      <c r="GS12" s="145"/>
      <c r="GT12" s="144"/>
      <c r="GU12" s="143"/>
      <c r="GV12" s="143"/>
      <c r="GW12" s="143"/>
      <c r="GX12" s="143"/>
      <c r="GY12" s="143"/>
      <c r="GZ12" s="143"/>
      <c r="HA12" s="143"/>
      <c r="HB12" s="143"/>
      <c r="HC12" s="145"/>
      <c r="HD12" s="144"/>
      <c r="HE12" s="143"/>
      <c r="HF12" s="143"/>
      <c r="HG12" s="143"/>
      <c r="HH12" s="143"/>
      <c r="HI12" s="143"/>
      <c r="HJ12" s="143"/>
      <c r="HK12" s="143"/>
      <c r="HL12" s="143"/>
      <c r="HM12" s="145"/>
      <c r="HN12" s="144"/>
      <c r="HO12" s="143"/>
      <c r="HP12" s="143"/>
      <c r="HQ12" s="143"/>
      <c r="HR12" s="143"/>
      <c r="HS12" s="143"/>
      <c r="HT12" s="143"/>
      <c r="HU12" s="143"/>
      <c r="HV12" s="143"/>
      <c r="HW12" s="145"/>
      <c r="HX12" s="144"/>
      <c r="HY12" s="143"/>
      <c r="HZ12" s="143"/>
      <c r="IA12" s="143"/>
      <c r="IB12" s="143"/>
      <c r="IC12" s="143"/>
      <c r="ID12" s="143"/>
      <c r="IE12" s="143"/>
      <c r="IF12" s="143"/>
      <c r="IG12" s="145"/>
      <c r="IH12" s="144"/>
      <c r="II12" s="143"/>
      <c r="IJ12" s="143"/>
      <c r="IK12" s="143"/>
      <c r="IL12" s="143"/>
      <c r="IM12" s="143"/>
      <c r="IN12" s="143"/>
      <c r="IO12" s="143"/>
      <c r="IP12" s="143"/>
      <c r="IQ12" s="145"/>
      <c r="IR12" s="144"/>
      <c r="IS12" s="143"/>
      <c r="IT12" s="143"/>
      <c r="IU12" s="143"/>
      <c r="IV12" s="143"/>
    </row>
    <row r="13" spans="1:256" s="140" customFormat="1" ht="63" customHeight="1" x14ac:dyDescent="0.25">
      <c r="A13" s="141">
        <v>4</v>
      </c>
      <c r="B13" s="135" t="s">
        <v>462</v>
      </c>
      <c r="C13" s="136" t="s">
        <v>249</v>
      </c>
      <c r="D13" s="135" t="s">
        <v>248</v>
      </c>
      <c r="E13" s="131" t="s">
        <v>237</v>
      </c>
      <c r="F13" s="131" t="s">
        <v>232</v>
      </c>
      <c r="G13" s="136"/>
      <c r="H13" s="97" t="s">
        <v>247</v>
      </c>
      <c r="I13" s="97"/>
      <c r="J13" s="135"/>
    </row>
    <row r="14" spans="1:256" ht="92.25" customHeight="1" x14ac:dyDescent="0.2">
      <c r="A14" s="137">
        <v>5</v>
      </c>
      <c r="B14" s="135" t="s">
        <v>625</v>
      </c>
      <c r="C14" s="136" t="s">
        <v>246</v>
      </c>
      <c r="D14" s="135" t="s">
        <v>245</v>
      </c>
      <c r="E14" s="131" t="s">
        <v>244</v>
      </c>
      <c r="F14" s="131" t="s">
        <v>243</v>
      </c>
      <c r="G14" s="139"/>
      <c r="H14" s="97"/>
      <c r="I14" s="50"/>
      <c r="J14" s="138"/>
    </row>
    <row r="15" spans="1:256" ht="101.25" customHeight="1" x14ac:dyDescent="0.2">
      <c r="A15" s="137">
        <v>6</v>
      </c>
      <c r="B15" s="135" t="s">
        <v>626</v>
      </c>
      <c r="C15" s="136" t="s">
        <v>242</v>
      </c>
      <c r="D15" s="135" t="s">
        <v>241</v>
      </c>
      <c r="E15" s="131" t="s">
        <v>237</v>
      </c>
      <c r="F15" s="131" t="s">
        <v>232</v>
      </c>
      <c r="G15" s="136" t="s">
        <v>517</v>
      </c>
      <c r="H15" s="97"/>
      <c r="I15" s="97"/>
      <c r="J15" s="135" t="s">
        <v>240</v>
      </c>
    </row>
    <row r="16" spans="1:256" ht="15" customHeight="1" x14ac:dyDescent="0.2">
      <c r="A16" s="129"/>
      <c r="B16" s="645" t="s">
        <v>239</v>
      </c>
      <c r="C16" s="645"/>
      <c r="D16" s="125"/>
      <c r="E16" s="128"/>
      <c r="F16" s="128"/>
      <c r="G16" s="127"/>
      <c r="H16" s="126"/>
      <c r="I16" s="126"/>
      <c r="J16" s="125"/>
    </row>
    <row r="17" spans="1:10" ht="45" customHeight="1" x14ac:dyDescent="0.2">
      <c r="A17" s="134">
        <v>7</v>
      </c>
      <c r="B17" s="132" t="s">
        <v>627</v>
      </c>
      <c r="C17" s="133" t="s">
        <v>515</v>
      </c>
      <c r="D17" s="132" t="s">
        <v>238</v>
      </c>
      <c r="E17" s="131" t="s">
        <v>237</v>
      </c>
      <c r="F17" s="130" t="s">
        <v>236</v>
      </c>
      <c r="G17" s="650" t="s">
        <v>235</v>
      </c>
      <c r="H17" s="651"/>
      <c r="I17" s="651"/>
      <c r="J17" s="652"/>
    </row>
    <row r="18" spans="1:10" ht="15" customHeight="1" x14ac:dyDescent="0.2">
      <c r="A18" s="129"/>
      <c r="B18" s="645" t="s">
        <v>234</v>
      </c>
      <c r="C18" s="645"/>
      <c r="D18" s="125"/>
      <c r="E18" s="128"/>
      <c r="F18" s="128"/>
      <c r="G18" s="127"/>
      <c r="H18" s="126"/>
      <c r="I18" s="126"/>
      <c r="J18" s="125"/>
    </row>
    <row r="19" spans="1:10" ht="68.25" customHeight="1" thickBot="1" x14ac:dyDescent="0.25">
      <c r="A19" s="124">
        <v>8</v>
      </c>
      <c r="B19" s="123" t="s">
        <v>628</v>
      </c>
      <c r="C19" s="120" t="s">
        <v>233</v>
      </c>
      <c r="D19" s="122" t="s">
        <v>636</v>
      </c>
      <c r="E19" s="121" t="s">
        <v>637</v>
      </c>
      <c r="F19" s="121" t="s">
        <v>232</v>
      </c>
      <c r="G19" s="120" t="s">
        <v>231</v>
      </c>
      <c r="H19" s="119"/>
      <c r="I19" s="119"/>
      <c r="J19" s="118"/>
    </row>
    <row r="20" spans="1:10" ht="13.5" thickBot="1" x14ac:dyDescent="0.25"/>
    <row r="21" spans="1:10" ht="15.75" x14ac:dyDescent="0.25">
      <c r="A21" s="54" t="s">
        <v>0</v>
      </c>
      <c r="B21" s="24"/>
      <c r="C21" s="24"/>
      <c r="D21" s="55"/>
      <c r="E21" s="8"/>
      <c r="F21" s="8"/>
      <c r="G21" s="8"/>
      <c r="H21" s="8"/>
      <c r="I21" s="8"/>
    </row>
    <row r="22" spans="1:10" ht="44.25" customHeight="1" x14ac:dyDescent="0.2">
      <c r="A22" s="641" t="s">
        <v>230</v>
      </c>
      <c r="B22" s="642"/>
      <c r="C22" s="648" t="s">
        <v>583</v>
      </c>
      <c r="D22" s="649"/>
      <c r="E22" s="117"/>
      <c r="F22" s="116"/>
      <c r="G22" s="116"/>
      <c r="H22" s="116"/>
      <c r="I22" s="116"/>
    </row>
    <row r="23" spans="1:10" ht="37.5" customHeight="1" x14ac:dyDescent="0.2">
      <c r="A23" s="641" t="s">
        <v>582</v>
      </c>
      <c r="B23" s="642"/>
      <c r="C23" s="648" t="s">
        <v>516</v>
      </c>
      <c r="D23" s="649"/>
      <c r="E23" s="117"/>
      <c r="F23" s="117"/>
      <c r="G23" s="117"/>
      <c r="H23" s="117"/>
      <c r="I23" s="117"/>
    </row>
    <row r="24" spans="1:10" ht="27.75" customHeight="1" x14ac:dyDescent="0.2">
      <c r="A24" s="643" t="s">
        <v>229</v>
      </c>
      <c r="B24" s="644"/>
      <c r="C24" s="648" t="s">
        <v>655</v>
      </c>
      <c r="D24" s="649"/>
      <c r="E24" s="117"/>
      <c r="F24" s="117"/>
      <c r="G24" s="117"/>
      <c r="H24" s="117"/>
      <c r="I24" s="117"/>
    </row>
    <row r="25" spans="1:10" ht="33.75" customHeight="1" x14ac:dyDescent="0.2">
      <c r="A25" s="643" t="s">
        <v>228</v>
      </c>
      <c r="B25" s="644"/>
      <c r="C25" s="648" t="s">
        <v>656</v>
      </c>
      <c r="D25" s="649"/>
      <c r="E25" s="117"/>
      <c r="F25" s="117"/>
      <c r="G25" s="117"/>
      <c r="H25" s="117"/>
      <c r="I25" s="117"/>
    </row>
    <row r="26" spans="1:10" ht="37.5" customHeight="1" thickBot="1" x14ac:dyDescent="0.25">
      <c r="A26" s="653" t="s">
        <v>227</v>
      </c>
      <c r="B26" s="654"/>
      <c r="C26" s="646" t="s">
        <v>657</v>
      </c>
      <c r="D26" s="647"/>
      <c r="E26" s="117"/>
      <c r="F26" s="116"/>
      <c r="G26" s="116"/>
      <c r="H26" s="116"/>
      <c r="I26" s="116"/>
    </row>
  </sheetData>
  <mergeCells count="25">
    <mergeCell ref="A3:D3"/>
    <mergeCell ref="A5:D5"/>
    <mergeCell ref="G6:J6"/>
    <mergeCell ref="G5:J5"/>
    <mergeCell ref="A6:B6"/>
    <mergeCell ref="B4:D4"/>
    <mergeCell ref="E6:E7"/>
    <mergeCell ref="F6:F7"/>
    <mergeCell ref="C26:D26"/>
    <mergeCell ref="E4:J4"/>
    <mergeCell ref="C25:D25"/>
    <mergeCell ref="G17:J17"/>
    <mergeCell ref="A26:B26"/>
    <mergeCell ref="A25:B25"/>
    <mergeCell ref="C22:D22"/>
    <mergeCell ref="C23:D23"/>
    <mergeCell ref="C24:D24"/>
    <mergeCell ref="C6:D6"/>
    <mergeCell ref="A22:B22"/>
    <mergeCell ref="A23:B23"/>
    <mergeCell ref="A24:B24"/>
    <mergeCell ref="B12:C12"/>
    <mergeCell ref="B8:C8"/>
    <mergeCell ref="B16:C16"/>
    <mergeCell ref="B18:C18"/>
  </mergeCells>
  <pageMargins left="0.7" right="0.7" top="0.75" bottom="0.75" header="0.3" footer="0.3"/>
  <pageSetup scale="47" fitToWidth="2" orientation="landscape" cellComments="asDisplayed" r:id="rId1"/>
  <colBreaks count="1" manualBreakCount="1">
    <brk id="4" max="2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A2390-9EE9-4601-A1DB-DFFB30509D2C}">
  <dimension ref="A1:S73"/>
  <sheetViews>
    <sheetView tabSelected="1" view="pageBreakPreview" topLeftCell="A13" zoomScaleNormal="90" zoomScaleSheetLayoutView="100" workbookViewId="0">
      <selection activeCell="N24" sqref="N24"/>
    </sheetView>
  </sheetViews>
  <sheetFormatPr defaultRowHeight="12.75" x14ac:dyDescent="0.2"/>
  <cols>
    <col min="1" max="1" width="9.28515625" style="114" customWidth="1"/>
    <col min="2" max="2" width="24.5703125" style="114" customWidth="1"/>
    <col min="3" max="3" width="11.5703125" style="114" customWidth="1"/>
    <col min="4" max="4" width="12" style="114" customWidth="1"/>
    <col min="5" max="5" width="13.140625" style="114" customWidth="1"/>
    <col min="6" max="6" width="12.85546875" style="114" customWidth="1"/>
    <col min="7" max="7" width="12" style="114" customWidth="1"/>
    <col min="8" max="8" width="15.5703125" style="114" customWidth="1"/>
    <col min="9" max="9" width="11.85546875" style="114" customWidth="1"/>
    <col min="10" max="10" width="13.140625" style="114" customWidth="1"/>
    <col min="11" max="11" width="12.140625" style="114" customWidth="1"/>
    <col min="12" max="12" width="12.85546875" style="114" customWidth="1"/>
    <col min="13" max="14" width="6.7109375" style="114" customWidth="1"/>
    <col min="15" max="17" width="9.140625" style="114"/>
    <col min="18" max="18" width="11.7109375" style="114" customWidth="1"/>
    <col min="19" max="16384" width="9.140625" style="114"/>
  </cols>
  <sheetData>
    <row r="1" spans="1:19" ht="17.25" customHeight="1" x14ac:dyDescent="0.2">
      <c r="A1" s="675" t="s">
        <v>573</v>
      </c>
      <c r="B1" s="675"/>
      <c r="C1" s="675"/>
      <c r="D1" s="675"/>
      <c r="E1" s="675"/>
      <c r="F1" s="675"/>
      <c r="G1" s="675"/>
      <c r="H1" s="675"/>
      <c r="I1" s="534" t="s">
        <v>539</v>
      </c>
      <c r="J1" s="534"/>
      <c r="K1" s="671" t="s">
        <v>540</v>
      </c>
      <c r="L1" s="671"/>
    </row>
    <row r="2" spans="1:19" ht="28.5" customHeight="1" x14ac:dyDescent="0.2">
      <c r="A2" s="527" t="s">
        <v>358</v>
      </c>
      <c r="B2" s="527"/>
      <c r="C2" s="527"/>
      <c r="D2" s="527"/>
      <c r="E2" s="527"/>
      <c r="F2" s="527"/>
      <c r="G2" s="527"/>
      <c r="H2" s="527"/>
      <c r="I2" s="527"/>
    </row>
    <row r="3" spans="1:19" ht="35.25" customHeight="1" x14ac:dyDescent="0.25">
      <c r="A3" s="672" t="s">
        <v>677</v>
      </c>
      <c r="B3" s="672"/>
      <c r="C3" s="672"/>
      <c r="D3" s="672"/>
      <c r="E3" s="672"/>
      <c r="F3" s="672"/>
      <c r="G3" s="672"/>
      <c r="H3" s="672"/>
      <c r="I3" s="672"/>
      <c r="J3" s="672"/>
      <c r="K3" s="672"/>
      <c r="L3" s="672"/>
      <c r="M3" s="672"/>
      <c r="N3" s="672"/>
    </row>
    <row r="4" spans="1:19" ht="6" customHeight="1" thickBot="1" x14ac:dyDescent="0.3">
      <c r="A4" s="243"/>
      <c r="B4" s="242"/>
      <c r="C4" s="242"/>
      <c r="D4" s="241"/>
      <c r="E4" s="158"/>
      <c r="F4" s="158"/>
    </row>
    <row r="5" spans="1:19" ht="15" customHeight="1" x14ac:dyDescent="0.25">
      <c r="A5" s="676" t="s">
        <v>310</v>
      </c>
      <c r="B5" s="677"/>
      <c r="C5" s="240"/>
      <c r="D5" s="240"/>
      <c r="E5" s="240"/>
      <c r="F5" s="240"/>
      <c r="G5" s="177"/>
      <c r="H5" s="177"/>
      <c r="I5" s="177"/>
      <c r="J5" s="686" t="s">
        <v>295</v>
      </c>
      <c r="K5" s="687"/>
      <c r="L5" s="687"/>
      <c r="M5" s="687"/>
      <c r="N5" s="688"/>
    </row>
    <row r="6" spans="1:19" ht="30" x14ac:dyDescent="0.2">
      <c r="A6" s="239" t="s">
        <v>271</v>
      </c>
      <c r="B6" s="67" t="s">
        <v>322</v>
      </c>
      <c r="C6" s="67" t="s">
        <v>308</v>
      </c>
      <c r="D6" s="67" t="s">
        <v>306</v>
      </c>
      <c r="E6" s="67" t="s">
        <v>304</v>
      </c>
      <c r="F6" s="67" t="s">
        <v>303</v>
      </c>
      <c r="G6" s="67" t="s">
        <v>301</v>
      </c>
      <c r="H6" s="67" t="s">
        <v>299</v>
      </c>
      <c r="I6" s="238" t="s">
        <v>297</v>
      </c>
      <c r="J6" s="237" t="s">
        <v>356</v>
      </c>
      <c r="K6" s="15" t="s">
        <v>355</v>
      </c>
      <c r="L6" s="15" t="s">
        <v>354</v>
      </c>
      <c r="M6" s="15" t="s">
        <v>353</v>
      </c>
      <c r="N6" s="236" t="s">
        <v>352</v>
      </c>
    </row>
    <row r="7" spans="1:19" x14ac:dyDescent="0.2">
      <c r="A7" s="221">
        <v>1</v>
      </c>
      <c r="B7" s="235" t="s">
        <v>351</v>
      </c>
      <c r="C7" s="234"/>
      <c r="D7" s="218"/>
      <c r="E7" s="219"/>
      <c r="F7" s="219"/>
      <c r="G7" s="219"/>
      <c r="H7" s="219"/>
      <c r="I7" s="219"/>
      <c r="J7" s="233"/>
      <c r="K7" s="219"/>
      <c r="L7" s="219"/>
      <c r="M7" s="219"/>
      <c r="N7" s="232"/>
      <c r="O7" s="156"/>
      <c r="S7" s="156"/>
    </row>
    <row r="8" spans="1:19" x14ac:dyDescent="0.2">
      <c r="A8" s="212"/>
      <c r="B8" s="231" t="s">
        <v>350</v>
      </c>
      <c r="C8" s="98">
        <v>402</v>
      </c>
      <c r="D8" s="184" t="s">
        <v>335</v>
      </c>
      <c r="E8" s="222">
        <v>24</v>
      </c>
      <c r="F8" s="222">
        <f t="shared" ref="F8:F13" si="0">IF(C8&gt;0,(C8*E8)," ")</f>
        <v>9648</v>
      </c>
      <c r="G8" s="98">
        <v>0.25</v>
      </c>
      <c r="H8" s="222">
        <f t="shared" ref="H8:H13" si="1">IF(F8&gt;0,(F8*G8)," ")</f>
        <v>2412</v>
      </c>
      <c r="I8" s="199">
        <f t="shared" ref="I8:I13" si="2">(F8+H8)</f>
        <v>12060</v>
      </c>
      <c r="J8" s="230"/>
      <c r="K8" s="229"/>
      <c r="L8" s="229"/>
      <c r="M8" s="229"/>
      <c r="N8" s="228"/>
    </row>
    <row r="9" spans="1:19" x14ac:dyDescent="0.2">
      <c r="A9" s="212"/>
      <c r="B9" s="98" t="s">
        <v>349</v>
      </c>
      <c r="C9" s="98">
        <v>2000</v>
      </c>
      <c r="D9" s="184" t="s">
        <v>335</v>
      </c>
      <c r="E9" s="222">
        <v>12.5</v>
      </c>
      <c r="F9" s="222">
        <f t="shared" si="0"/>
        <v>25000</v>
      </c>
      <c r="G9" s="98">
        <v>0.25</v>
      </c>
      <c r="H9" s="222">
        <f t="shared" si="1"/>
        <v>6250</v>
      </c>
      <c r="I9" s="199">
        <f t="shared" si="2"/>
        <v>31250</v>
      </c>
      <c r="J9" s="230"/>
      <c r="K9" s="229"/>
      <c r="L9" s="229"/>
      <c r="M9" s="229"/>
      <c r="N9" s="228"/>
    </row>
    <row r="10" spans="1:19" x14ac:dyDescent="0.2">
      <c r="A10" s="212"/>
      <c r="B10" s="98" t="s">
        <v>348</v>
      </c>
      <c r="C10" s="98">
        <v>900</v>
      </c>
      <c r="D10" s="184" t="s">
        <v>335</v>
      </c>
      <c r="E10" s="222">
        <v>450</v>
      </c>
      <c r="F10" s="222">
        <f t="shared" si="0"/>
        <v>405000</v>
      </c>
      <c r="G10" s="98">
        <v>0.25</v>
      </c>
      <c r="H10" s="222">
        <f t="shared" si="1"/>
        <v>101250</v>
      </c>
      <c r="I10" s="199">
        <f t="shared" si="2"/>
        <v>506250</v>
      </c>
      <c r="J10" s="230"/>
      <c r="K10" s="229"/>
      <c r="L10" s="229"/>
      <c r="M10" s="229"/>
      <c r="N10" s="228"/>
    </row>
    <row r="11" spans="1:19" x14ac:dyDescent="0.2">
      <c r="A11" s="212"/>
      <c r="B11" s="98" t="s">
        <v>347</v>
      </c>
      <c r="C11" s="98">
        <v>12000</v>
      </c>
      <c r="D11" s="184" t="s">
        <v>335</v>
      </c>
      <c r="E11" s="222">
        <v>55</v>
      </c>
      <c r="F11" s="222">
        <f t="shared" si="0"/>
        <v>660000</v>
      </c>
      <c r="G11" s="98">
        <v>0.25</v>
      </c>
      <c r="H11" s="222">
        <f t="shared" si="1"/>
        <v>165000</v>
      </c>
      <c r="I11" s="199">
        <f t="shared" si="2"/>
        <v>825000</v>
      </c>
      <c r="J11" s="230"/>
      <c r="K11" s="229"/>
      <c r="L11" s="229"/>
      <c r="M11" s="229"/>
      <c r="N11" s="228"/>
    </row>
    <row r="12" spans="1:19" ht="15" customHeight="1" x14ac:dyDescent="0.2">
      <c r="A12" s="212"/>
      <c r="B12" s="98" t="s">
        <v>346</v>
      </c>
      <c r="C12" s="98">
        <v>23000</v>
      </c>
      <c r="D12" s="184" t="s">
        <v>335</v>
      </c>
      <c r="E12" s="222">
        <v>126</v>
      </c>
      <c r="F12" s="222">
        <f t="shared" si="0"/>
        <v>2898000</v>
      </c>
      <c r="G12" s="98">
        <v>0.25</v>
      </c>
      <c r="H12" s="222">
        <f t="shared" si="1"/>
        <v>724500</v>
      </c>
      <c r="I12" s="199">
        <f t="shared" si="2"/>
        <v>3622500</v>
      </c>
      <c r="J12" s="230"/>
      <c r="K12" s="229"/>
      <c r="L12" s="229"/>
      <c r="M12" s="229"/>
      <c r="N12" s="228"/>
    </row>
    <row r="13" spans="1:19" x14ac:dyDescent="0.2">
      <c r="A13" s="212"/>
      <c r="B13" s="98" t="s">
        <v>345</v>
      </c>
      <c r="C13" s="98">
        <v>25</v>
      </c>
      <c r="D13" s="184" t="s">
        <v>344</v>
      </c>
      <c r="E13" s="222">
        <v>95</v>
      </c>
      <c r="F13" s="222">
        <f t="shared" si="0"/>
        <v>2375</v>
      </c>
      <c r="G13" s="98">
        <v>0.25</v>
      </c>
      <c r="H13" s="222">
        <f t="shared" si="1"/>
        <v>593.75</v>
      </c>
      <c r="I13" s="199">
        <f t="shared" si="2"/>
        <v>2968.75</v>
      </c>
      <c r="J13" s="205">
        <v>0.5</v>
      </c>
      <c r="K13" s="204">
        <v>0.5</v>
      </c>
      <c r="L13" s="204"/>
      <c r="M13" s="204"/>
      <c r="N13" s="227"/>
    </row>
    <row r="14" spans="1:19" x14ac:dyDescent="0.2">
      <c r="A14" s="223"/>
      <c r="B14" s="200" t="s">
        <v>311</v>
      </c>
      <c r="D14" s="115"/>
      <c r="E14" s="195"/>
      <c r="F14" s="195"/>
      <c r="H14" s="195"/>
      <c r="I14" s="199">
        <f>SUM(I8:I13)</f>
        <v>5000028.75</v>
      </c>
      <c r="J14" s="225">
        <f>($I$14*J13)</f>
        <v>2500014.375</v>
      </c>
      <c r="K14" s="222">
        <f>($I$14*K13)</f>
        <v>2500014.375</v>
      </c>
      <c r="L14" s="226"/>
      <c r="M14" s="226"/>
      <c r="N14" s="196"/>
      <c r="P14" s="195"/>
    </row>
    <row r="15" spans="1:19" x14ac:dyDescent="0.2">
      <c r="A15" s="221">
        <v>2</v>
      </c>
      <c r="B15" s="220" t="s">
        <v>343</v>
      </c>
      <c r="C15" s="219"/>
      <c r="D15" s="218"/>
      <c r="E15" s="224"/>
      <c r="F15" s="224"/>
      <c r="G15" s="219"/>
      <c r="H15" s="224"/>
      <c r="I15" s="217"/>
      <c r="J15" s="216"/>
      <c r="K15" s="215"/>
      <c r="L15" s="214"/>
      <c r="M15" s="214"/>
      <c r="N15" s="213"/>
    </row>
    <row r="16" spans="1:19" x14ac:dyDescent="0.2">
      <c r="A16" s="212"/>
      <c r="B16" s="98" t="s">
        <v>341</v>
      </c>
      <c r="C16" s="98"/>
      <c r="D16" s="184" t="s">
        <v>333</v>
      </c>
      <c r="E16" s="182"/>
      <c r="F16" s="222" t="str">
        <f>IF(C16&gt;0,(C16*E16)," ")</f>
        <v xml:space="preserve"> </v>
      </c>
      <c r="G16" s="98"/>
      <c r="H16" s="222"/>
      <c r="I16" s="199"/>
      <c r="J16" s="211"/>
      <c r="K16" s="210"/>
      <c r="L16" s="209"/>
      <c r="M16" s="209"/>
      <c r="N16" s="208"/>
    </row>
    <row r="17" spans="1:19" x14ac:dyDescent="0.2">
      <c r="A17" s="212"/>
      <c r="B17" s="98" t="s">
        <v>339</v>
      </c>
      <c r="C17" s="98"/>
      <c r="D17" s="184" t="s">
        <v>335</v>
      </c>
      <c r="E17" s="182"/>
      <c r="F17" s="222" t="str">
        <f>IF(C17&gt;0,(C17*E17)," ")</f>
        <v xml:space="preserve"> </v>
      </c>
      <c r="G17" s="98"/>
      <c r="H17" s="222"/>
      <c r="I17" s="199"/>
      <c r="J17" s="205">
        <v>0.5</v>
      </c>
      <c r="K17" s="204">
        <v>0.5</v>
      </c>
      <c r="L17" s="203"/>
      <c r="M17" s="203"/>
      <c r="N17" s="202"/>
    </row>
    <row r="18" spans="1:19" x14ac:dyDescent="0.2">
      <c r="A18" s="223"/>
      <c r="B18" s="200" t="s">
        <v>311</v>
      </c>
      <c r="D18" s="115"/>
      <c r="E18" s="195"/>
      <c r="F18" s="195"/>
      <c r="H18" s="195"/>
      <c r="I18" s="199">
        <v>125000</v>
      </c>
      <c r="J18" s="225">
        <f>($I$18*J17)</f>
        <v>62500</v>
      </c>
      <c r="K18" s="222">
        <f>($I$18*K17)</f>
        <v>62500</v>
      </c>
      <c r="L18" s="197"/>
      <c r="M18" s="197"/>
      <c r="N18" s="196"/>
      <c r="P18" s="195"/>
    </row>
    <row r="19" spans="1:19" x14ac:dyDescent="0.2">
      <c r="A19" s="221">
        <v>4</v>
      </c>
      <c r="B19" s="220" t="s">
        <v>342</v>
      </c>
      <c r="C19" s="219"/>
      <c r="D19" s="218"/>
      <c r="E19" s="224"/>
      <c r="F19" s="224"/>
      <c r="G19" s="219"/>
      <c r="H19" s="224"/>
      <c r="I19" s="217"/>
      <c r="J19" s="216"/>
      <c r="K19" s="215"/>
      <c r="L19" s="214"/>
      <c r="M19" s="214"/>
      <c r="N19" s="213"/>
    </row>
    <row r="20" spans="1:19" x14ac:dyDescent="0.2">
      <c r="A20" s="212"/>
      <c r="B20" s="98" t="s">
        <v>341</v>
      </c>
      <c r="C20" s="98"/>
      <c r="D20" s="184" t="s">
        <v>340</v>
      </c>
      <c r="E20" s="182"/>
      <c r="F20" s="222" t="str">
        <f>IF(C20&gt;0,(C20*E20)," ")</f>
        <v xml:space="preserve"> </v>
      </c>
      <c r="G20" s="98"/>
      <c r="H20" s="222"/>
      <c r="I20" s="199"/>
      <c r="J20" s="211"/>
      <c r="K20" s="210"/>
      <c r="L20" s="209"/>
      <c r="M20" s="209"/>
      <c r="N20" s="208"/>
    </row>
    <row r="21" spans="1:19" x14ac:dyDescent="0.2">
      <c r="A21" s="212"/>
      <c r="B21" s="98" t="s">
        <v>339</v>
      </c>
      <c r="C21" s="98"/>
      <c r="D21" s="184" t="s">
        <v>338</v>
      </c>
      <c r="E21" s="182"/>
      <c r="F21" s="222" t="str">
        <f>IF(C21&gt;0,(C21*E21)," ")</f>
        <v xml:space="preserve"> </v>
      </c>
      <c r="G21" s="98"/>
      <c r="H21" s="222"/>
      <c r="I21" s="199"/>
      <c r="J21" s="205"/>
      <c r="K21" s="204">
        <v>1</v>
      </c>
      <c r="L21" s="203"/>
      <c r="M21" s="203"/>
      <c r="N21" s="202"/>
    </row>
    <row r="22" spans="1:19" x14ac:dyDescent="0.2">
      <c r="A22" s="223"/>
      <c r="B22" s="200" t="s">
        <v>311</v>
      </c>
      <c r="D22" s="115"/>
      <c r="E22" s="195"/>
      <c r="F22" s="195"/>
      <c r="H22" s="195"/>
      <c r="I22" s="199">
        <v>200000</v>
      </c>
      <c r="J22" s="198"/>
      <c r="K22" s="222">
        <f>($I$22*K21)</f>
        <v>200000</v>
      </c>
      <c r="L22" s="182"/>
      <c r="M22" s="197"/>
      <c r="N22" s="196"/>
      <c r="P22" s="195"/>
    </row>
    <row r="23" spans="1:19" x14ac:dyDescent="0.2">
      <c r="A23" s="221">
        <v>6</v>
      </c>
      <c r="B23" s="220" t="s">
        <v>337</v>
      </c>
      <c r="C23" s="219"/>
      <c r="D23" s="218"/>
      <c r="E23" s="195"/>
      <c r="F23" s="195"/>
      <c r="H23" s="195"/>
      <c r="I23" s="217"/>
      <c r="J23" s="216"/>
      <c r="K23" s="215"/>
      <c r="L23" s="215"/>
      <c r="M23" s="214"/>
      <c r="N23" s="213"/>
      <c r="O23" s="156"/>
      <c r="S23" s="156"/>
    </row>
    <row r="24" spans="1:19" x14ac:dyDescent="0.2">
      <c r="A24" s="212"/>
      <c r="B24" s="98" t="s">
        <v>336</v>
      </c>
      <c r="C24" s="98"/>
      <c r="D24" s="184" t="s">
        <v>335</v>
      </c>
      <c r="E24" s="197"/>
      <c r="F24" s="206" t="str">
        <f>IF(C24&gt;0,(C24*E24)," ")</f>
        <v xml:space="preserve"> </v>
      </c>
      <c r="G24" s="60"/>
      <c r="H24" s="206"/>
      <c r="I24" s="199"/>
      <c r="J24" s="211"/>
      <c r="K24" s="210"/>
      <c r="L24" s="210"/>
      <c r="M24" s="209"/>
      <c r="N24" s="208"/>
    </row>
    <row r="25" spans="1:19" x14ac:dyDescent="0.2">
      <c r="A25" s="207"/>
      <c r="B25" s="98" t="s">
        <v>334</v>
      </c>
      <c r="C25" s="98"/>
      <c r="D25" s="184" t="s">
        <v>333</v>
      </c>
      <c r="E25" s="197"/>
      <c r="F25" s="206" t="str">
        <f>IF(C25&gt;0,(C25*E25)," ")</f>
        <v xml:space="preserve"> </v>
      </c>
      <c r="G25" s="60"/>
      <c r="H25" s="206"/>
      <c r="I25" s="199"/>
      <c r="J25" s="205"/>
      <c r="K25" s="204">
        <v>0.6</v>
      </c>
      <c r="L25" s="204">
        <v>0.4</v>
      </c>
      <c r="M25" s="203"/>
      <c r="N25" s="202"/>
    </row>
    <row r="26" spans="1:19" x14ac:dyDescent="0.2">
      <c r="A26" s="201"/>
      <c r="B26" s="200" t="s">
        <v>311</v>
      </c>
      <c r="E26" s="195"/>
      <c r="F26" s="195"/>
      <c r="H26" s="195"/>
      <c r="I26" s="199">
        <v>1000000</v>
      </c>
      <c r="J26" s="198">
        <f>($I$26*J25)</f>
        <v>0</v>
      </c>
      <c r="K26" s="182">
        <f>($I$26*K25)</f>
        <v>600000</v>
      </c>
      <c r="L26" s="182">
        <f>($I$26*L25)</f>
        <v>400000</v>
      </c>
      <c r="M26" s="197"/>
      <c r="N26" s="196"/>
      <c r="P26" s="195"/>
    </row>
    <row r="27" spans="1:19" ht="15.75" thickBot="1" x14ac:dyDescent="0.3">
      <c r="A27" s="194"/>
      <c r="B27" s="193" t="s">
        <v>332</v>
      </c>
      <c r="C27" s="162"/>
      <c r="D27" s="162"/>
      <c r="E27" s="192"/>
      <c r="F27" s="192"/>
      <c r="G27" s="162"/>
      <c r="H27" s="192"/>
      <c r="I27" s="191">
        <f>SUM(I14,I18,I22,I26)</f>
        <v>6325028.75</v>
      </c>
      <c r="J27" s="190"/>
      <c r="K27" s="189"/>
      <c r="L27" s="189"/>
      <c r="M27" s="188"/>
      <c r="N27" s="187"/>
      <c r="P27" s="186"/>
    </row>
    <row r="28" spans="1:19" ht="7.5" customHeight="1" thickBot="1" x14ac:dyDescent="0.25"/>
    <row r="29" spans="1:19" ht="15" x14ac:dyDescent="0.25">
      <c r="A29" s="23" t="s">
        <v>294</v>
      </c>
      <c r="B29" s="177"/>
      <c r="C29" s="177"/>
      <c r="D29" s="177"/>
      <c r="E29" s="177"/>
      <c r="F29" s="177"/>
      <c r="G29" s="177"/>
      <c r="H29" s="177"/>
      <c r="I29" s="177"/>
      <c r="J29" s="176"/>
    </row>
    <row r="30" spans="1:19" ht="45" x14ac:dyDescent="0.2">
      <c r="A30" s="155" t="s">
        <v>271</v>
      </c>
      <c r="B30" s="67" t="s">
        <v>322</v>
      </c>
      <c r="C30" s="10" t="s">
        <v>292</v>
      </c>
      <c r="D30" s="10" t="s">
        <v>321</v>
      </c>
      <c r="E30" s="67" t="s">
        <v>331</v>
      </c>
      <c r="F30" s="67" t="s">
        <v>277</v>
      </c>
      <c r="G30" s="10" t="s">
        <v>330</v>
      </c>
      <c r="H30" s="682" t="s">
        <v>275</v>
      </c>
      <c r="I30" s="682"/>
      <c r="J30" s="683"/>
    </row>
    <row r="31" spans="1:19" x14ac:dyDescent="0.2">
      <c r="A31" s="185">
        <v>1</v>
      </c>
      <c r="B31" s="98" t="s">
        <v>329</v>
      </c>
      <c r="C31" s="184" t="s">
        <v>324</v>
      </c>
      <c r="D31" s="184">
        <v>50</v>
      </c>
      <c r="E31" s="183">
        <f>G31*65000</f>
        <v>51775.160601219897</v>
      </c>
      <c r="F31" s="182">
        <v>895893.79588093178</v>
      </c>
      <c r="G31" s="181">
        <v>0.79654093232645995</v>
      </c>
      <c r="H31" s="684" t="s">
        <v>328</v>
      </c>
      <c r="I31" s="684"/>
      <c r="J31" s="685"/>
    </row>
    <row r="32" spans="1:19" x14ac:dyDescent="0.2">
      <c r="A32" s="185">
        <v>2</v>
      </c>
      <c r="B32" s="98" t="s">
        <v>327</v>
      </c>
      <c r="C32" s="184" t="s">
        <v>324</v>
      </c>
      <c r="D32" s="184">
        <v>50</v>
      </c>
      <c r="E32" s="183">
        <f>G32*65000</f>
        <v>1294.3715723939572</v>
      </c>
      <c r="F32" s="182">
        <v>22397.216113030667</v>
      </c>
      <c r="G32" s="181">
        <v>1.9913408806060878E-2</v>
      </c>
      <c r="H32" s="684" t="s">
        <v>323</v>
      </c>
      <c r="I32" s="684"/>
      <c r="J32" s="685"/>
    </row>
    <row r="33" spans="1:12" x14ac:dyDescent="0.2">
      <c r="A33" s="185">
        <v>4</v>
      </c>
      <c r="B33" s="98" t="s">
        <v>326</v>
      </c>
      <c r="C33" s="184" t="s">
        <v>324</v>
      </c>
      <c r="D33" s="184">
        <v>50</v>
      </c>
      <c r="E33" s="183">
        <f>G33*65000</f>
        <v>2020.482454468616</v>
      </c>
      <c r="F33" s="182">
        <v>34961.508078877145</v>
      </c>
      <c r="G33" s="181">
        <v>3.1084345453363322E-2</v>
      </c>
      <c r="H33" s="684" t="s">
        <v>323</v>
      </c>
      <c r="I33" s="684"/>
      <c r="J33" s="685"/>
    </row>
    <row r="34" spans="1:12" x14ac:dyDescent="0.2">
      <c r="A34" s="185">
        <v>6</v>
      </c>
      <c r="B34" s="98" t="s">
        <v>325</v>
      </c>
      <c r="C34" s="184" t="s">
        <v>324</v>
      </c>
      <c r="D34" s="184">
        <v>50</v>
      </c>
      <c r="E34" s="183">
        <f>G34*65000</f>
        <v>9909.9853719174971</v>
      </c>
      <c r="F34" s="182">
        <v>162489.22409488491</v>
      </c>
      <c r="G34" s="181">
        <v>0.15246131341411534</v>
      </c>
      <c r="H34" s="684" t="s">
        <v>323</v>
      </c>
      <c r="I34" s="684"/>
      <c r="J34" s="685"/>
    </row>
    <row r="35" spans="1:12" ht="13.5" thickBot="1" x14ac:dyDescent="0.25">
      <c r="A35" s="167"/>
      <c r="B35" s="162" t="s">
        <v>311</v>
      </c>
      <c r="C35" s="162"/>
      <c r="D35" s="162"/>
      <c r="E35" s="180">
        <f>SUM(E31:E34)</f>
        <v>64999.999999999971</v>
      </c>
      <c r="F35" s="179"/>
      <c r="G35" s="178">
        <f>SUM(G31:G34)</f>
        <v>0.99999999999999956</v>
      </c>
      <c r="H35" s="162"/>
      <c r="I35" s="162"/>
      <c r="J35" s="161"/>
    </row>
    <row r="36" spans="1:12" ht="6.75" customHeight="1" thickBot="1" x14ac:dyDescent="0.25"/>
    <row r="37" spans="1:12" ht="15" x14ac:dyDescent="0.25">
      <c r="A37" s="23" t="s">
        <v>284</v>
      </c>
      <c r="B37" s="177"/>
      <c r="C37" s="177"/>
      <c r="D37" s="177"/>
      <c r="E37" s="177"/>
      <c r="F37" s="177"/>
      <c r="G37" s="177"/>
      <c r="H37" s="177"/>
      <c r="I37" s="176"/>
      <c r="J37" s="142"/>
    </row>
    <row r="38" spans="1:12" ht="45" x14ac:dyDescent="0.25">
      <c r="A38" s="155" t="s">
        <v>271</v>
      </c>
      <c r="B38" s="175" t="s">
        <v>322</v>
      </c>
      <c r="C38" s="175" t="s">
        <v>280</v>
      </c>
      <c r="D38" s="10" t="s">
        <v>321</v>
      </c>
      <c r="E38" s="175" t="s">
        <v>320</v>
      </c>
      <c r="F38" s="175" t="s">
        <v>277</v>
      </c>
      <c r="G38" s="699" t="s">
        <v>275</v>
      </c>
      <c r="H38" s="699"/>
      <c r="I38" s="700"/>
      <c r="J38" s="142"/>
    </row>
    <row r="39" spans="1:12" s="172" customFormat="1" ht="30" customHeight="1" x14ac:dyDescent="0.25">
      <c r="A39" s="171" t="s">
        <v>319</v>
      </c>
      <c r="B39" s="174" t="s">
        <v>318</v>
      </c>
      <c r="C39" s="174" t="s">
        <v>317</v>
      </c>
      <c r="D39" s="170">
        <v>50</v>
      </c>
      <c r="E39" s="173">
        <v>100000</v>
      </c>
      <c r="F39" s="168">
        <v>123739.30769794964</v>
      </c>
      <c r="G39" s="689" t="s">
        <v>316</v>
      </c>
      <c r="H39" s="690"/>
      <c r="I39" s="691"/>
      <c r="J39" s="143"/>
    </row>
    <row r="40" spans="1:12" ht="25.5" x14ac:dyDescent="0.2">
      <c r="A40" s="171" t="s">
        <v>315</v>
      </c>
      <c r="B40" s="95" t="s">
        <v>314</v>
      </c>
      <c r="C40" s="99" t="s">
        <v>313</v>
      </c>
      <c r="D40" s="170">
        <v>50</v>
      </c>
      <c r="E40" s="169">
        <v>45000</v>
      </c>
      <c r="F40" s="168">
        <v>315172.85425244126</v>
      </c>
      <c r="G40" s="701" t="s">
        <v>312</v>
      </c>
      <c r="H40" s="701"/>
      <c r="I40" s="702"/>
      <c r="J40" s="142"/>
    </row>
    <row r="41" spans="1:12" ht="13.5" thickBot="1" x14ac:dyDescent="0.25">
      <c r="A41" s="167"/>
      <c r="B41" s="162" t="s">
        <v>311</v>
      </c>
      <c r="C41" s="162"/>
      <c r="D41" s="166"/>
      <c r="E41" s="165">
        <f>SUM(E39:E40)</f>
        <v>145000</v>
      </c>
      <c r="F41" s="164"/>
      <c r="G41" s="163"/>
      <c r="H41" s="162"/>
      <c r="I41" s="161"/>
      <c r="J41" s="142"/>
    </row>
    <row r="42" spans="1:12" ht="6.75" customHeight="1" x14ac:dyDescent="0.2"/>
    <row r="43" spans="1:12" ht="20.25" customHeight="1" thickBot="1" x14ac:dyDescent="0.3">
      <c r="A43" s="12" t="s">
        <v>641</v>
      </c>
    </row>
    <row r="44" spans="1:12" ht="16.5" thickBot="1" x14ac:dyDescent="0.3">
      <c r="A44" s="491" t="s">
        <v>0</v>
      </c>
      <c r="B44" s="492"/>
      <c r="C44" s="492"/>
      <c r="D44" s="492"/>
      <c r="E44" s="492"/>
      <c r="F44" s="493"/>
      <c r="G44" s="493"/>
      <c r="H44" s="493"/>
      <c r="I44" s="493"/>
      <c r="J44" s="493"/>
      <c r="K44" s="493"/>
      <c r="L44" s="494"/>
    </row>
    <row r="45" spans="1:12" ht="15" customHeight="1" x14ac:dyDescent="0.2">
      <c r="A45" s="705" t="s">
        <v>310</v>
      </c>
      <c r="B45" s="706"/>
      <c r="C45" s="706"/>
      <c r="D45" s="706"/>
      <c r="E45" s="706"/>
      <c r="F45" s="706"/>
      <c r="G45" s="706"/>
      <c r="H45" s="706"/>
      <c r="I45" s="706"/>
      <c r="J45" s="460"/>
      <c r="K45" s="460"/>
      <c r="L45" s="484"/>
    </row>
    <row r="46" spans="1:12" ht="15" customHeight="1" x14ac:dyDescent="0.2">
      <c r="A46" s="692" t="s">
        <v>271</v>
      </c>
      <c r="B46" s="693"/>
      <c r="C46" s="673" t="s">
        <v>283</v>
      </c>
      <c r="D46" s="673"/>
      <c r="E46" s="673"/>
      <c r="F46" s="673"/>
      <c r="G46" s="673"/>
      <c r="H46" s="673"/>
      <c r="I46" s="673"/>
      <c r="J46" s="673"/>
      <c r="K46" s="673"/>
      <c r="L46" s="674"/>
    </row>
    <row r="47" spans="1:12" ht="15" customHeight="1" x14ac:dyDescent="0.2">
      <c r="A47" s="680" t="s">
        <v>282</v>
      </c>
      <c r="B47" s="681"/>
      <c r="C47" s="673" t="s">
        <v>309</v>
      </c>
      <c r="D47" s="673"/>
      <c r="E47" s="673"/>
      <c r="F47" s="673"/>
      <c r="G47" s="673"/>
      <c r="H47" s="673"/>
      <c r="I47" s="673"/>
      <c r="J47" s="673"/>
      <c r="K47" s="673"/>
      <c r="L47" s="674"/>
    </row>
    <row r="48" spans="1:12" ht="15" customHeight="1" x14ac:dyDescent="0.2">
      <c r="A48" s="680" t="s">
        <v>308</v>
      </c>
      <c r="B48" s="681"/>
      <c r="C48" s="673" t="s">
        <v>307</v>
      </c>
      <c r="D48" s="673"/>
      <c r="E48" s="673"/>
      <c r="F48" s="673"/>
      <c r="G48" s="673"/>
      <c r="H48" s="673"/>
      <c r="I48" s="673"/>
      <c r="J48" s="673"/>
      <c r="K48" s="673"/>
      <c r="L48" s="674"/>
    </row>
    <row r="49" spans="1:12" ht="15" customHeight="1" x14ac:dyDescent="0.2">
      <c r="A49" s="680" t="s">
        <v>306</v>
      </c>
      <c r="B49" s="681"/>
      <c r="C49" s="673" t="s">
        <v>305</v>
      </c>
      <c r="D49" s="673"/>
      <c r="E49" s="673"/>
      <c r="F49" s="673"/>
      <c r="G49" s="673"/>
      <c r="H49" s="673"/>
      <c r="I49" s="673"/>
      <c r="J49" s="673"/>
      <c r="K49" s="673"/>
      <c r="L49" s="674"/>
    </row>
    <row r="50" spans="1:12" ht="33" customHeight="1" x14ac:dyDescent="0.2">
      <c r="A50" s="680" t="s">
        <v>304</v>
      </c>
      <c r="B50" s="681"/>
      <c r="C50" s="673" t="s">
        <v>658</v>
      </c>
      <c r="D50" s="673"/>
      <c r="E50" s="673"/>
      <c r="F50" s="673"/>
      <c r="G50" s="673"/>
      <c r="H50" s="673"/>
      <c r="I50" s="673"/>
      <c r="J50" s="673"/>
      <c r="K50" s="673"/>
      <c r="L50" s="674"/>
    </row>
    <row r="51" spans="1:12" ht="15" customHeight="1" x14ac:dyDescent="0.2">
      <c r="A51" s="680" t="s">
        <v>303</v>
      </c>
      <c r="B51" s="681"/>
      <c r="C51" s="673" t="s">
        <v>302</v>
      </c>
      <c r="D51" s="673"/>
      <c r="E51" s="673"/>
      <c r="F51" s="673"/>
      <c r="G51" s="673"/>
      <c r="H51" s="673"/>
      <c r="I51" s="673"/>
      <c r="J51" s="673"/>
      <c r="K51" s="673"/>
      <c r="L51" s="674"/>
    </row>
    <row r="52" spans="1:12" ht="15" customHeight="1" x14ac:dyDescent="0.2">
      <c r="A52" s="680" t="s">
        <v>301</v>
      </c>
      <c r="B52" s="681"/>
      <c r="C52" s="673" t="s">
        <v>300</v>
      </c>
      <c r="D52" s="673"/>
      <c r="E52" s="673"/>
      <c r="F52" s="673"/>
      <c r="G52" s="673"/>
      <c r="H52" s="673"/>
      <c r="I52" s="673"/>
      <c r="J52" s="673"/>
      <c r="K52" s="673"/>
      <c r="L52" s="674"/>
    </row>
    <row r="53" spans="1:12" ht="15" customHeight="1" x14ac:dyDescent="0.2">
      <c r="A53" s="680" t="s">
        <v>299</v>
      </c>
      <c r="B53" s="681"/>
      <c r="C53" s="673" t="s">
        <v>298</v>
      </c>
      <c r="D53" s="673"/>
      <c r="E53" s="673"/>
      <c r="F53" s="673"/>
      <c r="G53" s="673"/>
      <c r="H53" s="673"/>
      <c r="I53" s="673"/>
      <c r="J53" s="673"/>
      <c r="K53" s="673"/>
      <c r="L53" s="674"/>
    </row>
    <row r="54" spans="1:12" ht="15" customHeight="1" x14ac:dyDescent="0.2">
      <c r="A54" s="680" t="s">
        <v>297</v>
      </c>
      <c r="B54" s="681"/>
      <c r="C54" s="673" t="s">
        <v>296</v>
      </c>
      <c r="D54" s="673"/>
      <c r="E54" s="673"/>
      <c r="F54" s="673"/>
      <c r="G54" s="673"/>
      <c r="H54" s="673"/>
      <c r="I54" s="673"/>
      <c r="J54" s="673"/>
      <c r="K54" s="673"/>
      <c r="L54" s="674"/>
    </row>
    <row r="55" spans="1:12" ht="45" customHeight="1" thickBot="1" x14ac:dyDescent="0.25">
      <c r="A55" s="678" t="s">
        <v>295</v>
      </c>
      <c r="B55" s="679"/>
      <c r="C55" s="669" t="s">
        <v>590</v>
      </c>
      <c r="D55" s="669"/>
      <c r="E55" s="669"/>
      <c r="F55" s="669"/>
      <c r="G55" s="669"/>
      <c r="H55" s="669"/>
      <c r="I55" s="669"/>
      <c r="J55" s="669"/>
      <c r="K55" s="669"/>
      <c r="L55" s="670"/>
    </row>
    <row r="56" spans="1:12" ht="15" x14ac:dyDescent="0.2">
      <c r="A56" s="703" t="s">
        <v>294</v>
      </c>
      <c r="B56" s="704"/>
      <c r="C56" s="704"/>
      <c r="D56" s="704"/>
      <c r="E56" s="704"/>
      <c r="F56" s="704"/>
      <c r="G56" s="704"/>
      <c r="H56" s="704"/>
      <c r="I56" s="704"/>
      <c r="J56" s="489"/>
      <c r="K56" s="489"/>
      <c r="L56" s="490"/>
    </row>
    <row r="57" spans="1:12" ht="15" customHeight="1" x14ac:dyDescent="0.2">
      <c r="A57" s="692" t="s">
        <v>271</v>
      </c>
      <c r="B57" s="693"/>
      <c r="C57" s="673" t="s">
        <v>283</v>
      </c>
      <c r="D57" s="673"/>
      <c r="E57" s="673"/>
      <c r="F57" s="673"/>
      <c r="G57" s="673"/>
      <c r="H57" s="673"/>
      <c r="I57" s="673"/>
      <c r="J57" s="673"/>
      <c r="K57" s="673"/>
      <c r="L57" s="674"/>
    </row>
    <row r="58" spans="1:12" ht="15" customHeight="1" x14ac:dyDescent="0.2">
      <c r="A58" s="680" t="s">
        <v>282</v>
      </c>
      <c r="B58" s="681"/>
      <c r="C58" s="673" t="s">
        <v>293</v>
      </c>
      <c r="D58" s="673"/>
      <c r="E58" s="673"/>
      <c r="F58" s="673"/>
      <c r="G58" s="673"/>
      <c r="H58" s="673"/>
      <c r="I58" s="673"/>
      <c r="J58" s="673"/>
      <c r="K58" s="673"/>
      <c r="L58" s="674"/>
    </row>
    <row r="59" spans="1:12" ht="15" customHeight="1" x14ac:dyDescent="0.2">
      <c r="A59" s="680" t="s">
        <v>292</v>
      </c>
      <c r="B59" s="681"/>
      <c r="C59" s="673" t="s">
        <v>279</v>
      </c>
      <c r="D59" s="673"/>
      <c r="E59" s="673"/>
      <c r="F59" s="673"/>
      <c r="G59" s="673"/>
      <c r="H59" s="673"/>
      <c r="I59" s="673"/>
      <c r="J59" s="673"/>
      <c r="K59" s="673"/>
      <c r="L59" s="674"/>
    </row>
    <row r="60" spans="1:12" ht="33" customHeight="1" x14ac:dyDescent="0.2">
      <c r="A60" s="694" t="s">
        <v>278</v>
      </c>
      <c r="B60" s="695"/>
      <c r="C60" s="667" t="s">
        <v>291</v>
      </c>
      <c r="D60" s="667"/>
      <c r="E60" s="667"/>
      <c r="F60" s="667"/>
      <c r="G60" s="667"/>
      <c r="H60" s="667"/>
      <c r="I60" s="667"/>
      <c r="J60" s="667"/>
      <c r="K60" s="667"/>
      <c r="L60" s="668"/>
    </row>
    <row r="61" spans="1:12" ht="15" customHeight="1" x14ac:dyDescent="0.2">
      <c r="A61" s="680" t="s">
        <v>290</v>
      </c>
      <c r="B61" s="681"/>
      <c r="C61" s="673" t="s">
        <v>289</v>
      </c>
      <c r="D61" s="673"/>
      <c r="E61" s="673"/>
      <c r="F61" s="673"/>
      <c r="G61" s="673"/>
      <c r="H61" s="673"/>
      <c r="I61" s="673"/>
      <c r="J61" s="673"/>
      <c r="K61" s="673"/>
      <c r="L61" s="674"/>
    </row>
    <row r="62" spans="1:12" ht="15" customHeight="1" x14ac:dyDescent="0.2">
      <c r="A62" s="680" t="s">
        <v>277</v>
      </c>
      <c r="B62" s="681"/>
      <c r="C62" s="673" t="s">
        <v>288</v>
      </c>
      <c r="D62" s="673"/>
      <c r="E62" s="673"/>
      <c r="F62" s="673"/>
      <c r="G62" s="673"/>
      <c r="H62" s="673"/>
      <c r="I62" s="673"/>
      <c r="J62" s="673"/>
      <c r="K62" s="673"/>
      <c r="L62" s="486"/>
    </row>
    <row r="63" spans="1:12" ht="31.5" customHeight="1" x14ac:dyDescent="0.2">
      <c r="A63" s="694" t="s">
        <v>287</v>
      </c>
      <c r="B63" s="695"/>
      <c r="C63" s="667" t="s">
        <v>286</v>
      </c>
      <c r="D63" s="667"/>
      <c r="E63" s="667"/>
      <c r="F63" s="667"/>
      <c r="G63" s="667"/>
      <c r="H63" s="667"/>
      <c r="I63" s="667"/>
      <c r="J63" s="667"/>
      <c r="K63" s="667"/>
      <c r="L63" s="668"/>
    </row>
    <row r="64" spans="1:12" ht="15.75" customHeight="1" thickBot="1" x14ac:dyDescent="0.25">
      <c r="A64" s="678" t="s">
        <v>275</v>
      </c>
      <c r="B64" s="679"/>
      <c r="C64" s="669" t="s">
        <v>285</v>
      </c>
      <c r="D64" s="669"/>
      <c r="E64" s="669"/>
      <c r="F64" s="669"/>
      <c r="G64" s="669"/>
      <c r="H64" s="669"/>
      <c r="I64" s="669"/>
      <c r="J64" s="669"/>
      <c r="K64" s="669"/>
      <c r="L64" s="670"/>
    </row>
    <row r="65" spans="1:13" ht="15" x14ac:dyDescent="0.2">
      <c r="A65" s="703" t="s">
        <v>284</v>
      </c>
      <c r="B65" s="704"/>
      <c r="C65" s="704"/>
      <c r="D65" s="704"/>
      <c r="E65" s="704"/>
      <c r="F65" s="704"/>
      <c r="G65" s="704"/>
      <c r="H65" s="704"/>
      <c r="I65" s="704"/>
      <c r="J65" s="489"/>
      <c r="K65" s="489"/>
      <c r="L65" s="490"/>
    </row>
    <row r="66" spans="1:13" ht="15" x14ac:dyDescent="0.2">
      <c r="A66" s="692" t="s">
        <v>271</v>
      </c>
      <c r="B66" s="693"/>
      <c r="C66" s="673" t="s">
        <v>283</v>
      </c>
      <c r="D66" s="673"/>
      <c r="E66" s="673"/>
      <c r="F66" s="673"/>
      <c r="G66" s="673"/>
      <c r="H66" s="673"/>
      <c r="I66" s="673"/>
      <c r="J66" s="485"/>
      <c r="K66" s="485"/>
      <c r="L66" s="486"/>
    </row>
    <row r="67" spans="1:13" ht="15" x14ac:dyDescent="0.2">
      <c r="A67" s="680" t="s">
        <v>282</v>
      </c>
      <c r="B67" s="681"/>
      <c r="C67" s="673" t="s">
        <v>281</v>
      </c>
      <c r="D67" s="673"/>
      <c r="E67" s="673"/>
      <c r="F67" s="673"/>
      <c r="G67" s="673"/>
      <c r="H67" s="673"/>
      <c r="I67" s="673"/>
      <c r="J67" s="485"/>
      <c r="K67" s="485"/>
      <c r="L67" s="486"/>
    </row>
    <row r="68" spans="1:13" ht="15" x14ac:dyDescent="0.2">
      <c r="A68" s="680" t="s">
        <v>280</v>
      </c>
      <c r="B68" s="681"/>
      <c r="C68" s="673" t="s">
        <v>279</v>
      </c>
      <c r="D68" s="673"/>
      <c r="E68" s="673"/>
      <c r="F68" s="673"/>
      <c r="G68" s="673"/>
      <c r="H68" s="673"/>
      <c r="I68" s="673"/>
      <c r="J68" s="485"/>
      <c r="K68" s="485"/>
      <c r="L68" s="486"/>
    </row>
    <row r="69" spans="1:13" ht="29.25" customHeight="1" x14ac:dyDescent="0.2">
      <c r="A69" s="694" t="s">
        <v>278</v>
      </c>
      <c r="B69" s="695"/>
      <c r="C69" s="667" t="s">
        <v>659</v>
      </c>
      <c r="D69" s="667"/>
      <c r="E69" s="667"/>
      <c r="F69" s="667"/>
      <c r="G69" s="667"/>
      <c r="H69" s="667"/>
      <c r="I69" s="667"/>
      <c r="J69" s="667"/>
      <c r="K69" s="667"/>
      <c r="L69" s="668"/>
    </row>
    <row r="70" spans="1:13" ht="15" x14ac:dyDescent="0.2">
      <c r="A70" s="680" t="s">
        <v>277</v>
      </c>
      <c r="B70" s="681"/>
      <c r="C70" s="673" t="s">
        <v>276</v>
      </c>
      <c r="D70" s="673"/>
      <c r="E70" s="673"/>
      <c r="F70" s="673"/>
      <c r="G70" s="673"/>
      <c r="H70" s="673"/>
      <c r="I70" s="673"/>
      <c r="J70" s="485"/>
      <c r="K70" s="485"/>
      <c r="L70" s="486"/>
    </row>
    <row r="71" spans="1:13" ht="15.75" thickBot="1" x14ac:dyDescent="0.25">
      <c r="A71" s="696" t="s">
        <v>275</v>
      </c>
      <c r="B71" s="697"/>
      <c r="C71" s="698" t="s">
        <v>274</v>
      </c>
      <c r="D71" s="698"/>
      <c r="E71" s="698"/>
      <c r="F71" s="698"/>
      <c r="G71" s="698"/>
      <c r="H71" s="698"/>
      <c r="I71" s="698"/>
      <c r="J71" s="487"/>
      <c r="K71" s="487"/>
      <c r="L71" s="488"/>
      <c r="M71" s="142"/>
    </row>
    <row r="72" spans="1:13" x14ac:dyDescent="0.2">
      <c r="A72" s="142"/>
      <c r="B72" s="142"/>
      <c r="C72" s="142"/>
      <c r="D72" s="142"/>
      <c r="E72" s="142"/>
      <c r="F72" s="142"/>
      <c r="G72" s="142"/>
      <c r="H72" s="142"/>
      <c r="I72" s="142"/>
      <c r="J72" s="142"/>
      <c r="K72" s="142"/>
      <c r="L72" s="142"/>
      <c r="M72" s="142"/>
    </row>
    <row r="73" spans="1:13" x14ac:dyDescent="0.2">
      <c r="A73" s="142"/>
      <c r="B73" s="142"/>
      <c r="C73" s="142"/>
      <c r="D73" s="142"/>
      <c r="E73" s="142"/>
      <c r="F73" s="142"/>
      <c r="G73" s="142"/>
      <c r="H73" s="142"/>
      <c r="I73" s="142"/>
      <c r="J73" s="142"/>
      <c r="K73" s="142"/>
      <c r="L73" s="142"/>
      <c r="M73" s="142"/>
    </row>
  </sheetData>
  <mergeCells count="66">
    <mergeCell ref="A66:B66"/>
    <mergeCell ref="C66:I66"/>
    <mergeCell ref="A71:B71"/>
    <mergeCell ref="C71:I71"/>
    <mergeCell ref="G38:I38"/>
    <mergeCell ref="G40:I40"/>
    <mergeCell ref="A56:I56"/>
    <mergeCell ref="A45:I45"/>
    <mergeCell ref="A65:I65"/>
    <mergeCell ref="A70:B70"/>
    <mergeCell ref="C70:I70"/>
    <mergeCell ref="A67:B67"/>
    <mergeCell ref="C67:I67"/>
    <mergeCell ref="A68:B68"/>
    <mergeCell ref="C68:I68"/>
    <mergeCell ref="A69:B69"/>
    <mergeCell ref="A63:B63"/>
    <mergeCell ref="A64:B64"/>
    <mergeCell ref="A59:B59"/>
    <mergeCell ref="A60:B60"/>
    <mergeCell ref="A61:B61"/>
    <mergeCell ref="H32:J32"/>
    <mergeCell ref="H33:J33"/>
    <mergeCell ref="H34:J34"/>
    <mergeCell ref="A57:B57"/>
    <mergeCell ref="A52:B52"/>
    <mergeCell ref="A62:B62"/>
    <mergeCell ref="J5:N5"/>
    <mergeCell ref="G39:I39"/>
    <mergeCell ref="A46:B46"/>
    <mergeCell ref="A47:B47"/>
    <mergeCell ref="A51:B51"/>
    <mergeCell ref="A53:B53"/>
    <mergeCell ref="C46:L46"/>
    <mergeCell ref="A58:B58"/>
    <mergeCell ref="A48:B48"/>
    <mergeCell ref="A1:H1"/>
    <mergeCell ref="A5:B5"/>
    <mergeCell ref="A2:I2"/>
    <mergeCell ref="A55:B55"/>
    <mergeCell ref="A50:B50"/>
    <mergeCell ref="A54:B54"/>
    <mergeCell ref="H30:J30"/>
    <mergeCell ref="H31:J31"/>
    <mergeCell ref="A49:B49"/>
    <mergeCell ref="C53:L53"/>
    <mergeCell ref="C61:L61"/>
    <mergeCell ref="C62:K62"/>
    <mergeCell ref="C47:L47"/>
    <mergeCell ref="C48:L48"/>
    <mergeCell ref="C49:L49"/>
    <mergeCell ref="C50:L50"/>
    <mergeCell ref="C51:L51"/>
    <mergeCell ref="C52:L52"/>
    <mergeCell ref="C54:L54"/>
    <mergeCell ref="C55:L55"/>
    <mergeCell ref="C63:L63"/>
    <mergeCell ref="C64:L64"/>
    <mergeCell ref="C69:L69"/>
    <mergeCell ref="I1:J1"/>
    <mergeCell ref="K1:L1"/>
    <mergeCell ref="A3:N3"/>
    <mergeCell ref="C57:L57"/>
    <mergeCell ref="C58:L58"/>
    <mergeCell ref="C59:L59"/>
    <mergeCell ref="C60:L60"/>
  </mergeCells>
  <pageMargins left="0.7" right="0.7" top="0.75" bottom="0.75" header="0.3" footer="0.3"/>
  <pageSetup scale="70" fitToHeight="2" orientation="landscape" cellComments="asDisplayed" r:id="rId1"/>
  <rowBreaks count="1" manualBreakCount="1">
    <brk id="42"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750D-B7F4-4284-A5F3-0BAC9561ACCD}">
  <sheetPr>
    <pageSetUpPr fitToPage="1"/>
  </sheetPr>
  <dimension ref="A1:L72"/>
  <sheetViews>
    <sheetView view="pageBreakPreview" topLeftCell="A12" zoomScaleNormal="90" zoomScaleSheetLayoutView="100" workbookViewId="0">
      <selection activeCell="N24" sqref="N24"/>
    </sheetView>
  </sheetViews>
  <sheetFormatPr defaultRowHeight="12.75" x14ac:dyDescent="0.2"/>
  <cols>
    <col min="1" max="1" width="8.28515625" style="114" customWidth="1"/>
    <col min="2" max="2" width="25.5703125" style="114" customWidth="1"/>
    <col min="3" max="3" width="20.42578125" style="114" customWidth="1"/>
    <col min="4" max="4" width="17" style="114" customWidth="1"/>
    <col min="5" max="5" width="12.140625" style="244" customWidth="1"/>
    <col min="6" max="6" width="41.85546875" style="114" customWidth="1"/>
    <col min="7" max="8" width="9.140625" style="114"/>
    <col min="9" max="9" width="19" style="114" customWidth="1"/>
    <col min="10" max="10" width="11.7109375" style="114" customWidth="1"/>
    <col min="11" max="16384" width="9.140625" style="114"/>
  </cols>
  <sheetData>
    <row r="1" spans="1:11" ht="17.25" customHeight="1" x14ac:dyDescent="0.2">
      <c r="A1" s="267" t="s">
        <v>482</v>
      </c>
      <c r="B1" s="267"/>
      <c r="D1" s="534" t="s">
        <v>539</v>
      </c>
      <c r="E1" s="534"/>
      <c r="F1" s="500" t="s">
        <v>540</v>
      </c>
    </row>
    <row r="2" spans="1:11" ht="44.25" customHeight="1" x14ac:dyDescent="0.2">
      <c r="A2" s="527" t="s">
        <v>373</v>
      </c>
      <c r="B2" s="527"/>
      <c r="C2" s="527"/>
      <c r="D2" s="527"/>
      <c r="E2" s="527"/>
      <c r="F2" s="527"/>
    </row>
    <row r="3" spans="1:11" ht="17.25" customHeight="1" x14ac:dyDescent="0.2">
      <c r="A3" s="266" t="s">
        <v>357</v>
      </c>
      <c r="B3" s="159"/>
      <c r="E3" s="114"/>
    </row>
    <row r="4" spans="1:11" ht="37.5" customHeight="1" x14ac:dyDescent="0.2">
      <c r="A4" s="265" t="s">
        <v>271</v>
      </c>
      <c r="B4" s="67" t="s">
        <v>364</v>
      </c>
      <c r="C4" s="67" t="s">
        <v>372</v>
      </c>
      <c r="D4" s="15" t="s">
        <v>518</v>
      </c>
      <c r="E4" s="265" t="s">
        <v>362</v>
      </c>
      <c r="F4" s="15" t="s">
        <v>0</v>
      </c>
    </row>
    <row r="5" spans="1:11" x14ac:dyDescent="0.2">
      <c r="A5" s="391">
        <v>1</v>
      </c>
      <c r="B5" s="98" t="s">
        <v>351</v>
      </c>
      <c r="C5" s="264"/>
      <c r="D5" s="264"/>
      <c r="E5" s="261"/>
      <c r="F5" s="264"/>
      <c r="G5" s="156"/>
      <c r="K5" s="156"/>
    </row>
    <row r="6" spans="1:11" hidden="1" x14ac:dyDescent="0.2">
      <c r="A6" s="256"/>
      <c r="B6" s="60" t="s">
        <v>350</v>
      </c>
      <c r="C6" s="206" t="e">
        <f>(#REF!+#REF!)</f>
        <v>#REF!</v>
      </c>
      <c r="D6" s="60"/>
      <c r="E6" s="253"/>
      <c r="F6" s="60"/>
    </row>
    <row r="7" spans="1:11" hidden="1" x14ac:dyDescent="0.2">
      <c r="A7" s="256"/>
      <c r="B7" s="60" t="s">
        <v>349</v>
      </c>
      <c r="C7" s="206" t="e">
        <f>(#REF!+#REF!)</f>
        <v>#REF!</v>
      </c>
      <c r="D7" s="60"/>
      <c r="E7" s="253"/>
      <c r="F7" s="60"/>
    </row>
    <row r="8" spans="1:11" hidden="1" x14ac:dyDescent="0.2">
      <c r="A8" s="256"/>
      <c r="B8" s="60" t="s">
        <v>348</v>
      </c>
      <c r="C8" s="206" t="e">
        <f>(#REF!+#REF!)</f>
        <v>#REF!</v>
      </c>
      <c r="D8" s="60"/>
      <c r="E8" s="253"/>
      <c r="F8" s="60"/>
    </row>
    <row r="9" spans="1:11" hidden="1" x14ac:dyDescent="0.2">
      <c r="A9" s="256"/>
      <c r="B9" s="60" t="s">
        <v>347</v>
      </c>
      <c r="C9" s="206" t="e">
        <f>(#REF!+#REF!)</f>
        <v>#REF!</v>
      </c>
      <c r="D9" s="60"/>
      <c r="E9" s="253"/>
      <c r="F9" s="60"/>
    </row>
    <row r="10" spans="1:11" hidden="1" x14ac:dyDescent="0.2">
      <c r="A10" s="256"/>
      <c r="B10" s="60" t="s">
        <v>346</v>
      </c>
      <c r="C10" s="206" t="e">
        <f>(#REF!+#REF!)</f>
        <v>#REF!</v>
      </c>
      <c r="D10" s="60"/>
      <c r="E10" s="253"/>
      <c r="F10" s="60"/>
    </row>
    <row r="11" spans="1:11" hidden="1" x14ac:dyDescent="0.2">
      <c r="A11" s="256"/>
      <c r="B11" s="60" t="s">
        <v>345</v>
      </c>
      <c r="C11" s="206" t="e">
        <f>(#REF!+#REF!)</f>
        <v>#REF!</v>
      </c>
      <c r="D11" s="203"/>
      <c r="E11" s="253"/>
      <c r="F11" s="203"/>
    </row>
    <row r="12" spans="1:11" ht="15" customHeight="1" x14ac:dyDescent="0.2">
      <c r="A12" s="256"/>
      <c r="B12" s="255" t="s">
        <v>311</v>
      </c>
      <c r="C12" s="222">
        <f>('III.1 LCCA_Grouping'!J14+(((1/(1+0.05))^1)*'III.1 LCCA_Grouping'!K14)+'III.1 LCCA_Grouping'!F31)</f>
        <v>5776874.2423095023</v>
      </c>
      <c r="D12" s="425">
        <v>1200000</v>
      </c>
      <c r="E12" s="454">
        <f>(C12)/D12</f>
        <v>4.814061868591252</v>
      </c>
      <c r="F12" s="459" t="s">
        <v>609</v>
      </c>
      <c r="H12" s="195"/>
    </row>
    <row r="13" spans="1:11" x14ac:dyDescent="0.2">
      <c r="A13" s="391">
        <v>2</v>
      </c>
      <c r="B13" s="98" t="s">
        <v>343</v>
      </c>
      <c r="C13" s="262"/>
      <c r="D13" s="263"/>
      <c r="E13" s="455"/>
      <c r="F13" s="209"/>
    </row>
    <row r="14" spans="1:11" hidden="1" x14ac:dyDescent="0.2">
      <c r="A14" s="256"/>
      <c r="B14" s="60" t="s">
        <v>341</v>
      </c>
      <c r="C14" s="206"/>
      <c r="D14" s="254"/>
      <c r="E14" s="456"/>
      <c r="F14" s="203"/>
    </row>
    <row r="15" spans="1:11" hidden="1" x14ac:dyDescent="0.2">
      <c r="A15" s="256"/>
      <c r="B15" s="60" t="s">
        <v>339</v>
      </c>
      <c r="C15" s="206"/>
      <c r="D15" s="254"/>
      <c r="E15" s="456"/>
      <c r="F15" s="203"/>
    </row>
    <row r="16" spans="1:11" x14ac:dyDescent="0.2">
      <c r="A16" s="256"/>
      <c r="B16" s="255" t="s">
        <v>311</v>
      </c>
      <c r="C16" s="222">
        <f>('III.1 LCCA_Grouping'!J18+(((1/(1+0.05))^1)*'III.1 LCCA_Grouping'!K18)+'III.1 LCCA_Grouping'!F32)</f>
        <v>144421.0256368402</v>
      </c>
      <c r="D16" s="425">
        <v>600000</v>
      </c>
      <c r="E16" s="454">
        <f>(C16)/D16</f>
        <v>0.24070170939473368</v>
      </c>
      <c r="F16" s="459" t="s">
        <v>609</v>
      </c>
      <c r="H16" s="195"/>
    </row>
    <row r="17" spans="1:12" x14ac:dyDescent="0.2">
      <c r="A17" s="391">
        <v>3</v>
      </c>
      <c r="B17" s="98" t="s">
        <v>371</v>
      </c>
      <c r="C17" s="262"/>
      <c r="D17" s="263"/>
      <c r="E17" s="455"/>
      <c r="F17" s="209"/>
    </row>
    <row r="18" spans="1:12" hidden="1" x14ac:dyDescent="0.2">
      <c r="A18" s="256"/>
      <c r="B18" s="60" t="s">
        <v>341</v>
      </c>
      <c r="C18" s="206"/>
      <c r="D18" s="254"/>
      <c r="E18" s="456"/>
      <c r="F18" s="203"/>
    </row>
    <row r="19" spans="1:12" hidden="1" x14ac:dyDescent="0.2">
      <c r="A19" s="256"/>
      <c r="B19" s="60" t="s">
        <v>339</v>
      </c>
      <c r="C19" s="206"/>
      <c r="D19" s="254"/>
      <c r="E19" s="456"/>
      <c r="F19" s="203"/>
    </row>
    <row r="20" spans="1:12" x14ac:dyDescent="0.2">
      <c r="A20" s="256"/>
      <c r="B20" s="255" t="s">
        <v>311</v>
      </c>
      <c r="C20" s="222">
        <v>6500000</v>
      </c>
      <c r="D20" s="453">
        <v>600000</v>
      </c>
      <c r="E20" s="457">
        <f>(C20)/D20</f>
        <v>10.833333333333334</v>
      </c>
      <c r="F20" s="226"/>
      <c r="H20" s="195"/>
    </row>
    <row r="21" spans="1:12" ht="12.75" customHeight="1" x14ac:dyDescent="0.25">
      <c r="A21" s="391">
        <v>4</v>
      </c>
      <c r="B21" s="98" t="s">
        <v>370</v>
      </c>
      <c r="C21" s="262"/>
      <c r="D21" s="209"/>
      <c r="E21" s="455"/>
      <c r="F21" s="209"/>
      <c r="G21" s="156"/>
      <c r="H21" s="47"/>
      <c r="K21" s="156"/>
    </row>
    <row r="22" spans="1:12" hidden="1" x14ac:dyDescent="0.2">
      <c r="A22" s="256"/>
      <c r="B22" s="60" t="s">
        <v>369</v>
      </c>
      <c r="C22" s="206"/>
      <c r="D22" s="203"/>
      <c r="E22" s="456"/>
      <c r="F22" s="203"/>
    </row>
    <row r="23" spans="1:12" hidden="1" x14ac:dyDescent="0.2">
      <c r="A23" s="260"/>
      <c r="B23" s="60" t="s">
        <v>334</v>
      </c>
      <c r="C23" s="206"/>
      <c r="D23" s="203"/>
      <c r="E23" s="456"/>
      <c r="F23" s="203"/>
    </row>
    <row r="24" spans="1:12" x14ac:dyDescent="0.2">
      <c r="A24" s="260"/>
      <c r="B24" s="255" t="s">
        <v>311</v>
      </c>
      <c r="C24" s="222">
        <f>((((1/(1+0.05))^1)*'III.1 LCCA_Grouping'!K22)+'III.1 LCCA_Grouping'!F33)</f>
        <v>225437.69855506762</v>
      </c>
      <c r="D24" s="425">
        <v>500000</v>
      </c>
      <c r="E24" s="454">
        <f>(C24)/D24</f>
        <v>0.45087539711013525</v>
      </c>
      <c r="F24" s="459" t="s">
        <v>609</v>
      </c>
      <c r="H24" s="195"/>
    </row>
    <row r="25" spans="1:12" x14ac:dyDescent="0.2">
      <c r="A25" s="391">
        <v>6</v>
      </c>
      <c r="B25" s="98" t="s">
        <v>337</v>
      </c>
      <c r="C25" s="259"/>
      <c r="D25" s="258"/>
      <c r="E25" s="458"/>
      <c r="F25" s="257"/>
      <c r="H25" s="195"/>
    </row>
    <row r="26" spans="1:12" x14ac:dyDescent="0.2">
      <c r="A26" s="256"/>
      <c r="B26" s="255" t="s">
        <v>311</v>
      </c>
      <c r="C26" s="222">
        <f>((((1/(1+0.05))^1)*'III.1 LCCA_Grouping'!K26)+(1/((1+0.05))^2)*'III.1 LCCA_Grouping'!L26)+'III.1 LCCA_Grouping'!F34+'III.1 LCCA_Grouping'!F39+'III.1 LCCA_Grouping'!F40</f>
        <v>1535641.7488570672</v>
      </c>
      <c r="D26" s="425">
        <v>1200000</v>
      </c>
      <c r="E26" s="454">
        <f>(C26)/D26</f>
        <v>1.2797014573808894</v>
      </c>
      <c r="F26" s="459" t="s">
        <v>609</v>
      </c>
      <c r="H26" s="195"/>
    </row>
    <row r="27" spans="1:12" x14ac:dyDescent="0.2">
      <c r="A27" s="391">
        <v>7</v>
      </c>
      <c r="B27" s="98" t="s">
        <v>368</v>
      </c>
      <c r="C27" s="259"/>
      <c r="D27" s="258"/>
      <c r="E27" s="458"/>
      <c r="F27" s="257"/>
      <c r="H27" s="195"/>
    </row>
    <row r="28" spans="1:12" x14ac:dyDescent="0.2">
      <c r="A28" s="256"/>
      <c r="B28" s="255" t="s">
        <v>311</v>
      </c>
      <c r="C28" s="222">
        <v>15000000</v>
      </c>
      <c r="D28" s="425">
        <v>600000</v>
      </c>
      <c r="E28" s="454">
        <f>(C28)/D28</f>
        <v>25</v>
      </c>
      <c r="F28" s="182"/>
      <c r="H28" s="195"/>
    </row>
    <row r="29" spans="1:12" ht="25.5" x14ac:dyDescent="0.2">
      <c r="A29" s="391">
        <v>8</v>
      </c>
      <c r="B29" s="94" t="s">
        <v>367</v>
      </c>
      <c r="C29" s="259"/>
      <c r="D29" s="258"/>
      <c r="E29" s="458"/>
      <c r="F29" s="257"/>
      <c r="H29" s="195"/>
    </row>
    <row r="30" spans="1:12" x14ac:dyDescent="0.2">
      <c r="A30" s="256"/>
      <c r="B30" s="255" t="s">
        <v>311</v>
      </c>
      <c r="C30" s="222">
        <v>15000000</v>
      </c>
      <c r="D30" s="425">
        <v>2250000</v>
      </c>
      <c r="E30" s="454">
        <f>(C30)/D30</f>
        <v>6.666666666666667</v>
      </c>
      <c r="F30" s="197"/>
      <c r="H30" s="195"/>
    </row>
    <row r="31" spans="1:12" ht="9" customHeight="1" x14ac:dyDescent="0.2"/>
    <row r="32" spans="1:12" ht="15" x14ac:dyDescent="0.2">
      <c r="A32" s="711" t="s">
        <v>366</v>
      </c>
      <c r="B32" s="711"/>
      <c r="C32" s="348" t="s">
        <v>365</v>
      </c>
      <c r="D32" s="252"/>
      <c r="J32" s="248"/>
      <c r="K32" s="247"/>
      <c r="L32" s="246"/>
    </row>
    <row r="33" spans="1:12" ht="13.5" thickBot="1" x14ac:dyDescent="0.25">
      <c r="J33" s="248"/>
      <c r="K33" s="247"/>
      <c r="L33" s="246"/>
    </row>
    <row r="34" spans="1:12" ht="15" x14ac:dyDescent="0.25">
      <c r="A34" s="251" t="s">
        <v>0</v>
      </c>
      <c r="B34" s="250"/>
      <c r="C34" s="250"/>
      <c r="D34" s="250"/>
      <c r="E34" s="250"/>
      <c r="F34" s="249"/>
      <c r="G34" s="8"/>
      <c r="H34" s="8"/>
      <c r="I34" s="8"/>
      <c r="J34" s="248"/>
      <c r="K34" s="247"/>
      <c r="L34" s="246"/>
    </row>
    <row r="35" spans="1:12" ht="15" customHeight="1" x14ac:dyDescent="0.2">
      <c r="A35" s="709" t="s">
        <v>271</v>
      </c>
      <c r="B35" s="710"/>
      <c r="C35" s="519" t="s">
        <v>283</v>
      </c>
      <c r="D35" s="519"/>
      <c r="E35" s="519"/>
      <c r="F35" s="520"/>
      <c r="G35" s="117"/>
      <c r="H35" s="117"/>
      <c r="I35" s="116"/>
      <c r="J35" s="248"/>
      <c r="K35" s="247"/>
      <c r="L35" s="246"/>
    </row>
    <row r="36" spans="1:12" ht="15" x14ac:dyDescent="0.2">
      <c r="A36" s="641" t="s">
        <v>364</v>
      </c>
      <c r="B36" s="642"/>
      <c r="C36" s="519" t="s">
        <v>293</v>
      </c>
      <c r="D36" s="519"/>
      <c r="E36" s="519"/>
      <c r="F36" s="520"/>
      <c r="G36" s="117"/>
      <c r="H36" s="117"/>
      <c r="I36" s="117"/>
      <c r="J36" s="248"/>
      <c r="K36" s="247"/>
      <c r="L36" s="246"/>
    </row>
    <row r="37" spans="1:12" ht="28.5" customHeight="1" x14ac:dyDescent="0.2">
      <c r="A37" s="641" t="s">
        <v>363</v>
      </c>
      <c r="B37" s="642"/>
      <c r="C37" s="538" t="s">
        <v>608</v>
      </c>
      <c r="D37" s="538"/>
      <c r="E37" s="538"/>
      <c r="F37" s="540"/>
      <c r="G37" s="117"/>
      <c r="H37" s="117"/>
      <c r="I37" s="117"/>
    </row>
    <row r="38" spans="1:12" ht="30.75" customHeight="1" x14ac:dyDescent="0.2">
      <c r="A38" s="643" t="s">
        <v>587</v>
      </c>
      <c r="B38" s="644"/>
      <c r="C38" s="538" t="s">
        <v>588</v>
      </c>
      <c r="D38" s="538"/>
      <c r="E38" s="538"/>
      <c r="F38" s="540"/>
      <c r="G38" s="117"/>
      <c r="H38" s="117"/>
      <c r="I38" s="117"/>
    </row>
    <row r="39" spans="1:12" ht="15" x14ac:dyDescent="0.2">
      <c r="A39" s="643" t="s">
        <v>362</v>
      </c>
      <c r="B39" s="644"/>
      <c r="C39" s="519" t="s">
        <v>361</v>
      </c>
      <c r="D39" s="519"/>
      <c r="E39" s="519"/>
      <c r="F39" s="520"/>
      <c r="G39" s="117"/>
      <c r="H39" s="117"/>
      <c r="I39" s="117"/>
    </row>
    <row r="40" spans="1:12" ht="15.75" thickBot="1" x14ac:dyDescent="0.25">
      <c r="A40" s="653" t="s">
        <v>0</v>
      </c>
      <c r="B40" s="654"/>
      <c r="C40" s="707" t="s">
        <v>360</v>
      </c>
      <c r="D40" s="707"/>
      <c r="E40" s="707"/>
      <c r="F40" s="708"/>
      <c r="G40" s="116"/>
      <c r="H40" s="116"/>
      <c r="I40" s="116"/>
    </row>
    <row r="42" spans="1:12" x14ac:dyDescent="0.2">
      <c r="F42" s="156"/>
    </row>
    <row r="72" spans="3:3" ht="18.75" x14ac:dyDescent="0.2">
      <c r="C72" s="245" t="s">
        <v>359</v>
      </c>
    </row>
  </sheetData>
  <mergeCells count="15">
    <mergeCell ref="A35:B35"/>
    <mergeCell ref="A36:B36"/>
    <mergeCell ref="A37:B37"/>
    <mergeCell ref="C36:F36"/>
    <mergeCell ref="C37:F37"/>
    <mergeCell ref="D1:E1"/>
    <mergeCell ref="C35:F35"/>
    <mergeCell ref="A2:F2"/>
    <mergeCell ref="A32:B32"/>
    <mergeCell ref="C38:F38"/>
    <mergeCell ref="C39:F39"/>
    <mergeCell ref="C40:F40"/>
    <mergeCell ref="A38:B38"/>
    <mergeCell ref="A39:B39"/>
    <mergeCell ref="A40:B40"/>
  </mergeCells>
  <pageMargins left="0.7" right="0.7" top="0.75" bottom="0.75" header="0.3" footer="0.3"/>
  <pageSetup scale="97" orientation="landscape" cellComments="asDisplayed"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393A1-2A42-4EB8-A645-8435C983280C}">
  <sheetPr>
    <pageSetUpPr fitToPage="1"/>
  </sheetPr>
  <dimension ref="A1:P73"/>
  <sheetViews>
    <sheetView view="pageBreakPreview" topLeftCell="A3" zoomScaleNormal="90" zoomScaleSheetLayoutView="100" workbookViewId="0">
      <selection activeCell="N24" sqref="N24"/>
    </sheetView>
  </sheetViews>
  <sheetFormatPr defaultRowHeight="12.75" x14ac:dyDescent="0.2"/>
  <cols>
    <col min="1" max="1" width="9.140625" style="268"/>
    <col min="2" max="2" width="16.85546875" style="268" customWidth="1"/>
    <col min="3" max="3" width="18.42578125" style="268" customWidth="1"/>
    <col min="4" max="5" width="17.28515625" style="268" customWidth="1"/>
    <col min="6" max="6" width="18.5703125" style="268" customWidth="1"/>
    <col min="7" max="7" width="15.85546875" style="268" customWidth="1"/>
    <col min="8" max="8" width="15.28515625" style="268" customWidth="1"/>
    <col min="9" max="9" width="16.42578125" style="268" customWidth="1"/>
    <col min="10" max="10" width="18.42578125" style="268" customWidth="1"/>
    <col min="11" max="11" width="16.28515625" style="268" customWidth="1"/>
    <col min="12" max="12" width="12.85546875" style="268" customWidth="1"/>
    <col min="13" max="13" width="0.7109375" style="269" customWidth="1"/>
    <col min="14" max="14" width="50.5703125" style="268" customWidth="1"/>
    <col min="15" max="15" width="23.28515625" style="268" customWidth="1"/>
    <col min="16" max="16384" width="9.140625" style="268"/>
  </cols>
  <sheetData>
    <row r="1" spans="1:16" ht="15" x14ac:dyDescent="0.25">
      <c r="A1" s="16" t="s">
        <v>572</v>
      </c>
      <c r="B1" s="303"/>
      <c r="C1" s="303"/>
      <c r="D1" s="303"/>
      <c r="E1" s="303"/>
      <c r="F1" s="534" t="s">
        <v>539</v>
      </c>
      <c r="G1" s="534"/>
      <c r="H1" s="671" t="s">
        <v>540</v>
      </c>
      <c r="I1" s="671"/>
      <c r="J1" s="303"/>
      <c r="K1" s="303"/>
    </row>
    <row r="2" spans="1:16" s="114" customFormat="1" ht="18.75" customHeight="1" x14ac:dyDescent="0.2">
      <c r="A2" s="527" t="s">
        <v>415</v>
      </c>
      <c r="B2" s="527"/>
      <c r="C2" s="527"/>
      <c r="D2" s="527"/>
      <c r="E2" s="527"/>
      <c r="F2" s="527"/>
      <c r="G2" s="527"/>
      <c r="H2" s="527"/>
      <c r="I2" s="527"/>
      <c r="J2" s="527"/>
      <c r="K2" s="527"/>
      <c r="M2" s="142"/>
    </row>
    <row r="3" spans="1:16" s="302" customFormat="1" ht="70.5" customHeight="1" x14ac:dyDescent="0.25">
      <c r="A3" s="515" t="s">
        <v>660</v>
      </c>
      <c r="B3" s="515"/>
      <c r="C3" s="515"/>
      <c r="D3" s="515"/>
      <c r="E3" s="515"/>
      <c r="F3" s="515"/>
      <c r="G3" s="515"/>
      <c r="H3" s="515"/>
      <c r="I3" s="515"/>
      <c r="J3" s="515"/>
      <c r="K3" s="515"/>
      <c r="L3" s="16"/>
      <c r="M3" s="41"/>
    </row>
    <row r="4" spans="1:16" ht="30" customHeight="1" x14ac:dyDescent="0.2">
      <c r="A4" s="718" t="s">
        <v>388</v>
      </c>
      <c r="B4" s="718" t="s">
        <v>414</v>
      </c>
      <c r="C4" s="715" t="s">
        <v>597</v>
      </c>
      <c r="D4" s="715"/>
      <c r="E4" s="715"/>
      <c r="F4" s="715"/>
      <c r="G4" s="715"/>
      <c r="H4" s="713" t="s">
        <v>598</v>
      </c>
      <c r="I4" s="713" t="s">
        <v>599</v>
      </c>
      <c r="J4" s="713" t="s">
        <v>600</v>
      </c>
      <c r="K4" s="713" t="s">
        <v>601</v>
      </c>
      <c r="L4" s="718" t="s">
        <v>374</v>
      </c>
      <c r="M4" s="300"/>
    </row>
    <row r="5" spans="1:16" s="299" customFormat="1" ht="57.75" customHeight="1" x14ac:dyDescent="0.25">
      <c r="A5" s="719"/>
      <c r="B5" s="719"/>
      <c r="C5" s="301" t="s">
        <v>413</v>
      </c>
      <c r="D5" s="301" t="s">
        <v>412</v>
      </c>
      <c r="E5" s="301" t="s">
        <v>411</v>
      </c>
      <c r="F5" s="301" t="s">
        <v>410</v>
      </c>
      <c r="G5" s="301" t="s">
        <v>409</v>
      </c>
      <c r="H5" s="714"/>
      <c r="I5" s="714"/>
      <c r="J5" s="714"/>
      <c r="K5" s="714"/>
      <c r="L5" s="719"/>
      <c r="M5" s="300"/>
    </row>
    <row r="6" spans="1:16" ht="13.5" customHeight="1" thickBot="1" x14ac:dyDescent="0.25">
      <c r="A6" s="98">
        <v>2016</v>
      </c>
      <c r="B6" s="442">
        <v>0</v>
      </c>
      <c r="C6" s="182">
        <v>0</v>
      </c>
      <c r="D6" s="182">
        <v>0</v>
      </c>
      <c r="E6" s="182">
        <v>0</v>
      </c>
      <c r="F6" s="182">
        <v>0</v>
      </c>
      <c r="G6" s="182">
        <v>0</v>
      </c>
      <c r="H6" s="182">
        <v>0</v>
      </c>
      <c r="I6" s="182">
        <v>0</v>
      </c>
      <c r="J6" s="182">
        <v>0</v>
      </c>
      <c r="K6" s="182">
        <v>0</v>
      </c>
      <c r="L6" s="182">
        <f t="shared" ref="L6:L37" si="0">SUM(C6:J6)</f>
        <v>0</v>
      </c>
      <c r="M6" s="274"/>
      <c r="N6" s="712" t="s">
        <v>408</v>
      </c>
      <c r="O6" s="712"/>
      <c r="P6" s="269"/>
    </row>
    <row r="7" spans="1:16" x14ac:dyDescent="0.2">
      <c r="A7" s="98">
        <f t="shared" ref="A7:A38" si="1">(A6+1)</f>
        <v>2017</v>
      </c>
      <c r="B7" s="442">
        <f t="shared" ref="B7:B38" si="2">(B6+1)</f>
        <v>1</v>
      </c>
      <c r="C7" s="182">
        <v>0</v>
      </c>
      <c r="D7" s="182">
        <v>0</v>
      </c>
      <c r="E7" s="182">
        <v>0</v>
      </c>
      <c r="F7" s="182">
        <v>0</v>
      </c>
      <c r="G7" s="182">
        <v>0</v>
      </c>
      <c r="H7" s="182">
        <v>0</v>
      </c>
      <c r="I7" s="182">
        <v>0</v>
      </c>
      <c r="J7" s="182">
        <v>0</v>
      </c>
      <c r="K7" s="182">
        <v>0</v>
      </c>
      <c r="L7" s="182">
        <f t="shared" si="0"/>
        <v>0</v>
      </c>
      <c r="M7" s="274"/>
      <c r="N7" s="298" t="s">
        <v>407</v>
      </c>
      <c r="O7" s="297" t="s">
        <v>406</v>
      </c>
      <c r="P7" s="269"/>
    </row>
    <row r="8" spans="1:16" x14ac:dyDescent="0.2">
      <c r="A8" s="98">
        <f t="shared" si="1"/>
        <v>2018</v>
      </c>
      <c r="B8" s="442">
        <f t="shared" si="2"/>
        <v>2</v>
      </c>
      <c r="C8" s="182">
        <v>0</v>
      </c>
      <c r="D8" s="182">
        <v>0</v>
      </c>
      <c r="E8" s="182">
        <v>0</v>
      </c>
      <c r="F8" s="182">
        <v>0</v>
      </c>
      <c r="G8" s="182">
        <v>0</v>
      </c>
      <c r="H8" s="182">
        <v>0</v>
      </c>
      <c r="I8" s="182">
        <v>0</v>
      </c>
      <c r="J8" s="182">
        <v>0</v>
      </c>
      <c r="K8" s="182">
        <v>0</v>
      </c>
      <c r="L8" s="182">
        <f t="shared" si="0"/>
        <v>0</v>
      </c>
      <c r="M8" s="274"/>
      <c r="N8" s="296" t="s">
        <v>405</v>
      </c>
      <c r="O8" s="295">
        <v>750000</v>
      </c>
      <c r="P8" s="269"/>
    </row>
    <row r="9" spans="1:16" x14ac:dyDescent="0.2">
      <c r="A9" s="98">
        <f t="shared" si="1"/>
        <v>2019</v>
      </c>
      <c r="B9" s="442">
        <f t="shared" si="2"/>
        <v>3</v>
      </c>
      <c r="C9" s="278">
        <f>((($O$8*$O$9)*($O$10)))*(1/$O$13)</f>
        <v>270825</v>
      </c>
      <c r="D9" s="182">
        <f t="shared" ref="D9:D56" si="3">(C9*$O$20)</f>
        <v>67706.25</v>
      </c>
      <c r="E9" s="182">
        <f t="shared" ref="E9:E56" si="4">($O$24*$O$25*$O$26)*(1/$O$13)</f>
        <v>20625</v>
      </c>
      <c r="F9" s="182">
        <f t="shared" ref="F9:F56" si="5">12000000*(1/$O$13)</f>
        <v>120000</v>
      </c>
      <c r="G9" s="182">
        <v>0</v>
      </c>
      <c r="H9" s="182">
        <v>0</v>
      </c>
      <c r="I9" s="182">
        <v>0</v>
      </c>
      <c r="J9" s="182">
        <f>($O$16*($O$17+$O$18))</f>
        <v>184500</v>
      </c>
      <c r="K9" s="182">
        <v>0</v>
      </c>
      <c r="L9" s="182">
        <f t="shared" si="0"/>
        <v>663656.25</v>
      </c>
      <c r="M9" s="274"/>
      <c r="N9" s="283" t="s">
        <v>404</v>
      </c>
      <c r="O9" s="294">
        <v>157</v>
      </c>
      <c r="P9" s="269"/>
    </row>
    <row r="10" spans="1:16" ht="12.75" customHeight="1" x14ac:dyDescent="0.2">
      <c r="A10" s="98">
        <f t="shared" si="1"/>
        <v>2020</v>
      </c>
      <c r="B10" s="442">
        <f t="shared" si="2"/>
        <v>4</v>
      </c>
      <c r="C10" s="277">
        <f>((C$14-C$9)/(5)+C9)</f>
        <v>273180</v>
      </c>
      <c r="D10" s="182">
        <f t="shared" si="3"/>
        <v>68295</v>
      </c>
      <c r="E10" s="182">
        <f t="shared" si="4"/>
        <v>20625</v>
      </c>
      <c r="F10" s="182">
        <f t="shared" si="5"/>
        <v>120000</v>
      </c>
      <c r="G10" s="182">
        <f t="shared" ref="G10:G56" si="6">G9</f>
        <v>0</v>
      </c>
      <c r="H10" s="182">
        <v>0</v>
      </c>
      <c r="I10" s="182">
        <v>0</v>
      </c>
      <c r="J10" s="182">
        <f t="shared" ref="J10:J56" si="7">J9</f>
        <v>184500</v>
      </c>
      <c r="K10" s="182">
        <v>0</v>
      </c>
      <c r="L10" s="182">
        <f t="shared" si="0"/>
        <v>666600</v>
      </c>
      <c r="M10" s="274"/>
      <c r="N10" s="293" t="s">
        <v>403</v>
      </c>
      <c r="O10" s="292">
        <v>0.23</v>
      </c>
      <c r="P10" s="269"/>
    </row>
    <row r="11" spans="1:16" x14ac:dyDescent="0.2">
      <c r="A11" s="98">
        <f t="shared" si="1"/>
        <v>2021</v>
      </c>
      <c r="B11" s="442">
        <f t="shared" si="2"/>
        <v>5</v>
      </c>
      <c r="C11" s="277">
        <f>((C$14-C$9)/(5)+C10)</f>
        <v>275535</v>
      </c>
      <c r="D11" s="182">
        <f t="shared" si="3"/>
        <v>68883.75</v>
      </c>
      <c r="E11" s="182">
        <f t="shared" si="4"/>
        <v>20625</v>
      </c>
      <c r="F11" s="182">
        <f t="shared" si="5"/>
        <v>120000</v>
      </c>
      <c r="G11" s="182">
        <f t="shared" si="6"/>
        <v>0</v>
      </c>
      <c r="H11" s="182">
        <v>0</v>
      </c>
      <c r="I11" s="182">
        <v>0</v>
      </c>
      <c r="J11" s="182">
        <f t="shared" si="7"/>
        <v>184500</v>
      </c>
      <c r="K11" s="182">
        <v>0</v>
      </c>
      <c r="L11" s="182">
        <f t="shared" si="0"/>
        <v>669543.75</v>
      </c>
      <c r="M11" s="274"/>
      <c r="N11" s="283"/>
      <c r="O11" s="281"/>
      <c r="P11" s="269"/>
    </row>
    <row r="12" spans="1:16" ht="15" customHeight="1" x14ac:dyDescent="0.2">
      <c r="A12" s="98">
        <f t="shared" si="1"/>
        <v>2022</v>
      </c>
      <c r="B12" s="442">
        <f t="shared" si="2"/>
        <v>6</v>
      </c>
      <c r="C12" s="277">
        <f>((C$14-C$9)/(5)+C11)</f>
        <v>277890</v>
      </c>
      <c r="D12" s="182">
        <f t="shared" si="3"/>
        <v>69472.5</v>
      </c>
      <c r="E12" s="182">
        <f t="shared" si="4"/>
        <v>20625</v>
      </c>
      <c r="F12" s="182">
        <f t="shared" si="5"/>
        <v>120000</v>
      </c>
      <c r="G12" s="182">
        <f t="shared" si="6"/>
        <v>0</v>
      </c>
      <c r="H12" s="182">
        <v>0</v>
      </c>
      <c r="I12" s="182">
        <v>0</v>
      </c>
      <c r="J12" s="182">
        <f t="shared" si="7"/>
        <v>184500</v>
      </c>
      <c r="K12" s="182">
        <v>0</v>
      </c>
      <c r="L12" s="182">
        <f t="shared" si="0"/>
        <v>672487.5</v>
      </c>
      <c r="M12" s="274"/>
      <c r="N12" s="282" t="s">
        <v>402</v>
      </c>
      <c r="O12" s="281">
        <v>0.01</v>
      </c>
      <c r="P12" s="269"/>
    </row>
    <row r="13" spans="1:16" x14ac:dyDescent="0.2">
      <c r="A13" s="98">
        <f t="shared" si="1"/>
        <v>2023</v>
      </c>
      <c r="B13" s="442">
        <f t="shared" si="2"/>
        <v>7</v>
      </c>
      <c r="C13" s="277">
        <f>((C$14-C$9)/(5)+C12)</f>
        <v>280245</v>
      </c>
      <c r="D13" s="182">
        <f t="shared" si="3"/>
        <v>70061.25</v>
      </c>
      <c r="E13" s="182">
        <f t="shared" si="4"/>
        <v>20625</v>
      </c>
      <c r="F13" s="182">
        <f t="shared" si="5"/>
        <v>120000</v>
      </c>
      <c r="G13" s="182">
        <f t="shared" si="6"/>
        <v>0</v>
      </c>
      <c r="H13" s="182">
        <v>0</v>
      </c>
      <c r="I13" s="182">
        <v>0</v>
      </c>
      <c r="J13" s="182">
        <f t="shared" si="7"/>
        <v>184500</v>
      </c>
      <c r="K13" s="182">
        <v>0</v>
      </c>
      <c r="L13" s="182">
        <f t="shared" si="0"/>
        <v>675431.25</v>
      </c>
      <c r="M13" s="274"/>
      <c r="N13" s="289" t="s">
        <v>401</v>
      </c>
      <c r="O13" s="281">
        <v>100</v>
      </c>
      <c r="P13" s="269"/>
    </row>
    <row r="14" spans="1:16" x14ac:dyDescent="0.2">
      <c r="A14" s="98">
        <f t="shared" si="1"/>
        <v>2024</v>
      </c>
      <c r="B14" s="442">
        <f t="shared" si="2"/>
        <v>8</v>
      </c>
      <c r="C14" s="278">
        <f>((($O$8*$O$9)*(0.24)))*(1/$O$13)</f>
        <v>282600</v>
      </c>
      <c r="D14" s="182">
        <f t="shared" si="3"/>
        <v>70650</v>
      </c>
      <c r="E14" s="182">
        <f t="shared" si="4"/>
        <v>20625</v>
      </c>
      <c r="F14" s="182">
        <f t="shared" si="5"/>
        <v>120000</v>
      </c>
      <c r="G14" s="182">
        <f t="shared" si="6"/>
        <v>0</v>
      </c>
      <c r="H14" s="182">
        <v>0</v>
      </c>
      <c r="I14" s="182">
        <v>0</v>
      </c>
      <c r="J14" s="182">
        <f t="shared" si="7"/>
        <v>184500</v>
      </c>
      <c r="K14" s="182">
        <v>0</v>
      </c>
      <c r="L14" s="182">
        <f t="shared" si="0"/>
        <v>678375</v>
      </c>
      <c r="M14" s="274"/>
      <c r="N14" s="282" t="s">
        <v>400</v>
      </c>
      <c r="O14" s="291">
        <v>0.05</v>
      </c>
      <c r="P14" s="269"/>
    </row>
    <row r="15" spans="1:16" x14ac:dyDescent="0.2">
      <c r="A15" s="98">
        <f t="shared" si="1"/>
        <v>2025</v>
      </c>
      <c r="B15" s="442">
        <f t="shared" si="2"/>
        <v>9</v>
      </c>
      <c r="C15" s="277">
        <f>((C$19-C$14)/(5)+C14)</f>
        <v>284955</v>
      </c>
      <c r="D15" s="182">
        <f t="shared" si="3"/>
        <v>71238.75</v>
      </c>
      <c r="E15" s="182">
        <f t="shared" si="4"/>
        <v>20625</v>
      </c>
      <c r="F15" s="182">
        <f t="shared" si="5"/>
        <v>120000</v>
      </c>
      <c r="G15" s="182">
        <f t="shared" si="6"/>
        <v>0</v>
      </c>
      <c r="H15" s="182">
        <v>0</v>
      </c>
      <c r="I15" s="182">
        <v>0</v>
      </c>
      <c r="J15" s="182">
        <f t="shared" si="7"/>
        <v>184500</v>
      </c>
      <c r="K15" s="182">
        <v>0</v>
      </c>
      <c r="L15" s="182">
        <f t="shared" si="0"/>
        <v>681318.75</v>
      </c>
      <c r="M15" s="274"/>
      <c r="N15" s="283"/>
      <c r="O15" s="291"/>
      <c r="P15" s="269"/>
    </row>
    <row r="16" spans="1:16" x14ac:dyDescent="0.2">
      <c r="A16" s="98">
        <f t="shared" si="1"/>
        <v>2026</v>
      </c>
      <c r="B16" s="442">
        <f t="shared" si="2"/>
        <v>10</v>
      </c>
      <c r="C16" s="277">
        <f>((C$19-C$14)/(5)+C15)</f>
        <v>287310</v>
      </c>
      <c r="D16" s="182">
        <f t="shared" si="3"/>
        <v>71827.5</v>
      </c>
      <c r="E16" s="182">
        <f t="shared" si="4"/>
        <v>20625</v>
      </c>
      <c r="F16" s="182">
        <f t="shared" si="5"/>
        <v>120000</v>
      </c>
      <c r="G16" s="182">
        <f t="shared" si="6"/>
        <v>0</v>
      </c>
      <c r="H16" s="182">
        <v>0</v>
      </c>
      <c r="I16" s="182">
        <v>0</v>
      </c>
      <c r="J16" s="182">
        <f t="shared" si="7"/>
        <v>184500</v>
      </c>
      <c r="K16" s="182">
        <v>0</v>
      </c>
      <c r="L16" s="182">
        <f t="shared" si="0"/>
        <v>684262.5</v>
      </c>
      <c r="M16" s="274"/>
      <c r="N16" s="290" t="s">
        <v>399</v>
      </c>
      <c r="O16" s="281">
        <v>9</v>
      </c>
      <c r="P16" s="269"/>
    </row>
    <row r="17" spans="1:16" x14ac:dyDescent="0.2">
      <c r="A17" s="98">
        <f t="shared" si="1"/>
        <v>2027</v>
      </c>
      <c r="B17" s="442">
        <f t="shared" si="2"/>
        <v>11</v>
      </c>
      <c r="C17" s="277">
        <f>((C$19-C$14)/(5)+C16)</f>
        <v>289665</v>
      </c>
      <c r="D17" s="182">
        <f t="shared" si="3"/>
        <v>72416.25</v>
      </c>
      <c r="E17" s="182">
        <f t="shared" si="4"/>
        <v>20625</v>
      </c>
      <c r="F17" s="182">
        <f t="shared" si="5"/>
        <v>120000</v>
      </c>
      <c r="G17" s="182">
        <f t="shared" si="6"/>
        <v>0</v>
      </c>
      <c r="H17" s="182">
        <v>0</v>
      </c>
      <c r="I17" s="182">
        <v>0</v>
      </c>
      <c r="J17" s="182">
        <f t="shared" si="7"/>
        <v>184500</v>
      </c>
      <c r="K17" s="182">
        <v>0</v>
      </c>
      <c r="L17" s="182">
        <f t="shared" si="0"/>
        <v>687206.25</v>
      </c>
      <c r="M17" s="274"/>
      <c r="N17" s="289" t="s">
        <v>398</v>
      </c>
      <c r="O17" s="288">
        <v>11000</v>
      </c>
      <c r="P17" s="269"/>
    </row>
    <row r="18" spans="1:16" ht="12.75" customHeight="1" x14ac:dyDescent="0.2">
      <c r="A18" s="98">
        <f t="shared" si="1"/>
        <v>2028</v>
      </c>
      <c r="B18" s="442">
        <f t="shared" si="2"/>
        <v>12</v>
      </c>
      <c r="C18" s="277">
        <f>((C$19-C$14)/(5)+C17)</f>
        <v>292020</v>
      </c>
      <c r="D18" s="182">
        <f t="shared" si="3"/>
        <v>73005</v>
      </c>
      <c r="E18" s="182">
        <f t="shared" si="4"/>
        <v>20625</v>
      </c>
      <c r="F18" s="182">
        <f t="shared" si="5"/>
        <v>120000</v>
      </c>
      <c r="G18" s="182">
        <f t="shared" si="6"/>
        <v>0</v>
      </c>
      <c r="H18" s="182">
        <v>0</v>
      </c>
      <c r="I18" s="182">
        <v>0</v>
      </c>
      <c r="J18" s="182">
        <f t="shared" si="7"/>
        <v>184500</v>
      </c>
      <c r="K18" s="182">
        <v>0</v>
      </c>
      <c r="L18" s="182">
        <f t="shared" si="0"/>
        <v>690150</v>
      </c>
      <c r="M18" s="274"/>
      <c r="N18" s="287" t="s">
        <v>397</v>
      </c>
      <c r="O18" s="286">
        <v>9500</v>
      </c>
      <c r="P18" s="269"/>
    </row>
    <row r="19" spans="1:16" x14ac:dyDescent="0.2">
      <c r="A19" s="98">
        <f t="shared" si="1"/>
        <v>2029</v>
      </c>
      <c r="B19" s="442">
        <f t="shared" si="2"/>
        <v>13</v>
      </c>
      <c r="C19" s="278">
        <f>((($O$8*$O$9)*(0.25)))*(1/$O$13)</f>
        <v>294375</v>
      </c>
      <c r="D19" s="182">
        <f t="shared" si="3"/>
        <v>73593.75</v>
      </c>
      <c r="E19" s="182">
        <f t="shared" si="4"/>
        <v>20625</v>
      </c>
      <c r="F19" s="182">
        <f t="shared" si="5"/>
        <v>120000</v>
      </c>
      <c r="G19" s="182">
        <f t="shared" si="6"/>
        <v>0</v>
      </c>
      <c r="H19" s="182">
        <v>0</v>
      </c>
      <c r="I19" s="182">
        <v>0</v>
      </c>
      <c r="J19" s="182">
        <f t="shared" si="7"/>
        <v>184500</v>
      </c>
      <c r="K19" s="182">
        <v>0</v>
      </c>
      <c r="L19" s="182">
        <f t="shared" si="0"/>
        <v>693093.75</v>
      </c>
      <c r="M19" s="274"/>
      <c r="N19" s="283"/>
      <c r="O19" s="281"/>
      <c r="P19" s="269"/>
    </row>
    <row r="20" spans="1:16" x14ac:dyDescent="0.2">
      <c r="A20" s="98">
        <f t="shared" si="1"/>
        <v>2030</v>
      </c>
      <c r="B20" s="442">
        <f t="shared" si="2"/>
        <v>14</v>
      </c>
      <c r="C20" s="277">
        <f>((C$24-C$19)/(5)+C19)</f>
        <v>296730</v>
      </c>
      <c r="D20" s="182">
        <f t="shared" si="3"/>
        <v>74182.5</v>
      </c>
      <c r="E20" s="182">
        <f t="shared" si="4"/>
        <v>20625</v>
      </c>
      <c r="F20" s="182">
        <f t="shared" si="5"/>
        <v>120000</v>
      </c>
      <c r="G20" s="182">
        <f t="shared" si="6"/>
        <v>0</v>
      </c>
      <c r="H20" s="182">
        <v>0</v>
      </c>
      <c r="I20" s="182">
        <v>0</v>
      </c>
      <c r="J20" s="182">
        <f t="shared" si="7"/>
        <v>184500</v>
      </c>
      <c r="K20" s="182">
        <v>0</v>
      </c>
      <c r="L20" s="182">
        <f t="shared" si="0"/>
        <v>696037.5</v>
      </c>
      <c r="M20" s="274"/>
      <c r="N20" s="282" t="s">
        <v>396</v>
      </c>
      <c r="O20" s="281">
        <v>0.25</v>
      </c>
      <c r="P20" s="269"/>
    </row>
    <row r="21" spans="1:16" x14ac:dyDescent="0.2">
      <c r="A21" s="98">
        <f t="shared" si="1"/>
        <v>2031</v>
      </c>
      <c r="B21" s="442">
        <f t="shared" si="2"/>
        <v>15</v>
      </c>
      <c r="C21" s="277">
        <f>((C$24-C$19)/(5)+C20)</f>
        <v>299085</v>
      </c>
      <c r="D21" s="182">
        <f t="shared" si="3"/>
        <v>74771.25</v>
      </c>
      <c r="E21" s="182">
        <f t="shared" si="4"/>
        <v>20625</v>
      </c>
      <c r="F21" s="182">
        <f t="shared" si="5"/>
        <v>120000</v>
      </c>
      <c r="G21" s="182">
        <f t="shared" si="6"/>
        <v>0</v>
      </c>
      <c r="H21" s="182">
        <v>0</v>
      </c>
      <c r="I21" s="182">
        <v>0</v>
      </c>
      <c r="J21" s="182">
        <f t="shared" si="7"/>
        <v>184500</v>
      </c>
      <c r="K21" s="182">
        <v>0</v>
      </c>
      <c r="L21" s="182">
        <f t="shared" si="0"/>
        <v>698981.25</v>
      </c>
      <c r="M21" s="274"/>
      <c r="N21" s="283" t="s">
        <v>395</v>
      </c>
      <c r="O21" s="281"/>
      <c r="P21" s="269"/>
    </row>
    <row r="22" spans="1:16" x14ac:dyDescent="0.2">
      <c r="A22" s="98">
        <f t="shared" si="1"/>
        <v>2032</v>
      </c>
      <c r="B22" s="442">
        <f t="shared" si="2"/>
        <v>16</v>
      </c>
      <c r="C22" s="277">
        <f>((C$24-C$19)/(5)+C21)</f>
        <v>301440</v>
      </c>
      <c r="D22" s="182">
        <f t="shared" si="3"/>
        <v>75360</v>
      </c>
      <c r="E22" s="182">
        <f t="shared" si="4"/>
        <v>20625</v>
      </c>
      <c r="F22" s="182">
        <f t="shared" si="5"/>
        <v>120000</v>
      </c>
      <c r="G22" s="182">
        <f t="shared" si="6"/>
        <v>0</v>
      </c>
      <c r="H22" s="182">
        <v>0</v>
      </c>
      <c r="I22" s="182">
        <v>0</v>
      </c>
      <c r="J22" s="182">
        <f t="shared" si="7"/>
        <v>184500</v>
      </c>
      <c r="K22" s="182">
        <v>0</v>
      </c>
      <c r="L22" s="182">
        <f t="shared" si="0"/>
        <v>701925</v>
      </c>
      <c r="M22" s="274"/>
      <c r="N22" s="283"/>
      <c r="O22" s="281"/>
      <c r="P22" s="269"/>
    </row>
    <row r="23" spans="1:16" x14ac:dyDescent="0.2">
      <c r="A23" s="98">
        <f t="shared" si="1"/>
        <v>2033</v>
      </c>
      <c r="B23" s="442">
        <f t="shared" si="2"/>
        <v>17</v>
      </c>
      <c r="C23" s="277">
        <f>((C$24-C$19)/(5)+C22)</f>
        <v>303795</v>
      </c>
      <c r="D23" s="182">
        <f t="shared" si="3"/>
        <v>75948.75</v>
      </c>
      <c r="E23" s="182">
        <f t="shared" si="4"/>
        <v>20625</v>
      </c>
      <c r="F23" s="182">
        <f t="shared" si="5"/>
        <v>120000</v>
      </c>
      <c r="G23" s="182">
        <f t="shared" si="6"/>
        <v>0</v>
      </c>
      <c r="H23" s="182">
        <v>0</v>
      </c>
      <c r="I23" s="182">
        <v>0</v>
      </c>
      <c r="J23" s="182">
        <f t="shared" si="7"/>
        <v>184500</v>
      </c>
      <c r="K23" s="182">
        <v>0</v>
      </c>
      <c r="L23" s="182">
        <f t="shared" si="0"/>
        <v>704868.75</v>
      </c>
      <c r="M23" s="274"/>
      <c r="N23" s="285" t="s">
        <v>394</v>
      </c>
      <c r="O23" s="281"/>
      <c r="P23" s="269"/>
    </row>
    <row r="24" spans="1:16" x14ac:dyDescent="0.2">
      <c r="A24" s="98">
        <f t="shared" si="1"/>
        <v>2034</v>
      </c>
      <c r="B24" s="442">
        <f t="shared" si="2"/>
        <v>18</v>
      </c>
      <c r="C24" s="278">
        <f>((($O$8*$O$9)*(0.26)))*(1/$O$13)</f>
        <v>306150</v>
      </c>
      <c r="D24" s="182">
        <f t="shared" si="3"/>
        <v>76537.5</v>
      </c>
      <c r="E24" s="182">
        <f t="shared" si="4"/>
        <v>20625</v>
      </c>
      <c r="F24" s="182">
        <f t="shared" si="5"/>
        <v>120000</v>
      </c>
      <c r="G24" s="182">
        <f t="shared" si="6"/>
        <v>0</v>
      </c>
      <c r="H24" s="182">
        <v>0</v>
      </c>
      <c r="I24" s="182">
        <v>0</v>
      </c>
      <c r="J24" s="182">
        <f t="shared" si="7"/>
        <v>184500</v>
      </c>
      <c r="K24" s="182">
        <v>0</v>
      </c>
      <c r="L24" s="182">
        <f t="shared" si="0"/>
        <v>707812.5</v>
      </c>
      <c r="M24" s="274"/>
      <c r="N24" s="283" t="s">
        <v>393</v>
      </c>
      <c r="O24" s="281">
        <v>125</v>
      </c>
    </row>
    <row r="25" spans="1:16" x14ac:dyDescent="0.2">
      <c r="A25" s="98">
        <f t="shared" si="1"/>
        <v>2035</v>
      </c>
      <c r="B25" s="442">
        <f t="shared" si="2"/>
        <v>19</v>
      </c>
      <c r="C25" s="277">
        <f>((C$29-C$24)/(5)+C24)</f>
        <v>308505</v>
      </c>
      <c r="D25" s="182">
        <f t="shared" si="3"/>
        <v>77126.25</v>
      </c>
      <c r="E25" s="182">
        <f t="shared" si="4"/>
        <v>20625</v>
      </c>
      <c r="F25" s="182">
        <f t="shared" si="5"/>
        <v>120000</v>
      </c>
      <c r="G25" s="182">
        <f t="shared" si="6"/>
        <v>0</v>
      </c>
      <c r="H25" s="182">
        <v>0</v>
      </c>
      <c r="I25" s="182">
        <v>0</v>
      </c>
      <c r="J25" s="182">
        <f t="shared" si="7"/>
        <v>184500</v>
      </c>
      <c r="K25" s="182">
        <v>0</v>
      </c>
      <c r="L25" s="182">
        <f t="shared" si="0"/>
        <v>710756.25</v>
      </c>
      <c r="M25" s="274"/>
      <c r="N25" s="283" t="s">
        <v>392</v>
      </c>
      <c r="O25" s="284">
        <v>50000</v>
      </c>
    </row>
    <row r="26" spans="1:16" x14ac:dyDescent="0.2">
      <c r="A26" s="98">
        <f t="shared" si="1"/>
        <v>2036</v>
      </c>
      <c r="B26" s="442">
        <f t="shared" si="2"/>
        <v>20</v>
      </c>
      <c r="C26" s="277">
        <f>((C$29-C$24)/(5)+C25)</f>
        <v>310860</v>
      </c>
      <c r="D26" s="182">
        <f t="shared" si="3"/>
        <v>77715</v>
      </c>
      <c r="E26" s="182">
        <f t="shared" si="4"/>
        <v>20625</v>
      </c>
      <c r="F26" s="182">
        <f t="shared" si="5"/>
        <v>120000</v>
      </c>
      <c r="G26" s="182">
        <f t="shared" si="6"/>
        <v>0</v>
      </c>
      <c r="H26" s="182">
        <v>0</v>
      </c>
      <c r="I26" s="182">
        <v>0</v>
      </c>
      <c r="J26" s="182">
        <f t="shared" si="7"/>
        <v>184500</v>
      </c>
      <c r="K26" s="182">
        <v>0</v>
      </c>
      <c r="L26" s="182">
        <f t="shared" si="0"/>
        <v>713700</v>
      </c>
      <c r="M26" s="274"/>
      <c r="N26" s="283" t="s">
        <v>391</v>
      </c>
      <c r="O26" s="281">
        <v>0.33</v>
      </c>
    </row>
    <row r="27" spans="1:16" x14ac:dyDescent="0.2">
      <c r="A27" s="98">
        <f t="shared" si="1"/>
        <v>2037</v>
      </c>
      <c r="B27" s="442">
        <f t="shared" si="2"/>
        <v>21</v>
      </c>
      <c r="C27" s="277">
        <f>((C$29-C$24)/(5)+C26)</f>
        <v>313215</v>
      </c>
      <c r="D27" s="182">
        <f t="shared" si="3"/>
        <v>78303.75</v>
      </c>
      <c r="E27" s="182">
        <f t="shared" si="4"/>
        <v>20625</v>
      </c>
      <c r="F27" s="182">
        <f t="shared" si="5"/>
        <v>120000</v>
      </c>
      <c r="G27" s="182">
        <f t="shared" si="6"/>
        <v>0</v>
      </c>
      <c r="H27" s="182">
        <v>0</v>
      </c>
      <c r="I27" s="182">
        <v>0</v>
      </c>
      <c r="J27" s="182">
        <f t="shared" si="7"/>
        <v>184500</v>
      </c>
      <c r="K27" s="182">
        <v>0</v>
      </c>
      <c r="L27" s="182">
        <f t="shared" si="0"/>
        <v>716643.75</v>
      </c>
      <c r="M27" s="274"/>
      <c r="N27" s="283"/>
      <c r="O27" s="281"/>
    </row>
    <row r="28" spans="1:16" x14ac:dyDescent="0.2">
      <c r="A28" s="98">
        <f t="shared" si="1"/>
        <v>2038</v>
      </c>
      <c r="B28" s="442">
        <f t="shared" si="2"/>
        <v>22</v>
      </c>
      <c r="C28" s="277">
        <f>((C$29-C$24)/(5)+C27)</f>
        <v>315570</v>
      </c>
      <c r="D28" s="182">
        <f t="shared" si="3"/>
        <v>78892.5</v>
      </c>
      <c r="E28" s="182">
        <f t="shared" si="4"/>
        <v>20625</v>
      </c>
      <c r="F28" s="182">
        <f t="shared" si="5"/>
        <v>120000</v>
      </c>
      <c r="G28" s="182">
        <f t="shared" si="6"/>
        <v>0</v>
      </c>
      <c r="H28" s="182">
        <v>0</v>
      </c>
      <c r="I28" s="182">
        <v>0</v>
      </c>
      <c r="J28" s="182">
        <f t="shared" si="7"/>
        <v>184500</v>
      </c>
      <c r="K28" s="182">
        <v>0</v>
      </c>
      <c r="L28" s="182">
        <f t="shared" si="0"/>
        <v>719587.5</v>
      </c>
      <c r="M28" s="274"/>
      <c r="N28" s="282" t="s">
        <v>390</v>
      </c>
      <c r="O28" s="281"/>
    </row>
    <row r="29" spans="1:16" ht="13.5" thickBot="1" x14ac:dyDescent="0.25">
      <c r="A29" s="98">
        <f t="shared" si="1"/>
        <v>2039</v>
      </c>
      <c r="B29" s="442">
        <f t="shared" si="2"/>
        <v>23</v>
      </c>
      <c r="C29" s="278">
        <f>((($O$8*$O$9)*(0.27)*(1/$O$13)))</f>
        <v>317925.00000000006</v>
      </c>
      <c r="D29" s="182">
        <f t="shared" si="3"/>
        <v>79481.250000000015</v>
      </c>
      <c r="E29" s="182">
        <f t="shared" si="4"/>
        <v>20625</v>
      </c>
      <c r="F29" s="182">
        <f t="shared" si="5"/>
        <v>120000</v>
      </c>
      <c r="G29" s="182">
        <f t="shared" si="6"/>
        <v>0</v>
      </c>
      <c r="H29" s="182">
        <v>0</v>
      </c>
      <c r="I29" s="182">
        <v>0</v>
      </c>
      <c r="J29" s="182">
        <f t="shared" si="7"/>
        <v>184500</v>
      </c>
      <c r="K29" s="182">
        <v>0</v>
      </c>
      <c r="L29" s="182">
        <f t="shared" si="0"/>
        <v>722531.25</v>
      </c>
      <c r="M29" s="274"/>
      <c r="N29" s="280" t="s">
        <v>389</v>
      </c>
      <c r="O29" s="279">
        <v>12000000</v>
      </c>
    </row>
    <row r="30" spans="1:16" x14ac:dyDescent="0.2">
      <c r="A30" s="98">
        <f t="shared" si="1"/>
        <v>2040</v>
      </c>
      <c r="B30" s="442">
        <f t="shared" si="2"/>
        <v>24</v>
      </c>
      <c r="C30" s="277">
        <f>((C$34-C$29)/(5)+C29)</f>
        <v>320280.00000000006</v>
      </c>
      <c r="D30" s="182">
        <f t="shared" si="3"/>
        <v>80070.000000000015</v>
      </c>
      <c r="E30" s="182">
        <f t="shared" si="4"/>
        <v>20625</v>
      </c>
      <c r="F30" s="182">
        <f t="shared" si="5"/>
        <v>120000</v>
      </c>
      <c r="G30" s="182">
        <f t="shared" si="6"/>
        <v>0</v>
      </c>
      <c r="H30" s="182">
        <v>0</v>
      </c>
      <c r="I30" s="182">
        <v>0</v>
      </c>
      <c r="J30" s="182">
        <f t="shared" si="7"/>
        <v>184500</v>
      </c>
      <c r="K30" s="182">
        <v>0</v>
      </c>
      <c r="L30" s="182">
        <f t="shared" si="0"/>
        <v>725475</v>
      </c>
      <c r="M30" s="274"/>
    </row>
    <row r="31" spans="1:16" x14ac:dyDescent="0.2">
      <c r="A31" s="98">
        <f t="shared" si="1"/>
        <v>2041</v>
      </c>
      <c r="B31" s="442">
        <f t="shared" si="2"/>
        <v>25</v>
      </c>
      <c r="C31" s="277">
        <f>((C$34-C$29)/(5)+C30)</f>
        <v>322635.00000000006</v>
      </c>
      <c r="D31" s="182">
        <f t="shared" si="3"/>
        <v>80658.750000000015</v>
      </c>
      <c r="E31" s="182">
        <f t="shared" si="4"/>
        <v>20625</v>
      </c>
      <c r="F31" s="182">
        <f t="shared" si="5"/>
        <v>120000</v>
      </c>
      <c r="G31" s="182">
        <f t="shared" si="6"/>
        <v>0</v>
      </c>
      <c r="H31" s="182">
        <v>0</v>
      </c>
      <c r="I31" s="182">
        <v>0</v>
      </c>
      <c r="J31" s="182">
        <f t="shared" si="7"/>
        <v>184500</v>
      </c>
      <c r="K31" s="182">
        <v>0</v>
      </c>
      <c r="L31" s="182">
        <f t="shared" si="0"/>
        <v>728418.75</v>
      </c>
      <c r="M31" s="274"/>
    </row>
    <row r="32" spans="1:16" x14ac:dyDescent="0.2">
      <c r="A32" s="98">
        <f t="shared" si="1"/>
        <v>2042</v>
      </c>
      <c r="B32" s="442">
        <f t="shared" si="2"/>
        <v>26</v>
      </c>
      <c r="C32" s="277">
        <f>((C$34-C$29)/(5)+C31)</f>
        <v>324990.00000000006</v>
      </c>
      <c r="D32" s="182">
        <f t="shared" si="3"/>
        <v>81247.500000000015</v>
      </c>
      <c r="E32" s="182">
        <f t="shared" si="4"/>
        <v>20625</v>
      </c>
      <c r="F32" s="182">
        <f t="shared" si="5"/>
        <v>120000</v>
      </c>
      <c r="G32" s="182">
        <f t="shared" si="6"/>
        <v>0</v>
      </c>
      <c r="H32" s="182">
        <v>0</v>
      </c>
      <c r="I32" s="182">
        <v>0</v>
      </c>
      <c r="J32" s="182">
        <f t="shared" si="7"/>
        <v>184500</v>
      </c>
      <c r="K32" s="182">
        <v>0</v>
      </c>
      <c r="L32" s="182">
        <f t="shared" si="0"/>
        <v>731362.5</v>
      </c>
      <c r="M32" s="274"/>
    </row>
    <row r="33" spans="1:13" x14ac:dyDescent="0.2">
      <c r="A33" s="98">
        <f t="shared" si="1"/>
        <v>2043</v>
      </c>
      <c r="B33" s="442">
        <f t="shared" si="2"/>
        <v>27</v>
      </c>
      <c r="C33" s="277">
        <f>((C$34-C$29)/(5)+C32)</f>
        <v>327345.00000000006</v>
      </c>
      <c r="D33" s="182">
        <f t="shared" si="3"/>
        <v>81836.250000000015</v>
      </c>
      <c r="E33" s="182">
        <f t="shared" si="4"/>
        <v>20625</v>
      </c>
      <c r="F33" s="182">
        <f t="shared" si="5"/>
        <v>120000</v>
      </c>
      <c r="G33" s="182">
        <f t="shared" si="6"/>
        <v>0</v>
      </c>
      <c r="H33" s="182">
        <v>0</v>
      </c>
      <c r="I33" s="182">
        <v>0</v>
      </c>
      <c r="J33" s="182">
        <f t="shared" si="7"/>
        <v>184500</v>
      </c>
      <c r="K33" s="182">
        <v>0</v>
      </c>
      <c r="L33" s="182">
        <f t="shared" si="0"/>
        <v>734306.25</v>
      </c>
      <c r="M33" s="274"/>
    </row>
    <row r="34" spans="1:13" x14ac:dyDescent="0.2">
      <c r="A34" s="98">
        <f t="shared" si="1"/>
        <v>2044</v>
      </c>
      <c r="B34" s="442">
        <f t="shared" si="2"/>
        <v>28</v>
      </c>
      <c r="C34" s="278">
        <f>((($O$8*$O$9)*(0.28)*(1/$O$13)))</f>
        <v>329700.00000000006</v>
      </c>
      <c r="D34" s="182">
        <f t="shared" si="3"/>
        <v>82425.000000000015</v>
      </c>
      <c r="E34" s="182">
        <f t="shared" si="4"/>
        <v>20625</v>
      </c>
      <c r="F34" s="182">
        <f t="shared" si="5"/>
        <v>120000</v>
      </c>
      <c r="G34" s="182">
        <f t="shared" si="6"/>
        <v>0</v>
      </c>
      <c r="H34" s="182">
        <v>0</v>
      </c>
      <c r="I34" s="182">
        <v>0</v>
      </c>
      <c r="J34" s="182">
        <f t="shared" si="7"/>
        <v>184500</v>
      </c>
      <c r="K34" s="182">
        <v>0</v>
      </c>
      <c r="L34" s="182">
        <f t="shared" si="0"/>
        <v>737250</v>
      </c>
      <c r="M34" s="274"/>
    </row>
    <row r="35" spans="1:13" x14ac:dyDescent="0.2">
      <c r="A35" s="98">
        <f t="shared" si="1"/>
        <v>2045</v>
      </c>
      <c r="B35" s="442">
        <f t="shared" si="2"/>
        <v>29</v>
      </c>
      <c r="C35" s="277">
        <f>((C$39-C$34)/(5)+C34)</f>
        <v>332055.00000000006</v>
      </c>
      <c r="D35" s="182">
        <f t="shared" si="3"/>
        <v>83013.750000000015</v>
      </c>
      <c r="E35" s="182">
        <f t="shared" si="4"/>
        <v>20625</v>
      </c>
      <c r="F35" s="182">
        <f t="shared" si="5"/>
        <v>120000</v>
      </c>
      <c r="G35" s="182">
        <f t="shared" si="6"/>
        <v>0</v>
      </c>
      <c r="H35" s="182">
        <v>0</v>
      </c>
      <c r="I35" s="182">
        <v>0</v>
      </c>
      <c r="J35" s="182">
        <f t="shared" si="7"/>
        <v>184500</v>
      </c>
      <c r="K35" s="182">
        <v>0</v>
      </c>
      <c r="L35" s="182">
        <f t="shared" si="0"/>
        <v>740193.75</v>
      </c>
      <c r="M35" s="274"/>
    </row>
    <row r="36" spans="1:13" x14ac:dyDescent="0.2">
      <c r="A36" s="98">
        <f t="shared" si="1"/>
        <v>2046</v>
      </c>
      <c r="B36" s="442">
        <f t="shared" si="2"/>
        <v>30</v>
      </c>
      <c r="C36" s="277">
        <f>((C$39-C$34)/(5)+C35)</f>
        <v>334410.00000000006</v>
      </c>
      <c r="D36" s="182">
        <f t="shared" si="3"/>
        <v>83602.500000000015</v>
      </c>
      <c r="E36" s="182">
        <f t="shared" si="4"/>
        <v>20625</v>
      </c>
      <c r="F36" s="182">
        <f t="shared" si="5"/>
        <v>120000</v>
      </c>
      <c r="G36" s="182">
        <f t="shared" si="6"/>
        <v>0</v>
      </c>
      <c r="H36" s="182">
        <v>0</v>
      </c>
      <c r="I36" s="182">
        <v>0</v>
      </c>
      <c r="J36" s="182">
        <f t="shared" si="7"/>
        <v>184500</v>
      </c>
      <c r="K36" s="182">
        <v>0</v>
      </c>
      <c r="L36" s="182">
        <f t="shared" si="0"/>
        <v>743137.5</v>
      </c>
      <c r="M36" s="274"/>
    </row>
    <row r="37" spans="1:13" x14ac:dyDescent="0.2">
      <c r="A37" s="98">
        <f t="shared" si="1"/>
        <v>2047</v>
      </c>
      <c r="B37" s="442">
        <f t="shared" si="2"/>
        <v>31</v>
      </c>
      <c r="C37" s="277">
        <f>((C$39-C$34)/(5)+C36)</f>
        <v>336765.00000000006</v>
      </c>
      <c r="D37" s="182">
        <f t="shared" si="3"/>
        <v>84191.250000000015</v>
      </c>
      <c r="E37" s="182">
        <f t="shared" si="4"/>
        <v>20625</v>
      </c>
      <c r="F37" s="182">
        <f t="shared" si="5"/>
        <v>120000</v>
      </c>
      <c r="G37" s="182">
        <f t="shared" si="6"/>
        <v>0</v>
      </c>
      <c r="H37" s="182">
        <v>0</v>
      </c>
      <c r="I37" s="182">
        <v>0</v>
      </c>
      <c r="J37" s="182">
        <f t="shared" si="7"/>
        <v>184500</v>
      </c>
      <c r="K37" s="182">
        <v>0</v>
      </c>
      <c r="L37" s="182">
        <f t="shared" si="0"/>
        <v>746081.25</v>
      </c>
      <c r="M37" s="274"/>
    </row>
    <row r="38" spans="1:13" x14ac:dyDescent="0.2">
      <c r="A38" s="98">
        <f t="shared" si="1"/>
        <v>2048</v>
      </c>
      <c r="B38" s="442">
        <f t="shared" si="2"/>
        <v>32</v>
      </c>
      <c r="C38" s="277">
        <f>((C$39-C$34)/(5)+C37)</f>
        <v>339120.00000000006</v>
      </c>
      <c r="D38" s="182">
        <f t="shared" si="3"/>
        <v>84780.000000000015</v>
      </c>
      <c r="E38" s="182">
        <f t="shared" si="4"/>
        <v>20625</v>
      </c>
      <c r="F38" s="182">
        <f t="shared" si="5"/>
        <v>120000</v>
      </c>
      <c r="G38" s="182">
        <f t="shared" si="6"/>
        <v>0</v>
      </c>
      <c r="H38" s="182">
        <v>0</v>
      </c>
      <c r="I38" s="182">
        <v>0</v>
      </c>
      <c r="J38" s="182">
        <f t="shared" si="7"/>
        <v>184500</v>
      </c>
      <c r="K38" s="182">
        <v>0</v>
      </c>
      <c r="L38" s="182">
        <f t="shared" ref="L38:L56" si="8">SUM(C38:J38)</f>
        <v>749025</v>
      </c>
      <c r="M38" s="274"/>
    </row>
    <row r="39" spans="1:13" x14ac:dyDescent="0.2">
      <c r="A39" s="98">
        <f t="shared" ref="A39:A56" si="9">(A38+1)</f>
        <v>2049</v>
      </c>
      <c r="B39" s="442">
        <f t="shared" ref="B39:B56" si="10">(B38+1)</f>
        <v>33</v>
      </c>
      <c r="C39" s="278">
        <f>((($O$8*$O$9)*(0.29)*(1/$O$13)))</f>
        <v>341475</v>
      </c>
      <c r="D39" s="182">
        <f t="shared" si="3"/>
        <v>85368.75</v>
      </c>
      <c r="E39" s="182">
        <f t="shared" si="4"/>
        <v>20625</v>
      </c>
      <c r="F39" s="182">
        <f t="shared" si="5"/>
        <v>120000</v>
      </c>
      <c r="G39" s="182">
        <f t="shared" si="6"/>
        <v>0</v>
      </c>
      <c r="H39" s="182">
        <v>0</v>
      </c>
      <c r="I39" s="182">
        <v>0</v>
      </c>
      <c r="J39" s="182">
        <f t="shared" si="7"/>
        <v>184500</v>
      </c>
      <c r="K39" s="182">
        <v>0</v>
      </c>
      <c r="L39" s="182">
        <f t="shared" si="8"/>
        <v>751968.75</v>
      </c>
      <c r="M39" s="274"/>
    </row>
    <row r="40" spans="1:13" x14ac:dyDescent="0.2">
      <c r="A40" s="98">
        <f t="shared" si="9"/>
        <v>2050</v>
      </c>
      <c r="B40" s="442">
        <f t="shared" si="10"/>
        <v>34</v>
      </c>
      <c r="C40" s="277">
        <f>((C$44-C$39)/(5)+C39)</f>
        <v>343830</v>
      </c>
      <c r="D40" s="182">
        <f t="shared" si="3"/>
        <v>85957.5</v>
      </c>
      <c r="E40" s="182">
        <f t="shared" si="4"/>
        <v>20625</v>
      </c>
      <c r="F40" s="182">
        <f t="shared" si="5"/>
        <v>120000</v>
      </c>
      <c r="G40" s="182">
        <f t="shared" si="6"/>
        <v>0</v>
      </c>
      <c r="H40" s="182">
        <v>0</v>
      </c>
      <c r="I40" s="182">
        <v>0</v>
      </c>
      <c r="J40" s="182">
        <f t="shared" si="7"/>
        <v>184500</v>
      </c>
      <c r="K40" s="182">
        <v>0</v>
      </c>
      <c r="L40" s="182">
        <f t="shared" si="8"/>
        <v>754912.5</v>
      </c>
      <c r="M40" s="274"/>
    </row>
    <row r="41" spans="1:13" x14ac:dyDescent="0.2">
      <c r="A41" s="98">
        <f t="shared" si="9"/>
        <v>2051</v>
      </c>
      <c r="B41" s="442">
        <f t="shared" si="10"/>
        <v>35</v>
      </c>
      <c r="C41" s="277">
        <f>((C$44-C$39)/(5)+C40)</f>
        <v>346185</v>
      </c>
      <c r="D41" s="182">
        <f t="shared" si="3"/>
        <v>86546.25</v>
      </c>
      <c r="E41" s="182">
        <f t="shared" si="4"/>
        <v>20625</v>
      </c>
      <c r="F41" s="182">
        <f t="shared" si="5"/>
        <v>120000</v>
      </c>
      <c r="G41" s="182">
        <f t="shared" si="6"/>
        <v>0</v>
      </c>
      <c r="H41" s="182">
        <v>0</v>
      </c>
      <c r="I41" s="182">
        <v>0</v>
      </c>
      <c r="J41" s="182">
        <f t="shared" si="7"/>
        <v>184500</v>
      </c>
      <c r="K41" s="182">
        <v>0</v>
      </c>
      <c r="L41" s="182">
        <f t="shared" si="8"/>
        <v>757856.25</v>
      </c>
      <c r="M41" s="274"/>
    </row>
    <row r="42" spans="1:13" x14ac:dyDescent="0.2">
      <c r="A42" s="98">
        <f t="shared" si="9"/>
        <v>2052</v>
      </c>
      <c r="B42" s="442">
        <f t="shared" si="10"/>
        <v>36</v>
      </c>
      <c r="C42" s="277">
        <f>((C$44-C$39)/(5)+C41)</f>
        <v>348540</v>
      </c>
      <c r="D42" s="182">
        <f t="shared" si="3"/>
        <v>87135</v>
      </c>
      <c r="E42" s="182">
        <f t="shared" si="4"/>
        <v>20625</v>
      </c>
      <c r="F42" s="182">
        <f t="shared" si="5"/>
        <v>120000</v>
      </c>
      <c r="G42" s="182">
        <f t="shared" si="6"/>
        <v>0</v>
      </c>
      <c r="H42" s="182">
        <v>0</v>
      </c>
      <c r="I42" s="182">
        <v>0</v>
      </c>
      <c r="J42" s="182">
        <f t="shared" si="7"/>
        <v>184500</v>
      </c>
      <c r="K42" s="182">
        <v>0</v>
      </c>
      <c r="L42" s="182">
        <f t="shared" si="8"/>
        <v>760800</v>
      </c>
      <c r="M42" s="274"/>
    </row>
    <row r="43" spans="1:13" x14ac:dyDescent="0.2">
      <c r="A43" s="98">
        <f t="shared" si="9"/>
        <v>2053</v>
      </c>
      <c r="B43" s="442">
        <f t="shared" si="10"/>
        <v>37</v>
      </c>
      <c r="C43" s="277">
        <f>((C$44-C$39)/(5)+C42)</f>
        <v>350895</v>
      </c>
      <c r="D43" s="182">
        <f t="shared" si="3"/>
        <v>87723.75</v>
      </c>
      <c r="E43" s="182">
        <f t="shared" si="4"/>
        <v>20625</v>
      </c>
      <c r="F43" s="182">
        <f t="shared" si="5"/>
        <v>120000</v>
      </c>
      <c r="G43" s="182">
        <f t="shared" si="6"/>
        <v>0</v>
      </c>
      <c r="H43" s="182">
        <v>0</v>
      </c>
      <c r="I43" s="182">
        <v>0</v>
      </c>
      <c r="J43" s="182">
        <f t="shared" si="7"/>
        <v>184500</v>
      </c>
      <c r="K43" s="182">
        <v>0</v>
      </c>
      <c r="L43" s="182">
        <f t="shared" si="8"/>
        <v>763743.75</v>
      </c>
      <c r="M43" s="274"/>
    </row>
    <row r="44" spans="1:13" x14ac:dyDescent="0.2">
      <c r="A44" s="98">
        <f t="shared" si="9"/>
        <v>2054</v>
      </c>
      <c r="B44" s="442">
        <f t="shared" si="10"/>
        <v>38</v>
      </c>
      <c r="C44" s="278">
        <f>((($O$8*$O$9)*(0.3)*(1/$O$13)))</f>
        <v>353250</v>
      </c>
      <c r="D44" s="182">
        <f t="shared" si="3"/>
        <v>88312.5</v>
      </c>
      <c r="E44" s="182">
        <f t="shared" si="4"/>
        <v>20625</v>
      </c>
      <c r="F44" s="182">
        <f t="shared" si="5"/>
        <v>120000</v>
      </c>
      <c r="G44" s="182">
        <f t="shared" si="6"/>
        <v>0</v>
      </c>
      <c r="H44" s="182">
        <v>0</v>
      </c>
      <c r="I44" s="182">
        <v>0</v>
      </c>
      <c r="J44" s="182">
        <f t="shared" si="7"/>
        <v>184500</v>
      </c>
      <c r="K44" s="182">
        <v>0</v>
      </c>
      <c r="L44" s="182">
        <f t="shared" si="8"/>
        <v>766687.5</v>
      </c>
      <c r="M44" s="274"/>
    </row>
    <row r="45" spans="1:13" x14ac:dyDescent="0.2">
      <c r="A45" s="98">
        <f t="shared" si="9"/>
        <v>2055</v>
      </c>
      <c r="B45" s="442">
        <f t="shared" si="10"/>
        <v>39</v>
      </c>
      <c r="C45" s="277">
        <f>((C$49-C$44)/(5)+C44)</f>
        <v>355605</v>
      </c>
      <c r="D45" s="182">
        <f t="shared" si="3"/>
        <v>88901.25</v>
      </c>
      <c r="E45" s="182">
        <f t="shared" si="4"/>
        <v>20625</v>
      </c>
      <c r="F45" s="182">
        <f t="shared" si="5"/>
        <v>120000</v>
      </c>
      <c r="G45" s="182">
        <f t="shared" si="6"/>
        <v>0</v>
      </c>
      <c r="H45" s="182">
        <v>0</v>
      </c>
      <c r="I45" s="182">
        <v>0</v>
      </c>
      <c r="J45" s="182">
        <f t="shared" si="7"/>
        <v>184500</v>
      </c>
      <c r="K45" s="182">
        <v>0</v>
      </c>
      <c r="L45" s="182">
        <f t="shared" si="8"/>
        <v>769631.25</v>
      </c>
      <c r="M45" s="274"/>
    </row>
    <row r="46" spans="1:13" x14ac:dyDescent="0.2">
      <c r="A46" s="98">
        <f t="shared" si="9"/>
        <v>2056</v>
      </c>
      <c r="B46" s="442">
        <f t="shared" si="10"/>
        <v>40</v>
      </c>
      <c r="C46" s="277">
        <f>((C$49-C$44)/(5)+C45)</f>
        <v>357960</v>
      </c>
      <c r="D46" s="182">
        <f t="shared" si="3"/>
        <v>89490</v>
      </c>
      <c r="E46" s="182">
        <f t="shared" si="4"/>
        <v>20625</v>
      </c>
      <c r="F46" s="182">
        <f t="shared" si="5"/>
        <v>120000</v>
      </c>
      <c r="G46" s="182">
        <f t="shared" si="6"/>
        <v>0</v>
      </c>
      <c r="H46" s="182">
        <v>0</v>
      </c>
      <c r="I46" s="182">
        <v>0</v>
      </c>
      <c r="J46" s="182">
        <f t="shared" si="7"/>
        <v>184500</v>
      </c>
      <c r="K46" s="182">
        <v>0</v>
      </c>
      <c r="L46" s="182">
        <f t="shared" si="8"/>
        <v>772575</v>
      </c>
      <c r="M46" s="274"/>
    </row>
    <row r="47" spans="1:13" x14ac:dyDescent="0.2">
      <c r="A47" s="98">
        <f t="shared" si="9"/>
        <v>2057</v>
      </c>
      <c r="B47" s="442">
        <f t="shared" si="10"/>
        <v>41</v>
      </c>
      <c r="C47" s="277">
        <f>((C$49-C$44)/(5)+C46)</f>
        <v>360315</v>
      </c>
      <c r="D47" s="182">
        <f t="shared" si="3"/>
        <v>90078.75</v>
      </c>
      <c r="E47" s="182">
        <f t="shared" si="4"/>
        <v>20625</v>
      </c>
      <c r="F47" s="182">
        <f t="shared" si="5"/>
        <v>120000</v>
      </c>
      <c r="G47" s="182">
        <f t="shared" si="6"/>
        <v>0</v>
      </c>
      <c r="H47" s="182">
        <v>0</v>
      </c>
      <c r="I47" s="182">
        <v>0</v>
      </c>
      <c r="J47" s="182">
        <f t="shared" si="7"/>
        <v>184500</v>
      </c>
      <c r="K47" s="182">
        <v>0</v>
      </c>
      <c r="L47" s="182">
        <f t="shared" si="8"/>
        <v>775518.75</v>
      </c>
      <c r="M47" s="274"/>
    </row>
    <row r="48" spans="1:13" x14ac:dyDescent="0.2">
      <c r="A48" s="98">
        <f t="shared" si="9"/>
        <v>2058</v>
      </c>
      <c r="B48" s="442">
        <f t="shared" si="10"/>
        <v>42</v>
      </c>
      <c r="C48" s="277">
        <f>((C$49-C$44)/(5)+C47)</f>
        <v>362670</v>
      </c>
      <c r="D48" s="182">
        <f t="shared" si="3"/>
        <v>90667.5</v>
      </c>
      <c r="E48" s="182">
        <f t="shared" si="4"/>
        <v>20625</v>
      </c>
      <c r="F48" s="182">
        <f t="shared" si="5"/>
        <v>120000</v>
      </c>
      <c r="G48" s="182">
        <f t="shared" si="6"/>
        <v>0</v>
      </c>
      <c r="H48" s="182">
        <v>0</v>
      </c>
      <c r="I48" s="182">
        <v>0</v>
      </c>
      <c r="J48" s="182">
        <f t="shared" si="7"/>
        <v>184500</v>
      </c>
      <c r="K48" s="182">
        <v>0</v>
      </c>
      <c r="L48" s="182">
        <f t="shared" si="8"/>
        <v>778462.5</v>
      </c>
      <c r="M48" s="274"/>
    </row>
    <row r="49" spans="1:13" x14ac:dyDescent="0.2">
      <c r="A49" s="98">
        <f t="shared" si="9"/>
        <v>2059</v>
      </c>
      <c r="B49" s="442">
        <f t="shared" si="10"/>
        <v>43</v>
      </c>
      <c r="C49" s="278">
        <f>((($O$8*$O$9)*(0.31)*(1/$O$13)))</f>
        <v>365025</v>
      </c>
      <c r="D49" s="182">
        <f t="shared" si="3"/>
        <v>91256.25</v>
      </c>
      <c r="E49" s="182">
        <f t="shared" si="4"/>
        <v>20625</v>
      </c>
      <c r="F49" s="182">
        <f t="shared" si="5"/>
        <v>120000</v>
      </c>
      <c r="G49" s="182">
        <f t="shared" si="6"/>
        <v>0</v>
      </c>
      <c r="H49" s="182">
        <v>0</v>
      </c>
      <c r="I49" s="182">
        <v>0</v>
      </c>
      <c r="J49" s="182">
        <f t="shared" si="7"/>
        <v>184500</v>
      </c>
      <c r="K49" s="182">
        <v>0</v>
      </c>
      <c r="L49" s="182">
        <f t="shared" si="8"/>
        <v>781406.25</v>
      </c>
      <c r="M49" s="274"/>
    </row>
    <row r="50" spans="1:13" x14ac:dyDescent="0.2">
      <c r="A50" s="98">
        <f t="shared" si="9"/>
        <v>2060</v>
      </c>
      <c r="B50" s="442">
        <f t="shared" si="10"/>
        <v>44</v>
      </c>
      <c r="C50" s="277">
        <f>((C$54-C$49)/(5)+C49)</f>
        <v>367380</v>
      </c>
      <c r="D50" s="182">
        <f t="shared" si="3"/>
        <v>91845</v>
      </c>
      <c r="E50" s="182">
        <f t="shared" si="4"/>
        <v>20625</v>
      </c>
      <c r="F50" s="182">
        <f t="shared" si="5"/>
        <v>120000</v>
      </c>
      <c r="G50" s="182">
        <f t="shared" si="6"/>
        <v>0</v>
      </c>
      <c r="H50" s="182">
        <v>0</v>
      </c>
      <c r="I50" s="182">
        <v>0</v>
      </c>
      <c r="J50" s="182">
        <f t="shared" si="7"/>
        <v>184500</v>
      </c>
      <c r="K50" s="182">
        <v>0</v>
      </c>
      <c r="L50" s="182">
        <f t="shared" si="8"/>
        <v>784350</v>
      </c>
      <c r="M50" s="274"/>
    </row>
    <row r="51" spans="1:13" x14ac:dyDescent="0.2">
      <c r="A51" s="98">
        <f t="shared" si="9"/>
        <v>2061</v>
      </c>
      <c r="B51" s="442">
        <f t="shared" si="10"/>
        <v>45</v>
      </c>
      <c r="C51" s="277">
        <f>((C$54-C$49)/(5)+C50)</f>
        <v>369735</v>
      </c>
      <c r="D51" s="182">
        <f t="shared" si="3"/>
        <v>92433.75</v>
      </c>
      <c r="E51" s="182">
        <f t="shared" si="4"/>
        <v>20625</v>
      </c>
      <c r="F51" s="182">
        <f t="shared" si="5"/>
        <v>120000</v>
      </c>
      <c r="G51" s="182">
        <f t="shared" si="6"/>
        <v>0</v>
      </c>
      <c r="H51" s="182">
        <v>0</v>
      </c>
      <c r="I51" s="182">
        <v>0</v>
      </c>
      <c r="J51" s="182">
        <f t="shared" si="7"/>
        <v>184500</v>
      </c>
      <c r="K51" s="182">
        <v>0</v>
      </c>
      <c r="L51" s="182">
        <f t="shared" si="8"/>
        <v>787293.75</v>
      </c>
      <c r="M51" s="274"/>
    </row>
    <row r="52" spans="1:13" x14ac:dyDescent="0.2">
      <c r="A52" s="98">
        <f t="shared" si="9"/>
        <v>2062</v>
      </c>
      <c r="B52" s="442">
        <f t="shared" si="10"/>
        <v>46</v>
      </c>
      <c r="C52" s="277">
        <f>((C$54-C$49)/(5)+C51)</f>
        <v>372090</v>
      </c>
      <c r="D52" s="182">
        <f t="shared" si="3"/>
        <v>93022.5</v>
      </c>
      <c r="E52" s="182">
        <f t="shared" si="4"/>
        <v>20625</v>
      </c>
      <c r="F52" s="182">
        <f t="shared" si="5"/>
        <v>120000</v>
      </c>
      <c r="G52" s="182">
        <f t="shared" si="6"/>
        <v>0</v>
      </c>
      <c r="H52" s="182">
        <v>0</v>
      </c>
      <c r="I52" s="182">
        <v>0</v>
      </c>
      <c r="J52" s="182">
        <f t="shared" si="7"/>
        <v>184500</v>
      </c>
      <c r="K52" s="182">
        <v>0</v>
      </c>
      <c r="L52" s="182">
        <f t="shared" si="8"/>
        <v>790237.5</v>
      </c>
      <c r="M52" s="274"/>
    </row>
    <row r="53" spans="1:13" x14ac:dyDescent="0.2">
      <c r="A53" s="98">
        <f t="shared" si="9"/>
        <v>2063</v>
      </c>
      <c r="B53" s="442">
        <f t="shared" si="10"/>
        <v>47</v>
      </c>
      <c r="C53" s="277">
        <f>((C$54-C$49)/(5)+C52)</f>
        <v>374445</v>
      </c>
      <c r="D53" s="182">
        <f t="shared" si="3"/>
        <v>93611.25</v>
      </c>
      <c r="E53" s="182">
        <f t="shared" si="4"/>
        <v>20625</v>
      </c>
      <c r="F53" s="182">
        <f t="shared" si="5"/>
        <v>120000</v>
      </c>
      <c r="G53" s="182">
        <f t="shared" si="6"/>
        <v>0</v>
      </c>
      <c r="H53" s="182">
        <v>0</v>
      </c>
      <c r="I53" s="182">
        <v>0</v>
      </c>
      <c r="J53" s="182">
        <f t="shared" si="7"/>
        <v>184500</v>
      </c>
      <c r="K53" s="182">
        <v>0</v>
      </c>
      <c r="L53" s="182">
        <f t="shared" si="8"/>
        <v>793181.25</v>
      </c>
      <c r="M53" s="274"/>
    </row>
    <row r="54" spans="1:13" x14ac:dyDescent="0.2">
      <c r="A54" s="98">
        <f t="shared" si="9"/>
        <v>2064</v>
      </c>
      <c r="B54" s="442">
        <f t="shared" si="10"/>
        <v>48</v>
      </c>
      <c r="C54" s="278">
        <f>((($O$8*$O$9)*(0.32)*(1/$O$13)))</f>
        <v>376800</v>
      </c>
      <c r="D54" s="182">
        <f t="shared" si="3"/>
        <v>94200</v>
      </c>
      <c r="E54" s="182">
        <f t="shared" si="4"/>
        <v>20625</v>
      </c>
      <c r="F54" s="182">
        <f t="shared" si="5"/>
        <v>120000</v>
      </c>
      <c r="G54" s="182">
        <f t="shared" si="6"/>
        <v>0</v>
      </c>
      <c r="H54" s="182">
        <v>0</v>
      </c>
      <c r="I54" s="182">
        <v>0</v>
      </c>
      <c r="J54" s="182">
        <f t="shared" si="7"/>
        <v>184500</v>
      </c>
      <c r="K54" s="182">
        <v>0</v>
      </c>
      <c r="L54" s="182">
        <f t="shared" si="8"/>
        <v>796125</v>
      </c>
      <c r="M54" s="274"/>
    </row>
    <row r="55" spans="1:13" x14ac:dyDescent="0.2">
      <c r="A55" s="98">
        <f t="shared" si="9"/>
        <v>2065</v>
      </c>
      <c r="B55" s="442">
        <f t="shared" si="10"/>
        <v>49</v>
      </c>
      <c r="C55" s="277">
        <f>((C$54-C$49)/(5)+C54)</f>
        <v>379155</v>
      </c>
      <c r="D55" s="182">
        <f t="shared" si="3"/>
        <v>94788.75</v>
      </c>
      <c r="E55" s="182">
        <f t="shared" si="4"/>
        <v>20625</v>
      </c>
      <c r="F55" s="182">
        <f t="shared" si="5"/>
        <v>120000</v>
      </c>
      <c r="G55" s="182">
        <f t="shared" si="6"/>
        <v>0</v>
      </c>
      <c r="H55" s="182">
        <v>0</v>
      </c>
      <c r="I55" s="182">
        <v>0</v>
      </c>
      <c r="J55" s="182">
        <f t="shared" si="7"/>
        <v>184500</v>
      </c>
      <c r="K55" s="182">
        <v>0</v>
      </c>
      <c r="L55" s="182">
        <f t="shared" si="8"/>
        <v>799068.75</v>
      </c>
      <c r="M55" s="274"/>
    </row>
    <row r="56" spans="1:13" ht="13.5" thickBot="1" x14ac:dyDescent="0.25">
      <c r="A56" s="98">
        <f t="shared" si="9"/>
        <v>2066</v>
      </c>
      <c r="B56" s="442">
        <f t="shared" si="10"/>
        <v>50</v>
      </c>
      <c r="C56" s="277">
        <f>C55</f>
        <v>379155</v>
      </c>
      <c r="D56" s="182">
        <f t="shared" si="3"/>
        <v>94788.75</v>
      </c>
      <c r="E56" s="182">
        <f t="shared" si="4"/>
        <v>20625</v>
      </c>
      <c r="F56" s="182">
        <f t="shared" si="5"/>
        <v>120000</v>
      </c>
      <c r="G56" s="182">
        <f t="shared" si="6"/>
        <v>0</v>
      </c>
      <c r="H56" s="182">
        <v>0</v>
      </c>
      <c r="I56" s="182">
        <v>0</v>
      </c>
      <c r="J56" s="182">
        <f t="shared" si="7"/>
        <v>184500</v>
      </c>
      <c r="K56" s="182">
        <v>0</v>
      </c>
      <c r="L56" s="497">
        <f t="shared" si="8"/>
        <v>799068.75</v>
      </c>
      <c r="M56" s="276"/>
    </row>
    <row r="57" spans="1:13" ht="15.75" thickBot="1" x14ac:dyDescent="0.3">
      <c r="A57" s="275" t="s">
        <v>277</v>
      </c>
      <c r="C57" s="495">
        <f t="shared" ref="C57:L57" si="11">NPV($O$14,C7:C56)+C6</f>
        <v>5015506.4901054474</v>
      </c>
      <c r="D57" s="495">
        <f t="shared" si="11"/>
        <v>1253876.6225263618</v>
      </c>
      <c r="E57" s="495">
        <f t="shared" si="11"/>
        <v>338178.12248783815</v>
      </c>
      <c r="F57" s="495">
        <f t="shared" si="11"/>
        <v>1967581.8035656048</v>
      </c>
      <c r="G57" s="495">
        <f t="shared" si="11"/>
        <v>0</v>
      </c>
      <c r="H57" s="495">
        <f t="shared" si="11"/>
        <v>0</v>
      </c>
      <c r="I57" s="495">
        <f t="shared" si="11"/>
        <v>0</v>
      </c>
      <c r="J57" s="495">
        <f t="shared" si="11"/>
        <v>3025157.0229821168</v>
      </c>
      <c r="K57" s="496">
        <f t="shared" si="11"/>
        <v>0</v>
      </c>
      <c r="L57" s="466">
        <f t="shared" si="11"/>
        <v>11600300.06166737</v>
      </c>
      <c r="M57" s="274"/>
    </row>
    <row r="58" spans="1:13" ht="13.5" thickBot="1" x14ac:dyDescent="0.25">
      <c r="A58" s="114"/>
      <c r="B58" s="114"/>
      <c r="C58" s="114"/>
      <c r="D58" s="114"/>
      <c r="E58" s="114"/>
      <c r="F58" s="114"/>
      <c r="G58" s="114"/>
      <c r="H58" s="114"/>
      <c r="L58" s="273"/>
      <c r="M58" s="272"/>
    </row>
    <row r="59" spans="1:13" ht="15" x14ac:dyDescent="0.25">
      <c r="A59" s="251" t="s">
        <v>0</v>
      </c>
      <c r="B59" s="250"/>
      <c r="C59" s="250"/>
      <c r="D59" s="250"/>
      <c r="E59" s="250"/>
      <c r="F59" s="250"/>
      <c r="G59" s="177"/>
      <c r="H59" s="176"/>
    </row>
    <row r="60" spans="1:13" ht="15" x14ac:dyDescent="0.2">
      <c r="A60" s="709" t="s">
        <v>388</v>
      </c>
      <c r="B60" s="710"/>
      <c r="C60" s="519" t="s">
        <v>387</v>
      </c>
      <c r="D60" s="519"/>
      <c r="E60" s="519"/>
      <c r="F60" s="519"/>
      <c r="G60" s="519"/>
      <c r="H60" s="520"/>
    </row>
    <row r="61" spans="1:13" ht="15" x14ac:dyDescent="0.2">
      <c r="A61" s="641" t="s">
        <v>386</v>
      </c>
      <c r="B61" s="642"/>
      <c r="C61" s="519" t="s">
        <v>385</v>
      </c>
      <c r="D61" s="519"/>
      <c r="E61" s="519"/>
      <c r="F61" s="519"/>
      <c r="G61" s="519"/>
      <c r="H61" s="520"/>
    </row>
    <row r="62" spans="1:13" ht="15" x14ac:dyDescent="0.2">
      <c r="A62" s="720" t="s">
        <v>603</v>
      </c>
      <c r="B62" s="551"/>
      <c r="C62" s="551"/>
      <c r="D62" s="271"/>
      <c r="E62" s="271"/>
      <c r="F62" s="271"/>
      <c r="G62" s="271"/>
      <c r="H62" s="270"/>
    </row>
    <row r="63" spans="1:13" ht="44.25" customHeight="1" x14ac:dyDescent="0.2">
      <c r="A63" s="641" t="s">
        <v>384</v>
      </c>
      <c r="B63" s="642"/>
      <c r="C63" s="538" t="s">
        <v>383</v>
      </c>
      <c r="D63" s="538"/>
      <c r="E63" s="538"/>
      <c r="F63" s="538"/>
      <c r="G63" s="538"/>
      <c r="H63" s="540"/>
    </row>
    <row r="64" spans="1:13" ht="19.5" customHeight="1" x14ac:dyDescent="0.2">
      <c r="A64" s="641" t="s">
        <v>382</v>
      </c>
      <c r="B64" s="642"/>
      <c r="C64" s="519" t="s">
        <v>381</v>
      </c>
      <c r="D64" s="519"/>
      <c r="E64" s="519"/>
      <c r="F64" s="519"/>
      <c r="G64" s="519"/>
      <c r="H64" s="520"/>
    </row>
    <row r="65" spans="1:8" ht="15" x14ac:dyDescent="0.2">
      <c r="A65" s="641" t="s">
        <v>380</v>
      </c>
      <c r="B65" s="642"/>
      <c r="C65" s="519" t="s">
        <v>379</v>
      </c>
      <c r="D65" s="519"/>
      <c r="E65" s="519"/>
      <c r="F65" s="519"/>
      <c r="G65" s="519"/>
      <c r="H65" s="520"/>
    </row>
    <row r="66" spans="1:8" ht="15" x14ac:dyDescent="0.2">
      <c r="A66" s="641" t="s">
        <v>378</v>
      </c>
      <c r="B66" s="642"/>
      <c r="C66" s="519" t="s">
        <v>377</v>
      </c>
      <c r="D66" s="519"/>
      <c r="E66" s="519"/>
      <c r="F66" s="519"/>
      <c r="G66" s="519"/>
      <c r="H66" s="520"/>
    </row>
    <row r="67" spans="1:8" ht="15" x14ac:dyDescent="0.2">
      <c r="A67" s="641" t="s">
        <v>376</v>
      </c>
      <c r="B67" s="642"/>
      <c r="C67" s="519" t="s">
        <v>375</v>
      </c>
      <c r="D67" s="519"/>
      <c r="E67" s="519"/>
      <c r="F67" s="519"/>
      <c r="G67" s="519"/>
      <c r="H67" s="520"/>
    </row>
    <row r="68" spans="1:8" ht="28.5" customHeight="1" x14ac:dyDescent="0.2">
      <c r="A68" s="716" t="s">
        <v>598</v>
      </c>
      <c r="B68" s="717"/>
      <c r="C68" s="519" t="s">
        <v>661</v>
      </c>
      <c r="D68" s="519"/>
      <c r="E68" s="519"/>
      <c r="F68" s="519"/>
      <c r="G68" s="519"/>
      <c r="H68" s="520"/>
    </row>
    <row r="69" spans="1:8" ht="32.25" customHeight="1" x14ac:dyDescent="0.2">
      <c r="A69" s="716" t="s">
        <v>599</v>
      </c>
      <c r="B69" s="717"/>
      <c r="C69" s="519" t="s">
        <v>661</v>
      </c>
      <c r="D69" s="519"/>
      <c r="E69" s="519"/>
      <c r="F69" s="519"/>
      <c r="G69" s="519"/>
      <c r="H69" s="520"/>
    </row>
    <row r="70" spans="1:8" ht="31.5" customHeight="1" x14ac:dyDescent="0.2">
      <c r="A70" s="716" t="s">
        <v>600</v>
      </c>
      <c r="B70" s="717"/>
      <c r="C70" s="538" t="s">
        <v>662</v>
      </c>
      <c r="D70" s="538"/>
      <c r="E70" s="538"/>
      <c r="F70" s="538"/>
      <c r="G70" s="538"/>
      <c r="H70" s="540"/>
    </row>
    <row r="71" spans="1:8" ht="33" customHeight="1" x14ac:dyDescent="0.2">
      <c r="A71" s="716" t="s">
        <v>601</v>
      </c>
      <c r="B71" s="717"/>
      <c r="C71" s="519" t="s">
        <v>661</v>
      </c>
      <c r="D71" s="519"/>
      <c r="E71" s="519"/>
      <c r="F71" s="519"/>
      <c r="G71" s="519"/>
      <c r="H71" s="520"/>
    </row>
    <row r="72" spans="1:8" ht="19.5" customHeight="1" thickBot="1" x14ac:dyDescent="0.25">
      <c r="A72" s="721" t="s">
        <v>374</v>
      </c>
      <c r="B72" s="722"/>
      <c r="C72" s="707" t="s">
        <v>602</v>
      </c>
      <c r="D72" s="707"/>
      <c r="E72" s="707"/>
      <c r="F72" s="707"/>
      <c r="G72" s="707"/>
      <c r="H72" s="708"/>
    </row>
    <row r="73" spans="1:8" x14ac:dyDescent="0.2">
      <c r="A73" s="114"/>
      <c r="B73" s="114"/>
      <c r="C73" s="114"/>
      <c r="D73" s="114"/>
      <c r="E73" s="244"/>
      <c r="F73" s="114"/>
      <c r="G73" s="114"/>
      <c r="H73" s="114"/>
    </row>
  </sheetData>
  <mergeCells count="38">
    <mergeCell ref="A71:B71"/>
    <mergeCell ref="A72:B72"/>
    <mergeCell ref="C71:H71"/>
    <mergeCell ref="C72:H72"/>
    <mergeCell ref="C68:H68"/>
    <mergeCell ref="C69:H69"/>
    <mergeCell ref="C70:H70"/>
    <mergeCell ref="A70:B70"/>
    <mergeCell ref="C67:H67"/>
    <mergeCell ref="A67:B67"/>
    <mergeCell ref="L4:L5"/>
    <mergeCell ref="B4:B5"/>
    <mergeCell ref="C63:H63"/>
    <mergeCell ref="A64:B64"/>
    <mergeCell ref="A65:B65"/>
    <mergeCell ref="A66:B66"/>
    <mergeCell ref="A4:A5"/>
    <mergeCell ref="A62:C62"/>
    <mergeCell ref="J4:J5"/>
    <mergeCell ref="K4:K5"/>
    <mergeCell ref="A3:K3"/>
    <mergeCell ref="C4:G4"/>
    <mergeCell ref="A68:B68"/>
    <mergeCell ref="A69:B69"/>
    <mergeCell ref="A63:B63"/>
    <mergeCell ref="C64:H64"/>
    <mergeCell ref="C65:H65"/>
    <mergeCell ref="C66:H66"/>
    <mergeCell ref="F1:G1"/>
    <mergeCell ref="H1:I1"/>
    <mergeCell ref="N6:O6"/>
    <mergeCell ref="A2:K2"/>
    <mergeCell ref="A60:B60"/>
    <mergeCell ref="A61:B61"/>
    <mergeCell ref="C60:H60"/>
    <mergeCell ref="C61:H61"/>
    <mergeCell ref="H4:H5"/>
    <mergeCell ref="I4:I5"/>
  </mergeCells>
  <pageMargins left="0.7" right="0.7" top="0.75" bottom="0.75" header="0.3" footer="0.3"/>
  <pageSetup scale="43" fitToWidth="2" orientation="landscape" cellComments="asDisplayed" r:id="rId1"/>
  <colBreaks count="1" manualBreakCount="1">
    <brk id="12" max="71"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8EFDB-1882-4B56-A851-6125953880B0}">
  <sheetPr>
    <pageSetUpPr fitToPage="1"/>
  </sheetPr>
  <dimension ref="A1:R76"/>
  <sheetViews>
    <sheetView view="pageBreakPreview" topLeftCell="D7" zoomScaleNormal="90" zoomScaleSheetLayoutView="100" workbookViewId="0">
      <selection activeCell="N24" sqref="N24"/>
    </sheetView>
  </sheetViews>
  <sheetFormatPr defaultRowHeight="12.75" x14ac:dyDescent="0.2"/>
  <cols>
    <col min="1" max="1" width="10.42578125" style="268" customWidth="1"/>
    <col min="2" max="2" width="16.140625" style="268" customWidth="1"/>
    <col min="3" max="3" width="15.28515625" style="304" customWidth="1"/>
    <col min="4" max="4" width="11.85546875" style="304" customWidth="1"/>
    <col min="5" max="5" width="14.42578125" style="268" customWidth="1"/>
    <col min="6" max="6" width="13.140625" style="268" customWidth="1"/>
    <col min="7" max="9" width="13.5703125" style="268" customWidth="1"/>
    <col min="10" max="10" width="14.7109375" style="268" customWidth="1"/>
    <col min="11" max="11" width="14.140625" style="268" customWidth="1"/>
    <col min="12" max="12" width="14.28515625" style="268" customWidth="1"/>
    <col min="13" max="13" width="13.140625" style="268" customWidth="1"/>
    <col min="14" max="14" width="18" style="268" customWidth="1"/>
    <col min="15" max="15" width="9.140625" style="269"/>
    <col min="16" max="16" width="10.7109375" style="268" customWidth="1"/>
    <col min="17" max="17" width="9.140625" style="268"/>
    <col min="18" max="18" width="11.140625" style="268" bestFit="1" customWidth="1"/>
    <col min="19" max="16384" width="9.140625" style="268"/>
  </cols>
  <sheetData>
    <row r="1" spans="1:18" ht="15" x14ac:dyDescent="0.2">
      <c r="A1" s="675" t="s">
        <v>571</v>
      </c>
      <c r="B1" s="675"/>
      <c r="C1" s="675"/>
      <c r="D1" s="675"/>
      <c r="E1" s="675"/>
      <c r="F1" s="675"/>
      <c r="G1" s="675"/>
      <c r="H1" s="675"/>
      <c r="I1" s="534" t="s">
        <v>539</v>
      </c>
      <c r="J1" s="534"/>
      <c r="K1" s="671" t="s">
        <v>540</v>
      </c>
      <c r="L1" s="671"/>
    </row>
    <row r="2" spans="1:18" s="114" customFormat="1" ht="17.25" customHeight="1" x14ac:dyDescent="0.25">
      <c r="A2" s="160" t="s">
        <v>438</v>
      </c>
      <c r="B2" s="160"/>
      <c r="C2" s="160"/>
      <c r="D2" s="160"/>
      <c r="E2" s="157"/>
      <c r="F2" s="157"/>
      <c r="G2" s="157"/>
      <c r="H2" s="92"/>
      <c r="I2" s="340"/>
      <c r="J2" s="340"/>
      <c r="O2" s="142"/>
      <c r="P2" s="142"/>
      <c r="Q2" s="142"/>
      <c r="R2" s="142"/>
    </row>
    <row r="3" spans="1:18" s="114" customFormat="1" ht="22.5" customHeight="1" x14ac:dyDescent="0.2">
      <c r="A3" s="521" t="s">
        <v>437</v>
      </c>
      <c r="B3" s="521"/>
      <c r="C3" s="521"/>
      <c r="D3" s="521"/>
      <c r="E3" s="521"/>
      <c r="F3" s="521"/>
      <c r="G3" s="521"/>
      <c r="H3" s="521"/>
      <c r="I3" s="521"/>
      <c r="J3" s="521"/>
      <c r="K3" s="339"/>
      <c r="L3" s="339"/>
      <c r="M3" s="339"/>
      <c r="N3" s="339"/>
      <c r="O3" s="142"/>
      <c r="P3" s="468"/>
      <c r="Q3" s="468"/>
      <c r="R3" s="142"/>
    </row>
    <row r="4" spans="1:18" s="114" customFormat="1" ht="19.5" customHeight="1" x14ac:dyDescent="0.2">
      <c r="A4" s="734" t="s">
        <v>436</v>
      </c>
      <c r="B4" s="734"/>
      <c r="C4" s="725" t="s">
        <v>591</v>
      </c>
      <c r="D4" s="725"/>
      <c r="E4" s="725"/>
      <c r="F4" s="725"/>
      <c r="G4" s="725"/>
      <c r="H4" s="338"/>
      <c r="I4" s="338"/>
      <c r="O4" s="142"/>
      <c r="P4" s="468"/>
      <c r="Q4" s="468"/>
      <c r="R4" s="142"/>
    </row>
    <row r="5" spans="1:18" ht="18" customHeight="1" x14ac:dyDescent="0.2">
      <c r="A5" s="735" t="s">
        <v>435</v>
      </c>
      <c r="B5" s="736"/>
      <c r="C5" s="337">
        <v>0.05</v>
      </c>
      <c r="D5" s="268"/>
      <c r="O5" s="467"/>
      <c r="P5" s="142"/>
      <c r="Q5" s="142"/>
      <c r="R5" s="142"/>
    </row>
    <row r="6" spans="1:18" ht="23.25" customHeight="1" thickBot="1" x14ac:dyDescent="0.25">
      <c r="A6" s="336" t="s">
        <v>434</v>
      </c>
      <c r="B6" s="335"/>
      <c r="C6" s="334"/>
      <c r="D6" s="268"/>
      <c r="O6" s="305"/>
    </row>
    <row r="7" spans="1:18" ht="21" customHeight="1" thickBot="1" x14ac:dyDescent="0.25">
      <c r="C7" s="726" t="s">
        <v>433</v>
      </c>
      <c r="D7" s="727"/>
      <c r="E7" s="727"/>
      <c r="F7" s="727"/>
      <c r="G7" s="727"/>
      <c r="H7" s="727"/>
      <c r="I7" s="727"/>
      <c r="J7" s="727"/>
      <c r="K7" s="726" t="s">
        <v>269</v>
      </c>
      <c r="L7" s="727"/>
      <c r="M7" s="742"/>
      <c r="N7" s="732" t="s">
        <v>420</v>
      </c>
      <c r="O7" s="305"/>
    </row>
    <row r="8" spans="1:18" ht="57.75" customHeight="1" x14ac:dyDescent="0.2">
      <c r="A8" s="10" t="s">
        <v>388</v>
      </c>
      <c r="B8" s="153" t="s">
        <v>386</v>
      </c>
      <c r="C8" s="738" t="s">
        <v>432</v>
      </c>
      <c r="D8" s="739"/>
      <c r="E8" s="739"/>
      <c r="F8" s="740"/>
      <c r="G8" s="333" t="s">
        <v>431</v>
      </c>
      <c r="H8" s="741" t="s">
        <v>607</v>
      </c>
      <c r="I8" s="740"/>
      <c r="J8" s="332" t="s">
        <v>430</v>
      </c>
      <c r="K8" s="469" t="s">
        <v>606</v>
      </c>
      <c r="L8" s="470" t="s">
        <v>600</v>
      </c>
      <c r="M8" s="331" t="s">
        <v>429</v>
      </c>
      <c r="N8" s="733"/>
      <c r="O8" s="305"/>
    </row>
    <row r="9" spans="1:18" s="322" customFormat="1" ht="24" customHeight="1" x14ac:dyDescent="0.25">
      <c r="A9" s="723"/>
      <c r="B9" s="724"/>
      <c r="C9" s="137" t="s">
        <v>428</v>
      </c>
      <c r="D9" s="51" t="s">
        <v>427</v>
      </c>
      <c r="E9" s="51" t="s">
        <v>426</v>
      </c>
      <c r="F9" s="328" t="s">
        <v>520</v>
      </c>
      <c r="G9" s="330" t="s">
        <v>425</v>
      </c>
      <c r="H9" s="329" t="s">
        <v>424</v>
      </c>
      <c r="I9" s="328" t="s">
        <v>423</v>
      </c>
      <c r="K9" s="327"/>
      <c r="L9" s="326"/>
      <c r="M9" s="325"/>
      <c r="N9" s="324"/>
      <c r="O9" s="323"/>
    </row>
    <row r="10" spans="1:18" x14ac:dyDescent="0.2">
      <c r="A10" s="98">
        <v>2016</v>
      </c>
      <c r="B10" s="321">
        <v>0</v>
      </c>
      <c r="C10" s="317">
        <f>'III.1 LCCA_Grouping'!J14+'III.1 LCCA_Grouping'!J22+'III.1 LCCA_Grouping'!J26</f>
        <v>2500014.375</v>
      </c>
      <c r="D10" s="182">
        <f>'III.1 LCCA_Grouping'!J18+'III.1 LCCA_Grouping'!J22+'III.1 LCCA_Grouping'!J26</f>
        <v>62500</v>
      </c>
      <c r="E10" s="182">
        <v>0</v>
      </c>
      <c r="F10" s="319">
        <v>0</v>
      </c>
      <c r="G10" s="320">
        <v>0</v>
      </c>
      <c r="H10" s="198">
        <v>0</v>
      </c>
      <c r="I10" s="319">
        <v>0</v>
      </c>
      <c r="J10" s="318">
        <f t="shared" ref="J10:J41" si="0">SUM(C10:I10)</f>
        <v>2562514.375</v>
      </c>
      <c r="K10" s="317">
        <f>SUM('III.3 Benefits_Grouping'!C6:G6)</f>
        <v>0</v>
      </c>
      <c r="L10" s="182">
        <f>'III.3 Benefits_Grouping'!J6</f>
        <v>0</v>
      </c>
      <c r="M10" s="316">
        <f t="shared" ref="M10:M41" si="1">SUM(K10:L10)</f>
        <v>0</v>
      </c>
      <c r="N10" s="315">
        <f t="shared" ref="N10:N41" si="2">(M10-J10)</f>
        <v>-2562514.375</v>
      </c>
    </row>
    <row r="11" spans="1:18" x14ac:dyDescent="0.2">
      <c r="A11" s="98">
        <f t="shared" ref="A11:A42" si="3">(A10+1)</f>
        <v>2017</v>
      </c>
      <c r="B11" s="321">
        <f t="shared" ref="B11:B42" si="4">(B10+1)</f>
        <v>1</v>
      </c>
      <c r="C11" s="317">
        <f>'III.1 LCCA_Grouping'!K14</f>
        <v>2500014.375</v>
      </c>
      <c r="D11" s="182">
        <f>'III.1 LCCA_Grouping'!K18</f>
        <v>62500</v>
      </c>
      <c r="E11" s="182">
        <f>'III.1 LCCA_Grouping'!K22</f>
        <v>200000</v>
      </c>
      <c r="F11" s="319">
        <f>'III.1 LCCA_Grouping'!K26</f>
        <v>600000</v>
      </c>
      <c r="G11" s="320">
        <v>0</v>
      </c>
      <c r="H11" s="198">
        <v>0</v>
      </c>
      <c r="I11" s="319">
        <v>0</v>
      </c>
      <c r="J11" s="318">
        <f t="shared" si="0"/>
        <v>3362514.375</v>
      </c>
      <c r="K11" s="317">
        <f>SUM('III.3 Benefits_Grouping'!C7:G7)</f>
        <v>0</v>
      </c>
      <c r="L11" s="182">
        <f>'III.3 Benefits_Grouping'!J7</f>
        <v>0</v>
      </c>
      <c r="M11" s="316">
        <f t="shared" si="1"/>
        <v>0</v>
      </c>
      <c r="N11" s="315">
        <f t="shared" si="2"/>
        <v>-3362514.375</v>
      </c>
    </row>
    <row r="12" spans="1:18" ht="15" customHeight="1" x14ac:dyDescent="0.2">
      <c r="A12" s="98">
        <f t="shared" si="3"/>
        <v>2018</v>
      </c>
      <c r="B12" s="321">
        <f t="shared" si="4"/>
        <v>2</v>
      </c>
      <c r="C12" s="317">
        <v>0</v>
      </c>
      <c r="D12" s="182">
        <v>0</v>
      </c>
      <c r="E12" s="182">
        <v>0</v>
      </c>
      <c r="F12" s="319">
        <f>'III.1 LCCA_Grouping'!L26</f>
        <v>400000</v>
      </c>
      <c r="G12" s="320">
        <f>'III.1 LCCA_Grouping'!E35</f>
        <v>64999.999999999971</v>
      </c>
      <c r="H12" s="198">
        <v>0</v>
      </c>
      <c r="I12" s="319">
        <v>0</v>
      </c>
      <c r="J12" s="318">
        <f t="shared" si="0"/>
        <v>465000</v>
      </c>
      <c r="K12" s="317">
        <f>SUM('III.3 Benefits_Grouping'!C8:G8)</f>
        <v>0</v>
      </c>
      <c r="L12" s="182">
        <f>'III.3 Benefits_Grouping'!J8</f>
        <v>0</v>
      </c>
      <c r="M12" s="316">
        <f t="shared" si="1"/>
        <v>0</v>
      </c>
      <c r="N12" s="315">
        <f t="shared" si="2"/>
        <v>-465000</v>
      </c>
      <c r="O12" s="305"/>
    </row>
    <row r="13" spans="1:18" x14ac:dyDescent="0.2">
      <c r="A13" s="98">
        <f t="shared" si="3"/>
        <v>2019</v>
      </c>
      <c r="B13" s="321">
        <f t="shared" si="4"/>
        <v>3</v>
      </c>
      <c r="C13" s="317">
        <v>0</v>
      </c>
      <c r="D13" s="182">
        <v>0</v>
      </c>
      <c r="E13" s="182">
        <v>0</v>
      </c>
      <c r="F13" s="319">
        <v>0</v>
      </c>
      <c r="G13" s="320">
        <f t="shared" ref="G13:G60" si="5">G12</f>
        <v>64999.999999999971</v>
      </c>
      <c r="H13" s="198">
        <v>0</v>
      </c>
      <c r="I13" s="319">
        <f>'III.1 LCCA_Grouping'!E40</f>
        <v>45000</v>
      </c>
      <c r="J13" s="318">
        <f t="shared" si="0"/>
        <v>109999.99999999997</v>
      </c>
      <c r="K13" s="317">
        <f>SUM('III.3 Benefits_Grouping'!C9:G9)</f>
        <v>479156.25</v>
      </c>
      <c r="L13" s="182">
        <f>'III.3 Benefits_Grouping'!J9</f>
        <v>184500</v>
      </c>
      <c r="M13" s="316">
        <f t="shared" si="1"/>
        <v>663656.25</v>
      </c>
      <c r="N13" s="315">
        <f t="shared" si="2"/>
        <v>553656.25</v>
      </c>
      <c r="O13" s="305"/>
    </row>
    <row r="14" spans="1:18" x14ac:dyDescent="0.2">
      <c r="A14" s="98">
        <f t="shared" si="3"/>
        <v>2020</v>
      </c>
      <c r="B14" s="321">
        <f t="shared" si="4"/>
        <v>4</v>
      </c>
      <c r="C14" s="317">
        <v>0</v>
      </c>
      <c r="D14" s="182">
        <v>0</v>
      </c>
      <c r="E14" s="182">
        <v>0</v>
      </c>
      <c r="F14" s="319">
        <v>0</v>
      </c>
      <c r="G14" s="320">
        <f t="shared" si="5"/>
        <v>64999.999999999971</v>
      </c>
      <c r="H14" s="198">
        <v>0</v>
      </c>
      <c r="I14" s="319">
        <f t="shared" ref="I14:I22" si="6">I13</f>
        <v>45000</v>
      </c>
      <c r="J14" s="318">
        <f t="shared" si="0"/>
        <v>109999.99999999997</v>
      </c>
      <c r="K14" s="317">
        <f>SUM('III.3 Benefits_Grouping'!C10:G10)</f>
        <v>482100</v>
      </c>
      <c r="L14" s="182">
        <f>'III.3 Benefits_Grouping'!J10</f>
        <v>184500</v>
      </c>
      <c r="M14" s="316">
        <f t="shared" si="1"/>
        <v>666600</v>
      </c>
      <c r="N14" s="315">
        <f t="shared" si="2"/>
        <v>556600</v>
      </c>
      <c r="O14" s="305"/>
    </row>
    <row r="15" spans="1:18" x14ac:dyDescent="0.2">
      <c r="A15" s="98">
        <f t="shared" si="3"/>
        <v>2021</v>
      </c>
      <c r="B15" s="321">
        <f t="shared" si="4"/>
        <v>5</v>
      </c>
      <c r="C15" s="317">
        <v>0</v>
      </c>
      <c r="D15" s="182">
        <v>0</v>
      </c>
      <c r="E15" s="182">
        <v>0</v>
      </c>
      <c r="F15" s="319">
        <v>0</v>
      </c>
      <c r="G15" s="320">
        <f t="shared" si="5"/>
        <v>64999.999999999971</v>
      </c>
      <c r="H15" s="198">
        <v>0</v>
      </c>
      <c r="I15" s="319">
        <f t="shared" si="6"/>
        <v>45000</v>
      </c>
      <c r="J15" s="318">
        <f t="shared" si="0"/>
        <v>109999.99999999997</v>
      </c>
      <c r="K15" s="317">
        <f>SUM('III.3 Benefits_Grouping'!C11:G11)</f>
        <v>485043.75</v>
      </c>
      <c r="L15" s="182">
        <f>'III.3 Benefits_Grouping'!J11</f>
        <v>184500</v>
      </c>
      <c r="M15" s="316">
        <f t="shared" si="1"/>
        <v>669543.75</v>
      </c>
      <c r="N15" s="315">
        <f t="shared" si="2"/>
        <v>559543.75</v>
      </c>
      <c r="O15" s="305"/>
    </row>
    <row r="16" spans="1:18" x14ac:dyDescent="0.2">
      <c r="A16" s="98">
        <f t="shared" si="3"/>
        <v>2022</v>
      </c>
      <c r="B16" s="321">
        <f t="shared" si="4"/>
        <v>6</v>
      </c>
      <c r="C16" s="317">
        <v>0</v>
      </c>
      <c r="D16" s="182">
        <v>0</v>
      </c>
      <c r="E16" s="182">
        <v>0</v>
      </c>
      <c r="F16" s="319">
        <v>0</v>
      </c>
      <c r="G16" s="320">
        <f t="shared" si="5"/>
        <v>64999.999999999971</v>
      </c>
      <c r="H16" s="198">
        <v>0</v>
      </c>
      <c r="I16" s="319">
        <f t="shared" si="6"/>
        <v>45000</v>
      </c>
      <c r="J16" s="318">
        <f t="shared" si="0"/>
        <v>109999.99999999997</v>
      </c>
      <c r="K16" s="317">
        <f>SUM('III.3 Benefits_Grouping'!C12:G12)</f>
        <v>487987.5</v>
      </c>
      <c r="L16" s="182">
        <f>'III.3 Benefits_Grouping'!J12</f>
        <v>184500</v>
      </c>
      <c r="M16" s="316">
        <f t="shared" si="1"/>
        <v>672487.5</v>
      </c>
      <c r="N16" s="315">
        <f t="shared" si="2"/>
        <v>562487.5</v>
      </c>
      <c r="O16" s="305"/>
    </row>
    <row r="17" spans="1:15" x14ac:dyDescent="0.2">
      <c r="A17" s="98">
        <f t="shared" si="3"/>
        <v>2023</v>
      </c>
      <c r="B17" s="321">
        <f t="shared" si="4"/>
        <v>7</v>
      </c>
      <c r="C17" s="317">
        <v>0</v>
      </c>
      <c r="D17" s="182">
        <v>0</v>
      </c>
      <c r="E17" s="182">
        <v>0</v>
      </c>
      <c r="F17" s="319">
        <v>0</v>
      </c>
      <c r="G17" s="320">
        <f t="shared" si="5"/>
        <v>64999.999999999971</v>
      </c>
      <c r="H17" s="198">
        <v>0</v>
      </c>
      <c r="I17" s="319">
        <f t="shared" si="6"/>
        <v>45000</v>
      </c>
      <c r="J17" s="318">
        <f t="shared" si="0"/>
        <v>109999.99999999997</v>
      </c>
      <c r="K17" s="317">
        <f>SUM('III.3 Benefits_Grouping'!C13:G13)</f>
        <v>490931.25</v>
      </c>
      <c r="L17" s="182">
        <f>'III.3 Benefits_Grouping'!J13</f>
        <v>184500</v>
      </c>
      <c r="M17" s="316">
        <f t="shared" si="1"/>
        <v>675431.25</v>
      </c>
      <c r="N17" s="315">
        <f t="shared" si="2"/>
        <v>565431.25</v>
      </c>
      <c r="O17" s="305"/>
    </row>
    <row r="18" spans="1:15" x14ac:dyDescent="0.2">
      <c r="A18" s="98">
        <f t="shared" si="3"/>
        <v>2024</v>
      </c>
      <c r="B18" s="321">
        <f t="shared" si="4"/>
        <v>8</v>
      </c>
      <c r="C18" s="317">
        <v>0</v>
      </c>
      <c r="D18" s="182">
        <v>0</v>
      </c>
      <c r="E18" s="182">
        <v>0</v>
      </c>
      <c r="F18" s="319">
        <v>0</v>
      </c>
      <c r="G18" s="320">
        <f t="shared" si="5"/>
        <v>64999.999999999971</v>
      </c>
      <c r="H18" s="198">
        <v>0</v>
      </c>
      <c r="I18" s="319">
        <f t="shared" si="6"/>
        <v>45000</v>
      </c>
      <c r="J18" s="318">
        <f t="shared" si="0"/>
        <v>109999.99999999997</v>
      </c>
      <c r="K18" s="317">
        <f>SUM('III.3 Benefits_Grouping'!C14:G14)</f>
        <v>493875</v>
      </c>
      <c r="L18" s="182">
        <f>'III.3 Benefits_Grouping'!J14</f>
        <v>184500</v>
      </c>
      <c r="M18" s="316">
        <f t="shared" si="1"/>
        <v>678375</v>
      </c>
      <c r="N18" s="315">
        <f t="shared" si="2"/>
        <v>568375</v>
      </c>
      <c r="O18" s="305"/>
    </row>
    <row r="19" spans="1:15" x14ac:dyDescent="0.2">
      <c r="A19" s="98">
        <f t="shared" si="3"/>
        <v>2025</v>
      </c>
      <c r="B19" s="321">
        <f t="shared" si="4"/>
        <v>9</v>
      </c>
      <c r="C19" s="317">
        <v>0</v>
      </c>
      <c r="D19" s="182">
        <v>0</v>
      </c>
      <c r="E19" s="182">
        <v>0</v>
      </c>
      <c r="F19" s="319">
        <v>0</v>
      </c>
      <c r="G19" s="320">
        <f t="shared" si="5"/>
        <v>64999.999999999971</v>
      </c>
      <c r="H19" s="198">
        <v>0</v>
      </c>
      <c r="I19" s="319">
        <f t="shared" si="6"/>
        <v>45000</v>
      </c>
      <c r="J19" s="318">
        <f t="shared" si="0"/>
        <v>109999.99999999997</v>
      </c>
      <c r="K19" s="317">
        <f>SUM('III.3 Benefits_Grouping'!C15:G15)</f>
        <v>496818.75</v>
      </c>
      <c r="L19" s="182">
        <f>'III.3 Benefits_Grouping'!J15</f>
        <v>184500</v>
      </c>
      <c r="M19" s="316">
        <f t="shared" si="1"/>
        <v>681318.75</v>
      </c>
      <c r="N19" s="315">
        <f t="shared" si="2"/>
        <v>571318.75</v>
      </c>
      <c r="O19" s="305"/>
    </row>
    <row r="20" spans="1:15" x14ac:dyDescent="0.2">
      <c r="A20" s="98">
        <f t="shared" si="3"/>
        <v>2026</v>
      </c>
      <c r="B20" s="321">
        <f t="shared" si="4"/>
        <v>10</v>
      </c>
      <c r="C20" s="317">
        <v>0</v>
      </c>
      <c r="D20" s="182">
        <v>0</v>
      </c>
      <c r="E20" s="182">
        <v>0</v>
      </c>
      <c r="F20" s="319">
        <v>0</v>
      </c>
      <c r="G20" s="320">
        <f t="shared" si="5"/>
        <v>64999.999999999971</v>
      </c>
      <c r="H20" s="198">
        <v>0</v>
      </c>
      <c r="I20" s="319">
        <f t="shared" si="6"/>
        <v>45000</v>
      </c>
      <c r="J20" s="318">
        <f t="shared" si="0"/>
        <v>109999.99999999997</v>
      </c>
      <c r="K20" s="317">
        <f>SUM('III.3 Benefits_Grouping'!C16:G16)</f>
        <v>499762.5</v>
      </c>
      <c r="L20" s="182">
        <f>'III.3 Benefits_Grouping'!J16</f>
        <v>184500</v>
      </c>
      <c r="M20" s="316">
        <f t="shared" si="1"/>
        <v>684262.5</v>
      </c>
      <c r="N20" s="315">
        <f t="shared" si="2"/>
        <v>574262.5</v>
      </c>
      <c r="O20" s="305"/>
    </row>
    <row r="21" spans="1:15" x14ac:dyDescent="0.2">
      <c r="A21" s="98">
        <f t="shared" si="3"/>
        <v>2027</v>
      </c>
      <c r="B21" s="321">
        <f t="shared" si="4"/>
        <v>11</v>
      </c>
      <c r="C21" s="317">
        <v>0</v>
      </c>
      <c r="D21" s="182">
        <v>0</v>
      </c>
      <c r="E21" s="182">
        <v>0</v>
      </c>
      <c r="F21" s="319">
        <v>0</v>
      </c>
      <c r="G21" s="320">
        <f t="shared" si="5"/>
        <v>64999.999999999971</v>
      </c>
      <c r="H21" s="198">
        <v>0</v>
      </c>
      <c r="I21" s="319">
        <f t="shared" si="6"/>
        <v>45000</v>
      </c>
      <c r="J21" s="318">
        <f t="shared" si="0"/>
        <v>109999.99999999997</v>
      </c>
      <c r="K21" s="317">
        <f>SUM('III.3 Benefits_Grouping'!C17:G17)</f>
        <v>502706.25</v>
      </c>
      <c r="L21" s="182">
        <f>'III.3 Benefits_Grouping'!J17</f>
        <v>184500</v>
      </c>
      <c r="M21" s="316">
        <f t="shared" si="1"/>
        <v>687206.25</v>
      </c>
      <c r="N21" s="315">
        <f t="shared" si="2"/>
        <v>577206.25</v>
      </c>
      <c r="O21" s="305"/>
    </row>
    <row r="22" spans="1:15" x14ac:dyDescent="0.2">
      <c r="A22" s="98">
        <f t="shared" si="3"/>
        <v>2028</v>
      </c>
      <c r="B22" s="321">
        <f t="shared" si="4"/>
        <v>12</v>
      </c>
      <c r="C22" s="317">
        <v>0</v>
      </c>
      <c r="D22" s="182">
        <v>0</v>
      </c>
      <c r="E22" s="182">
        <v>0</v>
      </c>
      <c r="F22" s="319">
        <v>0</v>
      </c>
      <c r="G22" s="320">
        <f t="shared" si="5"/>
        <v>64999.999999999971</v>
      </c>
      <c r="H22" s="198">
        <f>'III.1 LCCA_Grouping'!E39</f>
        <v>100000</v>
      </c>
      <c r="I22" s="319">
        <f t="shared" si="6"/>
        <v>45000</v>
      </c>
      <c r="J22" s="318">
        <f t="shared" si="0"/>
        <v>209999.99999999997</v>
      </c>
      <c r="K22" s="317">
        <f>SUM('III.3 Benefits_Grouping'!C18:G18)</f>
        <v>505650</v>
      </c>
      <c r="L22" s="182">
        <f>'III.3 Benefits_Grouping'!J18</f>
        <v>184500</v>
      </c>
      <c r="M22" s="316">
        <f t="shared" si="1"/>
        <v>690150</v>
      </c>
      <c r="N22" s="315">
        <f t="shared" si="2"/>
        <v>480150</v>
      </c>
      <c r="O22" s="305"/>
    </row>
    <row r="23" spans="1:15" x14ac:dyDescent="0.2">
      <c r="A23" s="98">
        <f t="shared" si="3"/>
        <v>2029</v>
      </c>
      <c r="B23" s="321">
        <f t="shared" si="4"/>
        <v>13</v>
      </c>
      <c r="C23" s="317">
        <v>0</v>
      </c>
      <c r="D23" s="182">
        <v>0</v>
      </c>
      <c r="E23" s="182">
        <v>0</v>
      </c>
      <c r="F23" s="319">
        <v>0</v>
      </c>
      <c r="G23" s="320">
        <f t="shared" si="5"/>
        <v>64999.999999999971</v>
      </c>
      <c r="H23" s="198">
        <v>0</v>
      </c>
      <c r="I23" s="319">
        <v>0</v>
      </c>
      <c r="J23" s="318">
        <f t="shared" si="0"/>
        <v>64999.999999999971</v>
      </c>
      <c r="K23" s="317">
        <f>SUM('III.3 Benefits_Grouping'!C19:G19)</f>
        <v>508593.75</v>
      </c>
      <c r="L23" s="182">
        <f>'III.3 Benefits_Grouping'!J19</f>
        <v>184500</v>
      </c>
      <c r="M23" s="316">
        <f t="shared" si="1"/>
        <v>693093.75</v>
      </c>
      <c r="N23" s="315">
        <f t="shared" si="2"/>
        <v>628093.75</v>
      </c>
      <c r="O23" s="305"/>
    </row>
    <row r="24" spans="1:15" x14ac:dyDescent="0.2">
      <c r="A24" s="98">
        <f t="shared" si="3"/>
        <v>2030</v>
      </c>
      <c r="B24" s="321">
        <f t="shared" si="4"/>
        <v>14</v>
      </c>
      <c r="C24" s="317">
        <v>0</v>
      </c>
      <c r="D24" s="182">
        <v>0</v>
      </c>
      <c r="E24" s="182">
        <v>0</v>
      </c>
      <c r="F24" s="319">
        <v>0</v>
      </c>
      <c r="G24" s="320">
        <f t="shared" si="5"/>
        <v>64999.999999999971</v>
      </c>
      <c r="H24" s="198">
        <v>0</v>
      </c>
      <c r="I24" s="319">
        <v>0</v>
      </c>
      <c r="J24" s="318">
        <f t="shared" si="0"/>
        <v>64999.999999999971</v>
      </c>
      <c r="K24" s="317">
        <f>SUM('III.3 Benefits_Grouping'!C20:G20)</f>
        <v>511537.5</v>
      </c>
      <c r="L24" s="182">
        <f>'III.3 Benefits_Grouping'!J20</f>
        <v>184500</v>
      </c>
      <c r="M24" s="316">
        <f t="shared" si="1"/>
        <v>696037.5</v>
      </c>
      <c r="N24" s="315">
        <f t="shared" si="2"/>
        <v>631037.5</v>
      </c>
      <c r="O24" s="305"/>
    </row>
    <row r="25" spans="1:15" x14ac:dyDescent="0.2">
      <c r="A25" s="98">
        <f t="shared" si="3"/>
        <v>2031</v>
      </c>
      <c r="B25" s="321">
        <f t="shared" si="4"/>
        <v>15</v>
      </c>
      <c r="C25" s="317">
        <v>0</v>
      </c>
      <c r="D25" s="182">
        <v>0</v>
      </c>
      <c r="E25" s="182">
        <v>0</v>
      </c>
      <c r="F25" s="319">
        <v>0</v>
      </c>
      <c r="G25" s="320">
        <f t="shared" si="5"/>
        <v>64999.999999999971</v>
      </c>
      <c r="H25" s="198">
        <v>0</v>
      </c>
      <c r="I25" s="319">
        <v>0</v>
      </c>
      <c r="J25" s="318">
        <f t="shared" si="0"/>
        <v>64999.999999999971</v>
      </c>
      <c r="K25" s="317">
        <f>SUM('III.3 Benefits_Grouping'!C21:G21)</f>
        <v>514481.25</v>
      </c>
      <c r="L25" s="182">
        <f>'III.3 Benefits_Grouping'!J21</f>
        <v>184500</v>
      </c>
      <c r="M25" s="316">
        <f t="shared" si="1"/>
        <v>698981.25</v>
      </c>
      <c r="N25" s="315">
        <f t="shared" si="2"/>
        <v>633981.25</v>
      </c>
      <c r="O25" s="305"/>
    </row>
    <row r="26" spans="1:15" x14ac:dyDescent="0.2">
      <c r="A26" s="98">
        <f t="shared" si="3"/>
        <v>2032</v>
      </c>
      <c r="B26" s="321">
        <f t="shared" si="4"/>
        <v>16</v>
      </c>
      <c r="C26" s="317">
        <v>0</v>
      </c>
      <c r="D26" s="182">
        <v>0</v>
      </c>
      <c r="E26" s="182">
        <v>0</v>
      </c>
      <c r="F26" s="319">
        <v>0</v>
      </c>
      <c r="G26" s="320">
        <f t="shared" si="5"/>
        <v>64999.999999999971</v>
      </c>
      <c r="H26" s="198">
        <v>0</v>
      </c>
      <c r="I26" s="319">
        <v>0</v>
      </c>
      <c r="J26" s="318">
        <f t="shared" si="0"/>
        <v>64999.999999999971</v>
      </c>
      <c r="K26" s="317">
        <f>SUM('III.3 Benefits_Grouping'!C22:G22)</f>
        <v>517425</v>
      </c>
      <c r="L26" s="182">
        <f>'III.3 Benefits_Grouping'!J22</f>
        <v>184500</v>
      </c>
      <c r="M26" s="316">
        <f t="shared" si="1"/>
        <v>701925</v>
      </c>
      <c r="N26" s="315">
        <f t="shared" si="2"/>
        <v>636925</v>
      </c>
      <c r="O26" s="305"/>
    </row>
    <row r="27" spans="1:15" x14ac:dyDescent="0.2">
      <c r="A27" s="98">
        <f t="shared" si="3"/>
        <v>2033</v>
      </c>
      <c r="B27" s="321">
        <f t="shared" si="4"/>
        <v>17</v>
      </c>
      <c r="C27" s="317">
        <v>0</v>
      </c>
      <c r="D27" s="182">
        <v>0</v>
      </c>
      <c r="E27" s="182">
        <v>0</v>
      </c>
      <c r="F27" s="319">
        <v>0</v>
      </c>
      <c r="G27" s="320">
        <f t="shared" si="5"/>
        <v>64999.999999999971</v>
      </c>
      <c r="H27" s="198">
        <v>0</v>
      </c>
      <c r="I27" s="319">
        <v>0</v>
      </c>
      <c r="J27" s="318">
        <f t="shared" si="0"/>
        <v>64999.999999999971</v>
      </c>
      <c r="K27" s="317">
        <f>SUM('III.3 Benefits_Grouping'!C23:G23)</f>
        <v>520368.75</v>
      </c>
      <c r="L27" s="182">
        <f>'III.3 Benefits_Grouping'!J23</f>
        <v>184500</v>
      </c>
      <c r="M27" s="316">
        <f t="shared" si="1"/>
        <v>704868.75</v>
      </c>
      <c r="N27" s="315">
        <f t="shared" si="2"/>
        <v>639868.75</v>
      </c>
      <c r="O27" s="305"/>
    </row>
    <row r="28" spans="1:15" x14ac:dyDescent="0.2">
      <c r="A28" s="98">
        <f t="shared" si="3"/>
        <v>2034</v>
      </c>
      <c r="B28" s="321">
        <f t="shared" si="4"/>
        <v>18</v>
      </c>
      <c r="C28" s="317">
        <v>0</v>
      </c>
      <c r="D28" s="182">
        <v>0</v>
      </c>
      <c r="E28" s="182">
        <v>0</v>
      </c>
      <c r="F28" s="319">
        <v>0</v>
      </c>
      <c r="G28" s="320">
        <f t="shared" si="5"/>
        <v>64999.999999999971</v>
      </c>
      <c r="H28" s="198">
        <v>0</v>
      </c>
      <c r="I28" s="319">
        <v>0</v>
      </c>
      <c r="J28" s="318">
        <f t="shared" si="0"/>
        <v>64999.999999999971</v>
      </c>
      <c r="K28" s="317">
        <f>SUM('III.3 Benefits_Grouping'!C24:G24)</f>
        <v>523312.5</v>
      </c>
      <c r="L28" s="182">
        <f>'III.3 Benefits_Grouping'!J24</f>
        <v>184500</v>
      </c>
      <c r="M28" s="316">
        <f t="shared" si="1"/>
        <v>707812.5</v>
      </c>
      <c r="N28" s="315">
        <f t="shared" si="2"/>
        <v>642812.5</v>
      </c>
      <c r="O28" s="305"/>
    </row>
    <row r="29" spans="1:15" x14ac:dyDescent="0.2">
      <c r="A29" s="98">
        <f t="shared" si="3"/>
        <v>2035</v>
      </c>
      <c r="B29" s="321">
        <f t="shared" si="4"/>
        <v>19</v>
      </c>
      <c r="C29" s="317">
        <v>0</v>
      </c>
      <c r="D29" s="182">
        <v>0</v>
      </c>
      <c r="E29" s="182">
        <v>0</v>
      </c>
      <c r="F29" s="319">
        <v>0</v>
      </c>
      <c r="G29" s="320">
        <f t="shared" si="5"/>
        <v>64999.999999999971</v>
      </c>
      <c r="H29" s="198">
        <v>0</v>
      </c>
      <c r="I29" s="319">
        <v>0</v>
      </c>
      <c r="J29" s="318">
        <f t="shared" si="0"/>
        <v>64999.999999999971</v>
      </c>
      <c r="K29" s="317">
        <f>SUM('III.3 Benefits_Grouping'!C25:G25)</f>
        <v>526256.25</v>
      </c>
      <c r="L29" s="182">
        <f>'III.3 Benefits_Grouping'!J25</f>
        <v>184500</v>
      </c>
      <c r="M29" s="316">
        <f t="shared" si="1"/>
        <v>710756.25</v>
      </c>
      <c r="N29" s="315">
        <f t="shared" si="2"/>
        <v>645756.25</v>
      </c>
      <c r="O29" s="305"/>
    </row>
    <row r="30" spans="1:15" x14ac:dyDescent="0.2">
      <c r="A30" s="98">
        <f t="shared" si="3"/>
        <v>2036</v>
      </c>
      <c r="B30" s="321">
        <f t="shared" si="4"/>
        <v>20</v>
      </c>
      <c r="C30" s="317">
        <v>0</v>
      </c>
      <c r="D30" s="182">
        <v>0</v>
      </c>
      <c r="E30" s="182">
        <v>0</v>
      </c>
      <c r="F30" s="319">
        <v>0</v>
      </c>
      <c r="G30" s="320">
        <f t="shared" si="5"/>
        <v>64999.999999999971</v>
      </c>
      <c r="H30" s="198">
        <v>0</v>
      </c>
      <c r="I30" s="319">
        <v>0</v>
      </c>
      <c r="J30" s="318">
        <f t="shared" si="0"/>
        <v>64999.999999999971</v>
      </c>
      <c r="K30" s="317">
        <f>SUM('III.3 Benefits_Grouping'!C26:G26)</f>
        <v>529200</v>
      </c>
      <c r="L30" s="182">
        <f>'III.3 Benefits_Grouping'!J26</f>
        <v>184500</v>
      </c>
      <c r="M30" s="316">
        <f t="shared" si="1"/>
        <v>713700</v>
      </c>
      <c r="N30" s="315">
        <f t="shared" si="2"/>
        <v>648700</v>
      </c>
      <c r="O30" s="305"/>
    </row>
    <row r="31" spans="1:15" x14ac:dyDescent="0.2">
      <c r="A31" s="98">
        <f t="shared" si="3"/>
        <v>2037</v>
      </c>
      <c r="B31" s="321">
        <f t="shared" si="4"/>
        <v>21</v>
      </c>
      <c r="C31" s="317">
        <v>0</v>
      </c>
      <c r="D31" s="182">
        <v>0</v>
      </c>
      <c r="E31" s="182">
        <v>0</v>
      </c>
      <c r="F31" s="319">
        <v>0</v>
      </c>
      <c r="G31" s="320">
        <f t="shared" si="5"/>
        <v>64999.999999999971</v>
      </c>
      <c r="H31" s="198">
        <v>0</v>
      </c>
      <c r="I31" s="319">
        <v>0</v>
      </c>
      <c r="J31" s="318">
        <f t="shared" si="0"/>
        <v>64999.999999999971</v>
      </c>
      <c r="K31" s="317">
        <f>SUM('III.3 Benefits_Grouping'!C27:G27)</f>
        <v>532143.75</v>
      </c>
      <c r="L31" s="182">
        <f>'III.3 Benefits_Grouping'!J27</f>
        <v>184500</v>
      </c>
      <c r="M31" s="316">
        <f t="shared" si="1"/>
        <v>716643.75</v>
      </c>
      <c r="N31" s="315">
        <f t="shared" si="2"/>
        <v>651643.75</v>
      </c>
      <c r="O31" s="305"/>
    </row>
    <row r="32" spans="1:15" x14ac:dyDescent="0.2">
      <c r="A32" s="98">
        <f t="shared" si="3"/>
        <v>2038</v>
      </c>
      <c r="B32" s="321">
        <f t="shared" si="4"/>
        <v>22</v>
      </c>
      <c r="C32" s="317">
        <v>0</v>
      </c>
      <c r="D32" s="182">
        <v>0</v>
      </c>
      <c r="E32" s="182">
        <v>0</v>
      </c>
      <c r="F32" s="319">
        <v>0</v>
      </c>
      <c r="G32" s="320">
        <f t="shared" si="5"/>
        <v>64999.999999999971</v>
      </c>
      <c r="H32" s="198">
        <f>H22</f>
        <v>100000</v>
      </c>
      <c r="I32" s="319">
        <v>0</v>
      </c>
      <c r="J32" s="318">
        <f t="shared" si="0"/>
        <v>164999.99999999997</v>
      </c>
      <c r="K32" s="317">
        <f>SUM('III.3 Benefits_Grouping'!C28:G28)</f>
        <v>535087.5</v>
      </c>
      <c r="L32" s="182">
        <f>'III.3 Benefits_Grouping'!J28</f>
        <v>184500</v>
      </c>
      <c r="M32" s="316">
        <f t="shared" si="1"/>
        <v>719587.5</v>
      </c>
      <c r="N32" s="315">
        <f t="shared" si="2"/>
        <v>554587.5</v>
      </c>
      <c r="O32" s="305"/>
    </row>
    <row r="33" spans="1:15" x14ac:dyDescent="0.2">
      <c r="A33" s="98">
        <f t="shared" si="3"/>
        <v>2039</v>
      </c>
      <c r="B33" s="321">
        <f t="shared" si="4"/>
        <v>23</v>
      </c>
      <c r="C33" s="317">
        <v>0</v>
      </c>
      <c r="D33" s="182">
        <v>0</v>
      </c>
      <c r="E33" s="182">
        <v>0</v>
      </c>
      <c r="F33" s="319">
        <v>0</v>
      </c>
      <c r="G33" s="320">
        <f t="shared" si="5"/>
        <v>64999.999999999971</v>
      </c>
      <c r="H33" s="198">
        <v>0</v>
      </c>
      <c r="I33" s="319">
        <v>0</v>
      </c>
      <c r="J33" s="318">
        <f t="shared" si="0"/>
        <v>64999.999999999971</v>
      </c>
      <c r="K33" s="317">
        <f>SUM('III.3 Benefits_Grouping'!C29:G29)</f>
        <v>538031.25</v>
      </c>
      <c r="L33" s="182">
        <f>'III.3 Benefits_Grouping'!J29</f>
        <v>184500</v>
      </c>
      <c r="M33" s="316">
        <f t="shared" si="1"/>
        <v>722531.25</v>
      </c>
      <c r="N33" s="315">
        <f t="shared" si="2"/>
        <v>657531.25</v>
      </c>
      <c r="O33" s="305"/>
    </row>
    <row r="34" spans="1:15" x14ac:dyDescent="0.2">
      <c r="A34" s="98">
        <f t="shared" si="3"/>
        <v>2040</v>
      </c>
      <c r="B34" s="321">
        <f t="shared" si="4"/>
        <v>24</v>
      </c>
      <c r="C34" s="317">
        <v>0</v>
      </c>
      <c r="D34" s="182">
        <v>0</v>
      </c>
      <c r="E34" s="182">
        <v>0</v>
      </c>
      <c r="F34" s="319">
        <v>0</v>
      </c>
      <c r="G34" s="320">
        <f t="shared" si="5"/>
        <v>64999.999999999971</v>
      </c>
      <c r="H34" s="198">
        <v>0</v>
      </c>
      <c r="I34" s="319">
        <v>0</v>
      </c>
      <c r="J34" s="318">
        <f t="shared" si="0"/>
        <v>64999.999999999971</v>
      </c>
      <c r="K34" s="317">
        <f>SUM('III.3 Benefits_Grouping'!C30:G30)</f>
        <v>540975</v>
      </c>
      <c r="L34" s="182">
        <f>'III.3 Benefits_Grouping'!J30</f>
        <v>184500</v>
      </c>
      <c r="M34" s="316">
        <f t="shared" si="1"/>
        <v>725475</v>
      </c>
      <c r="N34" s="315">
        <f t="shared" si="2"/>
        <v>660475</v>
      </c>
      <c r="O34" s="305"/>
    </row>
    <row r="35" spans="1:15" x14ac:dyDescent="0.2">
      <c r="A35" s="98">
        <f t="shared" si="3"/>
        <v>2041</v>
      </c>
      <c r="B35" s="321">
        <f t="shared" si="4"/>
        <v>25</v>
      </c>
      <c r="C35" s="317">
        <v>0</v>
      </c>
      <c r="D35" s="182">
        <v>0</v>
      </c>
      <c r="E35" s="182">
        <v>0</v>
      </c>
      <c r="F35" s="319">
        <v>0</v>
      </c>
      <c r="G35" s="320">
        <f t="shared" si="5"/>
        <v>64999.999999999971</v>
      </c>
      <c r="H35" s="198">
        <v>0</v>
      </c>
      <c r="I35" s="319">
        <v>0</v>
      </c>
      <c r="J35" s="318">
        <f t="shared" si="0"/>
        <v>64999.999999999971</v>
      </c>
      <c r="K35" s="317">
        <f>SUM('III.3 Benefits_Grouping'!C31:G31)</f>
        <v>543918.75</v>
      </c>
      <c r="L35" s="182">
        <f>'III.3 Benefits_Grouping'!J31</f>
        <v>184500</v>
      </c>
      <c r="M35" s="316">
        <f t="shared" si="1"/>
        <v>728418.75</v>
      </c>
      <c r="N35" s="315">
        <f t="shared" si="2"/>
        <v>663418.75</v>
      </c>
      <c r="O35" s="305"/>
    </row>
    <row r="36" spans="1:15" x14ac:dyDescent="0.2">
      <c r="A36" s="98">
        <f t="shared" si="3"/>
        <v>2042</v>
      </c>
      <c r="B36" s="321">
        <f t="shared" si="4"/>
        <v>26</v>
      </c>
      <c r="C36" s="317">
        <v>0</v>
      </c>
      <c r="D36" s="182">
        <v>0</v>
      </c>
      <c r="E36" s="182">
        <v>0</v>
      </c>
      <c r="F36" s="319">
        <v>0</v>
      </c>
      <c r="G36" s="320">
        <f t="shared" si="5"/>
        <v>64999.999999999971</v>
      </c>
      <c r="H36" s="198">
        <v>0</v>
      </c>
      <c r="I36" s="319">
        <v>0</v>
      </c>
      <c r="J36" s="318">
        <f t="shared" si="0"/>
        <v>64999.999999999971</v>
      </c>
      <c r="K36" s="317">
        <f>SUM('III.3 Benefits_Grouping'!C32:G32)</f>
        <v>546862.5</v>
      </c>
      <c r="L36" s="182">
        <f>'III.3 Benefits_Grouping'!J32</f>
        <v>184500</v>
      </c>
      <c r="M36" s="316">
        <f t="shared" si="1"/>
        <v>731362.5</v>
      </c>
      <c r="N36" s="315">
        <f t="shared" si="2"/>
        <v>666362.5</v>
      </c>
      <c r="O36" s="305"/>
    </row>
    <row r="37" spans="1:15" x14ac:dyDescent="0.2">
      <c r="A37" s="98">
        <f t="shared" si="3"/>
        <v>2043</v>
      </c>
      <c r="B37" s="321">
        <f t="shared" si="4"/>
        <v>27</v>
      </c>
      <c r="C37" s="317">
        <v>0</v>
      </c>
      <c r="D37" s="182">
        <v>0</v>
      </c>
      <c r="E37" s="182">
        <v>0</v>
      </c>
      <c r="F37" s="319">
        <v>0</v>
      </c>
      <c r="G37" s="320">
        <f t="shared" si="5"/>
        <v>64999.999999999971</v>
      </c>
      <c r="H37" s="198">
        <v>0</v>
      </c>
      <c r="I37" s="319">
        <v>0</v>
      </c>
      <c r="J37" s="318">
        <f t="shared" si="0"/>
        <v>64999.999999999971</v>
      </c>
      <c r="K37" s="317">
        <f>SUM('III.3 Benefits_Grouping'!C33:G33)</f>
        <v>549806.25</v>
      </c>
      <c r="L37" s="182">
        <f>'III.3 Benefits_Grouping'!J33</f>
        <v>184500</v>
      </c>
      <c r="M37" s="316">
        <f t="shared" si="1"/>
        <v>734306.25</v>
      </c>
      <c r="N37" s="315">
        <f t="shared" si="2"/>
        <v>669306.25</v>
      </c>
      <c r="O37" s="305"/>
    </row>
    <row r="38" spans="1:15" x14ac:dyDescent="0.2">
      <c r="A38" s="98">
        <f t="shared" si="3"/>
        <v>2044</v>
      </c>
      <c r="B38" s="321">
        <f t="shared" si="4"/>
        <v>28</v>
      </c>
      <c r="C38" s="317">
        <v>0</v>
      </c>
      <c r="D38" s="182">
        <v>0</v>
      </c>
      <c r="E38" s="182">
        <v>0</v>
      </c>
      <c r="F38" s="319">
        <v>0</v>
      </c>
      <c r="G38" s="320">
        <f t="shared" si="5"/>
        <v>64999.999999999971</v>
      </c>
      <c r="H38" s="198">
        <v>0</v>
      </c>
      <c r="I38" s="319">
        <v>0</v>
      </c>
      <c r="J38" s="318">
        <f t="shared" si="0"/>
        <v>64999.999999999971</v>
      </c>
      <c r="K38" s="317">
        <f>SUM('III.3 Benefits_Grouping'!C34:G34)</f>
        <v>552750</v>
      </c>
      <c r="L38" s="182">
        <f>'III.3 Benefits_Grouping'!J34</f>
        <v>184500</v>
      </c>
      <c r="M38" s="316">
        <f t="shared" si="1"/>
        <v>737250</v>
      </c>
      <c r="N38" s="315">
        <f t="shared" si="2"/>
        <v>672250</v>
      </c>
      <c r="O38" s="305"/>
    </row>
    <row r="39" spans="1:15" x14ac:dyDescent="0.2">
      <c r="A39" s="98">
        <f t="shared" si="3"/>
        <v>2045</v>
      </c>
      <c r="B39" s="321">
        <f t="shared" si="4"/>
        <v>29</v>
      </c>
      <c r="C39" s="317">
        <v>0</v>
      </c>
      <c r="D39" s="182">
        <v>0</v>
      </c>
      <c r="E39" s="182">
        <v>0</v>
      </c>
      <c r="F39" s="319">
        <v>0</v>
      </c>
      <c r="G39" s="320">
        <f t="shared" si="5"/>
        <v>64999.999999999971</v>
      </c>
      <c r="H39" s="198">
        <v>0</v>
      </c>
      <c r="I39" s="319">
        <v>0</v>
      </c>
      <c r="J39" s="318">
        <f t="shared" si="0"/>
        <v>64999.999999999971</v>
      </c>
      <c r="K39" s="317">
        <f>SUM('III.3 Benefits_Grouping'!C35:G35)</f>
        <v>555693.75</v>
      </c>
      <c r="L39" s="182">
        <f>'III.3 Benefits_Grouping'!J35</f>
        <v>184500</v>
      </c>
      <c r="M39" s="316">
        <f t="shared" si="1"/>
        <v>740193.75</v>
      </c>
      <c r="N39" s="315">
        <f t="shared" si="2"/>
        <v>675193.75</v>
      </c>
      <c r="O39" s="305"/>
    </row>
    <row r="40" spans="1:15" x14ac:dyDescent="0.2">
      <c r="A40" s="98">
        <f t="shared" si="3"/>
        <v>2046</v>
      </c>
      <c r="B40" s="321">
        <f t="shared" si="4"/>
        <v>30</v>
      </c>
      <c r="C40" s="317">
        <v>0</v>
      </c>
      <c r="D40" s="182">
        <v>0</v>
      </c>
      <c r="E40" s="182">
        <v>0</v>
      </c>
      <c r="F40" s="319">
        <v>0</v>
      </c>
      <c r="G40" s="320">
        <f t="shared" si="5"/>
        <v>64999.999999999971</v>
      </c>
      <c r="H40" s="198">
        <v>0</v>
      </c>
      <c r="I40" s="319">
        <v>0</v>
      </c>
      <c r="J40" s="318">
        <f t="shared" si="0"/>
        <v>64999.999999999971</v>
      </c>
      <c r="K40" s="317">
        <f>SUM('III.3 Benefits_Grouping'!C36:G36)</f>
        <v>558637.5</v>
      </c>
      <c r="L40" s="182">
        <f>'III.3 Benefits_Grouping'!J36</f>
        <v>184500</v>
      </c>
      <c r="M40" s="316">
        <f t="shared" si="1"/>
        <v>743137.5</v>
      </c>
      <c r="N40" s="315">
        <f t="shared" si="2"/>
        <v>678137.5</v>
      </c>
      <c r="O40" s="305"/>
    </row>
    <row r="41" spans="1:15" x14ac:dyDescent="0.2">
      <c r="A41" s="98">
        <f t="shared" si="3"/>
        <v>2047</v>
      </c>
      <c r="B41" s="321">
        <f t="shared" si="4"/>
        <v>31</v>
      </c>
      <c r="C41" s="317">
        <v>0</v>
      </c>
      <c r="D41" s="182">
        <v>0</v>
      </c>
      <c r="E41" s="182">
        <v>0</v>
      </c>
      <c r="F41" s="319">
        <v>0</v>
      </c>
      <c r="G41" s="320">
        <f t="shared" si="5"/>
        <v>64999.999999999971</v>
      </c>
      <c r="H41" s="198">
        <v>0</v>
      </c>
      <c r="I41" s="319">
        <v>0</v>
      </c>
      <c r="J41" s="318">
        <f t="shared" si="0"/>
        <v>64999.999999999971</v>
      </c>
      <c r="K41" s="317">
        <f>SUM('III.3 Benefits_Grouping'!C37:G37)</f>
        <v>561581.25</v>
      </c>
      <c r="L41" s="182">
        <f>'III.3 Benefits_Grouping'!J37</f>
        <v>184500</v>
      </c>
      <c r="M41" s="316">
        <f t="shared" si="1"/>
        <v>746081.25</v>
      </c>
      <c r="N41" s="315">
        <f t="shared" si="2"/>
        <v>681081.25</v>
      </c>
      <c r="O41" s="305"/>
    </row>
    <row r="42" spans="1:15" x14ac:dyDescent="0.2">
      <c r="A42" s="98">
        <f t="shared" si="3"/>
        <v>2048</v>
      </c>
      <c r="B42" s="321">
        <f t="shared" si="4"/>
        <v>32</v>
      </c>
      <c r="C42" s="317">
        <v>0</v>
      </c>
      <c r="D42" s="182">
        <v>0</v>
      </c>
      <c r="E42" s="182">
        <v>0</v>
      </c>
      <c r="F42" s="319">
        <v>0</v>
      </c>
      <c r="G42" s="320">
        <f t="shared" si="5"/>
        <v>64999.999999999971</v>
      </c>
      <c r="H42" s="198">
        <f>H32</f>
        <v>100000</v>
      </c>
      <c r="I42" s="319">
        <v>0</v>
      </c>
      <c r="J42" s="318">
        <f t="shared" ref="J42:J60" si="7">SUM(C42:I42)</f>
        <v>164999.99999999997</v>
      </c>
      <c r="K42" s="317">
        <f>SUM('III.3 Benefits_Grouping'!C38:G38)</f>
        <v>564525</v>
      </c>
      <c r="L42" s="182">
        <f>'III.3 Benefits_Grouping'!J38</f>
        <v>184500</v>
      </c>
      <c r="M42" s="316">
        <f t="shared" ref="M42:M60" si="8">SUM(K42:L42)</f>
        <v>749025</v>
      </c>
      <c r="N42" s="315">
        <f t="shared" ref="N42:N60" si="9">(M42-J42)</f>
        <v>584025</v>
      </c>
      <c r="O42" s="305"/>
    </row>
    <row r="43" spans="1:15" x14ac:dyDescent="0.2">
      <c r="A43" s="98">
        <f t="shared" ref="A43:A60" si="10">(A42+1)</f>
        <v>2049</v>
      </c>
      <c r="B43" s="321">
        <f t="shared" ref="B43:B60" si="11">(B42+1)</f>
        <v>33</v>
      </c>
      <c r="C43" s="317">
        <v>0</v>
      </c>
      <c r="D43" s="182">
        <v>0</v>
      </c>
      <c r="E43" s="182">
        <v>0</v>
      </c>
      <c r="F43" s="319">
        <v>0</v>
      </c>
      <c r="G43" s="320">
        <f t="shared" si="5"/>
        <v>64999.999999999971</v>
      </c>
      <c r="H43" s="198">
        <v>0</v>
      </c>
      <c r="I43" s="319">
        <v>0</v>
      </c>
      <c r="J43" s="318">
        <f t="shared" si="7"/>
        <v>64999.999999999971</v>
      </c>
      <c r="K43" s="317">
        <f>SUM('III.3 Benefits_Grouping'!C39:G39)</f>
        <v>567468.75</v>
      </c>
      <c r="L43" s="182">
        <f>'III.3 Benefits_Grouping'!J39</f>
        <v>184500</v>
      </c>
      <c r="M43" s="316">
        <f t="shared" si="8"/>
        <v>751968.75</v>
      </c>
      <c r="N43" s="315">
        <f t="shared" si="9"/>
        <v>686968.75</v>
      </c>
      <c r="O43" s="305"/>
    </row>
    <row r="44" spans="1:15" x14ac:dyDescent="0.2">
      <c r="A44" s="98">
        <f t="shared" si="10"/>
        <v>2050</v>
      </c>
      <c r="B44" s="321">
        <f t="shared" si="11"/>
        <v>34</v>
      </c>
      <c r="C44" s="317">
        <v>0</v>
      </c>
      <c r="D44" s="182">
        <v>0</v>
      </c>
      <c r="E44" s="182">
        <v>0</v>
      </c>
      <c r="F44" s="319">
        <v>0</v>
      </c>
      <c r="G44" s="320">
        <f t="shared" si="5"/>
        <v>64999.999999999971</v>
      </c>
      <c r="H44" s="198">
        <v>0</v>
      </c>
      <c r="I44" s="319">
        <v>0</v>
      </c>
      <c r="J44" s="318">
        <f t="shared" si="7"/>
        <v>64999.999999999971</v>
      </c>
      <c r="K44" s="317">
        <f>SUM('III.3 Benefits_Grouping'!C40:G40)</f>
        <v>570412.5</v>
      </c>
      <c r="L44" s="182">
        <f>'III.3 Benefits_Grouping'!J40</f>
        <v>184500</v>
      </c>
      <c r="M44" s="316">
        <f t="shared" si="8"/>
        <v>754912.5</v>
      </c>
      <c r="N44" s="315">
        <f t="shared" si="9"/>
        <v>689912.5</v>
      </c>
      <c r="O44" s="305"/>
    </row>
    <row r="45" spans="1:15" x14ac:dyDescent="0.2">
      <c r="A45" s="98">
        <f t="shared" si="10"/>
        <v>2051</v>
      </c>
      <c r="B45" s="321">
        <f t="shared" si="11"/>
        <v>35</v>
      </c>
      <c r="C45" s="317">
        <v>0</v>
      </c>
      <c r="D45" s="182">
        <v>0</v>
      </c>
      <c r="E45" s="182">
        <v>0</v>
      </c>
      <c r="F45" s="319">
        <v>0</v>
      </c>
      <c r="G45" s="320">
        <f t="shared" si="5"/>
        <v>64999.999999999971</v>
      </c>
      <c r="H45" s="198">
        <v>0</v>
      </c>
      <c r="I45" s="319">
        <v>0</v>
      </c>
      <c r="J45" s="318">
        <f t="shared" si="7"/>
        <v>64999.999999999971</v>
      </c>
      <c r="K45" s="317">
        <f>SUM('III.3 Benefits_Grouping'!C41:G41)</f>
        <v>573356.25</v>
      </c>
      <c r="L45" s="182">
        <f>'III.3 Benefits_Grouping'!J41</f>
        <v>184500</v>
      </c>
      <c r="M45" s="316">
        <f t="shared" si="8"/>
        <v>757856.25</v>
      </c>
      <c r="N45" s="315">
        <f t="shared" si="9"/>
        <v>692856.25</v>
      </c>
      <c r="O45" s="305"/>
    </row>
    <row r="46" spans="1:15" x14ac:dyDescent="0.2">
      <c r="A46" s="98">
        <f t="shared" si="10"/>
        <v>2052</v>
      </c>
      <c r="B46" s="321">
        <f t="shared" si="11"/>
        <v>36</v>
      </c>
      <c r="C46" s="317">
        <v>0</v>
      </c>
      <c r="D46" s="182">
        <v>0</v>
      </c>
      <c r="E46" s="182">
        <v>0</v>
      </c>
      <c r="F46" s="319">
        <v>0</v>
      </c>
      <c r="G46" s="320">
        <f t="shared" si="5"/>
        <v>64999.999999999971</v>
      </c>
      <c r="H46" s="198">
        <v>0</v>
      </c>
      <c r="I46" s="319">
        <v>0</v>
      </c>
      <c r="J46" s="318">
        <f t="shared" si="7"/>
        <v>64999.999999999971</v>
      </c>
      <c r="K46" s="317">
        <f>SUM('III.3 Benefits_Grouping'!C42:G42)</f>
        <v>576300</v>
      </c>
      <c r="L46" s="182">
        <f>'III.3 Benefits_Grouping'!J42</f>
        <v>184500</v>
      </c>
      <c r="M46" s="316">
        <f t="shared" si="8"/>
        <v>760800</v>
      </c>
      <c r="N46" s="315">
        <f t="shared" si="9"/>
        <v>695800</v>
      </c>
      <c r="O46" s="305"/>
    </row>
    <row r="47" spans="1:15" x14ac:dyDescent="0.2">
      <c r="A47" s="98">
        <f t="shared" si="10"/>
        <v>2053</v>
      </c>
      <c r="B47" s="321">
        <f t="shared" si="11"/>
        <v>37</v>
      </c>
      <c r="C47" s="317">
        <v>0</v>
      </c>
      <c r="D47" s="182">
        <v>0</v>
      </c>
      <c r="E47" s="182">
        <v>0</v>
      </c>
      <c r="F47" s="319">
        <v>0</v>
      </c>
      <c r="G47" s="320">
        <f t="shared" si="5"/>
        <v>64999.999999999971</v>
      </c>
      <c r="H47" s="198">
        <v>0</v>
      </c>
      <c r="I47" s="319">
        <v>0</v>
      </c>
      <c r="J47" s="318">
        <f t="shared" si="7"/>
        <v>64999.999999999971</v>
      </c>
      <c r="K47" s="317">
        <f>SUM('III.3 Benefits_Grouping'!C43:G43)</f>
        <v>579243.75</v>
      </c>
      <c r="L47" s="182">
        <f>'III.3 Benefits_Grouping'!J43</f>
        <v>184500</v>
      </c>
      <c r="M47" s="316">
        <f t="shared" si="8"/>
        <v>763743.75</v>
      </c>
      <c r="N47" s="315">
        <f t="shared" si="9"/>
        <v>698743.75</v>
      </c>
      <c r="O47" s="305"/>
    </row>
    <row r="48" spans="1:15" x14ac:dyDescent="0.2">
      <c r="A48" s="98">
        <f t="shared" si="10"/>
        <v>2054</v>
      </c>
      <c r="B48" s="321">
        <f t="shared" si="11"/>
        <v>38</v>
      </c>
      <c r="C48" s="317">
        <v>0</v>
      </c>
      <c r="D48" s="182">
        <v>0</v>
      </c>
      <c r="E48" s="182">
        <v>0</v>
      </c>
      <c r="F48" s="319">
        <v>0</v>
      </c>
      <c r="G48" s="320">
        <f t="shared" si="5"/>
        <v>64999.999999999971</v>
      </c>
      <c r="H48" s="198">
        <v>0</v>
      </c>
      <c r="I48" s="319">
        <v>0</v>
      </c>
      <c r="J48" s="318">
        <f t="shared" si="7"/>
        <v>64999.999999999971</v>
      </c>
      <c r="K48" s="317">
        <f>SUM('III.3 Benefits_Grouping'!C44:G44)</f>
        <v>582187.5</v>
      </c>
      <c r="L48" s="182">
        <f>'III.3 Benefits_Grouping'!J44</f>
        <v>184500</v>
      </c>
      <c r="M48" s="316">
        <f t="shared" si="8"/>
        <v>766687.5</v>
      </c>
      <c r="N48" s="315">
        <f t="shared" si="9"/>
        <v>701687.5</v>
      </c>
      <c r="O48" s="305"/>
    </row>
    <row r="49" spans="1:18" x14ac:dyDescent="0.2">
      <c r="A49" s="98">
        <f t="shared" si="10"/>
        <v>2055</v>
      </c>
      <c r="B49" s="321">
        <f t="shared" si="11"/>
        <v>39</v>
      </c>
      <c r="C49" s="317">
        <v>0</v>
      </c>
      <c r="D49" s="182">
        <v>0</v>
      </c>
      <c r="E49" s="182">
        <v>0</v>
      </c>
      <c r="F49" s="319">
        <v>0</v>
      </c>
      <c r="G49" s="320">
        <f t="shared" si="5"/>
        <v>64999.999999999971</v>
      </c>
      <c r="H49" s="198">
        <v>0</v>
      </c>
      <c r="I49" s="319">
        <v>0</v>
      </c>
      <c r="J49" s="318">
        <f t="shared" si="7"/>
        <v>64999.999999999971</v>
      </c>
      <c r="K49" s="317">
        <f>SUM('III.3 Benefits_Grouping'!C45:G45)</f>
        <v>585131.25</v>
      </c>
      <c r="L49" s="182">
        <f>'III.3 Benefits_Grouping'!J45</f>
        <v>184500</v>
      </c>
      <c r="M49" s="316">
        <f t="shared" si="8"/>
        <v>769631.25</v>
      </c>
      <c r="N49" s="315">
        <f t="shared" si="9"/>
        <v>704631.25</v>
      </c>
      <c r="O49" s="305"/>
    </row>
    <row r="50" spans="1:18" x14ac:dyDescent="0.2">
      <c r="A50" s="98">
        <f t="shared" si="10"/>
        <v>2056</v>
      </c>
      <c r="B50" s="321">
        <f t="shared" si="11"/>
        <v>40</v>
      </c>
      <c r="C50" s="317">
        <v>0</v>
      </c>
      <c r="D50" s="182">
        <v>0</v>
      </c>
      <c r="E50" s="182">
        <v>0</v>
      </c>
      <c r="F50" s="319">
        <v>0</v>
      </c>
      <c r="G50" s="320">
        <f t="shared" si="5"/>
        <v>64999.999999999971</v>
      </c>
      <c r="H50" s="198">
        <v>0</v>
      </c>
      <c r="I50" s="319">
        <v>0</v>
      </c>
      <c r="J50" s="318">
        <f t="shared" si="7"/>
        <v>64999.999999999971</v>
      </c>
      <c r="K50" s="317">
        <f>SUM('III.3 Benefits_Grouping'!C46:G46)</f>
        <v>588075</v>
      </c>
      <c r="L50" s="182">
        <f>'III.3 Benefits_Grouping'!J46</f>
        <v>184500</v>
      </c>
      <c r="M50" s="316">
        <f t="shared" si="8"/>
        <v>772575</v>
      </c>
      <c r="N50" s="315">
        <f t="shared" si="9"/>
        <v>707575</v>
      </c>
      <c r="O50" s="305"/>
    </row>
    <row r="51" spans="1:18" x14ac:dyDescent="0.2">
      <c r="A51" s="98">
        <f t="shared" si="10"/>
        <v>2057</v>
      </c>
      <c r="B51" s="321">
        <f t="shared" si="11"/>
        <v>41</v>
      </c>
      <c r="C51" s="317">
        <v>0</v>
      </c>
      <c r="D51" s="182">
        <v>0</v>
      </c>
      <c r="E51" s="182">
        <v>0</v>
      </c>
      <c r="F51" s="319">
        <v>0</v>
      </c>
      <c r="G51" s="320">
        <f t="shared" si="5"/>
        <v>64999.999999999971</v>
      </c>
      <c r="H51" s="198">
        <v>0</v>
      </c>
      <c r="I51" s="319">
        <v>0</v>
      </c>
      <c r="J51" s="318">
        <f t="shared" si="7"/>
        <v>64999.999999999971</v>
      </c>
      <c r="K51" s="317">
        <f>SUM('III.3 Benefits_Grouping'!C47:G47)</f>
        <v>591018.75</v>
      </c>
      <c r="L51" s="182">
        <f>'III.3 Benefits_Grouping'!J47</f>
        <v>184500</v>
      </c>
      <c r="M51" s="316">
        <f t="shared" si="8"/>
        <v>775518.75</v>
      </c>
      <c r="N51" s="315">
        <f t="shared" si="9"/>
        <v>710518.75</v>
      </c>
      <c r="O51" s="305"/>
    </row>
    <row r="52" spans="1:18" x14ac:dyDescent="0.2">
      <c r="A52" s="98">
        <f t="shared" si="10"/>
        <v>2058</v>
      </c>
      <c r="B52" s="321">
        <f t="shared" si="11"/>
        <v>42</v>
      </c>
      <c r="C52" s="317">
        <v>0</v>
      </c>
      <c r="D52" s="182">
        <v>0</v>
      </c>
      <c r="E52" s="182">
        <v>0</v>
      </c>
      <c r="F52" s="319">
        <v>0</v>
      </c>
      <c r="G52" s="320">
        <f t="shared" si="5"/>
        <v>64999.999999999971</v>
      </c>
      <c r="H52" s="198">
        <f>H42</f>
        <v>100000</v>
      </c>
      <c r="I52" s="319">
        <v>0</v>
      </c>
      <c r="J52" s="318">
        <f t="shared" si="7"/>
        <v>164999.99999999997</v>
      </c>
      <c r="K52" s="317">
        <f>SUM('III.3 Benefits_Grouping'!C48:G48)</f>
        <v>593962.5</v>
      </c>
      <c r="L52" s="182">
        <f>'III.3 Benefits_Grouping'!J48</f>
        <v>184500</v>
      </c>
      <c r="M52" s="316">
        <f t="shared" si="8"/>
        <v>778462.5</v>
      </c>
      <c r="N52" s="315">
        <f t="shared" si="9"/>
        <v>613462.5</v>
      </c>
      <c r="O52" s="305"/>
    </row>
    <row r="53" spans="1:18" x14ac:dyDescent="0.2">
      <c r="A53" s="98">
        <f t="shared" si="10"/>
        <v>2059</v>
      </c>
      <c r="B53" s="321">
        <f t="shared" si="11"/>
        <v>43</v>
      </c>
      <c r="C53" s="317">
        <v>0</v>
      </c>
      <c r="D53" s="182">
        <v>0</v>
      </c>
      <c r="E53" s="182">
        <v>0</v>
      </c>
      <c r="F53" s="319">
        <v>0</v>
      </c>
      <c r="G53" s="320">
        <f t="shared" si="5"/>
        <v>64999.999999999971</v>
      </c>
      <c r="H53" s="198">
        <v>0</v>
      </c>
      <c r="I53" s="319">
        <v>0</v>
      </c>
      <c r="J53" s="318">
        <f t="shared" si="7"/>
        <v>64999.999999999971</v>
      </c>
      <c r="K53" s="317">
        <f>SUM('III.3 Benefits_Grouping'!C49:G49)</f>
        <v>596906.25</v>
      </c>
      <c r="L53" s="182">
        <f>'III.3 Benefits_Grouping'!J49</f>
        <v>184500</v>
      </c>
      <c r="M53" s="316">
        <f t="shared" si="8"/>
        <v>781406.25</v>
      </c>
      <c r="N53" s="315">
        <f t="shared" si="9"/>
        <v>716406.25</v>
      </c>
      <c r="O53" s="305"/>
    </row>
    <row r="54" spans="1:18" x14ac:dyDescent="0.2">
      <c r="A54" s="98">
        <f t="shared" si="10"/>
        <v>2060</v>
      </c>
      <c r="B54" s="321">
        <f t="shared" si="11"/>
        <v>44</v>
      </c>
      <c r="C54" s="317">
        <v>0</v>
      </c>
      <c r="D54" s="182">
        <v>0</v>
      </c>
      <c r="E54" s="182">
        <v>0</v>
      </c>
      <c r="F54" s="319">
        <v>0</v>
      </c>
      <c r="G54" s="320">
        <f t="shared" si="5"/>
        <v>64999.999999999971</v>
      </c>
      <c r="H54" s="198">
        <v>0</v>
      </c>
      <c r="I54" s="319">
        <v>0</v>
      </c>
      <c r="J54" s="318">
        <f t="shared" si="7"/>
        <v>64999.999999999971</v>
      </c>
      <c r="K54" s="317">
        <f>SUM('III.3 Benefits_Grouping'!C50:G50)</f>
        <v>599850</v>
      </c>
      <c r="L54" s="182">
        <f>'III.3 Benefits_Grouping'!J50</f>
        <v>184500</v>
      </c>
      <c r="M54" s="316">
        <f t="shared" si="8"/>
        <v>784350</v>
      </c>
      <c r="N54" s="315">
        <f t="shared" si="9"/>
        <v>719350</v>
      </c>
      <c r="O54" s="305"/>
    </row>
    <row r="55" spans="1:18" x14ac:dyDescent="0.2">
      <c r="A55" s="98">
        <f t="shared" si="10"/>
        <v>2061</v>
      </c>
      <c r="B55" s="321">
        <f t="shared" si="11"/>
        <v>45</v>
      </c>
      <c r="C55" s="317">
        <v>0</v>
      </c>
      <c r="D55" s="182">
        <v>0</v>
      </c>
      <c r="E55" s="182">
        <v>0</v>
      </c>
      <c r="F55" s="319">
        <v>0</v>
      </c>
      <c r="G55" s="320">
        <f t="shared" si="5"/>
        <v>64999.999999999971</v>
      </c>
      <c r="H55" s="198">
        <v>0</v>
      </c>
      <c r="I55" s="319">
        <v>0</v>
      </c>
      <c r="J55" s="318">
        <f t="shared" si="7"/>
        <v>64999.999999999971</v>
      </c>
      <c r="K55" s="317">
        <f>SUM('III.3 Benefits_Grouping'!C51:G51)</f>
        <v>602793.75</v>
      </c>
      <c r="L55" s="182">
        <f>'III.3 Benefits_Grouping'!J51</f>
        <v>184500</v>
      </c>
      <c r="M55" s="316">
        <f t="shared" si="8"/>
        <v>787293.75</v>
      </c>
      <c r="N55" s="315">
        <f t="shared" si="9"/>
        <v>722293.75</v>
      </c>
      <c r="O55" s="305"/>
    </row>
    <row r="56" spans="1:18" x14ac:dyDescent="0.2">
      <c r="A56" s="98">
        <f t="shared" si="10"/>
        <v>2062</v>
      </c>
      <c r="B56" s="321">
        <f t="shared" si="11"/>
        <v>46</v>
      </c>
      <c r="C56" s="317">
        <v>0</v>
      </c>
      <c r="D56" s="182">
        <v>0</v>
      </c>
      <c r="E56" s="182">
        <v>0</v>
      </c>
      <c r="F56" s="319">
        <v>0</v>
      </c>
      <c r="G56" s="320">
        <f t="shared" si="5"/>
        <v>64999.999999999971</v>
      </c>
      <c r="H56" s="198">
        <v>0</v>
      </c>
      <c r="I56" s="319">
        <v>0</v>
      </c>
      <c r="J56" s="318">
        <f t="shared" si="7"/>
        <v>64999.999999999971</v>
      </c>
      <c r="K56" s="317">
        <f>SUM('III.3 Benefits_Grouping'!C52:G52)</f>
        <v>605737.5</v>
      </c>
      <c r="L56" s="182">
        <f>'III.3 Benefits_Grouping'!J52</f>
        <v>184500</v>
      </c>
      <c r="M56" s="316">
        <f t="shared" si="8"/>
        <v>790237.5</v>
      </c>
      <c r="N56" s="315">
        <f t="shared" si="9"/>
        <v>725237.5</v>
      </c>
      <c r="O56" s="305"/>
    </row>
    <row r="57" spans="1:18" x14ac:dyDescent="0.2">
      <c r="A57" s="98">
        <f t="shared" si="10"/>
        <v>2063</v>
      </c>
      <c r="B57" s="321">
        <f t="shared" si="11"/>
        <v>47</v>
      </c>
      <c r="C57" s="317">
        <v>0</v>
      </c>
      <c r="D57" s="182">
        <v>0</v>
      </c>
      <c r="E57" s="182">
        <v>0</v>
      </c>
      <c r="F57" s="319">
        <v>0</v>
      </c>
      <c r="G57" s="320">
        <f t="shared" si="5"/>
        <v>64999.999999999971</v>
      </c>
      <c r="H57" s="198">
        <v>0</v>
      </c>
      <c r="I57" s="319">
        <v>0</v>
      </c>
      <c r="J57" s="318">
        <f t="shared" si="7"/>
        <v>64999.999999999971</v>
      </c>
      <c r="K57" s="317">
        <f>SUM('III.3 Benefits_Grouping'!C53:G53)</f>
        <v>608681.25</v>
      </c>
      <c r="L57" s="182">
        <f>'III.3 Benefits_Grouping'!J53</f>
        <v>184500</v>
      </c>
      <c r="M57" s="316">
        <f t="shared" si="8"/>
        <v>793181.25</v>
      </c>
      <c r="N57" s="315">
        <f t="shared" si="9"/>
        <v>728181.25</v>
      </c>
      <c r="O57" s="305"/>
    </row>
    <row r="58" spans="1:18" x14ac:dyDescent="0.2">
      <c r="A58" s="98">
        <f t="shared" si="10"/>
        <v>2064</v>
      </c>
      <c r="B58" s="321">
        <f t="shared" si="11"/>
        <v>48</v>
      </c>
      <c r="C58" s="317">
        <v>0</v>
      </c>
      <c r="D58" s="182">
        <v>0</v>
      </c>
      <c r="E58" s="182">
        <v>0</v>
      </c>
      <c r="F58" s="319">
        <v>0</v>
      </c>
      <c r="G58" s="320">
        <f t="shared" si="5"/>
        <v>64999.999999999971</v>
      </c>
      <c r="H58" s="198">
        <v>0</v>
      </c>
      <c r="I58" s="319">
        <v>0</v>
      </c>
      <c r="J58" s="318">
        <f t="shared" si="7"/>
        <v>64999.999999999971</v>
      </c>
      <c r="K58" s="317">
        <f>SUM('III.3 Benefits_Grouping'!C54:G54)</f>
        <v>611625</v>
      </c>
      <c r="L58" s="182">
        <f>'III.3 Benefits_Grouping'!J54</f>
        <v>184500</v>
      </c>
      <c r="M58" s="316">
        <f t="shared" si="8"/>
        <v>796125</v>
      </c>
      <c r="N58" s="315">
        <f t="shared" si="9"/>
        <v>731125</v>
      </c>
      <c r="O58" s="305"/>
    </row>
    <row r="59" spans="1:18" x14ac:dyDescent="0.2">
      <c r="A59" s="98">
        <f t="shared" si="10"/>
        <v>2065</v>
      </c>
      <c r="B59" s="321">
        <f t="shared" si="11"/>
        <v>49</v>
      </c>
      <c r="C59" s="317">
        <v>0</v>
      </c>
      <c r="D59" s="182">
        <v>0</v>
      </c>
      <c r="E59" s="182">
        <v>0</v>
      </c>
      <c r="F59" s="319">
        <v>0</v>
      </c>
      <c r="G59" s="320">
        <f t="shared" si="5"/>
        <v>64999.999999999971</v>
      </c>
      <c r="H59" s="198">
        <v>0</v>
      </c>
      <c r="I59" s="319">
        <v>0</v>
      </c>
      <c r="J59" s="318">
        <f t="shared" si="7"/>
        <v>64999.999999999971</v>
      </c>
      <c r="K59" s="317">
        <f>SUM('III.3 Benefits_Grouping'!C55:G55)</f>
        <v>614568.75</v>
      </c>
      <c r="L59" s="182">
        <f>'III.3 Benefits_Grouping'!J55</f>
        <v>184500</v>
      </c>
      <c r="M59" s="316">
        <f t="shared" si="8"/>
        <v>799068.75</v>
      </c>
      <c r="N59" s="315">
        <f t="shared" si="9"/>
        <v>734068.75</v>
      </c>
      <c r="O59" s="305"/>
    </row>
    <row r="60" spans="1:18" ht="13.5" thickBot="1" x14ac:dyDescent="0.25">
      <c r="A60" s="98">
        <f t="shared" si="10"/>
        <v>2066</v>
      </c>
      <c r="B60" s="321">
        <f t="shared" si="11"/>
        <v>50</v>
      </c>
      <c r="C60" s="317">
        <v>0</v>
      </c>
      <c r="D60" s="182">
        <v>0</v>
      </c>
      <c r="E60" s="182">
        <v>0</v>
      </c>
      <c r="F60" s="319">
        <v>0</v>
      </c>
      <c r="G60" s="320">
        <f t="shared" si="5"/>
        <v>64999.999999999971</v>
      </c>
      <c r="H60" s="198">
        <v>0</v>
      </c>
      <c r="I60" s="319">
        <v>0</v>
      </c>
      <c r="J60" s="318">
        <f t="shared" si="7"/>
        <v>64999.999999999971</v>
      </c>
      <c r="K60" s="317">
        <f>SUM('III.3 Benefits_Grouping'!C56:G56)</f>
        <v>614568.75</v>
      </c>
      <c r="L60" s="182">
        <f>'III.3 Benefits_Grouping'!J56</f>
        <v>184500</v>
      </c>
      <c r="M60" s="316">
        <f t="shared" si="8"/>
        <v>799068.75</v>
      </c>
      <c r="N60" s="502">
        <f t="shared" si="9"/>
        <v>734068.75</v>
      </c>
      <c r="O60" s="305"/>
    </row>
    <row r="61" spans="1:18" ht="15.75" thickBot="1" x14ac:dyDescent="0.3">
      <c r="A61" s="16" t="s">
        <v>422</v>
      </c>
      <c r="B61" s="304"/>
      <c r="C61" s="310">
        <f t="shared" ref="C61:M61" si="12">NPV($C$5,C11:C60)+C10</f>
        <v>4880980.4464285709</v>
      </c>
      <c r="D61" s="179">
        <f t="shared" si="12"/>
        <v>122023.80952380953</v>
      </c>
      <c r="E61" s="179">
        <f t="shared" si="12"/>
        <v>190476.19047619047</v>
      </c>
      <c r="F61" s="312">
        <f t="shared" si="12"/>
        <v>934240.36281179136</v>
      </c>
      <c r="G61" s="314">
        <f t="shared" si="12"/>
        <v>1124730.3930311415</v>
      </c>
      <c r="H61" s="313">
        <f t="shared" si="12"/>
        <v>123739.30769794964</v>
      </c>
      <c r="I61" s="312">
        <f t="shared" si="12"/>
        <v>315172.85425244126</v>
      </c>
      <c r="J61" s="311">
        <f t="shared" si="12"/>
        <v>7691363.3642218951</v>
      </c>
      <c r="K61" s="310">
        <f t="shared" si="12"/>
        <v>8575143.0386852492</v>
      </c>
      <c r="L61" s="179">
        <f t="shared" si="12"/>
        <v>3025157.0229821168</v>
      </c>
      <c r="M61" s="309">
        <f t="shared" si="12"/>
        <v>11600300.06166737</v>
      </c>
      <c r="O61" s="305"/>
      <c r="P61" s="273"/>
    </row>
    <row r="62" spans="1:18" ht="9" customHeight="1" thickBot="1" x14ac:dyDescent="0.25">
      <c r="B62" s="304"/>
      <c r="C62" s="268"/>
      <c r="D62" s="268"/>
      <c r="J62" s="307"/>
      <c r="O62" s="305"/>
    </row>
    <row r="63" spans="1:18" ht="15" x14ac:dyDescent="0.25">
      <c r="C63" s="308"/>
      <c r="D63" s="307"/>
      <c r="K63" s="474" t="s">
        <v>417</v>
      </c>
      <c r="L63" s="475"/>
      <c r="M63" s="460"/>
      <c r="N63" s="461">
        <f>(M61/J61)</f>
        <v>1.5082241616133716</v>
      </c>
      <c r="R63" s="307"/>
    </row>
    <row r="64" spans="1:18" ht="15" x14ac:dyDescent="0.25">
      <c r="C64" s="306"/>
      <c r="D64" s="268"/>
      <c r="K64" s="476" t="s">
        <v>416</v>
      </c>
      <c r="L64" s="477"/>
      <c r="M64" s="462"/>
      <c r="N64" s="463">
        <f>IRR(N10:N60)</f>
        <v>8.2437004572906147E-2</v>
      </c>
    </row>
    <row r="65" spans="1:14" ht="15.75" thickBot="1" x14ac:dyDescent="0.3">
      <c r="K65" s="478" t="s">
        <v>592</v>
      </c>
      <c r="L65" s="479"/>
      <c r="M65" s="464"/>
      <c r="N65" s="465">
        <f>NPV($C$5,N11:N60)+N10</f>
        <v>3908936.6974454718</v>
      </c>
    </row>
    <row r="66" spans="1:14" ht="9" customHeight="1" thickBot="1" x14ac:dyDescent="0.25"/>
    <row r="67" spans="1:14" ht="15" x14ac:dyDescent="0.25">
      <c r="A67" s="480" t="s">
        <v>0</v>
      </c>
      <c r="B67" s="481"/>
      <c r="C67" s="250"/>
      <c r="D67" s="250"/>
      <c r="E67" s="250"/>
      <c r="F67" s="250"/>
      <c r="G67" s="177"/>
      <c r="H67" s="176"/>
      <c r="J67" s="28" t="s">
        <v>593</v>
      </c>
    </row>
    <row r="68" spans="1:14" ht="15" x14ac:dyDescent="0.2">
      <c r="A68" s="709" t="s">
        <v>388</v>
      </c>
      <c r="B68" s="710"/>
      <c r="C68" s="519" t="s">
        <v>387</v>
      </c>
      <c r="D68" s="519"/>
      <c r="E68" s="519"/>
      <c r="F68" s="519"/>
      <c r="G68" s="519"/>
      <c r="H68" s="520"/>
    </row>
    <row r="69" spans="1:14" ht="15" x14ac:dyDescent="0.2">
      <c r="A69" s="641" t="s">
        <v>386</v>
      </c>
      <c r="B69" s="642"/>
      <c r="C69" s="519" t="s">
        <v>385</v>
      </c>
      <c r="D69" s="519"/>
      <c r="E69" s="519"/>
      <c r="F69" s="519"/>
      <c r="G69" s="519"/>
      <c r="H69" s="520"/>
    </row>
    <row r="70" spans="1:14" ht="29.25" customHeight="1" x14ac:dyDescent="0.2">
      <c r="A70" s="641" t="s">
        <v>421</v>
      </c>
      <c r="B70" s="642"/>
      <c r="C70" s="538" t="s">
        <v>604</v>
      </c>
      <c r="D70" s="538"/>
      <c r="E70" s="538"/>
      <c r="F70" s="538"/>
      <c r="G70" s="538"/>
      <c r="H70" s="540"/>
    </row>
    <row r="71" spans="1:14" ht="43.5" customHeight="1" x14ac:dyDescent="0.2">
      <c r="A71" s="641" t="s">
        <v>269</v>
      </c>
      <c r="B71" s="642"/>
      <c r="C71" s="538" t="s">
        <v>605</v>
      </c>
      <c r="D71" s="538"/>
      <c r="E71" s="538"/>
      <c r="F71" s="538"/>
      <c r="G71" s="538"/>
      <c r="H71" s="540"/>
    </row>
    <row r="72" spans="1:14" ht="30" customHeight="1" x14ac:dyDescent="0.2">
      <c r="A72" s="641" t="s">
        <v>420</v>
      </c>
      <c r="B72" s="642"/>
      <c r="C72" s="519" t="s">
        <v>419</v>
      </c>
      <c r="D72" s="519"/>
      <c r="E72" s="519"/>
      <c r="F72" s="519"/>
      <c r="G72" s="519"/>
      <c r="H72" s="520"/>
    </row>
    <row r="73" spans="1:14" ht="29.25" customHeight="1" x14ac:dyDescent="0.2">
      <c r="A73" s="720" t="s">
        <v>418</v>
      </c>
      <c r="B73" s="737"/>
      <c r="C73" s="560" t="s">
        <v>663</v>
      </c>
      <c r="D73" s="561"/>
      <c r="E73" s="561"/>
      <c r="F73" s="561"/>
      <c r="G73" s="561"/>
      <c r="H73" s="562"/>
    </row>
    <row r="74" spans="1:14" ht="15.75" customHeight="1" x14ac:dyDescent="0.2">
      <c r="A74" s="730" t="s">
        <v>417</v>
      </c>
      <c r="B74" s="731"/>
      <c r="C74" s="575" t="s">
        <v>595</v>
      </c>
      <c r="D74" s="575"/>
      <c r="E74" s="575"/>
      <c r="F74" s="575"/>
      <c r="G74" s="575"/>
      <c r="H74" s="576"/>
    </row>
    <row r="75" spans="1:14" ht="30" customHeight="1" x14ac:dyDescent="0.2">
      <c r="A75" s="728" t="s">
        <v>416</v>
      </c>
      <c r="B75" s="729"/>
      <c r="C75" s="560" t="s">
        <v>594</v>
      </c>
      <c r="D75" s="561"/>
      <c r="E75" s="561"/>
      <c r="F75" s="561"/>
      <c r="G75" s="561"/>
      <c r="H75" s="562"/>
    </row>
    <row r="76" spans="1:14" ht="31.5" customHeight="1" thickBot="1" x14ac:dyDescent="0.25">
      <c r="A76" s="743" t="s">
        <v>592</v>
      </c>
      <c r="B76" s="744"/>
      <c r="C76" s="579" t="s">
        <v>664</v>
      </c>
      <c r="D76" s="579"/>
      <c r="E76" s="579"/>
      <c r="F76" s="579"/>
      <c r="G76" s="579"/>
      <c r="H76" s="581"/>
    </row>
  </sheetData>
  <mergeCells count="31">
    <mergeCell ref="C71:H71"/>
    <mergeCell ref="K7:M7"/>
    <mergeCell ref="C74:H74"/>
    <mergeCell ref="A68:B68"/>
    <mergeCell ref="C73:H73"/>
    <mergeCell ref="A72:B72"/>
    <mergeCell ref="A76:B76"/>
    <mergeCell ref="C76:H76"/>
    <mergeCell ref="A69:B69"/>
    <mergeCell ref="C69:H69"/>
    <mergeCell ref="A71:B71"/>
    <mergeCell ref="A75:B75"/>
    <mergeCell ref="C75:H75"/>
    <mergeCell ref="I1:J1"/>
    <mergeCell ref="A74:B74"/>
    <mergeCell ref="N7:N8"/>
    <mergeCell ref="A4:B4"/>
    <mergeCell ref="A5:B5"/>
    <mergeCell ref="A3:J3"/>
    <mergeCell ref="A1:H1"/>
    <mergeCell ref="A73:B73"/>
    <mergeCell ref="K1:L1"/>
    <mergeCell ref="A9:B9"/>
    <mergeCell ref="C72:H72"/>
    <mergeCell ref="A70:B70"/>
    <mergeCell ref="C70:H70"/>
    <mergeCell ref="C4:G4"/>
    <mergeCell ref="C7:J7"/>
    <mergeCell ref="C68:H68"/>
    <mergeCell ref="C8:F8"/>
    <mergeCell ref="H8:I8"/>
  </mergeCells>
  <pageMargins left="0.7" right="0.7" top="0.75" bottom="0.75" header="0.3" footer="0.3"/>
  <pageSetup scale="43" orientation="landscape" cellComments="asDisplayed"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E18CA-78B6-44C9-9436-14C42B6483C2}">
  <sheetPr>
    <pageSetUpPr fitToPage="1"/>
  </sheetPr>
  <dimension ref="A1:L75"/>
  <sheetViews>
    <sheetView view="pageBreakPreview" topLeftCell="A9" zoomScaleNormal="90" zoomScaleSheetLayoutView="100" workbookViewId="0">
      <selection activeCell="N24" sqref="N24"/>
    </sheetView>
  </sheetViews>
  <sheetFormatPr defaultRowHeight="12.75" x14ac:dyDescent="0.2"/>
  <cols>
    <col min="1" max="1" width="9.85546875" style="268" customWidth="1"/>
    <col min="2" max="2" width="16.7109375" style="268" customWidth="1"/>
    <col min="3" max="3" width="17.140625" style="304" customWidth="1"/>
    <col min="4" max="4" width="16.5703125" style="268" customWidth="1"/>
    <col min="5" max="5" width="14.7109375" style="268" customWidth="1"/>
    <col min="6" max="6" width="15.140625" style="268" customWidth="1"/>
    <col min="7" max="7" width="17.85546875" style="268" customWidth="1"/>
    <col min="8" max="8" width="14.85546875" style="268" customWidth="1"/>
    <col min="9" max="9" width="18.85546875" style="268" customWidth="1"/>
    <col min="10" max="10" width="9.140625" style="269"/>
    <col min="11" max="11" width="10.7109375" style="268" customWidth="1"/>
    <col min="12" max="12" width="9.42578125" style="268" bestFit="1" customWidth="1"/>
    <col min="13" max="16384" width="9.140625" style="268"/>
  </cols>
  <sheetData>
    <row r="1" spans="1:12" ht="15" x14ac:dyDescent="0.2">
      <c r="A1" s="747" t="s">
        <v>490</v>
      </c>
      <c r="B1" s="747"/>
      <c r="C1" s="747"/>
      <c r="D1" s="747"/>
      <c r="E1" s="747"/>
      <c r="F1" s="534" t="s">
        <v>539</v>
      </c>
      <c r="G1" s="534"/>
      <c r="H1" s="671" t="s">
        <v>540</v>
      </c>
      <c r="I1" s="671"/>
    </row>
    <row r="2" spans="1:12" ht="15" x14ac:dyDescent="0.25">
      <c r="A2" s="160" t="s">
        <v>438</v>
      </c>
      <c r="B2" s="160"/>
      <c r="C2" s="160"/>
      <c r="D2" s="160"/>
      <c r="E2" s="157"/>
      <c r="F2" s="157"/>
      <c r="G2" s="157"/>
      <c r="H2" s="92"/>
      <c r="I2" s="340"/>
      <c r="J2" s="345"/>
    </row>
    <row r="3" spans="1:12" ht="15" x14ac:dyDescent="0.2">
      <c r="A3" s="521" t="s">
        <v>437</v>
      </c>
      <c r="B3" s="521"/>
      <c r="C3" s="521"/>
      <c r="D3" s="521"/>
      <c r="E3" s="521"/>
      <c r="F3" s="521"/>
      <c r="G3" s="521"/>
      <c r="H3" s="521"/>
      <c r="I3" s="521"/>
      <c r="J3" s="521"/>
    </row>
    <row r="4" spans="1:12" ht="15" x14ac:dyDescent="0.2">
      <c r="A4" s="734" t="s">
        <v>436</v>
      </c>
      <c r="B4" s="734"/>
      <c r="C4" s="725" t="s">
        <v>440</v>
      </c>
      <c r="D4" s="725"/>
      <c r="E4" s="725"/>
      <c r="F4" s="725"/>
      <c r="G4" s="725"/>
      <c r="H4" s="338"/>
      <c r="I4" s="338"/>
      <c r="J4" s="142"/>
    </row>
    <row r="5" spans="1:12" ht="15" x14ac:dyDescent="0.2">
      <c r="A5" s="735" t="s">
        <v>435</v>
      </c>
      <c r="B5" s="736"/>
      <c r="C5" s="344">
        <v>0.05</v>
      </c>
    </row>
    <row r="6" spans="1:12" ht="19.5" customHeight="1" x14ac:dyDescent="0.2">
      <c r="A6" s="336" t="s">
        <v>434</v>
      </c>
      <c r="C6" s="268"/>
      <c r="J6" s="305"/>
    </row>
    <row r="7" spans="1:12" ht="15" customHeight="1" x14ac:dyDescent="0.2">
      <c r="A7" s="343"/>
      <c r="C7" s="754" t="s">
        <v>433</v>
      </c>
      <c r="D7" s="755"/>
      <c r="E7" s="755"/>
      <c r="F7" s="756" t="s">
        <v>269</v>
      </c>
      <c r="G7" s="756"/>
      <c r="H7" s="756"/>
      <c r="I7" s="753" t="s">
        <v>420</v>
      </c>
      <c r="J7" s="305"/>
    </row>
    <row r="8" spans="1:12" ht="46.5" customHeight="1" x14ac:dyDescent="0.2">
      <c r="A8" s="10" t="s">
        <v>388</v>
      </c>
      <c r="B8" s="342" t="s">
        <v>386</v>
      </c>
      <c r="C8" s="67" t="s">
        <v>432</v>
      </c>
      <c r="D8" s="67" t="s">
        <v>431</v>
      </c>
      <c r="E8" s="15" t="s">
        <v>430</v>
      </c>
      <c r="F8" s="469" t="s">
        <v>606</v>
      </c>
      <c r="G8" s="470" t="s">
        <v>600</v>
      </c>
      <c r="H8" s="15" t="s">
        <v>429</v>
      </c>
      <c r="I8" s="753"/>
    </row>
    <row r="9" spans="1:12" x14ac:dyDescent="0.2">
      <c r="A9" s="98">
        <v>2016</v>
      </c>
      <c r="B9" s="184">
        <v>0</v>
      </c>
      <c r="C9" s="182">
        <f>'III.1 LCCA_Grouping'!J14</f>
        <v>2500014.375</v>
      </c>
      <c r="D9" s="182">
        <v>0</v>
      </c>
      <c r="E9" s="182">
        <f t="shared" ref="E9:E40" si="0">SUM(C9:D9)</f>
        <v>2500014.375</v>
      </c>
      <c r="F9" s="182">
        <f>SUM('III.3 Benefits_Grouping'!C6:G6)</f>
        <v>0</v>
      </c>
      <c r="G9" s="182">
        <f>'III.3 Benefits_Grouping'!J6</f>
        <v>0</v>
      </c>
      <c r="H9" s="182">
        <f t="shared" ref="H9:H40" si="1">SUM(F9:G9)</f>
        <v>0</v>
      </c>
      <c r="I9" s="182">
        <f t="shared" ref="I9:I40" si="2">(H9-E9)</f>
        <v>-2500014.375</v>
      </c>
    </row>
    <row r="10" spans="1:12" x14ac:dyDescent="0.2">
      <c r="A10" s="98">
        <f t="shared" ref="A10:A41" si="3">(A9+1)</f>
        <v>2017</v>
      </c>
      <c r="B10" s="184">
        <f t="shared" ref="B10:B41" si="4">(B9+1)</f>
        <v>1</v>
      </c>
      <c r="C10" s="182">
        <f>'III.1 LCCA_Grouping'!K14</f>
        <v>2500014.375</v>
      </c>
      <c r="D10" s="182">
        <v>0</v>
      </c>
      <c r="E10" s="182">
        <f t="shared" si="0"/>
        <v>2500014.375</v>
      </c>
      <c r="F10" s="182">
        <f>SUM('III.3 Benefits_Grouping'!C7:G7)</f>
        <v>0</v>
      </c>
      <c r="G10" s="182">
        <f>'III.3 Benefits_Grouping'!J7</f>
        <v>0</v>
      </c>
      <c r="H10" s="182">
        <f t="shared" si="1"/>
        <v>0</v>
      </c>
      <c r="I10" s="182">
        <f t="shared" si="2"/>
        <v>-2500014.375</v>
      </c>
    </row>
    <row r="11" spans="1:12" x14ac:dyDescent="0.2">
      <c r="A11" s="98">
        <f t="shared" si="3"/>
        <v>2018</v>
      </c>
      <c r="B11" s="184">
        <f t="shared" si="4"/>
        <v>2</v>
      </c>
      <c r="C11" s="182">
        <v>0</v>
      </c>
      <c r="D11" s="182">
        <f>'III.1 LCCA_Grouping'!E31</f>
        <v>51775.160601219897</v>
      </c>
      <c r="E11" s="182">
        <f t="shared" si="0"/>
        <v>51775.160601219897</v>
      </c>
      <c r="F11" s="182">
        <f>F12*(0.994)</f>
        <v>379358.06540625001</v>
      </c>
      <c r="G11" s="182">
        <f>G12*(0.994)</f>
        <v>146072.5245</v>
      </c>
      <c r="H11" s="182">
        <f t="shared" si="1"/>
        <v>525430.58990625001</v>
      </c>
      <c r="I11" s="182">
        <f t="shared" si="2"/>
        <v>473655.42930503009</v>
      </c>
      <c r="J11" s="305"/>
    </row>
    <row r="12" spans="1:12" ht="15" customHeight="1" x14ac:dyDescent="0.2">
      <c r="A12" s="98">
        <f t="shared" si="3"/>
        <v>2019</v>
      </c>
      <c r="B12" s="184">
        <f t="shared" si="4"/>
        <v>3</v>
      </c>
      <c r="C12" s="182">
        <v>0</v>
      </c>
      <c r="D12" s="182">
        <f t="shared" ref="D12:D59" si="5">D11</f>
        <v>51775.160601219897</v>
      </c>
      <c r="E12" s="182">
        <f t="shared" si="0"/>
        <v>51775.160601219897</v>
      </c>
      <c r="F12" s="182">
        <f>SUM('III.3 Benefits_Grouping'!C9:G9)*0.7965</f>
        <v>381647.953125</v>
      </c>
      <c r="G12" s="182">
        <f>'III.3 Benefits_Grouping'!J9*0.7965</f>
        <v>146954.25</v>
      </c>
      <c r="H12" s="182">
        <f t="shared" si="1"/>
        <v>528602.203125</v>
      </c>
      <c r="I12" s="182">
        <f t="shared" si="2"/>
        <v>476827.04252378008</v>
      </c>
      <c r="J12" s="305"/>
      <c r="L12" s="341"/>
    </row>
    <row r="13" spans="1:12" x14ac:dyDescent="0.2">
      <c r="A13" s="98">
        <f t="shared" si="3"/>
        <v>2020</v>
      </c>
      <c r="B13" s="184">
        <f t="shared" si="4"/>
        <v>4</v>
      </c>
      <c r="C13" s="182">
        <v>0</v>
      </c>
      <c r="D13" s="182">
        <f t="shared" si="5"/>
        <v>51775.160601219897</v>
      </c>
      <c r="E13" s="182">
        <f t="shared" si="0"/>
        <v>51775.160601219897</v>
      </c>
      <c r="F13" s="182">
        <f>SUM('III.3 Benefits_Grouping'!C10:G10)*0.7965</f>
        <v>383992.64999999997</v>
      </c>
      <c r="G13" s="182">
        <f>'III.3 Benefits_Grouping'!J10*0.7965</f>
        <v>146954.25</v>
      </c>
      <c r="H13" s="182">
        <f t="shared" si="1"/>
        <v>530946.89999999991</v>
      </c>
      <c r="I13" s="182">
        <f t="shared" si="2"/>
        <v>479171.73939877999</v>
      </c>
      <c r="J13" s="305"/>
      <c r="L13" s="341"/>
    </row>
    <row r="14" spans="1:12" x14ac:dyDescent="0.2">
      <c r="A14" s="98">
        <f t="shared" si="3"/>
        <v>2021</v>
      </c>
      <c r="B14" s="184">
        <f t="shared" si="4"/>
        <v>5</v>
      </c>
      <c r="C14" s="182">
        <v>0</v>
      </c>
      <c r="D14" s="182">
        <f t="shared" si="5"/>
        <v>51775.160601219897</v>
      </c>
      <c r="E14" s="182">
        <f t="shared" si="0"/>
        <v>51775.160601219897</v>
      </c>
      <c r="F14" s="182">
        <f>SUM('III.3 Benefits_Grouping'!C11:G11)*0.7965</f>
        <v>386337.34687499999</v>
      </c>
      <c r="G14" s="182">
        <f>'III.3 Benefits_Grouping'!J11*0.7965</f>
        <v>146954.25</v>
      </c>
      <c r="H14" s="182">
        <f t="shared" si="1"/>
        <v>533291.59687500005</v>
      </c>
      <c r="I14" s="182">
        <f t="shared" si="2"/>
        <v>481516.43627378013</v>
      </c>
      <c r="J14" s="305"/>
      <c r="L14" s="341"/>
    </row>
    <row r="15" spans="1:12" x14ac:dyDescent="0.2">
      <c r="A15" s="98">
        <f t="shared" si="3"/>
        <v>2022</v>
      </c>
      <c r="B15" s="184">
        <f t="shared" si="4"/>
        <v>6</v>
      </c>
      <c r="C15" s="182">
        <v>0</v>
      </c>
      <c r="D15" s="182">
        <f t="shared" si="5"/>
        <v>51775.160601219897</v>
      </c>
      <c r="E15" s="182">
        <f t="shared" si="0"/>
        <v>51775.160601219897</v>
      </c>
      <c r="F15" s="182">
        <f>SUM('III.3 Benefits_Grouping'!C12:G12)*0.7965</f>
        <v>388682.04375000001</v>
      </c>
      <c r="G15" s="182">
        <f>'III.3 Benefits_Grouping'!J12*0.7965</f>
        <v>146954.25</v>
      </c>
      <c r="H15" s="182">
        <f t="shared" si="1"/>
        <v>535636.29374999995</v>
      </c>
      <c r="I15" s="182">
        <f t="shared" si="2"/>
        <v>483861.13314878003</v>
      </c>
      <c r="J15" s="305"/>
      <c r="L15" s="341"/>
    </row>
    <row r="16" spans="1:12" x14ac:dyDescent="0.2">
      <c r="A16" s="98">
        <f t="shared" si="3"/>
        <v>2023</v>
      </c>
      <c r="B16" s="184">
        <f t="shared" si="4"/>
        <v>7</v>
      </c>
      <c r="C16" s="182">
        <v>0</v>
      </c>
      <c r="D16" s="182">
        <f t="shared" si="5"/>
        <v>51775.160601219897</v>
      </c>
      <c r="E16" s="182">
        <f t="shared" si="0"/>
        <v>51775.160601219897</v>
      </c>
      <c r="F16" s="182">
        <f>SUM('III.3 Benefits_Grouping'!C13:G13)*0.7965</f>
        <v>391026.74062499998</v>
      </c>
      <c r="G16" s="182">
        <f>'III.3 Benefits_Grouping'!J13*0.7965</f>
        <v>146954.25</v>
      </c>
      <c r="H16" s="182">
        <f t="shared" si="1"/>
        <v>537980.99062499998</v>
      </c>
      <c r="I16" s="182">
        <f t="shared" si="2"/>
        <v>486205.83002378006</v>
      </c>
      <c r="J16" s="305"/>
      <c r="L16" s="341"/>
    </row>
    <row r="17" spans="1:12" x14ac:dyDescent="0.2">
      <c r="A17" s="98">
        <f t="shared" si="3"/>
        <v>2024</v>
      </c>
      <c r="B17" s="184">
        <f t="shared" si="4"/>
        <v>8</v>
      </c>
      <c r="C17" s="182">
        <v>0</v>
      </c>
      <c r="D17" s="182">
        <f t="shared" si="5"/>
        <v>51775.160601219897</v>
      </c>
      <c r="E17" s="182">
        <f t="shared" si="0"/>
        <v>51775.160601219897</v>
      </c>
      <c r="F17" s="182">
        <f>SUM('III.3 Benefits_Grouping'!C14:G14)*0.7965</f>
        <v>393371.4375</v>
      </c>
      <c r="G17" s="182">
        <f>'III.3 Benefits_Grouping'!J14*0.7965</f>
        <v>146954.25</v>
      </c>
      <c r="H17" s="182">
        <f t="shared" si="1"/>
        <v>540325.6875</v>
      </c>
      <c r="I17" s="182">
        <f t="shared" si="2"/>
        <v>488550.52689878008</v>
      </c>
      <c r="J17" s="305"/>
      <c r="L17" s="341"/>
    </row>
    <row r="18" spans="1:12" x14ac:dyDescent="0.2">
      <c r="A18" s="98">
        <f t="shared" si="3"/>
        <v>2025</v>
      </c>
      <c r="B18" s="184">
        <f t="shared" si="4"/>
        <v>9</v>
      </c>
      <c r="C18" s="182">
        <v>0</v>
      </c>
      <c r="D18" s="182">
        <f t="shared" si="5"/>
        <v>51775.160601219897</v>
      </c>
      <c r="E18" s="182">
        <f t="shared" si="0"/>
        <v>51775.160601219897</v>
      </c>
      <c r="F18" s="182">
        <f>SUM('III.3 Benefits_Grouping'!C15:G15)*0.7965</f>
        <v>395716.13437499997</v>
      </c>
      <c r="G18" s="182">
        <f>'III.3 Benefits_Grouping'!J15*0.7965</f>
        <v>146954.25</v>
      </c>
      <c r="H18" s="182">
        <f t="shared" si="1"/>
        <v>542670.38437499991</v>
      </c>
      <c r="I18" s="182">
        <f t="shared" si="2"/>
        <v>490895.22377377999</v>
      </c>
      <c r="J18" s="305"/>
    </row>
    <row r="19" spans="1:12" x14ac:dyDescent="0.2">
      <c r="A19" s="98">
        <f t="shared" si="3"/>
        <v>2026</v>
      </c>
      <c r="B19" s="184">
        <f t="shared" si="4"/>
        <v>10</v>
      </c>
      <c r="C19" s="182">
        <v>0</v>
      </c>
      <c r="D19" s="182">
        <f t="shared" si="5"/>
        <v>51775.160601219897</v>
      </c>
      <c r="E19" s="182">
        <f t="shared" si="0"/>
        <v>51775.160601219897</v>
      </c>
      <c r="F19" s="182">
        <f>SUM('III.3 Benefits_Grouping'!C16:G16)*0.7965</f>
        <v>398060.83124999999</v>
      </c>
      <c r="G19" s="182">
        <f>'III.3 Benefits_Grouping'!J16*0.7965</f>
        <v>146954.25</v>
      </c>
      <c r="H19" s="182">
        <f t="shared" si="1"/>
        <v>545015.08125000005</v>
      </c>
      <c r="I19" s="182">
        <f t="shared" si="2"/>
        <v>493239.92064878013</v>
      </c>
      <c r="J19" s="305"/>
    </row>
    <row r="20" spans="1:12" x14ac:dyDescent="0.2">
      <c r="A20" s="98">
        <f t="shared" si="3"/>
        <v>2027</v>
      </c>
      <c r="B20" s="184">
        <f t="shared" si="4"/>
        <v>11</v>
      </c>
      <c r="C20" s="182">
        <v>0</v>
      </c>
      <c r="D20" s="182">
        <f t="shared" si="5"/>
        <v>51775.160601219897</v>
      </c>
      <c r="E20" s="182">
        <f t="shared" si="0"/>
        <v>51775.160601219897</v>
      </c>
      <c r="F20" s="182">
        <f>SUM('III.3 Benefits_Grouping'!C17:G17)*0.7965</f>
        <v>400405.52812500001</v>
      </c>
      <c r="G20" s="182">
        <f>'III.3 Benefits_Grouping'!J17*0.7965</f>
        <v>146954.25</v>
      </c>
      <c r="H20" s="182">
        <f t="shared" si="1"/>
        <v>547359.77812499995</v>
      </c>
      <c r="I20" s="182">
        <f t="shared" si="2"/>
        <v>495584.61752378003</v>
      </c>
      <c r="J20" s="305"/>
    </row>
    <row r="21" spans="1:12" x14ac:dyDescent="0.2">
      <c r="A21" s="98">
        <f t="shared" si="3"/>
        <v>2028</v>
      </c>
      <c r="B21" s="184">
        <f t="shared" si="4"/>
        <v>12</v>
      </c>
      <c r="C21" s="182">
        <v>0</v>
      </c>
      <c r="D21" s="182">
        <f t="shared" si="5"/>
        <v>51775.160601219897</v>
      </c>
      <c r="E21" s="182">
        <f t="shared" si="0"/>
        <v>51775.160601219897</v>
      </c>
      <c r="F21" s="182">
        <f>SUM('III.3 Benefits_Grouping'!C18:G18)*0.7965</f>
        <v>402750.22499999998</v>
      </c>
      <c r="G21" s="182">
        <f>'III.3 Benefits_Grouping'!J18*0.7965</f>
        <v>146954.25</v>
      </c>
      <c r="H21" s="182">
        <f t="shared" si="1"/>
        <v>549704.47499999998</v>
      </c>
      <c r="I21" s="182">
        <f t="shared" si="2"/>
        <v>497929.31439878006</v>
      </c>
      <c r="J21" s="305"/>
    </row>
    <row r="22" spans="1:12" x14ac:dyDescent="0.2">
      <c r="A22" s="98">
        <f t="shared" si="3"/>
        <v>2029</v>
      </c>
      <c r="B22" s="184">
        <f t="shared" si="4"/>
        <v>13</v>
      </c>
      <c r="C22" s="182">
        <v>0</v>
      </c>
      <c r="D22" s="182">
        <f t="shared" si="5"/>
        <v>51775.160601219897</v>
      </c>
      <c r="E22" s="182">
        <f t="shared" si="0"/>
        <v>51775.160601219897</v>
      </c>
      <c r="F22" s="182">
        <f>SUM('III.3 Benefits_Grouping'!C19:G19)*0.7965</f>
        <v>405094.921875</v>
      </c>
      <c r="G22" s="182">
        <f>'III.3 Benefits_Grouping'!J19*0.7965</f>
        <v>146954.25</v>
      </c>
      <c r="H22" s="182">
        <f t="shared" si="1"/>
        <v>552049.171875</v>
      </c>
      <c r="I22" s="182">
        <f t="shared" si="2"/>
        <v>500274.01127378008</v>
      </c>
      <c r="J22" s="305"/>
    </row>
    <row r="23" spans="1:12" x14ac:dyDescent="0.2">
      <c r="A23" s="98">
        <f t="shared" si="3"/>
        <v>2030</v>
      </c>
      <c r="B23" s="184">
        <f t="shared" si="4"/>
        <v>14</v>
      </c>
      <c r="C23" s="182">
        <v>0</v>
      </c>
      <c r="D23" s="182">
        <f t="shared" si="5"/>
        <v>51775.160601219897</v>
      </c>
      <c r="E23" s="182">
        <f t="shared" si="0"/>
        <v>51775.160601219897</v>
      </c>
      <c r="F23" s="182">
        <f>SUM('III.3 Benefits_Grouping'!C20:G20)*0.7965</f>
        <v>407439.61874999997</v>
      </c>
      <c r="G23" s="182">
        <f>'III.3 Benefits_Grouping'!J20*0.7965</f>
        <v>146954.25</v>
      </c>
      <c r="H23" s="182">
        <f t="shared" si="1"/>
        <v>554393.86874999991</v>
      </c>
      <c r="I23" s="182">
        <f t="shared" si="2"/>
        <v>502618.70814877999</v>
      </c>
      <c r="J23" s="305"/>
    </row>
    <row r="24" spans="1:12" x14ac:dyDescent="0.2">
      <c r="A24" s="98">
        <f t="shared" si="3"/>
        <v>2031</v>
      </c>
      <c r="B24" s="184">
        <f t="shared" si="4"/>
        <v>15</v>
      </c>
      <c r="C24" s="182">
        <v>0</v>
      </c>
      <c r="D24" s="182">
        <f t="shared" si="5"/>
        <v>51775.160601219897</v>
      </c>
      <c r="E24" s="182">
        <f t="shared" si="0"/>
        <v>51775.160601219897</v>
      </c>
      <c r="F24" s="182">
        <f>SUM('III.3 Benefits_Grouping'!C21:G21)*0.7965</f>
        <v>409784.31562499999</v>
      </c>
      <c r="G24" s="182">
        <f>'III.3 Benefits_Grouping'!J21*0.7965</f>
        <v>146954.25</v>
      </c>
      <c r="H24" s="182">
        <f t="shared" si="1"/>
        <v>556738.56562500005</v>
      </c>
      <c r="I24" s="182">
        <f t="shared" si="2"/>
        <v>504963.40502378013</v>
      </c>
      <c r="J24" s="305"/>
    </row>
    <row r="25" spans="1:12" x14ac:dyDescent="0.2">
      <c r="A25" s="98">
        <f t="shared" si="3"/>
        <v>2032</v>
      </c>
      <c r="B25" s="184">
        <f t="shared" si="4"/>
        <v>16</v>
      </c>
      <c r="C25" s="182">
        <v>0</v>
      </c>
      <c r="D25" s="182">
        <f t="shared" si="5"/>
        <v>51775.160601219897</v>
      </c>
      <c r="E25" s="182">
        <f t="shared" si="0"/>
        <v>51775.160601219897</v>
      </c>
      <c r="F25" s="182">
        <f>SUM('III.3 Benefits_Grouping'!C22:G22)*0.7965</f>
        <v>412129.01250000001</v>
      </c>
      <c r="G25" s="182">
        <f>'III.3 Benefits_Grouping'!J22*0.7965</f>
        <v>146954.25</v>
      </c>
      <c r="H25" s="182">
        <f t="shared" si="1"/>
        <v>559083.26249999995</v>
      </c>
      <c r="I25" s="182">
        <f t="shared" si="2"/>
        <v>507308.10189878003</v>
      </c>
      <c r="J25" s="305"/>
    </row>
    <row r="26" spans="1:12" x14ac:dyDescent="0.2">
      <c r="A26" s="98">
        <f t="shared" si="3"/>
        <v>2033</v>
      </c>
      <c r="B26" s="184">
        <f t="shared" si="4"/>
        <v>17</v>
      </c>
      <c r="C26" s="182">
        <v>0</v>
      </c>
      <c r="D26" s="182">
        <f t="shared" si="5"/>
        <v>51775.160601219897</v>
      </c>
      <c r="E26" s="182">
        <f t="shared" si="0"/>
        <v>51775.160601219897</v>
      </c>
      <c r="F26" s="182">
        <f>SUM('III.3 Benefits_Grouping'!C23:G23)*0.7965</f>
        <v>414473.70937499998</v>
      </c>
      <c r="G26" s="182">
        <f>'III.3 Benefits_Grouping'!J23*0.7965</f>
        <v>146954.25</v>
      </c>
      <c r="H26" s="182">
        <f t="shared" si="1"/>
        <v>561427.95937499998</v>
      </c>
      <c r="I26" s="182">
        <f t="shared" si="2"/>
        <v>509652.79877378006</v>
      </c>
      <c r="J26" s="305"/>
    </row>
    <row r="27" spans="1:12" x14ac:dyDescent="0.2">
      <c r="A27" s="98">
        <f t="shared" si="3"/>
        <v>2034</v>
      </c>
      <c r="B27" s="184">
        <f t="shared" si="4"/>
        <v>18</v>
      </c>
      <c r="C27" s="182">
        <v>0</v>
      </c>
      <c r="D27" s="182">
        <f t="shared" si="5"/>
        <v>51775.160601219897</v>
      </c>
      <c r="E27" s="182">
        <f t="shared" si="0"/>
        <v>51775.160601219897</v>
      </c>
      <c r="F27" s="182">
        <f>SUM('III.3 Benefits_Grouping'!C24:G24)*0.7965</f>
        <v>416818.40625</v>
      </c>
      <c r="G27" s="182">
        <f>'III.3 Benefits_Grouping'!J24*0.7965</f>
        <v>146954.25</v>
      </c>
      <c r="H27" s="182">
        <f t="shared" si="1"/>
        <v>563772.65625</v>
      </c>
      <c r="I27" s="182">
        <f t="shared" si="2"/>
        <v>511997.49564878008</v>
      </c>
      <c r="J27" s="305"/>
    </row>
    <row r="28" spans="1:12" x14ac:dyDescent="0.2">
      <c r="A28" s="98">
        <f t="shared" si="3"/>
        <v>2035</v>
      </c>
      <c r="B28" s="184">
        <f t="shared" si="4"/>
        <v>19</v>
      </c>
      <c r="C28" s="182">
        <v>0</v>
      </c>
      <c r="D28" s="182">
        <f t="shared" si="5"/>
        <v>51775.160601219897</v>
      </c>
      <c r="E28" s="182">
        <f t="shared" si="0"/>
        <v>51775.160601219897</v>
      </c>
      <c r="F28" s="182">
        <f>SUM('III.3 Benefits_Grouping'!C25:G25)*0.7965</f>
        <v>419163.10312499997</v>
      </c>
      <c r="G28" s="182">
        <f>'III.3 Benefits_Grouping'!J25*0.7965</f>
        <v>146954.25</v>
      </c>
      <c r="H28" s="182">
        <f t="shared" si="1"/>
        <v>566117.35312499991</v>
      </c>
      <c r="I28" s="182">
        <f t="shared" si="2"/>
        <v>514342.19252377999</v>
      </c>
      <c r="J28" s="305"/>
    </row>
    <row r="29" spans="1:12" x14ac:dyDescent="0.2">
      <c r="A29" s="98">
        <f t="shared" si="3"/>
        <v>2036</v>
      </c>
      <c r="B29" s="184">
        <f t="shared" si="4"/>
        <v>20</v>
      </c>
      <c r="C29" s="182">
        <v>0</v>
      </c>
      <c r="D29" s="182">
        <f t="shared" si="5"/>
        <v>51775.160601219897</v>
      </c>
      <c r="E29" s="182">
        <f t="shared" si="0"/>
        <v>51775.160601219897</v>
      </c>
      <c r="F29" s="182">
        <f>SUM('III.3 Benefits_Grouping'!C26:G26)*0.7965</f>
        <v>421507.8</v>
      </c>
      <c r="G29" s="182">
        <f>'III.3 Benefits_Grouping'!J26*0.7965</f>
        <v>146954.25</v>
      </c>
      <c r="H29" s="182">
        <f t="shared" si="1"/>
        <v>568462.05000000005</v>
      </c>
      <c r="I29" s="182">
        <f t="shared" si="2"/>
        <v>516686.88939878013</v>
      </c>
      <c r="J29" s="305"/>
    </row>
    <row r="30" spans="1:12" x14ac:dyDescent="0.2">
      <c r="A30" s="98">
        <f t="shared" si="3"/>
        <v>2037</v>
      </c>
      <c r="B30" s="184">
        <f t="shared" si="4"/>
        <v>21</v>
      </c>
      <c r="C30" s="182">
        <v>0</v>
      </c>
      <c r="D30" s="182">
        <f t="shared" si="5"/>
        <v>51775.160601219897</v>
      </c>
      <c r="E30" s="182">
        <f t="shared" si="0"/>
        <v>51775.160601219897</v>
      </c>
      <c r="F30" s="182">
        <f>SUM('III.3 Benefits_Grouping'!C27:G27)*0.7965</f>
        <v>423852.49687500001</v>
      </c>
      <c r="G30" s="182">
        <f>'III.3 Benefits_Grouping'!J27*0.7965</f>
        <v>146954.25</v>
      </c>
      <c r="H30" s="182">
        <f t="shared" si="1"/>
        <v>570806.74687499995</v>
      </c>
      <c r="I30" s="182">
        <f t="shared" si="2"/>
        <v>519031.58627378003</v>
      </c>
      <c r="J30" s="305"/>
    </row>
    <row r="31" spans="1:12" x14ac:dyDescent="0.2">
      <c r="A31" s="98">
        <f t="shared" si="3"/>
        <v>2038</v>
      </c>
      <c r="B31" s="184">
        <f t="shared" si="4"/>
        <v>22</v>
      </c>
      <c r="C31" s="182">
        <v>0</v>
      </c>
      <c r="D31" s="182">
        <f t="shared" si="5"/>
        <v>51775.160601219897</v>
      </c>
      <c r="E31" s="182">
        <f t="shared" si="0"/>
        <v>51775.160601219897</v>
      </c>
      <c r="F31" s="182">
        <f>SUM('III.3 Benefits_Grouping'!C28:G28)*0.7965</f>
        <v>426197.19374999998</v>
      </c>
      <c r="G31" s="182">
        <f>'III.3 Benefits_Grouping'!J28*0.7965</f>
        <v>146954.25</v>
      </c>
      <c r="H31" s="182">
        <f t="shared" si="1"/>
        <v>573151.44374999998</v>
      </c>
      <c r="I31" s="182">
        <f t="shared" si="2"/>
        <v>521376.28314878006</v>
      </c>
      <c r="J31" s="305"/>
    </row>
    <row r="32" spans="1:12" x14ac:dyDescent="0.2">
      <c r="A32" s="98">
        <f t="shared" si="3"/>
        <v>2039</v>
      </c>
      <c r="B32" s="184">
        <f t="shared" si="4"/>
        <v>23</v>
      </c>
      <c r="C32" s="182">
        <v>0</v>
      </c>
      <c r="D32" s="182">
        <f t="shared" si="5"/>
        <v>51775.160601219897</v>
      </c>
      <c r="E32" s="182">
        <f t="shared" si="0"/>
        <v>51775.160601219897</v>
      </c>
      <c r="F32" s="182">
        <f>SUM('III.3 Benefits_Grouping'!C29:G29)*0.7965</f>
        <v>428541.890625</v>
      </c>
      <c r="G32" s="182">
        <f>'III.3 Benefits_Grouping'!J29*0.7965</f>
        <v>146954.25</v>
      </c>
      <c r="H32" s="182">
        <f t="shared" si="1"/>
        <v>575496.140625</v>
      </c>
      <c r="I32" s="182">
        <f t="shared" si="2"/>
        <v>523720.98002378008</v>
      </c>
      <c r="J32" s="305"/>
    </row>
    <row r="33" spans="1:10" x14ac:dyDescent="0.2">
      <c r="A33" s="98">
        <f t="shared" si="3"/>
        <v>2040</v>
      </c>
      <c r="B33" s="184">
        <f t="shared" si="4"/>
        <v>24</v>
      </c>
      <c r="C33" s="182">
        <v>0</v>
      </c>
      <c r="D33" s="182">
        <f t="shared" si="5"/>
        <v>51775.160601219897</v>
      </c>
      <c r="E33" s="182">
        <f t="shared" si="0"/>
        <v>51775.160601219897</v>
      </c>
      <c r="F33" s="182">
        <f>SUM('III.3 Benefits_Grouping'!C30:G30)*0.7965</f>
        <v>430886.58749999997</v>
      </c>
      <c r="G33" s="182">
        <f>'III.3 Benefits_Grouping'!J30*0.7965</f>
        <v>146954.25</v>
      </c>
      <c r="H33" s="182">
        <f t="shared" si="1"/>
        <v>577840.83749999991</v>
      </c>
      <c r="I33" s="182">
        <f t="shared" si="2"/>
        <v>526065.67689878005</v>
      </c>
      <c r="J33" s="305"/>
    </row>
    <row r="34" spans="1:10" x14ac:dyDescent="0.2">
      <c r="A34" s="98">
        <f t="shared" si="3"/>
        <v>2041</v>
      </c>
      <c r="B34" s="184">
        <f t="shared" si="4"/>
        <v>25</v>
      </c>
      <c r="C34" s="182">
        <v>0</v>
      </c>
      <c r="D34" s="182">
        <f t="shared" si="5"/>
        <v>51775.160601219897</v>
      </c>
      <c r="E34" s="182">
        <f t="shared" si="0"/>
        <v>51775.160601219897</v>
      </c>
      <c r="F34" s="182">
        <f>SUM('III.3 Benefits_Grouping'!C31:G31)*0.7965</f>
        <v>433231.28437499999</v>
      </c>
      <c r="G34" s="182">
        <f>'III.3 Benefits_Grouping'!J31*0.7965</f>
        <v>146954.25</v>
      </c>
      <c r="H34" s="182">
        <f t="shared" si="1"/>
        <v>580185.53437500005</v>
      </c>
      <c r="I34" s="182">
        <f t="shared" si="2"/>
        <v>528410.37377378019</v>
      </c>
      <c r="J34" s="305"/>
    </row>
    <row r="35" spans="1:10" x14ac:dyDescent="0.2">
      <c r="A35" s="98">
        <f t="shared" si="3"/>
        <v>2042</v>
      </c>
      <c r="B35" s="184">
        <f t="shared" si="4"/>
        <v>26</v>
      </c>
      <c r="C35" s="182">
        <v>0</v>
      </c>
      <c r="D35" s="182">
        <f t="shared" si="5"/>
        <v>51775.160601219897</v>
      </c>
      <c r="E35" s="182">
        <f t="shared" si="0"/>
        <v>51775.160601219897</v>
      </c>
      <c r="F35" s="182">
        <f>SUM('III.3 Benefits_Grouping'!C32:G32)*0.7965</f>
        <v>435575.98125000001</v>
      </c>
      <c r="G35" s="182">
        <f>'III.3 Benefits_Grouping'!J32*0.7965</f>
        <v>146954.25</v>
      </c>
      <c r="H35" s="182">
        <f t="shared" si="1"/>
        <v>582530.23124999995</v>
      </c>
      <c r="I35" s="182">
        <f t="shared" si="2"/>
        <v>530755.07064878009</v>
      </c>
      <c r="J35" s="305"/>
    </row>
    <row r="36" spans="1:10" x14ac:dyDescent="0.2">
      <c r="A36" s="98">
        <f t="shared" si="3"/>
        <v>2043</v>
      </c>
      <c r="B36" s="184">
        <f t="shared" si="4"/>
        <v>27</v>
      </c>
      <c r="C36" s="182">
        <v>0</v>
      </c>
      <c r="D36" s="182">
        <f t="shared" si="5"/>
        <v>51775.160601219897</v>
      </c>
      <c r="E36" s="182">
        <f t="shared" si="0"/>
        <v>51775.160601219897</v>
      </c>
      <c r="F36" s="182">
        <f>SUM('III.3 Benefits_Grouping'!C33:G33)*0.7965</f>
        <v>437920.67812499998</v>
      </c>
      <c r="G36" s="182">
        <f>'III.3 Benefits_Grouping'!J33*0.7965</f>
        <v>146954.25</v>
      </c>
      <c r="H36" s="182">
        <f t="shared" si="1"/>
        <v>584874.92812499998</v>
      </c>
      <c r="I36" s="182">
        <f t="shared" si="2"/>
        <v>533099.76752378012</v>
      </c>
      <c r="J36" s="305"/>
    </row>
    <row r="37" spans="1:10" x14ac:dyDescent="0.2">
      <c r="A37" s="98">
        <f t="shared" si="3"/>
        <v>2044</v>
      </c>
      <c r="B37" s="184">
        <f t="shared" si="4"/>
        <v>28</v>
      </c>
      <c r="C37" s="182">
        <v>0</v>
      </c>
      <c r="D37" s="182">
        <f t="shared" si="5"/>
        <v>51775.160601219897</v>
      </c>
      <c r="E37" s="182">
        <f t="shared" si="0"/>
        <v>51775.160601219897</v>
      </c>
      <c r="F37" s="182">
        <f>SUM('III.3 Benefits_Grouping'!C34:G34)*0.7965</f>
        <v>440265.375</v>
      </c>
      <c r="G37" s="182">
        <f>'III.3 Benefits_Grouping'!J34*0.7965</f>
        <v>146954.25</v>
      </c>
      <c r="H37" s="182">
        <f t="shared" si="1"/>
        <v>587219.625</v>
      </c>
      <c r="I37" s="182">
        <f t="shared" si="2"/>
        <v>535444.46439878014</v>
      </c>
      <c r="J37" s="305"/>
    </row>
    <row r="38" spans="1:10" x14ac:dyDescent="0.2">
      <c r="A38" s="98">
        <f t="shared" si="3"/>
        <v>2045</v>
      </c>
      <c r="B38" s="184">
        <f t="shared" si="4"/>
        <v>29</v>
      </c>
      <c r="C38" s="182">
        <v>0</v>
      </c>
      <c r="D38" s="182">
        <f t="shared" si="5"/>
        <v>51775.160601219897</v>
      </c>
      <c r="E38" s="182">
        <f t="shared" si="0"/>
        <v>51775.160601219897</v>
      </c>
      <c r="F38" s="182">
        <f>SUM('III.3 Benefits_Grouping'!C35:G35)*0.7965</f>
        <v>442610.07187499997</v>
      </c>
      <c r="G38" s="182">
        <f>'III.3 Benefits_Grouping'!J35*0.7965</f>
        <v>146954.25</v>
      </c>
      <c r="H38" s="182">
        <f t="shared" si="1"/>
        <v>589564.32187499991</v>
      </c>
      <c r="I38" s="182">
        <f t="shared" si="2"/>
        <v>537789.16127378005</v>
      </c>
      <c r="J38" s="305"/>
    </row>
    <row r="39" spans="1:10" x14ac:dyDescent="0.2">
      <c r="A39" s="98">
        <f t="shared" si="3"/>
        <v>2046</v>
      </c>
      <c r="B39" s="184">
        <f t="shared" si="4"/>
        <v>30</v>
      </c>
      <c r="C39" s="182">
        <v>0</v>
      </c>
      <c r="D39" s="182">
        <f t="shared" si="5"/>
        <v>51775.160601219897</v>
      </c>
      <c r="E39" s="182">
        <f t="shared" si="0"/>
        <v>51775.160601219897</v>
      </c>
      <c r="F39" s="182">
        <f>SUM('III.3 Benefits_Grouping'!C36:G36)*0.7965</f>
        <v>444954.76874999999</v>
      </c>
      <c r="G39" s="182">
        <f>'III.3 Benefits_Grouping'!J36*0.7965</f>
        <v>146954.25</v>
      </c>
      <c r="H39" s="182">
        <f t="shared" si="1"/>
        <v>591909.01875000005</v>
      </c>
      <c r="I39" s="182">
        <f t="shared" si="2"/>
        <v>540133.85814878019</v>
      </c>
      <c r="J39" s="305"/>
    </row>
    <row r="40" spans="1:10" x14ac:dyDescent="0.2">
      <c r="A40" s="98">
        <f t="shared" si="3"/>
        <v>2047</v>
      </c>
      <c r="B40" s="184">
        <f t="shared" si="4"/>
        <v>31</v>
      </c>
      <c r="C40" s="182">
        <v>0</v>
      </c>
      <c r="D40" s="182">
        <f t="shared" si="5"/>
        <v>51775.160601219897</v>
      </c>
      <c r="E40" s="182">
        <f t="shared" si="0"/>
        <v>51775.160601219897</v>
      </c>
      <c r="F40" s="182">
        <f>SUM('III.3 Benefits_Grouping'!C37:G37)*0.7965</f>
        <v>447299.46562500001</v>
      </c>
      <c r="G40" s="182">
        <f>'III.3 Benefits_Grouping'!J37*0.7965</f>
        <v>146954.25</v>
      </c>
      <c r="H40" s="182">
        <f t="shared" si="1"/>
        <v>594253.71562499995</v>
      </c>
      <c r="I40" s="182">
        <f t="shared" si="2"/>
        <v>542478.55502378009</v>
      </c>
      <c r="J40" s="305"/>
    </row>
    <row r="41" spans="1:10" x14ac:dyDescent="0.2">
      <c r="A41" s="98">
        <f t="shared" si="3"/>
        <v>2048</v>
      </c>
      <c r="B41" s="184">
        <f t="shared" si="4"/>
        <v>32</v>
      </c>
      <c r="C41" s="182">
        <v>0</v>
      </c>
      <c r="D41" s="182">
        <f t="shared" si="5"/>
        <v>51775.160601219897</v>
      </c>
      <c r="E41" s="182">
        <f t="shared" ref="E41:E59" si="6">SUM(C41:D41)</f>
        <v>51775.160601219897</v>
      </c>
      <c r="F41" s="182">
        <f>SUM('III.3 Benefits_Grouping'!C38:G38)*0.7965</f>
        <v>449644.16249999998</v>
      </c>
      <c r="G41" s="182">
        <f>'III.3 Benefits_Grouping'!J38*0.7965</f>
        <v>146954.25</v>
      </c>
      <c r="H41" s="182">
        <f t="shared" ref="H41:H59" si="7">SUM(F41:G41)</f>
        <v>596598.41249999998</v>
      </c>
      <c r="I41" s="182">
        <f t="shared" ref="I41:I59" si="8">(H41-E41)</f>
        <v>544823.25189878012</v>
      </c>
      <c r="J41" s="305"/>
    </row>
    <row r="42" spans="1:10" x14ac:dyDescent="0.2">
      <c r="A42" s="98">
        <f t="shared" ref="A42:A59" si="9">(A41+1)</f>
        <v>2049</v>
      </c>
      <c r="B42" s="184">
        <f t="shared" ref="B42:B59" si="10">(B41+1)</f>
        <v>33</v>
      </c>
      <c r="C42" s="182">
        <v>0</v>
      </c>
      <c r="D42" s="182">
        <f t="shared" si="5"/>
        <v>51775.160601219897</v>
      </c>
      <c r="E42" s="182">
        <f t="shared" si="6"/>
        <v>51775.160601219897</v>
      </c>
      <c r="F42" s="182">
        <f>SUM('III.3 Benefits_Grouping'!C39:G39)*0.7965</f>
        <v>451988.859375</v>
      </c>
      <c r="G42" s="182">
        <f>'III.3 Benefits_Grouping'!J39*0.7965</f>
        <v>146954.25</v>
      </c>
      <c r="H42" s="182">
        <f t="shared" si="7"/>
        <v>598943.109375</v>
      </c>
      <c r="I42" s="182">
        <f t="shared" si="8"/>
        <v>547167.94877378014</v>
      </c>
      <c r="J42" s="305"/>
    </row>
    <row r="43" spans="1:10" x14ac:dyDescent="0.2">
      <c r="A43" s="98">
        <f t="shared" si="9"/>
        <v>2050</v>
      </c>
      <c r="B43" s="184">
        <f t="shared" si="10"/>
        <v>34</v>
      </c>
      <c r="C43" s="182">
        <v>0</v>
      </c>
      <c r="D43" s="182">
        <f t="shared" si="5"/>
        <v>51775.160601219897</v>
      </c>
      <c r="E43" s="182">
        <f t="shared" si="6"/>
        <v>51775.160601219897</v>
      </c>
      <c r="F43" s="182">
        <f>SUM('III.3 Benefits_Grouping'!C40:G40)*0.7965</f>
        <v>454333.55624999997</v>
      </c>
      <c r="G43" s="182">
        <f>'III.3 Benefits_Grouping'!J40*0.7965</f>
        <v>146954.25</v>
      </c>
      <c r="H43" s="182">
        <f t="shared" si="7"/>
        <v>601287.80624999991</v>
      </c>
      <c r="I43" s="182">
        <f t="shared" si="8"/>
        <v>549512.64564878005</v>
      </c>
      <c r="J43" s="305"/>
    </row>
    <row r="44" spans="1:10" x14ac:dyDescent="0.2">
      <c r="A44" s="98">
        <f t="shared" si="9"/>
        <v>2051</v>
      </c>
      <c r="B44" s="184">
        <f t="shared" si="10"/>
        <v>35</v>
      </c>
      <c r="C44" s="182">
        <v>0</v>
      </c>
      <c r="D44" s="182">
        <f t="shared" si="5"/>
        <v>51775.160601219897</v>
      </c>
      <c r="E44" s="182">
        <f t="shared" si="6"/>
        <v>51775.160601219897</v>
      </c>
      <c r="F44" s="182">
        <f>SUM('III.3 Benefits_Grouping'!C41:G41)*0.7965</f>
        <v>456678.25312499999</v>
      </c>
      <c r="G44" s="182">
        <f>'III.3 Benefits_Grouping'!J41*0.7965</f>
        <v>146954.25</v>
      </c>
      <c r="H44" s="182">
        <f t="shared" si="7"/>
        <v>603632.50312500005</v>
      </c>
      <c r="I44" s="182">
        <f t="shared" si="8"/>
        <v>551857.34252378019</v>
      </c>
      <c r="J44" s="305"/>
    </row>
    <row r="45" spans="1:10" x14ac:dyDescent="0.2">
      <c r="A45" s="98">
        <f t="shared" si="9"/>
        <v>2052</v>
      </c>
      <c r="B45" s="184">
        <f t="shared" si="10"/>
        <v>36</v>
      </c>
      <c r="C45" s="182">
        <v>0</v>
      </c>
      <c r="D45" s="182">
        <f t="shared" si="5"/>
        <v>51775.160601219897</v>
      </c>
      <c r="E45" s="182">
        <f t="shared" si="6"/>
        <v>51775.160601219897</v>
      </c>
      <c r="F45" s="182">
        <f>SUM('III.3 Benefits_Grouping'!C42:G42)*0.7965</f>
        <v>459022.95</v>
      </c>
      <c r="G45" s="182">
        <f>'III.3 Benefits_Grouping'!J42*0.7965</f>
        <v>146954.25</v>
      </c>
      <c r="H45" s="182">
        <f t="shared" si="7"/>
        <v>605977.19999999995</v>
      </c>
      <c r="I45" s="182">
        <f t="shared" si="8"/>
        <v>554202.03939878009</v>
      </c>
      <c r="J45" s="305"/>
    </row>
    <row r="46" spans="1:10" x14ac:dyDescent="0.2">
      <c r="A46" s="98">
        <f t="shared" si="9"/>
        <v>2053</v>
      </c>
      <c r="B46" s="184">
        <f t="shared" si="10"/>
        <v>37</v>
      </c>
      <c r="C46" s="182">
        <v>0</v>
      </c>
      <c r="D46" s="182">
        <f t="shared" si="5"/>
        <v>51775.160601219897</v>
      </c>
      <c r="E46" s="182">
        <f t="shared" si="6"/>
        <v>51775.160601219897</v>
      </c>
      <c r="F46" s="182">
        <f>SUM('III.3 Benefits_Grouping'!C43:G43)*0.7965</f>
        <v>461367.64687499998</v>
      </c>
      <c r="G46" s="182">
        <f>'III.3 Benefits_Grouping'!J43*0.7965</f>
        <v>146954.25</v>
      </c>
      <c r="H46" s="182">
        <f t="shared" si="7"/>
        <v>608321.89687499998</v>
      </c>
      <c r="I46" s="182">
        <f t="shared" si="8"/>
        <v>556546.73627378012</v>
      </c>
      <c r="J46" s="305"/>
    </row>
    <row r="47" spans="1:10" x14ac:dyDescent="0.2">
      <c r="A47" s="98">
        <f t="shared" si="9"/>
        <v>2054</v>
      </c>
      <c r="B47" s="184">
        <f t="shared" si="10"/>
        <v>38</v>
      </c>
      <c r="C47" s="182">
        <v>0</v>
      </c>
      <c r="D47" s="182">
        <f t="shared" si="5"/>
        <v>51775.160601219897</v>
      </c>
      <c r="E47" s="182">
        <f t="shared" si="6"/>
        <v>51775.160601219897</v>
      </c>
      <c r="F47" s="182">
        <f>SUM('III.3 Benefits_Grouping'!C44:G44)*0.7965</f>
        <v>463712.34375</v>
      </c>
      <c r="G47" s="182">
        <f>'III.3 Benefits_Grouping'!J44*0.7965</f>
        <v>146954.25</v>
      </c>
      <c r="H47" s="182">
        <f t="shared" si="7"/>
        <v>610666.59375</v>
      </c>
      <c r="I47" s="182">
        <f t="shared" si="8"/>
        <v>558891.43314878014</v>
      </c>
      <c r="J47" s="305"/>
    </row>
    <row r="48" spans="1:10" x14ac:dyDescent="0.2">
      <c r="A48" s="98">
        <f t="shared" si="9"/>
        <v>2055</v>
      </c>
      <c r="B48" s="184">
        <f t="shared" si="10"/>
        <v>39</v>
      </c>
      <c r="C48" s="182">
        <v>0</v>
      </c>
      <c r="D48" s="182">
        <f t="shared" si="5"/>
        <v>51775.160601219897</v>
      </c>
      <c r="E48" s="182">
        <f t="shared" si="6"/>
        <v>51775.160601219897</v>
      </c>
      <c r="F48" s="182">
        <f>SUM('III.3 Benefits_Grouping'!C45:G45)*0.7965</f>
        <v>466057.04062499997</v>
      </c>
      <c r="G48" s="182">
        <f>'III.3 Benefits_Grouping'!J45*0.7965</f>
        <v>146954.25</v>
      </c>
      <c r="H48" s="182">
        <f t="shared" si="7"/>
        <v>613011.29062499991</v>
      </c>
      <c r="I48" s="182">
        <f t="shared" si="8"/>
        <v>561236.13002378005</v>
      </c>
      <c r="J48" s="305"/>
    </row>
    <row r="49" spans="1:11" x14ac:dyDescent="0.2">
      <c r="A49" s="98">
        <f t="shared" si="9"/>
        <v>2056</v>
      </c>
      <c r="B49" s="184">
        <f t="shared" si="10"/>
        <v>40</v>
      </c>
      <c r="C49" s="182">
        <v>0</v>
      </c>
      <c r="D49" s="182">
        <f t="shared" si="5"/>
        <v>51775.160601219897</v>
      </c>
      <c r="E49" s="182">
        <f t="shared" si="6"/>
        <v>51775.160601219897</v>
      </c>
      <c r="F49" s="182">
        <f>SUM('III.3 Benefits_Grouping'!C46:G46)*0.7965</f>
        <v>468401.73749999999</v>
      </c>
      <c r="G49" s="182">
        <f>'III.3 Benefits_Grouping'!J46*0.7965</f>
        <v>146954.25</v>
      </c>
      <c r="H49" s="182">
        <f t="shared" si="7"/>
        <v>615355.98750000005</v>
      </c>
      <c r="I49" s="182">
        <f t="shared" si="8"/>
        <v>563580.82689878019</v>
      </c>
      <c r="J49" s="305"/>
    </row>
    <row r="50" spans="1:11" x14ac:dyDescent="0.2">
      <c r="A50" s="98">
        <f t="shared" si="9"/>
        <v>2057</v>
      </c>
      <c r="B50" s="184">
        <f t="shared" si="10"/>
        <v>41</v>
      </c>
      <c r="C50" s="182">
        <v>0</v>
      </c>
      <c r="D50" s="182">
        <f t="shared" si="5"/>
        <v>51775.160601219897</v>
      </c>
      <c r="E50" s="182">
        <f t="shared" si="6"/>
        <v>51775.160601219897</v>
      </c>
      <c r="F50" s="182">
        <f>SUM('III.3 Benefits_Grouping'!C47:G47)*0.7965</f>
        <v>470746.43437500001</v>
      </c>
      <c r="G50" s="182">
        <f>'III.3 Benefits_Grouping'!J47*0.7965</f>
        <v>146954.25</v>
      </c>
      <c r="H50" s="182">
        <f t="shared" si="7"/>
        <v>617700.68437499995</v>
      </c>
      <c r="I50" s="182">
        <f t="shared" si="8"/>
        <v>565925.52377378009</v>
      </c>
      <c r="J50" s="305"/>
    </row>
    <row r="51" spans="1:11" x14ac:dyDescent="0.2">
      <c r="A51" s="98">
        <f t="shared" si="9"/>
        <v>2058</v>
      </c>
      <c r="B51" s="184">
        <f t="shared" si="10"/>
        <v>42</v>
      </c>
      <c r="C51" s="182">
        <v>0</v>
      </c>
      <c r="D51" s="182">
        <f t="shared" si="5"/>
        <v>51775.160601219897</v>
      </c>
      <c r="E51" s="182">
        <f t="shared" si="6"/>
        <v>51775.160601219897</v>
      </c>
      <c r="F51" s="182">
        <f>SUM('III.3 Benefits_Grouping'!C48:G48)*0.7965</f>
        <v>473091.13124999998</v>
      </c>
      <c r="G51" s="182">
        <f>'III.3 Benefits_Grouping'!J48*0.7965</f>
        <v>146954.25</v>
      </c>
      <c r="H51" s="182">
        <f t="shared" si="7"/>
        <v>620045.38124999998</v>
      </c>
      <c r="I51" s="182">
        <f t="shared" si="8"/>
        <v>568270.22064878012</v>
      </c>
      <c r="J51" s="305"/>
    </row>
    <row r="52" spans="1:11" x14ac:dyDescent="0.2">
      <c r="A52" s="98">
        <f t="shared" si="9"/>
        <v>2059</v>
      </c>
      <c r="B52" s="184">
        <f t="shared" si="10"/>
        <v>43</v>
      </c>
      <c r="C52" s="182">
        <v>0</v>
      </c>
      <c r="D52" s="182">
        <f t="shared" si="5"/>
        <v>51775.160601219897</v>
      </c>
      <c r="E52" s="182">
        <f t="shared" si="6"/>
        <v>51775.160601219897</v>
      </c>
      <c r="F52" s="182">
        <f>SUM('III.3 Benefits_Grouping'!C49:G49)*0.7965</f>
        <v>475435.828125</v>
      </c>
      <c r="G52" s="182">
        <f>'III.3 Benefits_Grouping'!J49*0.7965</f>
        <v>146954.25</v>
      </c>
      <c r="H52" s="182">
        <f t="shared" si="7"/>
        <v>622390.078125</v>
      </c>
      <c r="I52" s="182">
        <f t="shared" si="8"/>
        <v>570614.91752378014</v>
      </c>
      <c r="J52" s="305"/>
    </row>
    <row r="53" spans="1:11" x14ac:dyDescent="0.2">
      <c r="A53" s="98">
        <f t="shared" si="9"/>
        <v>2060</v>
      </c>
      <c r="B53" s="184">
        <f t="shared" si="10"/>
        <v>44</v>
      </c>
      <c r="C53" s="182">
        <v>0</v>
      </c>
      <c r="D53" s="182">
        <f t="shared" si="5"/>
        <v>51775.160601219897</v>
      </c>
      <c r="E53" s="182">
        <f t="shared" si="6"/>
        <v>51775.160601219897</v>
      </c>
      <c r="F53" s="182">
        <f>SUM('III.3 Benefits_Grouping'!C50:G50)*0.7965</f>
        <v>477780.52499999997</v>
      </c>
      <c r="G53" s="182">
        <f>'III.3 Benefits_Grouping'!J50*0.7965</f>
        <v>146954.25</v>
      </c>
      <c r="H53" s="182">
        <f t="shared" si="7"/>
        <v>624734.77499999991</v>
      </c>
      <c r="I53" s="182">
        <f t="shared" si="8"/>
        <v>572959.61439878005</v>
      </c>
      <c r="J53" s="305"/>
    </row>
    <row r="54" spans="1:11" x14ac:dyDescent="0.2">
      <c r="A54" s="98">
        <f t="shared" si="9"/>
        <v>2061</v>
      </c>
      <c r="B54" s="184">
        <f t="shared" si="10"/>
        <v>45</v>
      </c>
      <c r="C54" s="182">
        <v>0</v>
      </c>
      <c r="D54" s="182">
        <f t="shared" si="5"/>
        <v>51775.160601219897</v>
      </c>
      <c r="E54" s="182">
        <f t="shared" si="6"/>
        <v>51775.160601219897</v>
      </c>
      <c r="F54" s="182">
        <f>SUM('III.3 Benefits_Grouping'!C51:G51)*0.7965</f>
        <v>480125.22187499999</v>
      </c>
      <c r="G54" s="182">
        <f>'III.3 Benefits_Grouping'!J51*0.7965</f>
        <v>146954.25</v>
      </c>
      <c r="H54" s="182">
        <f t="shared" si="7"/>
        <v>627079.47187500005</v>
      </c>
      <c r="I54" s="182">
        <f t="shared" si="8"/>
        <v>575304.31127378019</v>
      </c>
      <c r="J54" s="305"/>
    </row>
    <row r="55" spans="1:11" x14ac:dyDescent="0.2">
      <c r="A55" s="98">
        <f t="shared" si="9"/>
        <v>2062</v>
      </c>
      <c r="B55" s="184">
        <f t="shared" si="10"/>
        <v>46</v>
      </c>
      <c r="C55" s="182">
        <v>0</v>
      </c>
      <c r="D55" s="182">
        <f t="shared" si="5"/>
        <v>51775.160601219897</v>
      </c>
      <c r="E55" s="182">
        <f t="shared" si="6"/>
        <v>51775.160601219897</v>
      </c>
      <c r="F55" s="182">
        <f>SUM('III.3 Benefits_Grouping'!C52:G52)*0.7965</f>
        <v>482469.91875000001</v>
      </c>
      <c r="G55" s="182">
        <f>'III.3 Benefits_Grouping'!J52*0.7965</f>
        <v>146954.25</v>
      </c>
      <c r="H55" s="182">
        <f t="shared" si="7"/>
        <v>629424.16874999995</v>
      </c>
      <c r="I55" s="182">
        <f t="shared" si="8"/>
        <v>577649.00814878009</v>
      </c>
      <c r="J55" s="305"/>
    </row>
    <row r="56" spans="1:11" x14ac:dyDescent="0.2">
      <c r="A56" s="98">
        <f t="shared" si="9"/>
        <v>2063</v>
      </c>
      <c r="B56" s="184">
        <f t="shared" si="10"/>
        <v>47</v>
      </c>
      <c r="C56" s="182">
        <v>0</v>
      </c>
      <c r="D56" s="182">
        <f t="shared" si="5"/>
        <v>51775.160601219897</v>
      </c>
      <c r="E56" s="182">
        <f t="shared" si="6"/>
        <v>51775.160601219897</v>
      </c>
      <c r="F56" s="182">
        <f>SUM('III.3 Benefits_Grouping'!C53:G53)*0.7965</f>
        <v>484814.61562499998</v>
      </c>
      <c r="G56" s="182">
        <f>'III.3 Benefits_Grouping'!J53*0.7965</f>
        <v>146954.25</v>
      </c>
      <c r="H56" s="182">
        <f t="shared" si="7"/>
        <v>631768.86562499998</v>
      </c>
      <c r="I56" s="182">
        <f t="shared" si="8"/>
        <v>579993.70502378012</v>
      </c>
      <c r="J56" s="305"/>
    </row>
    <row r="57" spans="1:11" x14ac:dyDescent="0.2">
      <c r="A57" s="98">
        <f t="shared" si="9"/>
        <v>2064</v>
      </c>
      <c r="B57" s="184">
        <f t="shared" si="10"/>
        <v>48</v>
      </c>
      <c r="C57" s="182">
        <v>0</v>
      </c>
      <c r="D57" s="182">
        <f t="shared" si="5"/>
        <v>51775.160601219897</v>
      </c>
      <c r="E57" s="182">
        <f t="shared" si="6"/>
        <v>51775.160601219897</v>
      </c>
      <c r="F57" s="182">
        <f>SUM('III.3 Benefits_Grouping'!C54:G54)*0.7965</f>
        <v>487159.3125</v>
      </c>
      <c r="G57" s="182">
        <f>'III.3 Benefits_Grouping'!J54*0.7965</f>
        <v>146954.25</v>
      </c>
      <c r="H57" s="182">
        <f t="shared" si="7"/>
        <v>634113.5625</v>
      </c>
      <c r="I57" s="182">
        <f t="shared" si="8"/>
        <v>582338.40189878014</v>
      </c>
      <c r="J57" s="305"/>
    </row>
    <row r="58" spans="1:11" x14ac:dyDescent="0.2">
      <c r="A58" s="98">
        <f t="shared" si="9"/>
        <v>2065</v>
      </c>
      <c r="B58" s="184">
        <f t="shared" si="10"/>
        <v>49</v>
      </c>
      <c r="C58" s="182">
        <v>0</v>
      </c>
      <c r="D58" s="182">
        <f t="shared" si="5"/>
        <v>51775.160601219897</v>
      </c>
      <c r="E58" s="182">
        <f t="shared" si="6"/>
        <v>51775.160601219897</v>
      </c>
      <c r="F58" s="182">
        <f>SUM('III.3 Benefits_Grouping'!C55:G55)*0.7965</f>
        <v>489504.00937499997</v>
      </c>
      <c r="G58" s="182">
        <f>'III.3 Benefits_Grouping'!J55*0.7965</f>
        <v>146954.25</v>
      </c>
      <c r="H58" s="182">
        <f t="shared" si="7"/>
        <v>636458.25937499991</v>
      </c>
      <c r="I58" s="182">
        <f t="shared" si="8"/>
        <v>584683.09877378005</v>
      </c>
      <c r="J58" s="305"/>
    </row>
    <row r="59" spans="1:11" x14ac:dyDescent="0.2">
      <c r="A59" s="98">
        <f t="shared" si="9"/>
        <v>2066</v>
      </c>
      <c r="B59" s="184">
        <f t="shared" si="10"/>
        <v>50</v>
      </c>
      <c r="C59" s="182">
        <v>0</v>
      </c>
      <c r="D59" s="182">
        <f t="shared" si="5"/>
        <v>51775.160601219897</v>
      </c>
      <c r="E59" s="182">
        <f t="shared" si="6"/>
        <v>51775.160601219897</v>
      </c>
      <c r="F59" s="182">
        <f>SUM('III.3 Benefits_Grouping'!C56:G56)*0.7965</f>
        <v>489504.00937499997</v>
      </c>
      <c r="G59" s="182">
        <f>'III.3 Benefits_Grouping'!J56*0.7965</f>
        <v>146954.25</v>
      </c>
      <c r="H59" s="182">
        <f t="shared" si="7"/>
        <v>636458.25937499991</v>
      </c>
      <c r="I59" s="182">
        <f t="shared" si="8"/>
        <v>584683.09877378005</v>
      </c>
      <c r="J59" s="305"/>
    </row>
    <row r="60" spans="1:11" ht="15" x14ac:dyDescent="0.25">
      <c r="A60" s="748" t="s">
        <v>422</v>
      </c>
      <c r="B60" s="748"/>
      <c r="C60" s="182">
        <f t="shared" ref="C60:H60" si="11">NPV($C$5,C10:C59)+C9</f>
        <v>4880980.4464285709</v>
      </c>
      <c r="D60" s="182">
        <f t="shared" si="11"/>
        <v>895893.79588093178</v>
      </c>
      <c r="E60" s="182">
        <f t="shared" si="11"/>
        <v>5776874.2423095033</v>
      </c>
      <c r="F60" s="182">
        <f t="shared" si="11"/>
        <v>7174190.3785270881</v>
      </c>
      <c r="G60" s="182">
        <f t="shared" si="11"/>
        <v>2542029.6545195417</v>
      </c>
      <c r="H60" s="182">
        <f t="shared" si="11"/>
        <v>9716220.0330466293</v>
      </c>
      <c r="J60" s="305"/>
      <c r="K60" s="273"/>
    </row>
    <row r="61" spans="1:11" ht="8.25" customHeight="1" thickBot="1" x14ac:dyDescent="0.25">
      <c r="B61" s="304"/>
      <c r="C61" s="268"/>
      <c r="E61" s="307"/>
      <c r="J61" s="305"/>
    </row>
    <row r="62" spans="1:11" ht="15" x14ac:dyDescent="0.25">
      <c r="C62" s="307"/>
      <c r="G62" s="749" t="s">
        <v>417</v>
      </c>
      <c r="H62" s="750"/>
      <c r="I62" s="471">
        <f>(H60/E60)</f>
        <v>1.6819164872736156</v>
      </c>
      <c r="J62" s="305"/>
    </row>
    <row r="63" spans="1:11" ht="15" x14ac:dyDescent="0.25">
      <c r="C63" s="268"/>
      <c r="G63" s="751" t="s">
        <v>416</v>
      </c>
      <c r="H63" s="752"/>
      <c r="I63" s="472">
        <f>IRR(I9:I59)</f>
        <v>9.3950644823445506E-2</v>
      </c>
      <c r="J63" s="305"/>
    </row>
    <row r="64" spans="1:11" ht="15.75" thickBot="1" x14ac:dyDescent="0.3">
      <c r="C64" s="268"/>
      <c r="G64" s="745" t="s">
        <v>592</v>
      </c>
      <c r="H64" s="746"/>
      <c r="I64" s="473">
        <f>NPV($C$5,I10:I59)+I9</f>
        <v>3939345.7907371232</v>
      </c>
      <c r="J64" s="305"/>
    </row>
    <row r="65" spans="1:8" ht="13.5" customHeight="1" thickBot="1" x14ac:dyDescent="0.25"/>
    <row r="66" spans="1:8" ht="15" x14ac:dyDescent="0.25">
      <c r="A66" s="480" t="s">
        <v>0</v>
      </c>
      <c r="B66" s="481"/>
      <c r="C66" s="250"/>
      <c r="D66" s="250"/>
      <c r="E66" s="250"/>
      <c r="F66" s="250"/>
      <c r="G66" s="177"/>
      <c r="H66" s="176"/>
    </row>
    <row r="67" spans="1:8" ht="15" x14ac:dyDescent="0.2">
      <c r="A67" s="709" t="s">
        <v>388</v>
      </c>
      <c r="B67" s="710"/>
      <c r="C67" s="519" t="s">
        <v>387</v>
      </c>
      <c r="D67" s="519"/>
      <c r="E67" s="519"/>
      <c r="F67" s="519"/>
      <c r="G67" s="519"/>
      <c r="H67" s="520"/>
    </row>
    <row r="68" spans="1:8" ht="15" x14ac:dyDescent="0.2">
      <c r="A68" s="641" t="s">
        <v>386</v>
      </c>
      <c r="B68" s="642"/>
      <c r="C68" s="519" t="s">
        <v>385</v>
      </c>
      <c r="D68" s="519"/>
      <c r="E68" s="519"/>
      <c r="F68" s="519"/>
      <c r="G68" s="519"/>
      <c r="H68" s="520"/>
    </row>
    <row r="69" spans="1:8" ht="30.75" customHeight="1" x14ac:dyDescent="0.2">
      <c r="A69" s="641" t="s">
        <v>421</v>
      </c>
      <c r="B69" s="642"/>
      <c r="C69" s="538" t="s">
        <v>604</v>
      </c>
      <c r="D69" s="538"/>
      <c r="E69" s="538"/>
      <c r="F69" s="538"/>
      <c r="G69" s="538"/>
      <c r="H69" s="540"/>
    </row>
    <row r="70" spans="1:8" ht="30" customHeight="1" x14ac:dyDescent="0.2">
      <c r="A70" s="641" t="s">
        <v>269</v>
      </c>
      <c r="B70" s="642"/>
      <c r="C70" s="538" t="s">
        <v>605</v>
      </c>
      <c r="D70" s="538"/>
      <c r="E70" s="538"/>
      <c r="F70" s="538"/>
      <c r="G70" s="538"/>
      <c r="H70" s="540"/>
    </row>
    <row r="71" spans="1:8" ht="15" customHeight="1" x14ac:dyDescent="0.2">
      <c r="A71" s="641" t="s">
        <v>420</v>
      </c>
      <c r="B71" s="642"/>
      <c r="C71" s="519" t="s">
        <v>419</v>
      </c>
      <c r="D71" s="519"/>
      <c r="E71" s="519"/>
      <c r="F71" s="519"/>
      <c r="G71" s="519"/>
      <c r="H71" s="520"/>
    </row>
    <row r="72" spans="1:8" ht="30" customHeight="1" x14ac:dyDescent="0.2">
      <c r="A72" s="720" t="s">
        <v>418</v>
      </c>
      <c r="B72" s="737"/>
      <c r="C72" s="560" t="s">
        <v>663</v>
      </c>
      <c r="D72" s="561"/>
      <c r="E72" s="561"/>
      <c r="F72" s="561"/>
      <c r="G72" s="561"/>
      <c r="H72" s="562"/>
    </row>
    <row r="73" spans="1:8" ht="15" x14ac:dyDescent="0.2">
      <c r="A73" s="730" t="s">
        <v>417</v>
      </c>
      <c r="B73" s="731"/>
      <c r="C73" s="575" t="s">
        <v>595</v>
      </c>
      <c r="D73" s="575"/>
      <c r="E73" s="575"/>
      <c r="F73" s="575"/>
      <c r="G73" s="575"/>
      <c r="H73" s="576"/>
    </row>
    <row r="74" spans="1:8" ht="29.25" customHeight="1" x14ac:dyDescent="0.2">
      <c r="A74" s="728" t="s">
        <v>416</v>
      </c>
      <c r="B74" s="729"/>
      <c r="C74" s="560" t="s">
        <v>594</v>
      </c>
      <c r="D74" s="561"/>
      <c r="E74" s="561"/>
      <c r="F74" s="561"/>
      <c r="G74" s="561"/>
      <c r="H74" s="562"/>
    </row>
    <row r="75" spans="1:8" ht="29.25" customHeight="1" thickBot="1" x14ac:dyDescent="0.25">
      <c r="A75" s="743" t="s">
        <v>592</v>
      </c>
      <c r="B75" s="744"/>
      <c r="C75" s="579" t="s">
        <v>664</v>
      </c>
      <c r="D75" s="579"/>
      <c r="E75" s="579"/>
      <c r="F75" s="579"/>
      <c r="G75" s="579"/>
      <c r="H75" s="581"/>
    </row>
  </sheetData>
  <mergeCells count="32">
    <mergeCell ref="I7:I8"/>
    <mergeCell ref="C7:E7"/>
    <mergeCell ref="F7:H7"/>
    <mergeCell ref="A3:J3"/>
    <mergeCell ref="A4:B4"/>
    <mergeCell ref="C4:G4"/>
    <mergeCell ref="A69:B69"/>
    <mergeCell ref="C69:H69"/>
    <mergeCell ref="A1:E1"/>
    <mergeCell ref="A60:B60"/>
    <mergeCell ref="G62:H62"/>
    <mergeCell ref="G63:H63"/>
    <mergeCell ref="C71:H71"/>
    <mergeCell ref="A72:B72"/>
    <mergeCell ref="C72:H72"/>
    <mergeCell ref="A73:B73"/>
    <mergeCell ref="C73:H73"/>
    <mergeCell ref="A5:B5"/>
    <mergeCell ref="A67:B67"/>
    <mergeCell ref="C67:H67"/>
    <mergeCell ref="A68:B68"/>
    <mergeCell ref="C68:H68"/>
    <mergeCell ref="A75:B75"/>
    <mergeCell ref="C75:H75"/>
    <mergeCell ref="G64:H64"/>
    <mergeCell ref="F1:G1"/>
    <mergeCell ref="H1:I1"/>
    <mergeCell ref="A70:B70"/>
    <mergeCell ref="C70:H70"/>
    <mergeCell ref="A74:B74"/>
    <mergeCell ref="C74:H74"/>
    <mergeCell ref="A71:B71"/>
  </mergeCells>
  <pageMargins left="0.7" right="0.7" top="0.75" bottom="0.75" header="0.3" footer="0.3"/>
  <pageSetup scale="46" orientation="landscape"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DD504-D69D-4573-8E85-4B33C84368A6}">
  <sheetPr>
    <pageSetUpPr fitToPage="1"/>
  </sheetPr>
  <dimension ref="A1:L75"/>
  <sheetViews>
    <sheetView view="pageBreakPreview" topLeftCell="A9" zoomScaleNormal="90" zoomScaleSheetLayoutView="100" workbookViewId="0">
      <selection activeCell="N24" sqref="N24"/>
    </sheetView>
  </sheetViews>
  <sheetFormatPr defaultRowHeight="12.75" x14ac:dyDescent="0.2"/>
  <cols>
    <col min="1" max="1" width="19.7109375" style="268" customWidth="1"/>
    <col min="2" max="2" width="13.5703125" style="268" customWidth="1"/>
    <col min="3" max="3" width="17.140625" style="304" customWidth="1"/>
    <col min="4" max="4" width="16.5703125" style="268" customWidth="1"/>
    <col min="5" max="5" width="14.7109375" style="268" customWidth="1"/>
    <col min="6" max="6" width="20.140625" style="268" customWidth="1"/>
    <col min="7" max="7" width="15.5703125" style="268" customWidth="1"/>
    <col min="8" max="8" width="14.85546875" style="268" customWidth="1"/>
    <col min="9" max="9" width="14.5703125" style="268" customWidth="1"/>
    <col min="10" max="10" width="9.140625" style="269"/>
    <col min="11" max="11" width="10.7109375" style="268" customWidth="1"/>
    <col min="12" max="12" width="9.42578125" style="268" bestFit="1" customWidth="1"/>
    <col min="13" max="16384" width="9.140625" style="268"/>
  </cols>
  <sheetData>
    <row r="1" spans="1:12" ht="15" x14ac:dyDescent="0.25">
      <c r="A1" s="747" t="s">
        <v>489</v>
      </c>
      <c r="B1" s="747"/>
      <c r="C1" s="747"/>
      <c r="D1" s="747"/>
      <c r="E1" s="747"/>
      <c r="F1" s="534" t="s">
        <v>539</v>
      </c>
      <c r="G1" s="534"/>
      <c r="H1" s="671" t="s">
        <v>540</v>
      </c>
      <c r="I1" s="671"/>
      <c r="J1" s="306"/>
    </row>
    <row r="2" spans="1:12" ht="15" x14ac:dyDescent="0.25">
      <c r="A2" s="160" t="s">
        <v>438</v>
      </c>
      <c r="B2" s="160"/>
      <c r="C2" s="160"/>
      <c r="D2" s="160"/>
      <c r="E2" s="157"/>
      <c r="F2" s="157"/>
      <c r="G2" s="157"/>
      <c r="H2" s="92"/>
      <c r="I2" s="340"/>
      <c r="J2" s="345"/>
    </row>
    <row r="3" spans="1:12" ht="15" x14ac:dyDescent="0.2">
      <c r="A3" s="521" t="s">
        <v>437</v>
      </c>
      <c r="B3" s="521"/>
      <c r="C3" s="521"/>
      <c r="D3" s="521"/>
      <c r="E3" s="521"/>
      <c r="F3" s="521"/>
      <c r="G3" s="521"/>
      <c r="H3" s="521"/>
      <c r="I3" s="521"/>
      <c r="J3" s="521"/>
    </row>
    <row r="4" spans="1:12" ht="15" x14ac:dyDescent="0.2">
      <c r="A4" s="734" t="s">
        <v>436</v>
      </c>
      <c r="B4" s="734"/>
      <c r="C4" s="725" t="s">
        <v>501</v>
      </c>
      <c r="D4" s="725"/>
      <c r="E4" s="725"/>
      <c r="F4" s="725"/>
      <c r="G4" s="725"/>
      <c r="H4" s="338"/>
      <c r="I4" s="338"/>
      <c r="J4" s="142"/>
    </row>
    <row r="5" spans="1:12" ht="15" x14ac:dyDescent="0.25">
      <c r="A5" s="16" t="s">
        <v>435</v>
      </c>
      <c r="C5" s="348">
        <v>0.05</v>
      </c>
      <c r="J5" s="305"/>
    </row>
    <row r="6" spans="1:12" ht="15" x14ac:dyDescent="0.2">
      <c r="A6" s="336" t="s">
        <v>434</v>
      </c>
      <c r="C6" s="347"/>
      <c r="J6" s="305"/>
    </row>
    <row r="7" spans="1:12" ht="15" customHeight="1" x14ac:dyDescent="0.2">
      <c r="A7" s="343"/>
      <c r="C7" s="757" t="s">
        <v>433</v>
      </c>
      <c r="D7" s="758"/>
      <c r="E7" s="759"/>
      <c r="F7" s="762" t="s">
        <v>269</v>
      </c>
      <c r="G7" s="763"/>
      <c r="H7" s="764"/>
      <c r="I7" s="760" t="s">
        <v>420</v>
      </c>
      <c r="J7" s="305"/>
    </row>
    <row r="8" spans="1:12" ht="60" x14ac:dyDescent="0.2">
      <c r="A8" s="10" t="s">
        <v>388</v>
      </c>
      <c r="B8" s="342" t="s">
        <v>386</v>
      </c>
      <c r="C8" s="67" t="s">
        <v>432</v>
      </c>
      <c r="D8" s="67" t="s">
        <v>431</v>
      </c>
      <c r="E8" s="15" t="s">
        <v>430</v>
      </c>
      <c r="F8" s="469" t="s">
        <v>606</v>
      </c>
      <c r="G8" s="470" t="s">
        <v>600</v>
      </c>
      <c r="H8" s="15" t="s">
        <v>429</v>
      </c>
      <c r="I8" s="761"/>
    </row>
    <row r="9" spans="1:12" x14ac:dyDescent="0.2">
      <c r="A9" s="98">
        <v>2016</v>
      </c>
      <c r="B9" s="184">
        <v>0</v>
      </c>
      <c r="C9" s="182">
        <f>'III.1 LCCA_Grouping'!J18</f>
        <v>62500</v>
      </c>
      <c r="D9" s="182">
        <v>0</v>
      </c>
      <c r="E9" s="182">
        <f t="shared" ref="E9:E40" si="0">SUM(C9:D9)</f>
        <v>62500</v>
      </c>
      <c r="F9" s="182">
        <f>SUM('III.3 Benefits_Grouping'!C6:G6)</f>
        <v>0</v>
      </c>
      <c r="G9" s="182">
        <f>'III.3 Benefits_Grouping'!J6</f>
        <v>0</v>
      </c>
      <c r="H9" s="182">
        <f t="shared" ref="H9:H40" si="1">SUM(F9:G9)</f>
        <v>0</v>
      </c>
      <c r="I9" s="182">
        <f t="shared" ref="I9:I40" si="2">(H9-E9)</f>
        <v>-62500</v>
      </c>
    </row>
    <row r="10" spans="1:12" x14ac:dyDescent="0.2">
      <c r="A10" s="98">
        <f t="shared" ref="A10:A41" si="3">(A9+1)</f>
        <v>2017</v>
      </c>
      <c r="B10" s="184">
        <f t="shared" ref="B10:B41" si="4">(B9+1)</f>
        <v>1</v>
      </c>
      <c r="C10" s="182">
        <f>'III.1 LCCA_Grouping'!K18</f>
        <v>62500</v>
      </c>
      <c r="D10" s="182">
        <v>0</v>
      </c>
      <c r="E10" s="182">
        <f t="shared" si="0"/>
        <v>62500</v>
      </c>
      <c r="F10" s="182">
        <f>SUM('III.3 Benefits_Grouping'!C7:G7)</f>
        <v>0</v>
      </c>
      <c r="G10" s="182">
        <f>'III.3 Benefits_Grouping'!J7</f>
        <v>0</v>
      </c>
      <c r="H10" s="182">
        <f t="shared" si="1"/>
        <v>0</v>
      </c>
      <c r="I10" s="182">
        <f t="shared" si="2"/>
        <v>-62500</v>
      </c>
    </row>
    <row r="11" spans="1:12" x14ac:dyDescent="0.2">
      <c r="A11" s="98">
        <f t="shared" si="3"/>
        <v>2018</v>
      </c>
      <c r="B11" s="184">
        <f t="shared" si="4"/>
        <v>2</v>
      </c>
      <c r="C11" s="182">
        <v>0</v>
      </c>
      <c r="D11" s="182">
        <f>'III.1 LCCA_Grouping'!E32</f>
        <v>1294.3715723939572</v>
      </c>
      <c r="E11" s="182">
        <f t="shared" si="0"/>
        <v>1294.3715723939572</v>
      </c>
      <c r="F11" s="182">
        <f>F12*(0.994)</f>
        <v>9525.6262499999993</v>
      </c>
      <c r="G11" s="182">
        <f>G12*(0.994)</f>
        <v>3667.86</v>
      </c>
      <c r="H11" s="182">
        <f t="shared" si="1"/>
        <v>13193.48625</v>
      </c>
      <c r="I11" s="182">
        <f t="shared" si="2"/>
        <v>11899.114677606043</v>
      </c>
      <c r="J11" s="305"/>
      <c r="K11" s="346"/>
    </row>
    <row r="12" spans="1:12" ht="15" customHeight="1" x14ac:dyDescent="0.2">
      <c r="A12" s="98">
        <f t="shared" si="3"/>
        <v>2019</v>
      </c>
      <c r="B12" s="184">
        <f t="shared" si="4"/>
        <v>3</v>
      </c>
      <c r="C12" s="182">
        <v>0</v>
      </c>
      <c r="D12" s="182">
        <f t="shared" ref="D12:D59" si="5">D11</f>
        <v>1294.3715723939572</v>
      </c>
      <c r="E12" s="182">
        <f t="shared" si="0"/>
        <v>1294.3715723939572</v>
      </c>
      <c r="F12" s="182">
        <f>SUM('III.3 Benefits_Grouping'!C9:G9)*0.02</f>
        <v>9583.125</v>
      </c>
      <c r="G12" s="182">
        <f>'III.3 Benefits_Grouping'!J9*0.02</f>
        <v>3690</v>
      </c>
      <c r="H12" s="182">
        <f t="shared" si="1"/>
        <v>13273.125</v>
      </c>
      <c r="I12" s="182">
        <f t="shared" si="2"/>
        <v>11978.753427606043</v>
      </c>
      <c r="J12" s="305"/>
      <c r="K12" s="346"/>
      <c r="L12" s="341"/>
    </row>
    <row r="13" spans="1:12" x14ac:dyDescent="0.2">
      <c r="A13" s="98">
        <f t="shared" si="3"/>
        <v>2020</v>
      </c>
      <c r="B13" s="184">
        <f t="shared" si="4"/>
        <v>4</v>
      </c>
      <c r="C13" s="182">
        <v>0</v>
      </c>
      <c r="D13" s="182">
        <f t="shared" si="5"/>
        <v>1294.3715723939572</v>
      </c>
      <c r="E13" s="182">
        <f t="shared" si="0"/>
        <v>1294.3715723939572</v>
      </c>
      <c r="F13" s="182">
        <f>SUM('III.3 Benefits_Grouping'!C10:G10)*0.02</f>
        <v>9642</v>
      </c>
      <c r="G13" s="182">
        <f>'III.3 Benefits_Grouping'!J10*0.02</f>
        <v>3690</v>
      </c>
      <c r="H13" s="182">
        <f t="shared" si="1"/>
        <v>13332</v>
      </c>
      <c r="I13" s="182">
        <f t="shared" si="2"/>
        <v>12037.628427606043</v>
      </c>
      <c r="J13" s="305"/>
      <c r="K13" s="346"/>
      <c r="L13" s="341"/>
    </row>
    <row r="14" spans="1:12" x14ac:dyDescent="0.2">
      <c r="A14" s="98">
        <f t="shared" si="3"/>
        <v>2021</v>
      </c>
      <c r="B14" s="184">
        <f t="shared" si="4"/>
        <v>5</v>
      </c>
      <c r="C14" s="182">
        <v>0</v>
      </c>
      <c r="D14" s="182">
        <f t="shared" si="5"/>
        <v>1294.3715723939572</v>
      </c>
      <c r="E14" s="182">
        <f t="shared" si="0"/>
        <v>1294.3715723939572</v>
      </c>
      <c r="F14" s="182">
        <f>SUM('III.3 Benefits_Grouping'!C11:G11)*0.02</f>
        <v>9700.875</v>
      </c>
      <c r="G14" s="182">
        <f>'III.3 Benefits_Grouping'!J11*0.02</f>
        <v>3690</v>
      </c>
      <c r="H14" s="182">
        <f t="shared" si="1"/>
        <v>13390.875</v>
      </c>
      <c r="I14" s="182">
        <f t="shared" si="2"/>
        <v>12096.503427606043</v>
      </c>
      <c r="J14" s="305"/>
      <c r="K14" s="346"/>
      <c r="L14" s="341"/>
    </row>
    <row r="15" spans="1:12" x14ac:dyDescent="0.2">
      <c r="A15" s="98">
        <f t="shared" si="3"/>
        <v>2022</v>
      </c>
      <c r="B15" s="184">
        <f t="shared" si="4"/>
        <v>6</v>
      </c>
      <c r="C15" s="182">
        <v>0</v>
      </c>
      <c r="D15" s="182">
        <f t="shared" si="5"/>
        <v>1294.3715723939572</v>
      </c>
      <c r="E15" s="182">
        <f t="shared" si="0"/>
        <v>1294.3715723939572</v>
      </c>
      <c r="F15" s="182">
        <f>SUM('III.3 Benefits_Grouping'!C12:G12)*0.02</f>
        <v>9759.75</v>
      </c>
      <c r="G15" s="182">
        <f>'III.3 Benefits_Grouping'!J12*0.02</f>
        <v>3690</v>
      </c>
      <c r="H15" s="182">
        <f t="shared" si="1"/>
        <v>13449.75</v>
      </c>
      <c r="I15" s="182">
        <f t="shared" si="2"/>
        <v>12155.378427606043</v>
      </c>
      <c r="J15" s="305"/>
      <c r="L15" s="341"/>
    </row>
    <row r="16" spans="1:12" x14ac:dyDescent="0.2">
      <c r="A16" s="98">
        <f t="shared" si="3"/>
        <v>2023</v>
      </c>
      <c r="B16" s="184">
        <f t="shared" si="4"/>
        <v>7</v>
      </c>
      <c r="C16" s="182">
        <v>0</v>
      </c>
      <c r="D16" s="182">
        <f t="shared" si="5"/>
        <v>1294.3715723939572</v>
      </c>
      <c r="E16" s="182">
        <f t="shared" si="0"/>
        <v>1294.3715723939572</v>
      </c>
      <c r="F16" s="182">
        <f>SUM('III.3 Benefits_Grouping'!C13:G13)*0.02</f>
        <v>9818.625</v>
      </c>
      <c r="G16" s="182">
        <f>'III.3 Benefits_Grouping'!J13*0.02</f>
        <v>3690</v>
      </c>
      <c r="H16" s="182">
        <f t="shared" si="1"/>
        <v>13508.625</v>
      </c>
      <c r="I16" s="182">
        <f t="shared" si="2"/>
        <v>12214.253427606043</v>
      </c>
      <c r="J16" s="305"/>
      <c r="L16" s="341"/>
    </row>
    <row r="17" spans="1:12" x14ac:dyDescent="0.2">
      <c r="A17" s="98">
        <f t="shared" si="3"/>
        <v>2024</v>
      </c>
      <c r="B17" s="184">
        <f t="shared" si="4"/>
        <v>8</v>
      </c>
      <c r="C17" s="182">
        <v>0</v>
      </c>
      <c r="D17" s="182">
        <f t="shared" si="5"/>
        <v>1294.3715723939572</v>
      </c>
      <c r="E17" s="182">
        <f t="shared" si="0"/>
        <v>1294.3715723939572</v>
      </c>
      <c r="F17" s="182">
        <f>SUM('III.3 Benefits_Grouping'!C14:G14)*0.02</f>
        <v>9877.5</v>
      </c>
      <c r="G17" s="182">
        <f>'III.3 Benefits_Grouping'!J14*0.02</f>
        <v>3690</v>
      </c>
      <c r="H17" s="182">
        <f t="shared" si="1"/>
        <v>13567.5</v>
      </c>
      <c r="I17" s="182">
        <f t="shared" si="2"/>
        <v>12273.128427606043</v>
      </c>
      <c r="J17" s="305"/>
      <c r="L17" s="341"/>
    </row>
    <row r="18" spans="1:12" x14ac:dyDescent="0.2">
      <c r="A18" s="98">
        <f t="shared" si="3"/>
        <v>2025</v>
      </c>
      <c r="B18" s="184">
        <f t="shared" si="4"/>
        <v>9</v>
      </c>
      <c r="C18" s="182">
        <v>0</v>
      </c>
      <c r="D18" s="182">
        <f t="shared" si="5"/>
        <v>1294.3715723939572</v>
      </c>
      <c r="E18" s="182">
        <f t="shared" si="0"/>
        <v>1294.3715723939572</v>
      </c>
      <c r="F18" s="182">
        <f>SUM('III.3 Benefits_Grouping'!C15:G15)*0.02</f>
        <v>9936.375</v>
      </c>
      <c r="G18" s="182">
        <f>'III.3 Benefits_Grouping'!J15*0.02</f>
        <v>3690</v>
      </c>
      <c r="H18" s="182">
        <f t="shared" si="1"/>
        <v>13626.375</v>
      </c>
      <c r="I18" s="182">
        <f t="shared" si="2"/>
        <v>12332.003427606043</v>
      </c>
      <c r="J18" s="305"/>
    </row>
    <row r="19" spans="1:12" x14ac:dyDescent="0.2">
      <c r="A19" s="98">
        <f t="shared" si="3"/>
        <v>2026</v>
      </c>
      <c r="B19" s="184">
        <f t="shared" si="4"/>
        <v>10</v>
      </c>
      <c r="C19" s="182">
        <v>0</v>
      </c>
      <c r="D19" s="182">
        <f t="shared" si="5"/>
        <v>1294.3715723939572</v>
      </c>
      <c r="E19" s="182">
        <f t="shared" si="0"/>
        <v>1294.3715723939572</v>
      </c>
      <c r="F19" s="182">
        <f>SUM('III.3 Benefits_Grouping'!C16:G16)*0.02</f>
        <v>9995.25</v>
      </c>
      <c r="G19" s="182">
        <f>'III.3 Benefits_Grouping'!J16*0.02</f>
        <v>3690</v>
      </c>
      <c r="H19" s="182">
        <f t="shared" si="1"/>
        <v>13685.25</v>
      </c>
      <c r="I19" s="182">
        <f t="shared" si="2"/>
        <v>12390.878427606043</v>
      </c>
      <c r="J19" s="305"/>
    </row>
    <row r="20" spans="1:12" x14ac:dyDescent="0.2">
      <c r="A20" s="98">
        <f t="shared" si="3"/>
        <v>2027</v>
      </c>
      <c r="B20" s="184">
        <f t="shared" si="4"/>
        <v>11</v>
      </c>
      <c r="C20" s="182">
        <v>0</v>
      </c>
      <c r="D20" s="182">
        <f t="shared" si="5"/>
        <v>1294.3715723939572</v>
      </c>
      <c r="E20" s="182">
        <f t="shared" si="0"/>
        <v>1294.3715723939572</v>
      </c>
      <c r="F20" s="182">
        <f>SUM('III.3 Benefits_Grouping'!C17:G17)*0.02</f>
        <v>10054.125</v>
      </c>
      <c r="G20" s="182">
        <f>'III.3 Benefits_Grouping'!J17*0.02</f>
        <v>3690</v>
      </c>
      <c r="H20" s="182">
        <f t="shared" si="1"/>
        <v>13744.125</v>
      </c>
      <c r="I20" s="182">
        <f t="shared" si="2"/>
        <v>12449.753427606043</v>
      </c>
      <c r="J20" s="305"/>
    </row>
    <row r="21" spans="1:12" x14ac:dyDescent="0.2">
      <c r="A21" s="98">
        <f t="shared" si="3"/>
        <v>2028</v>
      </c>
      <c r="B21" s="184">
        <f t="shared" si="4"/>
        <v>12</v>
      </c>
      <c r="C21" s="182">
        <v>0</v>
      </c>
      <c r="D21" s="182">
        <f t="shared" si="5"/>
        <v>1294.3715723939572</v>
      </c>
      <c r="E21" s="182">
        <f t="shared" si="0"/>
        <v>1294.3715723939572</v>
      </c>
      <c r="F21" s="182">
        <f>SUM('III.3 Benefits_Grouping'!C18:G18)*0.02</f>
        <v>10113</v>
      </c>
      <c r="G21" s="182">
        <f>'III.3 Benefits_Grouping'!J18*0.02</f>
        <v>3690</v>
      </c>
      <c r="H21" s="182">
        <f t="shared" si="1"/>
        <v>13803</v>
      </c>
      <c r="I21" s="182">
        <f t="shared" si="2"/>
        <v>12508.628427606043</v>
      </c>
      <c r="J21" s="305"/>
    </row>
    <row r="22" spans="1:12" x14ac:dyDescent="0.2">
      <c r="A22" s="98">
        <f t="shared" si="3"/>
        <v>2029</v>
      </c>
      <c r="B22" s="184">
        <f t="shared" si="4"/>
        <v>13</v>
      </c>
      <c r="C22" s="182">
        <v>0</v>
      </c>
      <c r="D22" s="182">
        <f t="shared" si="5"/>
        <v>1294.3715723939572</v>
      </c>
      <c r="E22" s="182">
        <f t="shared" si="0"/>
        <v>1294.3715723939572</v>
      </c>
      <c r="F22" s="182">
        <f>SUM('III.3 Benefits_Grouping'!C19:G19)*0.02</f>
        <v>10171.875</v>
      </c>
      <c r="G22" s="182">
        <f>'III.3 Benefits_Grouping'!J19*0.02</f>
        <v>3690</v>
      </c>
      <c r="H22" s="182">
        <f t="shared" si="1"/>
        <v>13861.875</v>
      </c>
      <c r="I22" s="182">
        <f t="shared" si="2"/>
        <v>12567.503427606043</v>
      </c>
      <c r="J22" s="305"/>
    </row>
    <row r="23" spans="1:12" x14ac:dyDescent="0.2">
      <c r="A23" s="98">
        <f t="shared" si="3"/>
        <v>2030</v>
      </c>
      <c r="B23" s="184">
        <f t="shared" si="4"/>
        <v>14</v>
      </c>
      <c r="C23" s="182">
        <v>0</v>
      </c>
      <c r="D23" s="182">
        <f t="shared" si="5"/>
        <v>1294.3715723939572</v>
      </c>
      <c r="E23" s="182">
        <f t="shared" si="0"/>
        <v>1294.3715723939572</v>
      </c>
      <c r="F23" s="182">
        <f>SUM('III.3 Benefits_Grouping'!C20:G20)*0.02</f>
        <v>10230.75</v>
      </c>
      <c r="G23" s="182">
        <f>'III.3 Benefits_Grouping'!J20*0.02</f>
        <v>3690</v>
      </c>
      <c r="H23" s="182">
        <f t="shared" si="1"/>
        <v>13920.75</v>
      </c>
      <c r="I23" s="182">
        <f t="shared" si="2"/>
        <v>12626.378427606043</v>
      </c>
      <c r="J23" s="305"/>
    </row>
    <row r="24" spans="1:12" x14ac:dyDescent="0.2">
      <c r="A24" s="98">
        <f t="shared" si="3"/>
        <v>2031</v>
      </c>
      <c r="B24" s="184">
        <f t="shared" si="4"/>
        <v>15</v>
      </c>
      <c r="C24" s="182">
        <v>0</v>
      </c>
      <c r="D24" s="182">
        <f t="shared" si="5"/>
        <v>1294.3715723939572</v>
      </c>
      <c r="E24" s="182">
        <f t="shared" si="0"/>
        <v>1294.3715723939572</v>
      </c>
      <c r="F24" s="182">
        <f>SUM('III.3 Benefits_Grouping'!C21:G21)*0.02</f>
        <v>10289.625</v>
      </c>
      <c r="G24" s="182">
        <f>'III.3 Benefits_Grouping'!J21*0.02</f>
        <v>3690</v>
      </c>
      <c r="H24" s="182">
        <f t="shared" si="1"/>
        <v>13979.625</v>
      </c>
      <c r="I24" s="182">
        <f t="shared" si="2"/>
        <v>12685.253427606043</v>
      </c>
      <c r="J24" s="305"/>
    </row>
    <row r="25" spans="1:12" x14ac:dyDescent="0.2">
      <c r="A25" s="98">
        <f t="shared" si="3"/>
        <v>2032</v>
      </c>
      <c r="B25" s="184">
        <f t="shared" si="4"/>
        <v>16</v>
      </c>
      <c r="C25" s="182">
        <v>0</v>
      </c>
      <c r="D25" s="182">
        <f t="shared" si="5"/>
        <v>1294.3715723939572</v>
      </c>
      <c r="E25" s="182">
        <f t="shared" si="0"/>
        <v>1294.3715723939572</v>
      </c>
      <c r="F25" s="182">
        <f>SUM('III.3 Benefits_Grouping'!C22:G22)*0.02</f>
        <v>10348.5</v>
      </c>
      <c r="G25" s="182">
        <f>'III.3 Benefits_Grouping'!J22*0.02</f>
        <v>3690</v>
      </c>
      <c r="H25" s="182">
        <f t="shared" si="1"/>
        <v>14038.5</v>
      </c>
      <c r="I25" s="182">
        <f t="shared" si="2"/>
        <v>12744.128427606043</v>
      </c>
      <c r="J25" s="305"/>
    </row>
    <row r="26" spans="1:12" x14ac:dyDescent="0.2">
      <c r="A26" s="98">
        <f t="shared" si="3"/>
        <v>2033</v>
      </c>
      <c r="B26" s="184">
        <f t="shared" si="4"/>
        <v>17</v>
      </c>
      <c r="C26" s="182">
        <v>0</v>
      </c>
      <c r="D26" s="182">
        <f t="shared" si="5"/>
        <v>1294.3715723939572</v>
      </c>
      <c r="E26" s="182">
        <f t="shared" si="0"/>
        <v>1294.3715723939572</v>
      </c>
      <c r="F26" s="182">
        <f>SUM('III.3 Benefits_Grouping'!C23:G23)*0.02</f>
        <v>10407.375</v>
      </c>
      <c r="G26" s="182">
        <f>'III.3 Benefits_Grouping'!J23*0.02</f>
        <v>3690</v>
      </c>
      <c r="H26" s="182">
        <f t="shared" si="1"/>
        <v>14097.375</v>
      </c>
      <c r="I26" s="182">
        <f t="shared" si="2"/>
        <v>12803.003427606043</v>
      </c>
      <c r="J26" s="305"/>
    </row>
    <row r="27" spans="1:12" x14ac:dyDescent="0.2">
      <c r="A27" s="98">
        <f t="shared" si="3"/>
        <v>2034</v>
      </c>
      <c r="B27" s="184">
        <f t="shared" si="4"/>
        <v>18</v>
      </c>
      <c r="C27" s="182">
        <v>0</v>
      </c>
      <c r="D27" s="182">
        <f t="shared" si="5"/>
        <v>1294.3715723939572</v>
      </c>
      <c r="E27" s="182">
        <f t="shared" si="0"/>
        <v>1294.3715723939572</v>
      </c>
      <c r="F27" s="182">
        <f>SUM('III.3 Benefits_Grouping'!C24:G24)*0.02</f>
        <v>10466.25</v>
      </c>
      <c r="G27" s="182">
        <f>'III.3 Benefits_Grouping'!J24*0.02</f>
        <v>3690</v>
      </c>
      <c r="H27" s="182">
        <f t="shared" si="1"/>
        <v>14156.25</v>
      </c>
      <c r="I27" s="182">
        <f t="shared" si="2"/>
        <v>12861.878427606043</v>
      </c>
      <c r="J27" s="305"/>
    </row>
    <row r="28" spans="1:12" x14ac:dyDescent="0.2">
      <c r="A28" s="98">
        <f t="shared" si="3"/>
        <v>2035</v>
      </c>
      <c r="B28" s="184">
        <f t="shared" si="4"/>
        <v>19</v>
      </c>
      <c r="C28" s="182">
        <v>0</v>
      </c>
      <c r="D28" s="182">
        <f t="shared" si="5"/>
        <v>1294.3715723939572</v>
      </c>
      <c r="E28" s="182">
        <f t="shared" si="0"/>
        <v>1294.3715723939572</v>
      </c>
      <c r="F28" s="182">
        <f>SUM('III.3 Benefits_Grouping'!C25:G25)*0.02</f>
        <v>10525.125</v>
      </c>
      <c r="G28" s="182">
        <f>'III.3 Benefits_Grouping'!J25*0.02</f>
        <v>3690</v>
      </c>
      <c r="H28" s="182">
        <f t="shared" si="1"/>
        <v>14215.125</v>
      </c>
      <c r="I28" s="182">
        <f t="shared" si="2"/>
        <v>12920.753427606043</v>
      </c>
      <c r="J28" s="305"/>
    </row>
    <row r="29" spans="1:12" x14ac:dyDescent="0.2">
      <c r="A29" s="98">
        <f t="shared" si="3"/>
        <v>2036</v>
      </c>
      <c r="B29" s="184">
        <f t="shared" si="4"/>
        <v>20</v>
      </c>
      <c r="C29" s="182">
        <v>0</v>
      </c>
      <c r="D29" s="182">
        <f t="shared" si="5"/>
        <v>1294.3715723939572</v>
      </c>
      <c r="E29" s="182">
        <f t="shared" si="0"/>
        <v>1294.3715723939572</v>
      </c>
      <c r="F29" s="182">
        <f>SUM('III.3 Benefits_Grouping'!C26:G26)*0.02</f>
        <v>10584</v>
      </c>
      <c r="G29" s="182">
        <f>'III.3 Benefits_Grouping'!J26*0.02</f>
        <v>3690</v>
      </c>
      <c r="H29" s="182">
        <f t="shared" si="1"/>
        <v>14274</v>
      </c>
      <c r="I29" s="182">
        <f t="shared" si="2"/>
        <v>12979.628427606043</v>
      </c>
      <c r="J29" s="305"/>
    </row>
    <row r="30" spans="1:12" x14ac:dyDescent="0.2">
      <c r="A30" s="98">
        <f t="shared" si="3"/>
        <v>2037</v>
      </c>
      <c r="B30" s="184">
        <f t="shared" si="4"/>
        <v>21</v>
      </c>
      <c r="C30" s="182">
        <v>0</v>
      </c>
      <c r="D30" s="182">
        <f t="shared" si="5"/>
        <v>1294.3715723939572</v>
      </c>
      <c r="E30" s="182">
        <f t="shared" si="0"/>
        <v>1294.3715723939572</v>
      </c>
      <c r="F30" s="182">
        <f>SUM('III.3 Benefits_Grouping'!C27:G27)*0.02</f>
        <v>10642.875</v>
      </c>
      <c r="G30" s="182">
        <f>'III.3 Benefits_Grouping'!J27*0.02</f>
        <v>3690</v>
      </c>
      <c r="H30" s="182">
        <f t="shared" si="1"/>
        <v>14332.875</v>
      </c>
      <c r="I30" s="182">
        <f t="shared" si="2"/>
        <v>13038.503427606043</v>
      </c>
      <c r="J30" s="305"/>
    </row>
    <row r="31" spans="1:12" x14ac:dyDescent="0.2">
      <c r="A31" s="98">
        <f t="shared" si="3"/>
        <v>2038</v>
      </c>
      <c r="B31" s="184">
        <f t="shared" si="4"/>
        <v>22</v>
      </c>
      <c r="C31" s="182">
        <v>0</v>
      </c>
      <c r="D31" s="182">
        <f t="shared" si="5"/>
        <v>1294.3715723939572</v>
      </c>
      <c r="E31" s="182">
        <f t="shared" si="0"/>
        <v>1294.3715723939572</v>
      </c>
      <c r="F31" s="182">
        <f>SUM('III.3 Benefits_Grouping'!C28:G28)*0.02</f>
        <v>10701.75</v>
      </c>
      <c r="G31" s="182">
        <f>'III.3 Benefits_Grouping'!J28*0.02</f>
        <v>3690</v>
      </c>
      <c r="H31" s="182">
        <f t="shared" si="1"/>
        <v>14391.75</v>
      </c>
      <c r="I31" s="182">
        <f t="shared" si="2"/>
        <v>13097.378427606043</v>
      </c>
      <c r="J31" s="305"/>
    </row>
    <row r="32" spans="1:12" x14ac:dyDescent="0.2">
      <c r="A32" s="98">
        <f t="shared" si="3"/>
        <v>2039</v>
      </c>
      <c r="B32" s="184">
        <f t="shared" si="4"/>
        <v>23</v>
      </c>
      <c r="C32" s="182">
        <v>0</v>
      </c>
      <c r="D32" s="182">
        <f t="shared" si="5"/>
        <v>1294.3715723939572</v>
      </c>
      <c r="E32" s="182">
        <f t="shared" si="0"/>
        <v>1294.3715723939572</v>
      </c>
      <c r="F32" s="182">
        <f>SUM('III.3 Benefits_Grouping'!C29:G29)*0.02</f>
        <v>10760.625</v>
      </c>
      <c r="G32" s="182">
        <f>'III.3 Benefits_Grouping'!J29*0.02</f>
        <v>3690</v>
      </c>
      <c r="H32" s="182">
        <f t="shared" si="1"/>
        <v>14450.625</v>
      </c>
      <c r="I32" s="182">
        <f t="shared" si="2"/>
        <v>13156.253427606043</v>
      </c>
      <c r="J32" s="305"/>
    </row>
    <row r="33" spans="1:10" x14ac:dyDescent="0.2">
      <c r="A33" s="98">
        <f t="shared" si="3"/>
        <v>2040</v>
      </c>
      <c r="B33" s="184">
        <f t="shared" si="4"/>
        <v>24</v>
      </c>
      <c r="C33" s="182">
        <v>0</v>
      </c>
      <c r="D33" s="182">
        <f t="shared" si="5"/>
        <v>1294.3715723939572</v>
      </c>
      <c r="E33" s="182">
        <f t="shared" si="0"/>
        <v>1294.3715723939572</v>
      </c>
      <c r="F33" s="182">
        <f>SUM('III.3 Benefits_Grouping'!C30:G30)*0.02</f>
        <v>10819.5</v>
      </c>
      <c r="G33" s="182">
        <f>'III.3 Benefits_Grouping'!J30*0.02</f>
        <v>3690</v>
      </c>
      <c r="H33" s="182">
        <f t="shared" si="1"/>
        <v>14509.5</v>
      </c>
      <c r="I33" s="182">
        <f t="shared" si="2"/>
        <v>13215.128427606043</v>
      </c>
      <c r="J33" s="305"/>
    </row>
    <row r="34" spans="1:10" x14ac:dyDescent="0.2">
      <c r="A34" s="98">
        <f t="shared" si="3"/>
        <v>2041</v>
      </c>
      <c r="B34" s="184">
        <f t="shared" si="4"/>
        <v>25</v>
      </c>
      <c r="C34" s="182">
        <v>0</v>
      </c>
      <c r="D34" s="182">
        <f t="shared" si="5"/>
        <v>1294.3715723939572</v>
      </c>
      <c r="E34" s="182">
        <f t="shared" si="0"/>
        <v>1294.3715723939572</v>
      </c>
      <c r="F34" s="182">
        <f>SUM('III.3 Benefits_Grouping'!C31:G31)*0.02</f>
        <v>10878.375</v>
      </c>
      <c r="G34" s="182">
        <f>'III.3 Benefits_Grouping'!J31*0.02</f>
        <v>3690</v>
      </c>
      <c r="H34" s="182">
        <f t="shared" si="1"/>
        <v>14568.375</v>
      </c>
      <c r="I34" s="182">
        <f t="shared" si="2"/>
        <v>13274.003427606043</v>
      </c>
      <c r="J34" s="305"/>
    </row>
    <row r="35" spans="1:10" x14ac:dyDescent="0.2">
      <c r="A35" s="98">
        <f t="shared" si="3"/>
        <v>2042</v>
      </c>
      <c r="B35" s="184">
        <f t="shared" si="4"/>
        <v>26</v>
      </c>
      <c r="C35" s="182">
        <v>0</v>
      </c>
      <c r="D35" s="182">
        <f t="shared" si="5"/>
        <v>1294.3715723939572</v>
      </c>
      <c r="E35" s="182">
        <f t="shared" si="0"/>
        <v>1294.3715723939572</v>
      </c>
      <c r="F35" s="182">
        <f>SUM('III.3 Benefits_Grouping'!C32:G32)*0.02</f>
        <v>10937.25</v>
      </c>
      <c r="G35" s="182">
        <f>'III.3 Benefits_Grouping'!J32*0.02</f>
        <v>3690</v>
      </c>
      <c r="H35" s="182">
        <f t="shared" si="1"/>
        <v>14627.25</v>
      </c>
      <c r="I35" s="182">
        <f t="shared" si="2"/>
        <v>13332.878427606043</v>
      </c>
      <c r="J35" s="305"/>
    </row>
    <row r="36" spans="1:10" x14ac:dyDescent="0.2">
      <c r="A36" s="98">
        <f t="shared" si="3"/>
        <v>2043</v>
      </c>
      <c r="B36" s="184">
        <f t="shared" si="4"/>
        <v>27</v>
      </c>
      <c r="C36" s="182">
        <v>0</v>
      </c>
      <c r="D36" s="182">
        <f t="shared" si="5"/>
        <v>1294.3715723939572</v>
      </c>
      <c r="E36" s="182">
        <f t="shared" si="0"/>
        <v>1294.3715723939572</v>
      </c>
      <c r="F36" s="182">
        <f>SUM('III.3 Benefits_Grouping'!C33:G33)*0.02</f>
        <v>10996.125</v>
      </c>
      <c r="G36" s="182">
        <f>'III.3 Benefits_Grouping'!J33*0.02</f>
        <v>3690</v>
      </c>
      <c r="H36" s="182">
        <f t="shared" si="1"/>
        <v>14686.125</v>
      </c>
      <c r="I36" s="182">
        <f t="shared" si="2"/>
        <v>13391.753427606043</v>
      </c>
      <c r="J36" s="305"/>
    </row>
    <row r="37" spans="1:10" x14ac:dyDescent="0.2">
      <c r="A37" s="98">
        <f t="shared" si="3"/>
        <v>2044</v>
      </c>
      <c r="B37" s="184">
        <f t="shared" si="4"/>
        <v>28</v>
      </c>
      <c r="C37" s="182">
        <v>0</v>
      </c>
      <c r="D37" s="182">
        <f t="shared" si="5"/>
        <v>1294.3715723939572</v>
      </c>
      <c r="E37" s="182">
        <f t="shared" si="0"/>
        <v>1294.3715723939572</v>
      </c>
      <c r="F37" s="182">
        <f>SUM('III.3 Benefits_Grouping'!C34:G34)*0.02</f>
        <v>11055</v>
      </c>
      <c r="G37" s="182">
        <f>'III.3 Benefits_Grouping'!J34*0.02</f>
        <v>3690</v>
      </c>
      <c r="H37" s="182">
        <f t="shared" si="1"/>
        <v>14745</v>
      </c>
      <c r="I37" s="182">
        <f t="shared" si="2"/>
        <v>13450.628427606043</v>
      </c>
      <c r="J37" s="305"/>
    </row>
    <row r="38" spans="1:10" x14ac:dyDescent="0.2">
      <c r="A38" s="98">
        <f t="shared" si="3"/>
        <v>2045</v>
      </c>
      <c r="B38" s="184">
        <f t="shared" si="4"/>
        <v>29</v>
      </c>
      <c r="C38" s="182">
        <v>0</v>
      </c>
      <c r="D38" s="182">
        <f t="shared" si="5"/>
        <v>1294.3715723939572</v>
      </c>
      <c r="E38" s="182">
        <f t="shared" si="0"/>
        <v>1294.3715723939572</v>
      </c>
      <c r="F38" s="182">
        <f>SUM('III.3 Benefits_Grouping'!C35:G35)*0.02</f>
        <v>11113.875</v>
      </c>
      <c r="G38" s="182">
        <f>'III.3 Benefits_Grouping'!J35*0.02</f>
        <v>3690</v>
      </c>
      <c r="H38" s="182">
        <f t="shared" si="1"/>
        <v>14803.875</v>
      </c>
      <c r="I38" s="182">
        <f t="shared" si="2"/>
        <v>13509.503427606043</v>
      </c>
      <c r="J38" s="305"/>
    </row>
    <row r="39" spans="1:10" x14ac:dyDescent="0.2">
      <c r="A39" s="98">
        <f t="shared" si="3"/>
        <v>2046</v>
      </c>
      <c r="B39" s="184">
        <f t="shared" si="4"/>
        <v>30</v>
      </c>
      <c r="C39" s="182">
        <v>0</v>
      </c>
      <c r="D39" s="182">
        <f t="shared" si="5"/>
        <v>1294.3715723939572</v>
      </c>
      <c r="E39" s="182">
        <f t="shared" si="0"/>
        <v>1294.3715723939572</v>
      </c>
      <c r="F39" s="182">
        <f>SUM('III.3 Benefits_Grouping'!C36:G36)*0.02</f>
        <v>11172.75</v>
      </c>
      <c r="G39" s="182">
        <f>'III.3 Benefits_Grouping'!J36*0.02</f>
        <v>3690</v>
      </c>
      <c r="H39" s="182">
        <f t="shared" si="1"/>
        <v>14862.75</v>
      </c>
      <c r="I39" s="182">
        <f t="shared" si="2"/>
        <v>13568.378427606043</v>
      </c>
      <c r="J39" s="305"/>
    </row>
    <row r="40" spans="1:10" x14ac:dyDescent="0.2">
      <c r="A40" s="98">
        <f t="shared" si="3"/>
        <v>2047</v>
      </c>
      <c r="B40" s="184">
        <f t="shared" si="4"/>
        <v>31</v>
      </c>
      <c r="C40" s="182">
        <v>0</v>
      </c>
      <c r="D40" s="182">
        <f t="shared" si="5"/>
        <v>1294.3715723939572</v>
      </c>
      <c r="E40" s="182">
        <f t="shared" si="0"/>
        <v>1294.3715723939572</v>
      </c>
      <c r="F40" s="182">
        <f>SUM('III.3 Benefits_Grouping'!C37:G37)*0.02</f>
        <v>11231.625</v>
      </c>
      <c r="G40" s="182">
        <f>'III.3 Benefits_Grouping'!J37*0.02</f>
        <v>3690</v>
      </c>
      <c r="H40" s="182">
        <f t="shared" si="1"/>
        <v>14921.625</v>
      </c>
      <c r="I40" s="182">
        <f t="shared" si="2"/>
        <v>13627.253427606043</v>
      </c>
      <c r="J40" s="305"/>
    </row>
    <row r="41" spans="1:10" x14ac:dyDescent="0.2">
      <c r="A41" s="98">
        <f t="shared" si="3"/>
        <v>2048</v>
      </c>
      <c r="B41" s="184">
        <f t="shared" si="4"/>
        <v>32</v>
      </c>
      <c r="C41" s="182">
        <v>0</v>
      </c>
      <c r="D41" s="182">
        <f t="shared" si="5"/>
        <v>1294.3715723939572</v>
      </c>
      <c r="E41" s="182">
        <f t="shared" ref="E41:E59" si="6">SUM(C41:D41)</f>
        <v>1294.3715723939572</v>
      </c>
      <c r="F41" s="182">
        <f>SUM('III.3 Benefits_Grouping'!C38:G38)*0.02</f>
        <v>11290.5</v>
      </c>
      <c r="G41" s="182">
        <f>'III.3 Benefits_Grouping'!J38*0.02</f>
        <v>3690</v>
      </c>
      <c r="H41" s="182">
        <f t="shared" ref="H41:H59" si="7">SUM(F41:G41)</f>
        <v>14980.5</v>
      </c>
      <c r="I41" s="182">
        <f t="shared" ref="I41:I59" si="8">(H41-E41)</f>
        <v>13686.128427606043</v>
      </c>
      <c r="J41" s="305"/>
    </row>
    <row r="42" spans="1:10" x14ac:dyDescent="0.2">
      <c r="A42" s="98">
        <f t="shared" ref="A42:A59" si="9">(A41+1)</f>
        <v>2049</v>
      </c>
      <c r="B42" s="184">
        <f t="shared" ref="B42:B59" si="10">(B41+1)</f>
        <v>33</v>
      </c>
      <c r="C42" s="182">
        <v>0</v>
      </c>
      <c r="D42" s="182">
        <f t="shared" si="5"/>
        <v>1294.3715723939572</v>
      </c>
      <c r="E42" s="182">
        <f t="shared" si="6"/>
        <v>1294.3715723939572</v>
      </c>
      <c r="F42" s="182">
        <f>SUM('III.3 Benefits_Grouping'!C39:G39)*0.02</f>
        <v>11349.375</v>
      </c>
      <c r="G42" s="182">
        <f>'III.3 Benefits_Grouping'!J39*0.02</f>
        <v>3690</v>
      </c>
      <c r="H42" s="182">
        <f t="shared" si="7"/>
        <v>15039.375</v>
      </c>
      <c r="I42" s="182">
        <f t="shared" si="8"/>
        <v>13745.003427606043</v>
      </c>
      <c r="J42" s="305"/>
    </row>
    <row r="43" spans="1:10" x14ac:dyDescent="0.2">
      <c r="A43" s="98">
        <f t="shared" si="9"/>
        <v>2050</v>
      </c>
      <c r="B43" s="184">
        <f t="shared" si="10"/>
        <v>34</v>
      </c>
      <c r="C43" s="182">
        <v>0</v>
      </c>
      <c r="D43" s="182">
        <f t="shared" si="5"/>
        <v>1294.3715723939572</v>
      </c>
      <c r="E43" s="182">
        <f t="shared" si="6"/>
        <v>1294.3715723939572</v>
      </c>
      <c r="F43" s="182">
        <f>SUM('III.3 Benefits_Grouping'!C40:G40)*0.02</f>
        <v>11408.25</v>
      </c>
      <c r="G43" s="182">
        <f>'III.3 Benefits_Grouping'!J40*0.02</f>
        <v>3690</v>
      </c>
      <c r="H43" s="182">
        <f t="shared" si="7"/>
        <v>15098.25</v>
      </c>
      <c r="I43" s="182">
        <f t="shared" si="8"/>
        <v>13803.878427606043</v>
      </c>
      <c r="J43" s="305"/>
    </row>
    <row r="44" spans="1:10" x14ac:dyDescent="0.2">
      <c r="A44" s="98">
        <f t="shared" si="9"/>
        <v>2051</v>
      </c>
      <c r="B44" s="184">
        <f t="shared" si="10"/>
        <v>35</v>
      </c>
      <c r="C44" s="182">
        <v>0</v>
      </c>
      <c r="D44" s="182">
        <f t="shared" si="5"/>
        <v>1294.3715723939572</v>
      </c>
      <c r="E44" s="182">
        <f t="shared" si="6"/>
        <v>1294.3715723939572</v>
      </c>
      <c r="F44" s="182">
        <f>SUM('III.3 Benefits_Grouping'!C41:G41)*0.02</f>
        <v>11467.125</v>
      </c>
      <c r="G44" s="182">
        <f>'III.3 Benefits_Grouping'!J41*0.02</f>
        <v>3690</v>
      </c>
      <c r="H44" s="182">
        <f t="shared" si="7"/>
        <v>15157.125</v>
      </c>
      <c r="I44" s="182">
        <f t="shared" si="8"/>
        <v>13862.753427606043</v>
      </c>
      <c r="J44" s="305"/>
    </row>
    <row r="45" spans="1:10" x14ac:dyDescent="0.2">
      <c r="A45" s="98">
        <f t="shared" si="9"/>
        <v>2052</v>
      </c>
      <c r="B45" s="184">
        <f t="shared" si="10"/>
        <v>36</v>
      </c>
      <c r="C45" s="182">
        <v>0</v>
      </c>
      <c r="D45" s="182">
        <f t="shared" si="5"/>
        <v>1294.3715723939572</v>
      </c>
      <c r="E45" s="182">
        <f t="shared" si="6"/>
        <v>1294.3715723939572</v>
      </c>
      <c r="F45" s="182">
        <f>SUM('III.3 Benefits_Grouping'!C42:G42)*0.02</f>
        <v>11526</v>
      </c>
      <c r="G45" s="182">
        <f>'III.3 Benefits_Grouping'!J42*0.02</f>
        <v>3690</v>
      </c>
      <c r="H45" s="182">
        <f t="shared" si="7"/>
        <v>15216</v>
      </c>
      <c r="I45" s="182">
        <f t="shared" si="8"/>
        <v>13921.628427606043</v>
      </c>
      <c r="J45" s="305"/>
    </row>
    <row r="46" spans="1:10" x14ac:dyDescent="0.2">
      <c r="A46" s="98">
        <f t="shared" si="9"/>
        <v>2053</v>
      </c>
      <c r="B46" s="184">
        <f t="shared" si="10"/>
        <v>37</v>
      </c>
      <c r="C46" s="182">
        <v>0</v>
      </c>
      <c r="D46" s="182">
        <f t="shared" si="5"/>
        <v>1294.3715723939572</v>
      </c>
      <c r="E46" s="182">
        <f t="shared" si="6"/>
        <v>1294.3715723939572</v>
      </c>
      <c r="F46" s="182">
        <f>SUM('III.3 Benefits_Grouping'!C43:G43)*0.02</f>
        <v>11584.875</v>
      </c>
      <c r="G46" s="182">
        <f>'III.3 Benefits_Grouping'!J43*0.02</f>
        <v>3690</v>
      </c>
      <c r="H46" s="182">
        <f t="shared" si="7"/>
        <v>15274.875</v>
      </c>
      <c r="I46" s="182">
        <f t="shared" si="8"/>
        <v>13980.503427606043</v>
      </c>
      <c r="J46" s="305"/>
    </row>
    <row r="47" spans="1:10" x14ac:dyDescent="0.2">
      <c r="A47" s="98">
        <f t="shared" si="9"/>
        <v>2054</v>
      </c>
      <c r="B47" s="184">
        <f t="shared" si="10"/>
        <v>38</v>
      </c>
      <c r="C47" s="182">
        <v>0</v>
      </c>
      <c r="D47" s="182">
        <f t="shared" si="5"/>
        <v>1294.3715723939572</v>
      </c>
      <c r="E47" s="182">
        <f t="shared" si="6"/>
        <v>1294.3715723939572</v>
      </c>
      <c r="F47" s="182">
        <f>SUM('III.3 Benefits_Grouping'!C44:G44)*0.02</f>
        <v>11643.75</v>
      </c>
      <c r="G47" s="182">
        <f>'III.3 Benefits_Grouping'!J44*0.02</f>
        <v>3690</v>
      </c>
      <c r="H47" s="182">
        <f t="shared" si="7"/>
        <v>15333.75</v>
      </c>
      <c r="I47" s="182">
        <f t="shared" si="8"/>
        <v>14039.378427606043</v>
      </c>
      <c r="J47" s="305"/>
    </row>
    <row r="48" spans="1:10" x14ac:dyDescent="0.2">
      <c r="A48" s="98">
        <f t="shared" si="9"/>
        <v>2055</v>
      </c>
      <c r="B48" s="184">
        <f t="shared" si="10"/>
        <v>39</v>
      </c>
      <c r="C48" s="182">
        <v>0</v>
      </c>
      <c r="D48" s="182">
        <f t="shared" si="5"/>
        <v>1294.3715723939572</v>
      </c>
      <c r="E48" s="182">
        <f t="shared" si="6"/>
        <v>1294.3715723939572</v>
      </c>
      <c r="F48" s="182">
        <f>SUM('III.3 Benefits_Grouping'!C45:G45)*0.02</f>
        <v>11702.625</v>
      </c>
      <c r="G48" s="182">
        <f>'III.3 Benefits_Grouping'!J45*0.02</f>
        <v>3690</v>
      </c>
      <c r="H48" s="182">
        <f t="shared" si="7"/>
        <v>15392.625</v>
      </c>
      <c r="I48" s="182">
        <f t="shared" si="8"/>
        <v>14098.253427606043</v>
      </c>
      <c r="J48" s="305"/>
    </row>
    <row r="49" spans="1:11" x14ac:dyDescent="0.2">
      <c r="A49" s="98">
        <f t="shared" si="9"/>
        <v>2056</v>
      </c>
      <c r="B49" s="184">
        <f t="shared" si="10"/>
        <v>40</v>
      </c>
      <c r="C49" s="182">
        <v>0</v>
      </c>
      <c r="D49" s="182">
        <f t="shared" si="5"/>
        <v>1294.3715723939572</v>
      </c>
      <c r="E49" s="182">
        <f t="shared" si="6"/>
        <v>1294.3715723939572</v>
      </c>
      <c r="F49" s="182">
        <f>SUM('III.3 Benefits_Grouping'!C46:G46)*0.02</f>
        <v>11761.5</v>
      </c>
      <c r="G49" s="182">
        <f>'III.3 Benefits_Grouping'!J46*0.02</f>
        <v>3690</v>
      </c>
      <c r="H49" s="182">
        <f t="shared" si="7"/>
        <v>15451.5</v>
      </c>
      <c r="I49" s="182">
        <f t="shared" si="8"/>
        <v>14157.128427606043</v>
      </c>
      <c r="J49" s="305"/>
    </row>
    <row r="50" spans="1:11" x14ac:dyDescent="0.2">
      <c r="A50" s="98">
        <f t="shared" si="9"/>
        <v>2057</v>
      </c>
      <c r="B50" s="184">
        <f t="shared" si="10"/>
        <v>41</v>
      </c>
      <c r="C50" s="182">
        <v>0</v>
      </c>
      <c r="D50" s="182">
        <f t="shared" si="5"/>
        <v>1294.3715723939572</v>
      </c>
      <c r="E50" s="182">
        <f t="shared" si="6"/>
        <v>1294.3715723939572</v>
      </c>
      <c r="F50" s="182">
        <f>SUM('III.3 Benefits_Grouping'!C47:G47)*0.02</f>
        <v>11820.375</v>
      </c>
      <c r="G50" s="182">
        <f>'III.3 Benefits_Grouping'!J47*0.02</f>
        <v>3690</v>
      </c>
      <c r="H50" s="182">
        <f t="shared" si="7"/>
        <v>15510.375</v>
      </c>
      <c r="I50" s="182">
        <f t="shared" si="8"/>
        <v>14216.003427606043</v>
      </c>
      <c r="J50" s="305"/>
    </row>
    <row r="51" spans="1:11" x14ac:dyDescent="0.2">
      <c r="A51" s="98">
        <f t="shared" si="9"/>
        <v>2058</v>
      </c>
      <c r="B51" s="184">
        <f t="shared" si="10"/>
        <v>42</v>
      </c>
      <c r="C51" s="182">
        <v>0</v>
      </c>
      <c r="D51" s="182">
        <f t="shared" si="5"/>
        <v>1294.3715723939572</v>
      </c>
      <c r="E51" s="182">
        <f t="shared" si="6"/>
        <v>1294.3715723939572</v>
      </c>
      <c r="F51" s="182">
        <f>SUM('III.3 Benefits_Grouping'!C48:G48)*0.02</f>
        <v>11879.25</v>
      </c>
      <c r="G51" s="182">
        <f>'III.3 Benefits_Grouping'!J48*0.02</f>
        <v>3690</v>
      </c>
      <c r="H51" s="182">
        <f t="shared" si="7"/>
        <v>15569.25</v>
      </c>
      <c r="I51" s="182">
        <f t="shared" si="8"/>
        <v>14274.878427606043</v>
      </c>
      <c r="J51" s="305"/>
    </row>
    <row r="52" spans="1:11" x14ac:dyDescent="0.2">
      <c r="A52" s="98">
        <f t="shared" si="9"/>
        <v>2059</v>
      </c>
      <c r="B52" s="184">
        <f t="shared" si="10"/>
        <v>43</v>
      </c>
      <c r="C52" s="182">
        <v>0</v>
      </c>
      <c r="D52" s="182">
        <f t="shared" si="5"/>
        <v>1294.3715723939572</v>
      </c>
      <c r="E52" s="182">
        <f t="shared" si="6"/>
        <v>1294.3715723939572</v>
      </c>
      <c r="F52" s="182">
        <f>SUM('III.3 Benefits_Grouping'!C49:G49)*0.02</f>
        <v>11938.125</v>
      </c>
      <c r="G52" s="182">
        <f>'III.3 Benefits_Grouping'!J49*0.02</f>
        <v>3690</v>
      </c>
      <c r="H52" s="182">
        <f t="shared" si="7"/>
        <v>15628.125</v>
      </c>
      <c r="I52" s="182">
        <f t="shared" si="8"/>
        <v>14333.753427606043</v>
      </c>
      <c r="J52" s="305"/>
    </row>
    <row r="53" spans="1:11" x14ac:dyDescent="0.2">
      <c r="A53" s="98">
        <f t="shared" si="9"/>
        <v>2060</v>
      </c>
      <c r="B53" s="184">
        <f t="shared" si="10"/>
        <v>44</v>
      </c>
      <c r="C53" s="182">
        <v>0</v>
      </c>
      <c r="D53" s="182">
        <f t="shared" si="5"/>
        <v>1294.3715723939572</v>
      </c>
      <c r="E53" s="182">
        <f t="shared" si="6"/>
        <v>1294.3715723939572</v>
      </c>
      <c r="F53" s="182">
        <f>SUM('III.3 Benefits_Grouping'!C50:G50)*0.02</f>
        <v>11997</v>
      </c>
      <c r="G53" s="182">
        <f>'III.3 Benefits_Grouping'!J50*0.02</f>
        <v>3690</v>
      </c>
      <c r="H53" s="182">
        <f t="shared" si="7"/>
        <v>15687</v>
      </c>
      <c r="I53" s="182">
        <f t="shared" si="8"/>
        <v>14392.628427606043</v>
      </c>
      <c r="J53" s="305"/>
    </row>
    <row r="54" spans="1:11" x14ac:dyDescent="0.2">
      <c r="A54" s="98">
        <f t="shared" si="9"/>
        <v>2061</v>
      </c>
      <c r="B54" s="184">
        <f t="shared" si="10"/>
        <v>45</v>
      </c>
      <c r="C54" s="182">
        <v>0</v>
      </c>
      <c r="D54" s="182">
        <f t="shared" si="5"/>
        <v>1294.3715723939572</v>
      </c>
      <c r="E54" s="182">
        <f t="shared" si="6"/>
        <v>1294.3715723939572</v>
      </c>
      <c r="F54" s="182">
        <f>SUM('III.3 Benefits_Grouping'!C51:G51)*0.02</f>
        <v>12055.875</v>
      </c>
      <c r="G54" s="182">
        <f>'III.3 Benefits_Grouping'!J51*0.02</f>
        <v>3690</v>
      </c>
      <c r="H54" s="182">
        <f t="shared" si="7"/>
        <v>15745.875</v>
      </c>
      <c r="I54" s="182">
        <f t="shared" si="8"/>
        <v>14451.503427606043</v>
      </c>
      <c r="J54" s="305"/>
    </row>
    <row r="55" spans="1:11" x14ac:dyDescent="0.2">
      <c r="A55" s="98">
        <f t="shared" si="9"/>
        <v>2062</v>
      </c>
      <c r="B55" s="184">
        <f t="shared" si="10"/>
        <v>46</v>
      </c>
      <c r="C55" s="182">
        <v>0</v>
      </c>
      <c r="D55" s="182">
        <f t="shared" si="5"/>
        <v>1294.3715723939572</v>
      </c>
      <c r="E55" s="182">
        <f t="shared" si="6"/>
        <v>1294.3715723939572</v>
      </c>
      <c r="F55" s="182">
        <f>SUM('III.3 Benefits_Grouping'!C52:G52)*0.02</f>
        <v>12114.75</v>
      </c>
      <c r="G55" s="182">
        <f>'III.3 Benefits_Grouping'!J52*0.02</f>
        <v>3690</v>
      </c>
      <c r="H55" s="182">
        <f t="shared" si="7"/>
        <v>15804.75</v>
      </c>
      <c r="I55" s="182">
        <f t="shared" si="8"/>
        <v>14510.378427606043</v>
      </c>
      <c r="J55" s="305"/>
    </row>
    <row r="56" spans="1:11" x14ac:dyDescent="0.2">
      <c r="A56" s="98">
        <f t="shared" si="9"/>
        <v>2063</v>
      </c>
      <c r="B56" s="184">
        <f t="shared" si="10"/>
        <v>47</v>
      </c>
      <c r="C56" s="182">
        <v>0</v>
      </c>
      <c r="D56" s="182">
        <f t="shared" si="5"/>
        <v>1294.3715723939572</v>
      </c>
      <c r="E56" s="182">
        <f t="shared" si="6"/>
        <v>1294.3715723939572</v>
      </c>
      <c r="F56" s="182">
        <f>SUM('III.3 Benefits_Grouping'!C53:G53)*0.02</f>
        <v>12173.625</v>
      </c>
      <c r="G56" s="182">
        <f>'III.3 Benefits_Grouping'!J53*0.02</f>
        <v>3690</v>
      </c>
      <c r="H56" s="182">
        <f t="shared" si="7"/>
        <v>15863.625</v>
      </c>
      <c r="I56" s="182">
        <f t="shared" si="8"/>
        <v>14569.253427606043</v>
      </c>
      <c r="J56" s="305"/>
    </row>
    <row r="57" spans="1:11" x14ac:dyDescent="0.2">
      <c r="A57" s="98">
        <f t="shared" si="9"/>
        <v>2064</v>
      </c>
      <c r="B57" s="184">
        <f t="shared" si="10"/>
        <v>48</v>
      </c>
      <c r="C57" s="182">
        <v>0</v>
      </c>
      <c r="D57" s="182">
        <f t="shared" si="5"/>
        <v>1294.3715723939572</v>
      </c>
      <c r="E57" s="182">
        <f t="shared" si="6"/>
        <v>1294.3715723939572</v>
      </c>
      <c r="F57" s="182">
        <f>SUM('III.3 Benefits_Grouping'!C54:G54)*0.02</f>
        <v>12232.5</v>
      </c>
      <c r="G57" s="182">
        <f>'III.3 Benefits_Grouping'!J54*0.02</f>
        <v>3690</v>
      </c>
      <c r="H57" s="182">
        <f t="shared" si="7"/>
        <v>15922.5</v>
      </c>
      <c r="I57" s="182">
        <f t="shared" si="8"/>
        <v>14628.128427606043</v>
      </c>
      <c r="J57" s="305"/>
    </row>
    <row r="58" spans="1:11" x14ac:dyDescent="0.2">
      <c r="A58" s="98">
        <f t="shared" si="9"/>
        <v>2065</v>
      </c>
      <c r="B58" s="184">
        <f t="shared" si="10"/>
        <v>49</v>
      </c>
      <c r="C58" s="182">
        <v>0</v>
      </c>
      <c r="D58" s="182">
        <f t="shared" si="5"/>
        <v>1294.3715723939572</v>
      </c>
      <c r="E58" s="182">
        <f t="shared" si="6"/>
        <v>1294.3715723939572</v>
      </c>
      <c r="F58" s="182">
        <f>SUM('III.3 Benefits_Grouping'!C55:G55)*0.02</f>
        <v>12291.375</v>
      </c>
      <c r="G58" s="182">
        <f>'III.3 Benefits_Grouping'!J55*0.02</f>
        <v>3690</v>
      </c>
      <c r="H58" s="182">
        <f t="shared" si="7"/>
        <v>15981.375</v>
      </c>
      <c r="I58" s="182">
        <f t="shared" si="8"/>
        <v>14687.003427606043</v>
      </c>
      <c r="J58" s="305"/>
    </row>
    <row r="59" spans="1:11" x14ac:dyDescent="0.2">
      <c r="A59" s="98">
        <f t="shared" si="9"/>
        <v>2066</v>
      </c>
      <c r="B59" s="184">
        <f t="shared" si="10"/>
        <v>50</v>
      </c>
      <c r="C59" s="182">
        <v>0</v>
      </c>
      <c r="D59" s="182">
        <f t="shared" si="5"/>
        <v>1294.3715723939572</v>
      </c>
      <c r="E59" s="182">
        <f t="shared" si="6"/>
        <v>1294.3715723939572</v>
      </c>
      <c r="F59" s="182">
        <f>SUM('III.3 Benefits_Grouping'!C56:G56)*0.02</f>
        <v>12291.375</v>
      </c>
      <c r="G59" s="182">
        <f>'III.3 Benefits_Grouping'!J56*0.02</f>
        <v>3690</v>
      </c>
      <c r="H59" s="182">
        <f t="shared" si="7"/>
        <v>15981.375</v>
      </c>
      <c r="I59" s="182">
        <f t="shared" si="8"/>
        <v>14687.003427606043</v>
      </c>
      <c r="J59" s="305"/>
    </row>
    <row r="60" spans="1:11" ht="15" x14ac:dyDescent="0.25">
      <c r="A60" s="748" t="s">
        <v>422</v>
      </c>
      <c r="B60" s="748"/>
      <c r="C60" s="182">
        <f t="shared" ref="C60:H60" si="11">NPV($C$5,C10:C59)+C9</f>
        <v>122023.80952380953</v>
      </c>
      <c r="D60" s="182">
        <f t="shared" si="11"/>
        <v>22397.216113030667</v>
      </c>
      <c r="E60" s="182">
        <f t="shared" si="11"/>
        <v>144421.0256368402</v>
      </c>
      <c r="F60" s="182">
        <f t="shared" si="11"/>
        <v>180142.88458322885</v>
      </c>
      <c r="G60" s="182">
        <f t="shared" si="11"/>
        <v>63829.997602499498</v>
      </c>
      <c r="H60" s="182">
        <f t="shared" si="11"/>
        <v>243972.88218572826</v>
      </c>
      <c r="J60" s="305"/>
      <c r="K60" s="273"/>
    </row>
    <row r="61" spans="1:11" ht="13.5" thickBot="1" x14ac:dyDescent="0.25">
      <c r="B61" s="304"/>
      <c r="C61" s="268"/>
      <c r="E61" s="307"/>
      <c r="J61" s="305"/>
    </row>
    <row r="62" spans="1:11" ht="15.75" customHeight="1" x14ac:dyDescent="0.25">
      <c r="C62" s="307"/>
      <c r="G62" s="749" t="s">
        <v>417</v>
      </c>
      <c r="H62" s="750"/>
      <c r="I62" s="471">
        <f>(H60/E60)</f>
        <v>1.6893169198176188</v>
      </c>
      <c r="J62" s="305"/>
    </row>
    <row r="63" spans="1:11" ht="15.75" customHeight="1" x14ac:dyDescent="0.25">
      <c r="C63" s="307"/>
      <c r="G63" s="751" t="s">
        <v>416</v>
      </c>
      <c r="H63" s="752"/>
      <c r="I63" s="472">
        <f>IRR(I9:I59)</f>
        <v>9.4393238190417783E-2</v>
      </c>
      <c r="J63" s="305"/>
    </row>
    <row r="64" spans="1:11" ht="15.75" thickBot="1" x14ac:dyDescent="0.3">
      <c r="C64" s="268"/>
      <c r="G64" s="745" t="s">
        <v>592</v>
      </c>
      <c r="H64" s="746"/>
      <c r="I64" s="473">
        <f>NPV($C$5,I10:I59)+I9</f>
        <v>99551.856548888172</v>
      </c>
      <c r="J64" s="305"/>
    </row>
    <row r="65" spans="1:8" ht="13.5" thickBot="1" x14ac:dyDescent="0.25"/>
    <row r="66" spans="1:8" ht="15" x14ac:dyDescent="0.25">
      <c r="A66" s="480" t="s">
        <v>0</v>
      </c>
      <c r="B66" s="481"/>
      <c r="C66" s="250"/>
      <c r="D66" s="250"/>
      <c r="E66" s="250"/>
      <c r="F66" s="250"/>
      <c r="G66" s="177"/>
      <c r="H66" s="176"/>
    </row>
    <row r="67" spans="1:8" ht="15" x14ac:dyDescent="0.2">
      <c r="A67" s="709" t="s">
        <v>388</v>
      </c>
      <c r="B67" s="710"/>
      <c r="C67" s="519" t="s">
        <v>387</v>
      </c>
      <c r="D67" s="519"/>
      <c r="E67" s="519"/>
      <c r="F67" s="519"/>
      <c r="G67" s="519"/>
      <c r="H67" s="520"/>
    </row>
    <row r="68" spans="1:8" ht="15" x14ac:dyDescent="0.2">
      <c r="A68" s="641" t="s">
        <v>386</v>
      </c>
      <c r="B68" s="642"/>
      <c r="C68" s="519" t="s">
        <v>385</v>
      </c>
      <c r="D68" s="519"/>
      <c r="E68" s="519"/>
      <c r="F68" s="519"/>
      <c r="G68" s="519"/>
      <c r="H68" s="520"/>
    </row>
    <row r="69" spans="1:8" ht="30.75" customHeight="1" x14ac:dyDescent="0.2">
      <c r="A69" s="641" t="s">
        <v>421</v>
      </c>
      <c r="B69" s="642"/>
      <c r="C69" s="538" t="s">
        <v>604</v>
      </c>
      <c r="D69" s="538"/>
      <c r="E69" s="538"/>
      <c r="F69" s="538"/>
      <c r="G69" s="538"/>
      <c r="H69" s="540"/>
    </row>
    <row r="70" spans="1:8" ht="30" customHeight="1" x14ac:dyDescent="0.2">
      <c r="A70" s="641" t="s">
        <v>269</v>
      </c>
      <c r="B70" s="642"/>
      <c r="C70" s="538" t="s">
        <v>605</v>
      </c>
      <c r="D70" s="538"/>
      <c r="E70" s="538"/>
      <c r="F70" s="538"/>
      <c r="G70" s="538"/>
      <c r="H70" s="540"/>
    </row>
    <row r="71" spans="1:8" ht="15" customHeight="1" x14ac:dyDescent="0.2">
      <c r="A71" s="641" t="s">
        <v>420</v>
      </c>
      <c r="B71" s="642"/>
      <c r="C71" s="519" t="s">
        <v>419</v>
      </c>
      <c r="D71" s="519"/>
      <c r="E71" s="519"/>
      <c r="F71" s="519"/>
      <c r="G71" s="519"/>
      <c r="H71" s="520"/>
    </row>
    <row r="72" spans="1:8" ht="31.5" customHeight="1" x14ac:dyDescent="0.2">
      <c r="A72" s="720" t="s">
        <v>418</v>
      </c>
      <c r="B72" s="737"/>
      <c r="C72" s="560" t="s">
        <v>663</v>
      </c>
      <c r="D72" s="561"/>
      <c r="E72" s="561"/>
      <c r="F72" s="561"/>
      <c r="G72" s="561"/>
      <c r="H72" s="562"/>
    </row>
    <row r="73" spans="1:8" ht="15" x14ac:dyDescent="0.2">
      <c r="A73" s="730" t="s">
        <v>417</v>
      </c>
      <c r="B73" s="731"/>
      <c r="C73" s="575" t="s">
        <v>595</v>
      </c>
      <c r="D73" s="575"/>
      <c r="E73" s="575"/>
      <c r="F73" s="575"/>
      <c r="G73" s="575"/>
      <c r="H73" s="576"/>
    </row>
    <row r="74" spans="1:8" ht="30" customHeight="1" x14ac:dyDescent="0.2">
      <c r="A74" s="728" t="s">
        <v>416</v>
      </c>
      <c r="B74" s="729"/>
      <c r="C74" s="560" t="s">
        <v>594</v>
      </c>
      <c r="D74" s="561"/>
      <c r="E74" s="561"/>
      <c r="F74" s="561"/>
      <c r="G74" s="561"/>
      <c r="H74" s="562"/>
    </row>
    <row r="75" spans="1:8" ht="30.75" customHeight="1" thickBot="1" x14ac:dyDescent="0.25">
      <c r="A75" s="743" t="s">
        <v>592</v>
      </c>
      <c r="B75" s="744"/>
      <c r="C75" s="579" t="s">
        <v>664</v>
      </c>
      <c r="D75" s="579"/>
      <c r="E75" s="579"/>
      <c r="F75" s="579"/>
      <c r="G75" s="579"/>
      <c r="H75" s="581"/>
    </row>
  </sheetData>
  <mergeCells count="31">
    <mergeCell ref="C4:G4"/>
    <mergeCell ref="A60:B60"/>
    <mergeCell ref="A1:E1"/>
    <mergeCell ref="G63:H63"/>
    <mergeCell ref="C7:E7"/>
    <mergeCell ref="I7:I8"/>
    <mergeCell ref="F7:H7"/>
    <mergeCell ref="C70:H70"/>
    <mergeCell ref="G62:H62"/>
    <mergeCell ref="C69:H69"/>
    <mergeCell ref="A3:J3"/>
    <mergeCell ref="A4:B4"/>
    <mergeCell ref="A71:B71"/>
    <mergeCell ref="C71:H71"/>
    <mergeCell ref="A72:B72"/>
    <mergeCell ref="C72:H72"/>
    <mergeCell ref="A67:B67"/>
    <mergeCell ref="C67:H67"/>
    <mergeCell ref="A68:B68"/>
    <mergeCell ref="C68:H68"/>
    <mergeCell ref="A69:B69"/>
    <mergeCell ref="A75:B75"/>
    <mergeCell ref="C75:H75"/>
    <mergeCell ref="G64:H64"/>
    <mergeCell ref="F1:G1"/>
    <mergeCell ref="H1:I1"/>
    <mergeCell ref="A73:B73"/>
    <mergeCell ref="C73:H73"/>
    <mergeCell ref="A74:B74"/>
    <mergeCell ref="C74:H74"/>
    <mergeCell ref="A70:B70"/>
  </mergeCells>
  <pageMargins left="0.7" right="0.7" top="0.75" bottom="0.75" header="0.3" footer="0.3"/>
  <pageSetup scale="45" orientation="landscape" cellComments="asDisplayed"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C1BB4-230B-481A-BDC1-34E70FAAFD2F}">
  <sheetPr>
    <pageSetUpPr fitToPage="1"/>
  </sheetPr>
  <dimension ref="A1:L75"/>
  <sheetViews>
    <sheetView view="pageBreakPreview" topLeftCell="A9" zoomScaleNormal="90" zoomScaleSheetLayoutView="100" workbookViewId="0">
      <selection activeCell="N24" sqref="N24"/>
    </sheetView>
  </sheetViews>
  <sheetFormatPr defaultRowHeight="12.75" x14ac:dyDescent="0.2"/>
  <cols>
    <col min="1" max="1" width="19.7109375" style="268" customWidth="1"/>
    <col min="2" max="2" width="13.5703125" style="268" customWidth="1"/>
    <col min="3" max="3" width="17.140625" style="304" customWidth="1"/>
    <col min="4" max="4" width="16.5703125" style="268" customWidth="1"/>
    <col min="5" max="5" width="14.7109375" style="268" customWidth="1"/>
    <col min="6" max="6" width="16" style="268" customWidth="1"/>
    <col min="7" max="7" width="16.85546875" style="268" customWidth="1"/>
    <col min="8" max="8" width="14.85546875" style="268" customWidth="1"/>
    <col min="9" max="9" width="14.5703125" style="268" customWidth="1"/>
    <col min="10" max="10" width="9.140625" style="269"/>
    <col min="11" max="11" width="10.7109375" style="268" customWidth="1"/>
    <col min="12" max="12" width="9.42578125" style="268" bestFit="1" customWidth="1"/>
    <col min="13" max="16384" width="9.140625" style="268"/>
  </cols>
  <sheetData>
    <row r="1" spans="1:12" ht="15" x14ac:dyDescent="0.25">
      <c r="A1" s="382" t="s">
        <v>488</v>
      </c>
      <c r="B1" s="382"/>
      <c r="C1" s="382"/>
      <c r="D1" s="382"/>
      <c r="E1" s="361"/>
      <c r="F1" s="534" t="s">
        <v>539</v>
      </c>
      <c r="G1" s="534"/>
      <c r="H1" s="671" t="s">
        <v>540</v>
      </c>
      <c r="I1" s="671"/>
      <c r="J1" s="306"/>
    </row>
    <row r="2" spans="1:12" ht="15" x14ac:dyDescent="0.25">
      <c r="A2" s="160" t="s">
        <v>438</v>
      </c>
      <c r="B2" s="160"/>
      <c r="C2" s="160"/>
      <c r="D2" s="160"/>
      <c r="E2" s="157"/>
      <c r="F2" s="157"/>
      <c r="G2" s="157"/>
      <c r="H2" s="92"/>
      <c r="I2" s="340"/>
      <c r="J2" s="345"/>
    </row>
    <row r="3" spans="1:12" ht="15" x14ac:dyDescent="0.2">
      <c r="A3" s="521" t="s">
        <v>437</v>
      </c>
      <c r="B3" s="521"/>
      <c r="C3" s="521"/>
      <c r="D3" s="521"/>
      <c r="E3" s="521"/>
      <c r="F3" s="521"/>
      <c r="G3" s="521"/>
      <c r="H3" s="521"/>
      <c r="I3" s="521"/>
      <c r="J3" s="521"/>
    </row>
    <row r="4" spans="1:12" ht="15" x14ac:dyDescent="0.2">
      <c r="A4" s="734" t="s">
        <v>436</v>
      </c>
      <c r="B4" s="734"/>
      <c r="C4" s="725" t="s">
        <v>441</v>
      </c>
      <c r="D4" s="725"/>
      <c r="E4" s="725"/>
      <c r="F4" s="725"/>
      <c r="G4" s="725"/>
      <c r="H4" s="338"/>
      <c r="I4" s="338"/>
      <c r="J4" s="142"/>
    </row>
    <row r="5" spans="1:12" ht="15" x14ac:dyDescent="0.25">
      <c r="A5" s="16" t="s">
        <v>435</v>
      </c>
      <c r="C5" s="383">
        <v>0.05</v>
      </c>
      <c r="J5" s="305"/>
    </row>
    <row r="6" spans="1:12" ht="12.75" customHeight="1" x14ac:dyDescent="0.2">
      <c r="A6" s="336" t="s">
        <v>434</v>
      </c>
      <c r="C6" s="268"/>
      <c r="J6" s="305"/>
    </row>
    <row r="7" spans="1:12" ht="15" x14ac:dyDescent="0.2">
      <c r="A7" s="343"/>
      <c r="C7" s="754" t="s">
        <v>433</v>
      </c>
      <c r="D7" s="755"/>
      <c r="E7" s="755"/>
      <c r="F7" s="756" t="s">
        <v>269</v>
      </c>
      <c r="G7" s="756"/>
      <c r="H7" s="756"/>
      <c r="I7" s="753" t="s">
        <v>420</v>
      </c>
      <c r="J7" s="305"/>
    </row>
    <row r="8" spans="1:12" ht="60" x14ac:dyDescent="0.2">
      <c r="A8" s="10" t="s">
        <v>388</v>
      </c>
      <c r="B8" s="342" t="s">
        <v>386</v>
      </c>
      <c r="C8" s="67" t="s">
        <v>432</v>
      </c>
      <c r="D8" s="67" t="s">
        <v>431</v>
      </c>
      <c r="E8" s="15" t="s">
        <v>430</v>
      </c>
      <c r="F8" s="469" t="s">
        <v>606</v>
      </c>
      <c r="G8" s="470" t="s">
        <v>600</v>
      </c>
      <c r="H8" s="15" t="s">
        <v>429</v>
      </c>
      <c r="I8" s="753"/>
    </row>
    <row r="9" spans="1:12" x14ac:dyDescent="0.2">
      <c r="A9" s="98">
        <v>2016</v>
      </c>
      <c r="B9" s="184">
        <v>0</v>
      </c>
      <c r="C9" s="182">
        <v>0</v>
      </c>
      <c r="D9" s="182">
        <v>0</v>
      </c>
      <c r="E9" s="182">
        <f t="shared" ref="E9:E40" si="0">SUM(C9:D9)</f>
        <v>0</v>
      </c>
      <c r="F9" s="182">
        <f>SUM('III.3 Benefits_Grouping'!C6:G6)</f>
        <v>0</v>
      </c>
      <c r="G9" s="182">
        <f>'III.3 Benefits_Grouping'!J6</f>
        <v>0</v>
      </c>
      <c r="H9" s="182">
        <f t="shared" ref="H9:H40" si="1">SUM(F9:G9)</f>
        <v>0</v>
      </c>
      <c r="I9" s="182">
        <f t="shared" ref="I9:I40" si="2">(H9-E9)</f>
        <v>0</v>
      </c>
    </row>
    <row r="10" spans="1:12" x14ac:dyDescent="0.2">
      <c r="A10" s="98">
        <f t="shared" ref="A10:A41" si="3">(A9+1)</f>
        <v>2017</v>
      </c>
      <c r="B10" s="184">
        <f t="shared" ref="B10:B41" si="4">(B9+1)</f>
        <v>1</v>
      </c>
      <c r="C10" s="182">
        <f>'III.1 LCCA_Grouping'!K22</f>
        <v>200000</v>
      </c>
      <c r="D10" s="182">
        <v>0</v>
      </c>
      <c r="E10" s="182">
        <f t="shared" si="0"/>
        <v>200000</v>
      </c>
      <c r="F10" s="182">
        <f>SUM('III.3 Benefits_Grouping'!C7:G7)</f>
        <v>0</v>
      </c>
      <c r="G10" s="182">
        <f>'III.3 Benefits_Grouping'!J7</f>
        <v>0</v>
      </c>
      <c r="H10" s="182">
        <f t="shared" si="1"/>
        <v>0</v>
      </c>
      <c r="I10" s="182">
        <f t="shared" si="2"/>
        <v>-200000</v>
      </c>
    </row>
    <row r="11" spans="1:12" x14ac:dyDescent="0.2">
      <c r="A11" s="98">
        <f t="shared" si="3"/>
        <v>2018</v>
      </c>
      <c r="B11" s="184">
        <f t="shared" si="4"/>
        <v>2</v>
      </c>
      <c r="C11" s="182">
        <v>0</v>
      </c>
      <c r="D11" s="182">
        <f>'III.1 LCCA_Grouping'!E33</f>
        <v>2020.482454468616</v>
      </c>
      <c r="E11" s="182">
        <f t="shared" si="0"/>
        <v>2020.482454468616</v>
      </c>
      <c r="F11" s="182">
        <f>F12*(0.994)</f>
        <v>14764.720687499999</v>
      </c>
      <c r="G11" s="182">
        <f>G12*(0.994)</f>
        <v>5685.183</v>
      </c>
      <c r="H11" s="182">
        <f t="shared" si="1"/>
        <v>20449.903687499998</v>
      </c>
      <c r="I11" s="182">
        <f t="shared" si="2"/>
        <v>18429.421233031382</v>
      </c>
      <c r="J11" s="305"/>
    </row>
    <row r="12" spans="1:12" ht="15" customHeight="1" x14ac:dyDescent="0.2">
      <c r="A12" s="98">
        <f t="shared" si="3"/>
        <v>2019</v>
      </c>
      <c r="B12" s="184">
        <f t="shared" si="4"/>
        <v>3</v>
      </c>
      <c r="C12" s="182">
        <v>0</v>
      </c>
      <c r="D12" s="182">
        <f t="shared" ref="D12:D59" si="5">D11</f>
        <v>2020.482454468616</v>
      </c>
      <c r="E12" s="182">
        <f t="shared" si="0"/>
        <v>2020.482454468616</v>
      </c>
      <c r="F12" s="182">
        <f>SUM('III.3 Benefits_Grouping'!C9:G9)*0.031</f>
        <v>14853.84375</v>
      </c>
      <c r="G12" s="182">
        <f>'III.3 Benefits_Grouping'!J9*0.031</f>
        <v>5719.5</v>
      </c>
      <c r="H12" s="182">
        <f t="shared" si="1"/>
        <v>20573.34375</v>
      </c>
      <c r="I12" s="182">
        <f t="shared" si="2"/>
        <v>18552.861295531384</v>
      </c>
      <c r="J12" s="305"/>
      <c r="L12" s="341"/>
    </row>
    <row r="13" spans="1:12" x14ac:dyDescent="0.2">
      <c r="A13" s="98">
        <f t="shared" si="3"/>
        <v>2020</v>
      </c>
      <c r="B13" s="184">
        <f t="shared" si="4"/>
        <v>4</v>
      </c>
      <c r="C13" s="182">
        <v>0</v>
      </c>
      <c r="D13" s="182">
        <f t="shared" si="5"/>
        <v>2020.482454468616</v>
      </c>
      <c r="E13" s="182">
        <f t="shared" si="0"/>
        <v>2020.482454468616</v>
      </c>
      <c r="F13" s="182">
        <f>SUM('III.3 Benefits_Grouping'!C10:G10)*0.031</f>
        <v>14945.1</v>
      </c>
      <c r="G13" s="182">
        <f>'III.3 Benefits_Grouping'!J10*0.031</f>
        <v>5719.5</v>
      </c>
      <c r="H13" s="182">
        <f t="shared" si="1"/>
        <v>20664.599999999999</v>
      </c>
      <c r="I13" s="182">
        <f t="shared" si="2"/>
        <v>18644.117545531382</v>
      </c>
      <c r="J13" s="305"/>
      <c r="L13" s="341"/>
    </row>
    <row r="14" spans="1:12" x14ac:dyDescent="0.2">
      <c r="A14" s="98">
        <f t="shared" si="3"/>
        <v>2021</v>
      </c>
      <c r="B14" s="184">
        <f t="shared" si="4"/>
        <v>5</v>
      </c>
      <c r="C14" s="182">
        <v>0</v>
      </c>
      <c r="D14" s="182">
        <f t="shared" si="5"/>
        <v>2020.482454468616</v>
      </c>
      <c r="E14" s="182">
        <f t="shared" si="0"/>
        <v>2020.482454468616</v>
      </c>
      <c r="F14" s="182">
        <f>SUM('III.3 Benefits_Grouping'!C11:G11)*0.031</f>
        <v>15036.356250000001</v>
      </c>
      <c r="G14" s="182">
        <f>'III.3 Benefits_Grouping'!J11*0.031</f>
        <v>5719.5</v>
      </c>
      <c r="H14" s="182">
        <f t="shared" si="1"/>
        <v>20755.856250000001</v>
      </c>
      <c r="I14" s="182">
        <f t="shared" si="2"/>
        <v>18735.373795531385</v>
      </c>
      <c r="J14" s="305"/>
      <c r="L14" s="341"/>
    </row>
    <row r="15" spans="1:12" x14ac:dyDescent="0.2">
      <c r="A15" s="98">
        <f t="shared" si="3"/>
        <v>2022</v>
      </c>
      <c r="B15" s="184">
        <f t="shared" si="4"/>
        <v>6</v>
      </c>
      <c r="C15" s="182">
        <v>0</v>
      </c>
      <c r="D15" s="182">
        <f t="shared" si="5"/>
        <v>2020.482454468616</v>
      </c>
      <c r="E15" s="182">
        <f t="shared" si="0"/>
        <v>2020.482454468616</v>
      </c>
      <c r="F15" s="182">
        <f>SUM('III.3 Benefits_Grouping'!C12:G12)*0.031</f>
        <v>15127.612499999999</v>
      </c>
      <c r="G15" s="182">
        <f>'III.3 Benefits_Grouping'!J12*0.031</f>
        <v>5719.5</v>
      </c>
      <c r="H15" s="182">
        <f t="shared" si="1"/>
        <v>20847.112499999999</v>
      </c>
      <c r="I15" s="182">
        <f t="shared" si="2"/>
        <v>18826.630045531383</v>
      </c>
      <c r="J15" s="305"/>
      <c r="L15" s="341"/>
    </row>
    <row r="16" spans="1:12" x14ac:dyDescent="0.2">
      <c r="A16" s="98">
        <f t="shared" si="3"/>
        <v>2023</v>
      </c>
      <c r="B16" s="184">
        <f t="shared" si="4"/>
        <v>7</v>
      </c>
      <c r="C16" s="182">
        <v>0</v>
      </c>
      <c r="D16" s="182">
        <f t="shared" si="5"/>
        <v>2020.482454468616</v>
      </c>
      <c r="E16" s="182">
        <f t="shared" si="0"/>
        <v>2020.482454468616</v>
      </c>
      <c r="F16" s="182">
        <f>SUM('III.3 Benefits_Grouping'!C13:G13)*0.031</f>
        <v>15218.86875</v>
      </c>
      <c r="G16" s="182">
        <f>'III.3 Benefits_Grouping'!J13*0.031</f>
        <v>5719.5</v>
      </c>
      <c r="H16" s="182">
        <f t="shared" si="1"/>
        <v>20938.368750000001</v>
      </c>
      <c r="I16" s="182">
        <f t="shared" si="2"/>
        <v>18917.886295531385</v>
      </c>
      <c r="J16" s="305"/>
      <c r="L16" s="341"/>
    </row>
    <row r="17" spans="1:12" x14ac:dyDescent="0.2">
      <c r="A17" s="98">
        <f t="shared" si="3"/>
        <v>2024</v>
      </c>
      <c r="B17" s="184">
        <f t="shared" si="4"/>
        <v>8</v>
      </c>
      <c r="C17" s="182">
        <v>0</v>
      </c>
      <c r="D17" s="182">
        <f t="shared" si="5"/>
        <v>2020.482454468616</v>
      </c>
      <c r="E17" s="182">
        <f t="shared" si="0"/>
        <v>2020.482454468616</v>
      </c>
      <c r="F17" s="182">
        <f>SUM('III.3 Benefits_Grouping'!C14:G14)*0.031</f>
        <v>15310.125</v>
      </c>
      <c r="G17" s="182">
        <f>'III.3 Benefits_Grouping'!J14*0.031</f>
        <v>5719.5</v>
      </c>
      <c r="H17" s="182">
        <f t="shared" si="1"/>
        <v>21029.625</v>
      </c>
      <c r="I17" s="182">
        <f t="shared" si="2"/>
        <v>19009.142545531384</v>
      </c>
      <c r="J17" s="305"/>
      <c r="L17" s="341"/>
    </row>
    <row r="18" spans="1:12" x14ac:dyDescent="0.2">
      <c r="A18" s="98">
        <f t="shared" si="3"/>
        <v>2025</v>
      </c>
      <c r="B18" s="184">
        <f t="shared" si="4"/>
        <v>9</v>
      </c>
      <c r="C18" s="182">
        <v>0</v>
      </c>
      <c r="D18" s="182">
        <f t="shared" si="5"/>
        <v>2020.482454468616</v>
      </c>
      <c r="E18" s="182">
        <f t="shared" si="0"/>
        <v>2020.482454468616</v>
      </c>
      <c r="F18" s="182">
        <f>SUM('III.3 Benefits_Grouping'!C15:G15)*0.031</f>
        <v>15401.38125</v>
      </c>
      <c r="G18" s="182">
        <f>'III.3 Benefits_Grouping'!J15*0.031</f>
        <v>5719.5</v>
      </c>
      <c r="H18" s="182">
        <f t="shared" si="1"/>
        <v>21120.881249999999</v>
      </c>
      <c r="I18" s="182">
        <f t="shared" si="2"/>
        <v>19100.398795531382</v>
      </c>
      <c r="J18" s="305"/>
    </row>
    <row r="19" spans="1:12" x14ac:dyDescent="0.2">
      <c r="A19" s="98">
        <f t="shared" si="3"/>
        <v>2026</v>
      </c>
      <c r="B19" s="184">
        <f t="shared" si="4"/>
        <v>10</v>
      </c>
      <c r="C19" s="182">
        <v>0</v>
      </c>
      <c r="D19" s="182">
        <f t="shared" si="5"/>
        <v>2020.482454468616</v>
      </c>
      <c r="E19" s="182">
        <f t="shared" si="0"/>
        <v>2020.482454468616</v>
      </c>
      <c r="F19" s="182">
        <f>SUM('III.3 Benefits_Grouping'!C16:G16)*0.031</f>
        <v>15492.637500000001</v>
      </c>
      <c r="G19" s="182">
        <f>'III.3 Benefits_Grouping'!J16*0.031</f>
        <v>5719.5</v>
      </c>
      <c r="H19" s="182">
        <f t="shared" si="1"/>
        <v>21212.137500000001</v>
      </c>
      <c r="I19" s="182">
        <f t="shared" si="2"/>
        <v>19191.655045531385</v>
      </c>
      <c r="J19" s="305"/>
    </row>
    <row r="20" spans="1:12" x14ac:dyDescent="0.2">
      <c r="A20" s="98">
        <f t="shared" si="3"/>
        <v>2027</v>
      </c>
      <c r="B20" s="184">
        <f t="shared" si="4"/>
        <v>11</v>
      </c>
      <c r="C20" s="182">
        <v>0</v>
      </c>
      <c r="D20" s="182">
        <f t="shared" si="5"/>
        <v>2020.482454468616</v>
      </c>
      <c r="E20" s="182">
        <f t="shared" si="0"/>
        <v>2020.482454468616</v>
      </c>
      <c r="F20" s="182">
        <f>SUM('III.3 Benefits_Grouping'!C17:G17)*0.031</f>
        <v>15583.893749999999</v>
      </c>
      <c r="G20" s="182">
        <f>'III.3 Benefits_Grouping'!J17*0.031</f>
        <v>5719.5</v>
      </c>
      <c r="H20" s="182">
        <f t="shared" si="1"/>
        <v>21303.393749999999</v>
      </c>
      <c r="I20" s="182">
        <f t="shared" si="2"/>
        <v>19282.911295531383</v>
      </c>
      <c r="J20" s="305"/>
    </row>
    <row r="21" spans="1:12" x14ac:dyDescent="0.2">
      <c r="A21" s="98">
        <f t="shared" si="3"/>
        <v>2028</v>
      </c>
      <c r="B21" s="184">
        <f t="shared" si="4"/>
        <v>12</v>
      </c>
      <c r="C21" s="182">
        <v>0</v>
      </c>
      <c r="D21" s="182">
        <f t="shared" si="5"/>
        <v>2020.482454468616</v>
      </c>
      <c r="E21" s="182">
        <f t="shared" si="0"/>
        <v>2020.482454468616</v>
      </c>
      <c r="F21" s="182">
        <f>SUM('III.3 Benefits_Grouping'!C18:G18)*0.031</f>
        <v>15675.15</v>
      </c>
      <c r="G21" s="182">
        <f>'III.3 Benefits_Grouping'!J18*0.031</f>
        <v>5719.5</v>
      </c>
      <c r="H21" s="182">
        <f t="shared" si="1"/>
        <v>21394.65</v>
      </c>
      <c r="I21" s="182">
        <f t="shared" si="2"/>
        <v>19374.167545531385</v>
      </c>
      <c r="J21" s="305"/>
    </row>
    <row r="22" spans="1:12" x14ac:dyDescent="0.2">
      <c r="A22" s="98">
        <f t="shared" si="3"/>
        <v>2029</v>
      </c>
      <c r="B22" s="184">
        <f t="shared" si="4"/>
        <v>13</v>
      </c>
      <c r="C22" s="182">
        <v>0</v>
      </c>
      <c r="D22" s="182">
        <f t="shared" si="5"/>
        <v>2020.482454468616</v>
      </c>
      <c r="E22" s="182">
        <f t="shared" si="0"/>
        <v>2020.482454468616</v>
      </c>
      <c r="F22" s="182">
        <f>SUM('III.3 Benefits_Grouping'!C19:G19)*0.031</f>
        <v>15766.40625</v>
      </c>
      <c r="G22" s="182">
        <f>'III.3 Benefits_Grouping'!J19*0.031</f>
        <v>5719.5</v>
      </c>
      <c r="H22" s="182">
        <f t="shared" si="1"/>
        <v>21485.90625</v>
      </c>
      <c r="I22" s="182">
        <f t="shared" si="2"/>
        <v>19465.423795531384</v>
      </c>
      <c r="J22" s="305"/>
    </row>
    <row r="23" spans="1:12" x14ac:dyDescent="0.2">
      <c r="A23" s="98">
        <f t="shared" si="3"/>
        <v>2030</v>
      </c>
      <c r="B23" s="184">
        <f t="shared" si="4"/>
        <v>14</v>
      </c>
      <c r="C23" s="182">
        <v>0</v>
      </c>
      <c r="D23" s="182">
        <f t="shared" si="5"/>
        <v>2020.482454468616</v>
      </c>
      <c r="E23" s="182">
        <f t="shared" si="0"/>
        <v>2020.482454468616</v>
      </c>
      <c r="F23" s="182">
        <f>SUM('III.3 Benefits_Grouping'!C20:G20)*0.031</f>
        <v>15857.6625</v>
      </c>
      <c r="G23" s="182">
        <f>'III.3 Benefits_Grouping'!J20*0.031</f>
        <v>5719.5</v>
      </c>
      <c r="H23" s="182">
        <f t="shared" si="1"/>
        <v>21577.162499999999</v>
      </c>
      <c r="I23" s="182">
        <f t="shared" si="2"/>
        <v>19556.680045531382</v>
      </c>
      <c r="J23" s="305"/>
    </row>
    <row r="24" spans="1:12" x14ac:dyDescent="0.2">
      <c r="A24" s="98">
        <f t="shared" si="3"/>
        <v>2031</v>
      </c>
      <c r="B24" s="184">
        <f t="shared" si="4"/>
        <v>15</v>
      </c>
      <c r="C24" s="182">
        <v>0</v>
      </c>
      <c r="D24" s="182">
        <f t="shared" si="5"/>
        <v>2020.482454468616</v>
      </c>
      <c r="E24" s="182">
        <f t="shared" si="0"/>
        <v>2020.482454468616</v>
      </c>
      <c r="F24" s="182">
        <f>SUM('III.3 Benefits_Grouping'!C21:G21)*0.031</f>
        <v>15948.918750000001</v>
      </c>
      <c r="G24" s="182">
        <f>'III.3 Benefits_Grouping'!J21*0.031</f>
        <v>5719.5</v>
      </c>
      <c r="H24" s="182">
        <f t="shared" si="1"/>
        <v>21668.418750000001</v>
      </c>
      <c r="I24" s="182">
        <f t="shared" si="2"/>
        <v>19647.936295531385</v>
      </c>
      <c r="J24" s="305"/>
    </row>
    <row r="25" spans="1:12" x14ac:dyDescent="0.2">
      <c r="A25" s="98">
        <f t="shared" si="3"/>
        <v>2032</v>
      </c>
      <c r="B25" s="184">
        <f t="shared" si="4"/>
        <v>16</v>
      </c>
      <c r="C25" s="182">
        <v>0</v>
      </c>
      <c r="D25" s="182">
        <f t="shared" si="5"/>
        <v>2020.482454468616</v>
      </c>
      <c r="E25" s="182">
        <f t="shared" si="0"/>
        <v>2020.482454468616</v>
      </c>
      <c r="F25" s="182">
        <f>SUM('III.3 Benefits_Grouping'!C22:G22)*0.031</f>
        <v>16040.174999999999</v>
      </c>
      <c r="G25" s="182">
        <f>'III.3 Benefits_Grouping'!J22*0.031</f>
        <v>5719.5</v>
      </c>
      <c r="H25" s="182">
        <f t="shared" si="1"/>
        <v>21759.674999999999</v>
      </c>
      <c r="I25" s="182">
        <f t="shared" si="2"/>
        <v>19739.192545531383</v>
      </c>
      <c r="J25" s="305"/>
    </row>
    <row r="26" spans="1:12" x14ac:dyDescent="0.2">
      <c r="A26" s="98">
        <f t="shared" si="3"/>
        <v>2033</v>
      </c>
      <c r="B26" s="184">
        <f t="shared" si="4"/>
        <v>17</v>
      </c>
      <c r="C26" s="182">
        <v>0</v>
      </c>
      <c r="D26" s="182">
        <f t="shared" si="5"/>
        <v>2020.482454468616</v>
      </c>
      <c r="E26" s="182">
        <f t="shared" si="0"/>
        <v>2020.482454468616</v>
      </c>
      <c r="F26" s="182">
        <f>SUM('III.3 Benefits_Grouping'!C23:G23)*0.031</f>
        <v>16131.43125</v>
      </c>
      <c r="G26" s="182">
        <f>'III.3 Benefits_Grouping'!J23*0.031</f>
        <v>5719.5</v>
      </c>
      <c r="H26" s="182">
        <f t="shared" si="1"/>
        <v>21850.931250000001</v>
      </c>
      <c r="I26" s="182">
        <f t="shared" si="2"/>
        <v>19830.448795531385</v>
      </c>
      <c r="J26" s="305"/>
    </row>
    <row r="27" spans="1:12" x14ac:dyDescent="0.2">
      <c r="A27" s="98">
        <f t="shared" si="3"/>
        <v>2034</v>
      </c>
      <c r="B27" s="184">
        <f t="shared" si="4"/>
        <v>18</v>
      </c>
      <c r="C27" s="182">
        <v>0</v>
      </c>
      <c r="D27" s="182">
        <f t="shared" si="5"/>
        <v>2020.482454468616</v>
      </c>
      <c r="E27" s="182">
        <f t="shared" si="0"/>
        <v>2020.482454468616</v>
      </c>
      <c r="F27" s="182">
        <f>SUM('III.3 Benefits_Grouping'!C24:G24)*0.031</f>
        <v>16222.6875</v>
      </c>
      <c r="G27" s="182">
        <f>'III.3 Benefits_Grouping'!J24*0.031</f>
        <v>5719.5</v>
      </c>
      <c r="H27" s="182">
        <f t="shared" si="1"/>
        <v>21942.1875</v>
      </c>
      <c r="I27" s="182">
        <f t="shared" si="2"/>
        <v>19921.705045531384</v>
      </c>
      <c r="J27" s="305"/>
    </row>
    <row r="28" spans="1:12" x14ac:dyDescent="0.2">
      <c r="A28" s="98">
        <f t="shared" si="3"/>
        <v>2035</v>
      </c>
      <c r="B28" s="184">
        <f t="shared" si="4"/>
        <v>19</v>
      </c>
      <c r="C28" s="182">
        <v>0</v>
      </c>
      <c r="D28" s="182">
        <f t="shared" si="5"/>
        <v>2020.482454468616</v>
      </c>
      <c r="E28" s="182">
        <f t="shared" si="0"/>
        <v>2020.482454468616</v>
      </c>
      <c r="F28" s="182">
        <f>SUM('III.3 Benefits_Grouping'!C25:G25)*0.031</f>
        <v>16313.94375</v>
      </c>
      <c r="G28" s="182">
        <f>'III.3 Benefits_Grouping'!J25*0.031</f>
        <v>5719.5</v>
      </c>
      <c r="H28" s="182">
        <f t="shared" si="1"/>
        <v>22033.443749999999</v>
      </c>
      <c r="I28" s="182">
        <f t="shared" si="2"/>
        <v>20012.961295531382</v>
      </c>
      <c r="J28" s="305"/>
    </row>
    <row r="29" spans="1:12" x14ac:dyDescent="0.2">
      <c r="A29" s="98">
        <f t="shared" si="3"/>
        <v>2036</v>
      </c>
      <c r="B29" s="184">
        <f t="shared" si="4"/>
        <v>20</v>
      </c>
      <c r="C29" s="182">
        <v>0</v>
      </c>
      <c r="D29" s="182">
        <f t="shared" si="5"/>
        <v>2020.482454468616</v>
      </c>
      <c r="E29" s="182">
        <f t="shared" si="0"/>
        <v>2020.482454468616</v>
      </c>
      <c r="F29" s="182">
        <f>SUM('III.3 Benefits_Grouping'!C26:G26)*0.031</f>
        <v>16405.2</v>
      </c>
      <c r="G29" s="182">
        <f>'III.3 Benefits_Grouping'!J26*0.031</f>
        <v>5719.5</v>
      </c>
      <c r="H29" s="182">
        <f t="shared" si="1"/>
        <v>22124.7</v>
      </c>
      <c r="I29" s="182">
        <f t="shared" si="2"/>
        <v>20104.217545531385</v>
      </c>
      <c r="J29" s="305"/>
    </row>
    <row r="30" spans="1:12" x14ac:dyDescent="0.2">
      <c r="A30" s="98">
        <f t="shared" si="3"/>
        <v>2037</v>
      </c>
      <c r="B30" s="184">
        <f t="shared" si="4"/>
        <v>21</v>
      </c>
      <c r="C30" s="182">
        <v>0</v>
      </c>
      <c r="D30" s="182">
        <f t="shared" si="5"/>
        <v>2020.482454468616</v>
      </c>
      <c r="E30" s="182">
        <f t="shared" si="0"/>
        <v>2020.482454468616</v>
      </c>
      <c r="F30" s="182">
        <f>SUM('III.3 Benefits_Grouping'!C27:G27)*0.031</f>
        <v>16496.456249999999</v>
      </c>
      <c r="G30" s="182">
        <f>'III.3 Benefits_Grouping'!J27*0.031</f>
        <v>5719.5</v>
      </c>
      <c r="H30" s="182">
        <f t="shared" si="1"/>
        <v>22215.956249999999</v>
      </c>
      <c r="I30" s="182">
        <f t="shared" si="2"/>
        <v>20195.473795531383</v>
      </c>
      <c r="J30" s="305"/>
    </row>
    <row r="31" spans="1:12" x14ac:dyDescent="0.2">
      <c r="A31" s="98">
        <f t="shared" si="3"/>
        <v>2038</v>
      </c>
      <c r="B31" s="184">
        <f t="shared" si="4"/>
        <v>22</v>
      </c>
      <c r="C31" s="182">
        <v>0</v>
      </c>
      <c r="D31" s="182">
        <f t="shared" si="5"/>
        <v>2020.482454468616</v>
      </c>
      <c r="E31" s="182">
        <f t="shared" si="0"/>
        <v>2020.482454468616</v>
      </c>
      <c r="F31" s="182">
        <f>SUM('III.3 Benefits_Grouping'!C28:G28)*0.031</f>
        <v>16587.712500000001</v>
      </c>
      <c r="G31" s="182">
        <f>'III.3 Benefits_Grouping'!J28*0.031</f>
        <v>5719.5</v>
      </c>
      <c r="H31" s="182">
        <f t="shared" si="1"/>
        <v>22307.212500000001</v>
      </c>
      <c r="I31" s="182">
        <f t="shared" si="2"/>
        <v>20286.730045531385</v>
      </c>
      <c r="J31" s="305"/>
    </row>
    <row r="32" spans="1:12" x14ac:dyDescent="0.2">
      <c r="A32" s="98">
        <f t="shared" si="3"/>
        <v>2039</v>
      </c>
      <c r="B32" s="184">
        <f t="shared" si="4"/>
        <v>23</v>
      </c>
      <c r="C32" s="182">
        <v>0</v>
      </c>
      <c r="D32" s="182">
        <f t="shared" si="5"/>
        <v>2020.482454468616</v>
      </c>
      <c r="E32" s="182">
        <f t="shared" si="0"/>
        <v>2020.482454468616</v>
      </c>
      <c r="F32" s="182">
        <f>SUM('III.3 Benefits_Grouping'!C29:G29)*0.031</f>
        <v>16678.96875</v>
      </c>
      <c r="G32" s="182">
        <f>'III.3 Benefits_Grouping'!J29*0.031</f>
        <v>5719.5</v>
      </c>
      <c r="H32" s="182">
        <f t="shared" si="1"/>
        <v>22398.46875</v>
      </c>
      <c r="I32" s="182">
        <f t="shared" si="2"/>
        <v>20377.986295531384</v>
      </c>
      <c r="J32" s="305"/>
    </row>
    <row r="33" spans="1:10" x14ac:dyDescent="0.2">
      <c r="A33" s="98">
        <f t="shared" si="3"/>
        <v>2040</v>
      </c>
      <c r="B33" s="184">
        <f t="shared" si="4"/>
        <v>24</v>
      </c>
      <c r="C33" s="182">
        <v>0</v>
      </c>
      <c r="D33" s="182">
        <f t="shared" si="5"/>
        <v>2020.482454468616</v>
      </c>
      <c r="E33" s="182">
        <f t="shared" si="0"/>
        <v>2020.482454468616</v>
      </c>
      <c r="F33" s="182">
        <f>SUM('III.3 Benefits_Grouping'!C30:G30)*0.031</f>
        <v>16770.224999999999</v>
      </c>
      <c r="G33" s="182">
        <f>'III.3 Benefits_Grouping'!J30*0.031</f>
        <v>5719.5</v>
      </c>
      <c r="H33" s="182">
        <f t="shared" si="1"/>
        <v>22489.724999999999</v>
      </c>
      <c r="I33" s="182">
        <f t="shared" si="2"/>
        <v>20469.242545531382</v>
      </c>
      <c r="J33" s="305"/>
    </row>
    <row r="34" spans="1:10" x14ac:dyDescent="0.2">
      <c r="A34" s="98">
        <f t="shared" si="3"/>
        <v>2041</v>
      </c>
      <c r="B34" s="184">
        <f t="shared" si="4"/>
        <v>25</v>
      </c>
      <c r="C34" s="182">
        <v>0</v>
      </c>
      <c r="D34" s="182">
        <f t="shared" si="5"/>
        <v>2020.482454468616</v>
      </c>
      <c r="E34" s="182">
        <f t="shared" si="0"/>
        <v>2020.482454468616</v>
      </c>
      <c r="F34" s="182">
        <f>SUM('III.3 Benefits_Grouping'!C31:G31)*0.031</f>
        <v>16861.481250000001</v>
      </c>
      <c r="G34" s="182">
        <f>'III.3 Benefits_Grouping'!J31*0.031</f>
        <v>5719.5</v>
      </c>
      <c r="H34" s="182">
        <f t="shared" si="1"/>
        <v>22580.981250000001</v>
      </c>
      <c r="I34" s="182">
        <f t="shared" si="2"/>
        <v>20560.498795531385</v>
      </c>
      <c r="J34" s="305"/>
    </row>
    <row r="35" spans="1:10" x14ac:dyDescent="0.2">
      <c r="A35" s="98">
        <f t="shared" si="3"/>
        <v>2042</v>
      </c>
      <c r="B35" s="184">
        <f t="shared" si="4"/>
        <v>26</v>
      </c>
      <c r="C35" s="182">
        <v>0</v>
      </c>
      <c r="D35" s="182">
        <f t="shared" si="5"/>
        <v>2020.482454468616</v>
      </c>
      <c r="E35" s="182">
        <f t="shared" si="0"/>
        <v>2020.482454468616</v>
      </c>
      <c r="F35" s="182">
        <f>SUM('III.3 Benefits_Grouping'!C32:G32)*0.031</f>
        <v>16952.737499999999</v>
      </c>
      <c r="G35" s="182">
        <f>'III.3 Benefits_Grouping'!J32*0.031</f>
        <v>5719.5</v>
      </c>
      <c r="H35" s="182">
        <f t="shared" si="1"/>
        <v>22672.237499999999</v>
      </c>
      <c r="I35" s="182">
        <f t="shared" si="2"/>
        <v>20651.755045531383</v>
      </c>
      <c r="J35" s="305"/>
    </row>
    <row r="36" spans="1:10" x14ac:dyDescent="0.2">
      <c r="A36" s="98">
        <f t="shared" si="3"/>
        <v>2043</v>
      </c>
      <c r="B36" s="184">
        <f t="shared" si="4"/>
        <v>27</v>
      </c>
      <c r="C36" s="182">
        <v>0</v>
      </c>
      <c r="D36" s="182">
        <f t="shared" si="5"/>
        <v>2020.482454468616</v>
      </c>
      <c r="E36" s="182">
        <f t="shared" si="0"/>
        <v>2020.482454468616</v>
      </c>
      <c r="F36" s="182">
        <f>SUM('III.3 Benefits_Grouping'!C33:G33)*0.031</f>
        <v>17043.993750000001</v>
      </c>
      <c r="G36" s="182">
        <f>'III.3 Benefits_Grouping'!J33*0.031</f>
        <v>5719.5</v>
      </c>
      <c r="H36" s="182">
        <f t="shared" si="1"/>
        <v>22763.493750000001</v>
      </c>
      <c r="I36" s="182">
        <f t="shared" si="2"/>
        <v>20743.011295531385</v>
      </c>
      <c r="J36" s="305"/>
    </row>
    <row r="37" spans="1:10" x14ac:dyDescent="0.2">
      <c r="A37" s="98">
        <f t="shared" si="3"/>
        <v>2044</v>
      </c>
      <c r="B37" s="184">
        <f t="shared" si="4"/>
        <v>28</v>
      </c>
      <c r="C37" s="182">
        <v>0</v>
      </c>
      <c r="D37" s="182">
        <f t="shared" si="5"/>
        <v>2020.482454468616</v>
      </c>
      <c r="E37" s="182">
        <f t="shared" si="0"/>
        <v>2020.482454468616</v>
      </c>
      <c r="F37" s="182">
        <f>SUM('III.3 Benefits_Grouping'!C34:G34)*0.031</f>
        <v>17135.25</v>
      </c>
      <c r="G37" s="182">
        <f>'III.3 Benefits_Grouping'!J34*0.031</f>
        <v>5719.5</v>
      </c>
      <c r="H37" s="182">
        <f t="shared" si="1"/>
        <v>22854.75</v>
      </c>
      <c r="I37" s="182">
        <f t="shared" si="2"/>
        <v>20834.267545531384</v>
      </c>
      <c r="J37" s="305"/>
    </row>
    <row r="38" spans="1:10" x14ac:dyDescent="0.2">
      <c r="A38" s="98">
        <f t="shared" si="3"/>
        <v>2045</v>
      </c>
      <c r="B38" s="184">
        <f t="shared" si="4"/>
        <v>29</v>
      </c>
      <c r="C38" s="182">
        <v>0</v>
      </c>
      <c r="D38" s="182">
        <f t="shared" si="5"/>
        <v>2020.482454468616</v>
      </c>
      <c r="E38" s="182">
        <f t="shared" si="0"/>
        <v>2020.482454468616</v>
      </c>
      <c r="F38" s="182">
        <f>SUM('III.3 Benefits_Grouping'!C35:G35)*0.031</f>
        <v>17226.506249999999</v>
      </c>
      <c r="G38" s="182">
        <f>'III.3 Benefits_Grouping'!J35*0.031</f>
        <v>5719.5</v>
      </c>
      <c r="H38" s="182">
        <f t="shared" si="1"/>
        <v>22946.006249999999</v>
      </c>
      <c r="I38" s="182">
        <f t="shared" si="2"/>
        <v>20925.523795531382</v>
      </c>
      <c r="J38" s="305"/>
    </row>
    <row r="39" spans="1:10" x14ac:dyDescent="0.2">
      <c r="A39" s="98">
        <f t="shared" si="3"/>
        <v>2046</v>
      </c>
      <c r="B39" s="184">
        <f t="shared" si="4"/>
        <v>30</v>
      </c>
      <c r="C39" s="182">
        <v>0</v>
      </c>
      <c r="D39" s="182">
        <f t="shared" si="5"/>
        <v>2020.482454468616</v>
      </c>
      <c r="E39" s="182">
        <f t="shared" si="0"/>
        <v>2020.482454468616</v>
      </c>
      <c r="F39" s="182">
        <f>SUM('III.3 Benefits_Grouping'!C36:G36)*0.031</f>
        <v>17317.762500000001</v>
      </c>
      <c r="G39" s="182">
        <f>'III.3 Benefits_Grouping'!J36*0.031</f>
        <v>5719.5</v>
      </c>
      <c r="H39" s="182">
        <f t="shared" si="1"/>
        <v>23037.262500000001</v>
      </c>
      <c r="I39" s="182">
        <f t="shared" si="2"/>
        <v>21016.780045531385</v>
      </c>
      <c r="J39" s="305"/>
    </row>
    <row r="40" spans="1:10" x14ac:dyDescent="0.2">
      <c r="A40" s="98">
        <f t="shared" si="3"/>
        <v>2047</v>
      </c>
      <c r="B40" s="184">
        <f t="shared" si="4"/>
        <v>31</v>
      </c>
      <c r="C40" s="182">
        <v>0</v>
      </c>
      <c r="D40" s="182">
        <f t="shared" si="5"/>
        <v>2020.482454468616</v>
      </c>
      <c r="E40" s="182">
        <f t="shared" si="0"/>
        <v>2020.482454468616</v>
      </c>
      <c r="F40" s="182">
        <f>SUM('III.3 Benefits_Grouping'!C37:G37)*0.031</f>
        <v>17409.018749999999</v>
      </c>
      <c r="G40" s="182">
        <f>'III.3 Benefits_Grouping'!J37*0.031</f>
        <v>5719.5</v>
      </c>
      <c r="H40" s="182">
        <f t="shared" si="1"/>
        <v>23128.518749999999</v>
      </c>
      <c r="I40" s="182">
        <f t="shared" si="2"/>
        <v>21108.036295531383</v>
      </c>
      <c r="J40" s="305"/>
    </row>
    <row r="41" spans="1:10" x14ac:dyDescent="0.2">
      <c r="A41" s="98">
        <f t="shared" si="3"/>
        <v>2048</v>
      </c>
      <c r="B41" s="184">
        <f t="shared" si="4"/>
        <v>32</v>
      </c>
      <c r="C41" s="182">
        <v>0</v>
      </c>
      <c r="D41" s="182">
        <f t="shared" si="5"/>
        <v>2020.482454468616</v>
      </c>
      <c r="E41" s="182">
        <f t="shared" ref="E41:E59" si="6">SUM(C41:D41)</f>
        <v>2020.482454468616</v>
      </c>
      <c r="F41" s="182">
        <f>SUM('III.3 Benefits_Grouping'!C38:G38)*0.031</f>
        <v>17500.275000000001</v>
      </c>
      <c r="G41" s="182">
        <f>'III.3 Benefits_Grouping'!J38*0.031</f>
        <v>5719.5</v>
      </c>
      <c r="H41" s="182">
        <f t="shared" ref="H41:H59" si="7">SUM(F41:G41)</f>
        <v>23219.775000000001</v>
      </c>
      <c r="I41" s="182">
        <f t="shared" ref="I41:I59" si="8">(H41-E41)</f>
        <v>21199.292545531385</v>
      </c>
      <c r="J41" s="305"/>
    </row>
    <row r="42" spans="1:10" x14ac:dyDescent="0.2">
      <c r="A42" s="98">
        <f t="shared" ref="A42:A59" si="9">(A41+1)</f>
        <v>2049</v>
      </c>
      <c r="B42" s="184">
        <f t="shared" ref="B42:B59" si="10">(B41+1)</f>
        <v>33</v>
      </c>
      <c r="C42" s="182">
        <v>0</v>
      </c>
      <c r="D42" s="182">
        <f t="shared" si="5"/>
        <v>2020.482454468616</v>
      </c>
      <c r="E42" s="182">
        <f t="shared" si="6"/>
        <v>2020.482454468616</v>
      </c>
      <c r="F42" s="182">
        <f>SUM('III.3 Benefits_Grouping'!C39:G39)*0.031</f>
        <v>17591.53125</v>
      </c>
      <c r="G42" s="182">
        <f>'III.3 Benefits_Grouping'!J39*0.031</f>
        <v>5719.5</v>
      </c>
      <c r="H42" s="182">
        <f t="shared" si="7"/>
        <v>23311.03125</v>
      </c>
      <c r="I42" s="182">
        <f t="shared" si="8"/>
        <v>21290.548795531384</v>
      </c>
      <c r="J42" s="305"/>
    </row>
    <row r="43" spans="1:10" x14ac:dyDescent="0.2">
      <c r="A43" s="98">
        <f t="shared" si="9"/>
        <v>2050</v>
      </c>
      <c r="B43" s="184">
        <f t="shared" si="10"/>
        <v>34</v>
      </c>
      <c r="C43" s="182">
        <v>0</v>
      </c>
      <c r="D43" s="182">
        <f t="shared" si="5"/>
        <v>2020.482454468616</v>
      </c>
      <c r="E43" s="182">
        <f t="shared" si="6"/>
        <v>2020.482454468616</v>
      </c>
      <c r="F43" s="182">
        <f>SUM('III.3 Benefits_Grouping'!C40:G40)*0.031</f>
        <v>17682.787499999999</v>
      </c>
      <c r="G43" s="182">
        <f>'III.3 Benefits_Grouping'!J40*0.031</f>
        <v>5719.5</v>
      </c>
      <c r="H43" s="182">
        <f t="shared" si="7"/>
        <v>23402.287499999999</v>
      </c>
      <c r="I43" s="182">
        <f t="shared" si="8"/>
        <v>21381.805045531382</v>
      </c>
      <c r="J43" s="305"/>
    </row>
    <row r="44" spans="1:10" x14ac:dyDescent="0.2">
      <c r="A44" s="98">
        <f t="shared" si="9"/>
        <v>2051</v>
      </c>
      <c r="B44" s="184">
        <f t="shared" si="10"/>
        <v>35</v>
      </c>
      <c r="C44" s="182">
        <v>0</v>
      </c>
      <c r="D44" s="182">
        <f t="shared" si="5"/>
        <v>2020.482454468616</v>
      </c>
      <c r="E44" s="182">
        <f t="shared" si="6"/>
        <v>2020.482454468616</v>
      </c>
      <c r="F44" s="182">
        <f>SUM('III.3 Benefits_Grouping'!C41:G41)*0.031</f>
        <v>17774.043750000001</v>
      </c>
      <c r="G44" s="182">
        <f>'III.3 Benefits_Grouping'!J41*0.031</f>
        <v>5719.5</v>
      </c>
      <c r="H44" s="182">
        <f t="shared" si="7"/>
        <v>23493.543750000001</v>
      </c>
      <c r="I44" s="182">
        <f t="shared" si="8"/>
        <v>21473.061295531385</v>
      </c>
      <c r="J44" s="305"/>
    </row>
    <row r="45" spans="1:10" x14ac:dyDescent="0.2">
      <c r="A45" s="98">
        <f t="shared" si="9"/>
        <v>2052</v>
      </c>
      <c r="B45" s="184">
        <f t="shared" si="10"/>
        <v>36</v>
      </c>
      <c r="C45" s="182">
        <v>0</v>
      </c>
      <c r="D45" s="182">
        <f t="shared" si="5"/>
        <v>2020.482454468616</v>
      </c>
      <c r="E45" s="182">
        <f t="shared" si="6"/>
        <v>2020.482454468616</v>
      </c>
      <c r="F45" s="182">
        <f>SUM('III.3 Benefits_Grouping'!C42:G42)*0.031</f>
        <v>17865.3</v>
      </c>
      <c r="G45" s="182">
        <f>'III.3 Benefits_Grouping'!J42*0.031</f>
        <v>5719.5</v>
      </c>
      <c r="H45" s="182">
        <f t="shared" si="7"/>
        <v>23584.799999999999</v>
      </c>
      <c r="I45" s="182">
        <f t="shared" si="8"/>
        <v>21564.317545531383</v>
      </c>
      <c r="J45" s="305"/>
    </row>
    <row r="46" spans="1:10" x14ac:dyDescent="0.2">
      <c r="A46" s="98">
        <f t="shared" si="9"/>
        <v>2053</v>
      </c>
      <c r="B46" s="184">
        <f t="shared" si="10"/>
        <v>37</v>
      </c>
      <c r="C46" s="182">
        <v>0</v>
      </c>
      <c r="D46" s="182">
        <f t="shared" si="5"/>
        <v>2020.482454468616</v>
      </c>
      <c r="E46" s="182">
        <f t="shared" si="6"/>
        <v>2020.482454468616</v>
      </c>
      <c r="F46" s="182">
        <f>SUM('III.3 Benefits_Grouping'!C43:G43)*0.031</f>
        <v>17956.556250000001</v>
      </c>
      <c r="G46" s="182">
        <f>'III.3 Benefits_Grouping'!J43*0.031</f>
        <v>5719.5</v>
      </c>
      <c r="H46" s="182">
        <f t="shared" si="7"/>
        <v>23676.056250000001</v>
      </c>
      <c r="I46" s="182">
        <f t="shared" si="8"/>
        <v>21655.573795531385</v>
      </c>
      <c r="J46" s="305"/>
    </row>
    <row r="47" spans="1:10" x14ac:dyDescent="0.2">
      <c r="A47" s="98">
        <f t="shared" si="9"/>
        <v>2054</v>
      </c>
      <c r="B47" s="184">
        <f t="shared" si="10"/>
        <v>38</v>
      </c>
      <c r="C47" s="182">
        <v>0</v>
      </c>
      <c r="D47" s="182">
        <f t="shared" si="5"/>
        <v>2020.482454468616</v>
      </c>
      <c r="E47" s="182">
        <f t="shared" si="6"/>
        <v>2020.482454468616</v>
      </c>
      <c r="F47" s="182">
        <f>SUM('III.3 Benefits_Grouping'!C44:G44)*0.031</f>
        <v>18047.8125</v>
      </c>
      <c r="G47" s="182">
        <f>'III.3 Benefits_Grouping'!J44*0.031</f>
        <v>5719.5</v>
      </c>
      <c r="H47" s="182">
        <f t="shared" si="7"/>
        <v>23767.3125</v>
      </c>
      <c r="I47" s="182">
        <f t="shared" si="8"/>
        <v>21746.830045531384</v>
      </c>
      <c r="J47" s="305"/>
    </row>
    <row r="48" spans="1:10" x14ac:dyDescent="0.2">
      <c r="A48" s="98">
        <f t="shared" si="9"/>
        <v>2055</v>
      </c>
      <c r="B48" s="184">
        <f t="shared" si="10"/>
        <v>39</v>
      </c>
      <c r="C48" s="182">
        <v>0</v>
      </c>
      <c r="D48" s="182">
        <f t="shared" si="5"/>
        <v>2020.482454468616</v>
      </c>
      <c r="E48" s="182">
        <f t="shared" si="6"/>
        <v>2020.482454468616</v>
      </c>
      <c r="F48" s="182">
        <f>SUM('III.3 Benefits_Grouping'!C45:G45)*0.031</f>
        <v>18139.068749999999</v>
      </c>
      <c r="G48" s="182">
        <f>'III.3 Benefits_Grouping'!J45*0.031</f>
        <v>5719.5</v>
      </c>
      <c r="H48" s="182">
        <f t="shared" si="7"/>
        <v>23858.568749999999</v>
      </c>
      <c r="I48" s="182">
        <f t="shared" si="8"/>
        <v>21838.086295531382</v>
      </c>
      <c r="J48" s="305"/>
    </row>
    <row r="49" spans="1:11" x14ac:dyDescent="0.2">
      <c r="A49" s="98">
        <f t="shared" si="9"/>
        <v>2056</v>
      </c>
      <c r="B49" s="184">
        <f t="shared" si="10"/>
        <v>40</v>
      </c>
      <c r="C49" s="182">
        <v>0</v>
      </c>
      <c r="D49" s="182">
        <f t="shared" si="5"/>
        <v>2020.482454468616</v>
      </c>
      <c r="E49" s="182">
        <f t="shared" si="6"/>
        <v>2020.482454468616</v>
      </c>
      <c r="F49" s="182">
        <f>SUM('III.3 Benefits_Grouping'!C46:G46)*0.031</f>
        <v>18230.325000000001</v>
      </c>
      <c r="G49" s="182">
        <f>'III.3 Benefits_Grouping'!J46*0.031</f>
        <v>5719.5</v>
      </c>
      <c r="H49" s="182">
        <f t="shared" si="7"/>
        <v>23949.825000000001</v>
      </c>
      <c r="I49" s="182">
        <f t="shared" si="8"/>
        <v>21929.342545531385</v>
      </c>
      <c r="J49" s="305"/>
    </row>
    <row r="50" spans="1:11" x14ac:dyDescent="0.2">
      <c r="A50" s="98">
        <f t="shared" si="9"/>
        <v>2057</v>
      </c>
      <c r="B50" s="184">
        <f t="shared" si="10"/>
        <v>41</v>
      </c>
      <c r="C50" s="182">
        <v>0</v>
      </c>
      <c r="D50" s="182">
        <f t="shared" si="5"/>
        <v>2020.482454468616</v>
      </c>
      <c r="E50" s="182">
        <f t="shared" si="6"/>
        <v>2020.482454468616</v>
      </c>
      <c r="F50" s="182">
        <f>SUM('III.3 Benefits_Grouping'!C47:G47)*0.031</f>
        <v>18321.581249999999</v>
      </c>
      <c r="G50" s="182">
        <f>'III.3 Benefits_Grouping'!J47*0.031</f>
        <v>5719.5</v>
      </c>
      <c r="H50" s="182">
        <f t="shared" si="7"/>
        <v>24041.081249999999</v>
      </c>
      <c r="I50" s="182">
        <f t="shared" si="8"/>
        <v>22020.598795531383</v>
      </c>
      <c r="J50" s="305"/>
    </row>
    <row r="51" spans="1:11" x14ac:dyDescent="0.2">
      <c r="A51" s="98">
        <f t="shared" si="9"/>
        <v>2058</v>
      </c>
      <c r="B51" s="184">
        <f t="shared" si="10"/>
        <v>42</v>
      </c>
      <c r="C51" s="182">
        <v>0</v>
      </c>
      <c r="D51" s="182">
        <f t="shared" si="5"/>
        <v>2020.482454468616</v>
      </c>
      <c r="E51" s="182">
        <f t="shared" si="6"/>
        <v>2020.482454468616</v>
      </c>
      <c r="F51" s="182">
        <f>SUM('III.3 Benefits_Grouping'!C48:G48)*0.031</f>
        <v>18412.837500000001</v>
      </c>
      <c r="G51" s="182">
        <f>'III.3 Benefits_Grouping'!J48*0.031</f>
        <v>5719.5</v>
      </c>
      <c r="H51" s="182">
        <f t="shared" si="7"/>
        <v>24132.337500000001</v>
      </c>
      <c r="I51" s="182">
        <f t="shared" si="8"/>
        <v>22111.855045531385</v>
      </c>
      <c r="J51" s="305"/>
    </row>
    <row r="52" spans="1:11" x14ac:dyDescent="0.2">
      <c r="A52" s="98">
        <f t="shared" si="9"/>
        <v>2059</v>
      </c>
      <c r="B52" s="184">
        <f t="shared" si="10"/>
        <v>43</v>
      </c>
      <c r="C52" s="182">
        <v>0</v>
      </c>
      <c r="D52" s="182">
        <f t="shared" si="5"/>
        <v>2020.482454468616</v>
      </c>
      <c r="E52" s="182">
        <f t="shared" si="6"/>
        <v>2020.482454468616</v>
      </c>
      <c r="F52" s="182">
        <f>SUM('III.3 Benefits_Grouping'!C49:G49)*0.031</f>
        <v>18504.09375</v>
      </c>
      <c r="G52" s="182">
        <f>'III.3 Benefits_Grouping'!J49*0.031</f>
        <v>5719.5</v>
      </c>
      <c r="H52" s="182">
        <f t="shared" si="7"/>
        <v>24223.59375</v>
      </c>
      <c r="I52" s="182">
        <f t="shared" si="8"/>
        <v>22203.111295531384</v>
      </c>
      <c r="J52" s="305"/>
    </row>
    <row r="53" spans="1:11" x14ac:dyDescent="0.2">
      <c r="A53" s="98">
        <f t="shared" si="9"/>
        <v>2060</v>
      </c>
      <c r="B53" s="184">
        <f t="shared" si="10"/>
        <v>44</v>
      </c>
      <c r="C53" s="182">
        <v>0</v>
      </c>
      <c r="D53" s="182">
        <f t="shared" si="5"/>
        <v>2020.482454468616</v>
      </c>
      <c r="E53" s="182">
        <f t="shared" si="6"/>
        <v>2020.482454468616</v>
      </c>
      <c r="F53" s="182">
        <f>SUM('III.3 Benefits_Grouping'!C50:G50)*0.031</f>
        <v>18595.349999999999</v>
      </c>
      <c r="G53" s="182">
        <f>'III.3 Benefits_Grouping'!J50*0.031</f>
        <v>5719.5</v>
      </c>
      <c r="H53" s="182">
        <f t="shared" si="7"/>
        <v>24314.85</v>
      </c>
      <c r="I53" s="182">
        <f t="shared" si="8"/>
        <v>22294.367545531382</v>
      </c>
      <c r="J53" s="305"/>
    </row>
    <row r="54" spans="1:11" x14ac:dyDescent="0.2">
      <c r="A54" s="98">
        <f t="shared" si="9"/>
        <v>2061</v>
      </c>
      <c r="B54" s="184">
        <f t="shared" si="10"/>
        <v>45</v>
      </c>
      <c r="C54" s="182">
        <v>0</v>
      </c>
      <c r="D54" s="182">
        <f t="shared" si="5"/>
        <v>2020.482454468616</v>
      </c>
      <c r="E54" s="182">
        <f t="shared" si="6"/>
        <v>2020.482454468616</v>
      </c>
      <c r="F54" s="182">
        <f>SUM('III.3 Benefits_Grouping'!C51:G51)*0.031</f>
        <v>18686.606250000001</v>
      </c>
      <c r="G54" s="182">
        <f>'III.3 Benefits_Grouping'!J51*0.031</f>
        <v>5719.5</v>
      </c>
      <c r="H54" s="182">
        <f t="shared" si="7"/>
        <v>24406.106250000001</v>
      </c>
      <c r="I54" s="182">
        <f t="shared" si="8"/>
        <v>22385.623795531385</v>
      </c>
      <c r="J54" s="305"/>
    </row>
    <row r="55" spans="1:11" x14ac:dyDescent="0.2">
      <c r="A55" s="98">
        <f t="shared" si="9"/>
        <v>2062</v>
      </c>
      <c r="B55" s="184">
        <f t="shared" si="10"/>
        <v>46</v>
      </c>
      <c r="C55" s="182">
        <v>0</v>
      </c>
      <c r="D55" s="182">
        <f t="shared" si="5"/>
        <v>2020.482454468616</v>
      </c>
      <c r="E55" s="182">
        <f t="shared" si="6"/>
        <v>2020.482454468616</v>
      </c>
      <c r="F55" s="182">
        <f>SUM('III.3 Benefits_Grouping'!C52:G52)*0.031</f>
        <v>18777.862499999999</v>
      </c>
      <c r="G55" s="182">
        <f>'III.3 Benefits_Grouping'!J52*0.031</f>
        <v>5719.5</v>
      </c>
      <c r="H55" s="182">
        <f t="shared" si="7"/>
        <v>24497.362499999999</v>
      </c>
      <c r="I55" s="182">
        <f t="shared" si="8"/>
        <v>22476.880045531383</v>
      </c>
      <c r="J55" s="305"/>
    </row>
    <row r="56" spans="1:11" x14ac:dyDescent="0.2">
      <c r="A56" s="98">
        <f t="shared" si="9"/>
        <v>2063</v>
      </c>
      <c r="B56" s="184">
        <f t="shared" si="10"/>
        <v>47</v>
      </c>
      <c r="C56" s="182">
        <v>0</v>
      </c>
      <c r="D56" s="182">
        <f t="shared" si="5"/>
        <v>2020.482454468616</v>
      </c>
      <c r="E56" s="182">
        <f t="shared" si="6"/>
        <v>2020.482454468616</v>
      </c>
      <c r="F56" s="182">
        <f>SUM('III.3 Benefits_Grouping'!C53:G53)*0.031</f>
        <v>18869.118750000001</v>
      </c>
      <c r="G56" s="182">
        <f>'III.3 Benefits_Grouping'!J53*0.031</f>
        <v>5719.5</v>
      </c>
      <c r="H56" s="182">
        <f t="shared" si="7"/>
        <v>24588.618750000001</v>
      </c>
      <c r="I56" s="182">
        <f t="shared" si="8"/>
        <v>22568.136295531385</v>
      </c>
      <c r="J56" s="305"/>
    </row>
    <row r="57" spans="1:11" x14ac:dyDescent="0.2">
      <c r="A57" s="98">
        <f t="shared" si="9"/>
        <v>2064</v>
      </c>
      <c r="B57" s="184">
        <f t="shared" si="10"/>
        <v>48</v>
      </c>
      <c r="C57" s="182">
        <v>0</v>
      </c>
      <c r="D57" s="182">
        <f t="shared" si="5"/>
        <v>2020.482454468616</v>
      </c>
      <c r="E57" s="182">
        <f t="shared" si="6"/>
        <v>2020.482454468616</v>
      </c>
      <c r="F57" s="182">
        <f>SUM('III.3 Benefits_Grouping'!C54:G54)*0.031</f>
        <v>18960.375</v>
      </c>
      <c r="G57" s="182">
        <f>'III.3 Benefits_Grouping'!J54*0.031</f>
        <v>5719.5</v>
      </c>
      <c r="H57" s="182">
        <f t="shared" si="7"/>
        <v>24679.875</v>
      </c>
      <c r="I57" s="182">
        <f t="shared" si="8"/>
        <v>22659.392545531384</v>
      </c>
      <c r="J57" s="305"/>
    </row>
    <row r="58" spans="1:11" x14ac:dyDescent="0.2">
      <c r="A58" s="98">
        <f t="shared" si="9"/>
        <v>2065</v>
      </c>
      <c r="B58" s="184">
        <f t="shared" si="10"/>
        <v>49</v>
      </c>
      <c r="C58" s="182">
        <v>0</v>
      </c>
      <c r="D58" s="182">
        <f t="shared" si="5"/>
        <v>2020.482454468616</v>
      </c>
      <c r="E58" s="182">
        <f t="shared" si="6"/>
        <v>2020.482454468616</v>
      </c>
      <c r="F58" s="182">
        <f>SUM('III.3 Benefits_Grouping'!C55:G55)*0.031</f>
        <v>19051.631249999999</v>
      </c>
      <c r="G58" s="182">
        <f>'III.3 Benefits_Grouping'!J55*0.031</f>
        <v>5719.5</v>
      </c>
      <c r="H58" s="182">
        <f t="shared" si="7"/>
        <v>24771.131249999999</v>
      </c>
      <c r="I58" s="182">
        <f t="shared" si="8"/>
        <v>22750.648795531382</v>
      </c>
      <c r="J58" s="305"/>
    </row>
    <row r="59" spans="1:11" x14ac:dyDescent="0.2">
      <c r="A59" s="98">
        <f t="shared" si="9"/>
        <v>2066</v>
      </c>
      <c r="B59" s="184">
        <f t="shared" si="10"/>
        <v>50</v>
      </c>
      <c r="C59" s="182">
        <v>0</v>
      </c>
      <c r="D59" s="182">
        <f t="shared" si="5"/>
        <v>2020.482454468616</v>
      </c>
      <c r="E59" s="182">
        <f t="shared" si="6"/>
        <v>2020.482454468616</v>
      </c>
      <c r="F59" s="182">
        <f>SUM('III.3 Benefits_Grouping'!C56:G56)*0.031</f>
        <v>19051.631249999999</v>
      </c>
      <c r="G59" s="182">
        <f>'III.3 Benefits_Grouping'!J56*0.031</f>
        <v>5719.5</v>
      </c>
      <c r="H59" s="182">
        <f t="shared" si="7"/>
        <v>24771.131249999999</v>
      </c>
      <c r="I59" s="182">
        <f t="shared" si="8"/>
        <v>22750.648795531382</v>
      </c>
      <c r="J59" s="305"/>
    </row>
    <row r="60" spans="1:11" ht="15" x14ac:dyDescent="0.25">
      <c r="A60" s="748" t="s">
        <v>422</v>
      </c>
      <c r="B60" s="748"/>
      <c r="C60" s="182">
        <f t="shared" ref="C60:H60" si="11">NPV($C$5,C10:C59)+C9</f>
        <v>190476.19047619047</v>
      </c>
      <c r="D60" s="182">
        <f t="shared" si="11"/>
        <v>34961.508078877145</v>
      </c>
      <c r="E60" s="182">
        <f t="shared" si="11"/>
        <v>225437.69855506771</v>
      </c>
      <c r="F60" s="182">
        <f t="shared" si="11"/>
        <v>279221.47110400465</v>
      </c>
      <c r="G60" s="182">
        <f t="shared" si="11"/>
        <v>98936.496283874207</v>
      </c>
      <c r="H60" s="182">
        <f t="shared" si="11"/>
        <v>378157.96738787898</v>
      </c>
      <c r="J60" s="305"/>
      <c r="K60" s="273"/>
    </row>
    <row r="61" spans="1:11" ht="13.5" thickBot="1" x14ac:dyDescent="0.25">
      <c r="B61" s="304"/>
      <c r="C61" s="268"/>
      <c r="E61" s="307"/>
      <c r="J61" s="305"/>
    </row>
    <row r="62" spans="1:11" ht="15" x14ac:dyDescent="0.25">
      <c r="C62" s="307"/>
      <c r="G62" s="749" t="s">
        <v>417</v>
      </c>
      <c r="H62" s="750"/>
      <c r="I62" s="471">
        <f>(H60/E60)</f>
        <v>1.6774389102251515</v>
      </c>
      <c r="J62" s="305"/>
    </row>
    <row r="63" spans="1:11" ht="15" x14ac:dyDescent="0.25">
      <c r="C63" s="307"/>
      <c r="G63" s="751" t="s">
        <v>416</v>
      </c>
      <c r="H63" s="752"/>
      <c r="I63" s="472">
        <f>IRR(I9:I59)</f>
        <v>9.5705441375994571E-2</v>
      </c>
      <c r="J63" s="305"/>
    </row>
    <row r="64" spans="1:11" ht="15.75" thickBot="1" x14ac:dyDescent="0.3">
      <c r="C64" s="268"/>
      <c r="G64" s="745" t="s">
        <v>592</v>
      </c>
      <c r="H64" s="746"/>
      <c r="I64" s="473">
        <f>NPV($C$5,I10:I59)+I9</f>
        <v>152720.26883281121</v>
      </c>
      <c r="J64" s="305"/>
    </row>
    <row r="65" spans="1:8" ht="13.5" thickBot="1" x14ac:dyDescent="0.25"/>
    <row r="66" spans="1:8" ht="15" x14ac:dyDescent="0.25">
      <c r="A66" s="480" t="s">
        <v>0</v>
      </c>
      <c r="B66" s="481"/>
      <c r="C66" s="250"/>
      <c r="D66" s="250"/>
      <c r="E66" s="250"/>
      <c r="F66" s="250"/>
      <c r="G66" s="177"/>
      <c r="H66" s="176"/>
    </row>
    <row r="67" spans="1:8" ht="15" x14ac:dyDescent="0.2">
      <c r="A67" s="709" t="s">
        <v>388</v>
      </c>
      <c r="B67" s="710"/>
      <c r="C67" s="519" t="s">
        <v>387</v>
      </c>
      <c r="D67" s="519"/>
      <c r="E67" s="519"/>
      <c r="F67" s="519"/>
      <c r="G67" s="519"/>
      <c r="H67" s="520"/>
    </row>
    <row r="68" spans="1:8" ht="15" x14ac:dyDescent="0.2">
      <c r="A68" s="641" t="s">
        <v>386</v>
      </c>
      <c r="B68" s="642"/>
      <c r="C68" s="519" t="s">
        <v>385</v>
      </c>
      <c r="D68" s="519"/>
      <c r="E68" s="519"/>
      <c r="F68" s="519"/>
      <c r="G68" s="519"/>
      <c r="H68" s="520"/>
    </row>
    <row r="69" spans="1:8" ht="28.5" customHeight="1" x14ac:dyDescent="0.2">
      <c r="A69" s="641" t="s">
        <v>421</v>
      </c>
      <c r="B69" s="642"/>
      <c r="C69" s="538" t="s">
        <v>604</v>
      </c>
      <c r="D69" s="538"/>
      <c r="E69" s="538"/>
      <c r="F69" s="538"/>
      <c r="G69" s="538"/>
      <c r="H69" s="540"/>
    </row>
    <row r="70" spans="1:8" ht="28.5" customHeight="1" x14ac:dyDescent="0.2">
      <c r="A70" s="641" t="s">
        <v>269</v>
      </c>
      <c r="B70" s="642"/>
      <c r="C70" s="538" t="s">
        <v>605</v>
      </c>
      <c r="D70" s="538"/>
      <c r="E70" s="538"/>
      <c r="F70" s="538"/>
      <c r="G70" s="538"/>
      <c r="H70" s="540"/>
    </row>
    <row r="71" spans="1:8" ht="15" customHeight="1" x14ac:dyDescent="0.2">
      <c r="A71" s="641" t="s">
        <v>420</v>
      </c>
      <c r="B71" s="642"/>
      <c r="C71" s="519" t="s">
        <v>419</v>
      </c>
      <c r="D71" s="519"/>
      <c r="E71" s="519"/>
      <c r="F71" s="519"/>
      <c r="G71" s="519"/>
      <c r="H71" s="520"/>
    </row>
    <row r="72" spans="1:8" ht="28.5" customHeight="1" x14ac:dyDescent="0.2">
      <c r="A72" s="720" t="s">
        <v>418</v>
      </c>
      <c r="B72" s="737"/>
      <c r="C72" s="560" t="s">
        <v>663</v>
      </c>
      <c r="D72" s="561"/>
      <c r="E72" s="561"/>
      <c r="F72" s="561"/>
      <c r="G72" s="561"/>
      <c r="H72" s="562"/>
    </row>
    <row r="73" spans="1:8" ht="15" x14ac:dyDescent="0.2">
      <c r="A73" s="730" t="s">
        <v>417</v>
      </c>
      <c r="B73" s="731"/>
      <c r="C73" s="575" t="s">
        <v>595</v>
      </c>
      <c r="D73" s="575"/>
      <c r="E73" s="575"/>
      <c r="F73" s="575"/>
      <c r="G73" s="575"/>
      <c r="H73" s="576"/>
    </row>
    <row r="74" spans="1:8" ht="28.5" customHeight="1" x14ac:dyDescent="0.2">
      <c r="A74" s="728" t="s">
        <v>416</v>
      </c>
      <c r="B74" s="729"/>
      <c r="C74" s="560" t="s">
        <v>594</v>
      </c>
      <c r="D74" s="561"/>
      <c r="E74" s="561"/>
      <c r="F74" s="561"/>
      <c r="G74" s="561"/>
      <c r="H74" s="562"/>
    </row>
    <row r="75" spans="1:8" ht="33" customHeight="1" thickBot="1" x14ac:dyDescent="0.25">
      <c r="A75" s="743" t="s">
        <v>592</v>
      </c>
      <c r="B75" s="744"/>
      <c r="C75" s="579" t="s">
        <v>664</v>
      </c>
      <c r="D75" s="579"/>
      <c r="E75" s="579"/>
      <c r="F75" s="579"/>
      <c r="G75" s="579"/>
      <c r="H75" s="581"/>
    </row>
  </sheetData>
  <mergeCells count="30">
    <mergeCell ref="A68:B68"/>
    <mergeCell ref="C68:H68"/>
    <mergeCell ref="A60:B60"/>
    <mergeCell ref="G62:H62"/>
    <mergeCell ref="F7:H7"/>
    <mergeCell ref="A3:J3"/>
    <mergeCell ref="A4:B4"/>
    <mergeCell ref="C4:G4"/>
    <mergeCell ref="C7:E7"/>
    <mergeCell ref="I7:I8"/>
    <mergeCell ref="C72:H72"/>
    <mergeCell ref="A73:B73"/>
    <mergeCell ref="C73:H73"/>
    <mergeCell ref="G63:H63"/>
    <mergeCell ref="A67:B67"/>
    <mergeCell ref="C67:H67"/>
    <mergeCell ref="A69:B69"/>
    <mergeCell ref="C69:H69"/>
    <mergeCell ref="A70:B70"/>
    <mergeCell ref="C70:H70"/>
    <mergeCell ref="A75:B75"/>
    <mergeCell ref="C75:H75"/>
    <mergeCell ref="G64:H64"/>
    <mergeCell ref="F1:G1"/>
    <mergeCell ref="H1:I1"/>
    <mergeCell ref="A74:B74"/>
    <mergeCell ref="C74:H74"/>
    <mergeCell ref="A71:B71"/>
    <mergeCell ref="C71:H71"/>
    <mergeCell ref="A72:B72"/>
  </mergeCells>
  <pageMargins left="0.7" right="0.7" top="0.75" bottom="0.75" header="0.3" footer="0.3"/>
  <pageSetup scale="46" orientation="landscape" cellComments="asDisplayed"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0CD68-3D17-4E11-923D-095F1C117741}">
  <sheetPr>
    <pageSetUpPr fitToPage="1"/>
  </sheetPr>
  <dimension ref="A1:O76"/>
  <sheetViews>
    <sheetView view="pageBreakPreview" topLeftCell="B53" zoomScaleNormal="90" zoomScaleSheetLayoutView="100" workbookViewId="0">
      <selection activeCell="N24" sqref="N24"/>
    </sheetView>
  </sheetViews>
  <sheetFormatPr defaultRowHeight="12.75" x14ac:dyDescent="0.2"/>
  <cols>
    <col min="1" max="1" width="19.7109375" style="268" customWidth="1"/>
    <col min="2" max="2" width="13.5703125" style="268" customWidth="1"/>
    <col min="3" max="3" width="17.140625" style="304" customWidth="1"/>
    <col min="4" max="5" width="16.5703125" style="268" customWidth="1"/>
    <col min="6" max="6" width="14" style="268" customWidth="1"/>
    <col min="7" max="7" width="14.7109375" style="268" customWidth="1"/>
    <col min="8" max="8" width="15.85546875" style="268" customWidth="1"/>
    <col min="9" max="9" width="17.140625" style="268" customWidth="1"/>
    <col min="10" max="10" width="14.85546875" style="268" customWidth="1"/>
    <col min="11" max="11" width="14.5703125" style="268" customWidth="1"/>
    <col min="12" max="12" width="9.140625" style="269"/>
    <col min="13" max="13" width="10.7109375" style="268" customWidth="1"/>
    <col min="14" max="14" width="9.42578125" style="268" bestFit="1" customWidth="1"/>
    <col min="15" max="16384" width="9.140625" style="268"/>
  </cols>
  <sheetData>
    <row r="1" spans="1:14" ht="15" customHeight="1" x14ac:dyDescent="0.25">
      <c r="A1" s="768" t="s">
        <v>487</v>
      </c>
      <c r="B1" s="768"/>
      <c r="C1" s="768"/>
      <c r="D1" s="768"/>
      <c r="E1" s="768"/>
      <c r="F1" s="534" t="s">
        <v>539</v>
      </c>
      <c r="G1" s="534"/>
      <c r="H1" s="671" t="s">
        <v>540</v>
      </c>
      <c r="I1" s="671"/>
      <c r="J1" s="306"/>
    </row>
    <row r="2" spans="1:14" ht="15" x14ac:dyDescent="0.25">
      <c r="A2" s="160" t="s">
        <v>438</v>
      </c>
      <c r="B2" s="160"/>
      <c r="C2" s="160"/>
      <c r="D2" s="160"/>
      <c r="E2" s="157"/>
      <c r="F2" s="157"/>
      <c r="G2" s="157"/>
      <c r="H2" s="92"/>
      <c r="I2" s="340"/>
      <c r="J2" s="345"/>
    </row>
    <row r="3" spans="1:14" ht="15" x14ac:dyDescent="0.2">
      <c r="A3" s="521" t="s">
        <v>437</v>
      </c>
      <c r="B3" s="521"/>
      <c r="C3" s="521"/>
      <c r="D3" s="521"/>
      <c r="E3" s="521"/>
      <c r="F3" s="521"/>
      <c r="G3" s="521"/>
      <c r="H3" s="521"/>
      <c r="I3" s="521"/>
      <c r="J3" s="521"/>
    </row>
    <row r="4" spans="1:14" ht="15" x14ac:dyDescent="0.2">
      <c r="A4" s="734" t="s">
        <v>436</v>
      </c>
      <c r="B4" s="734"/>
      <c r="C4" s="725" t="s">
        <v>445</v>
      </c>
      <c r="D4" s="725"/>
      <c r="E4" s="725"/>
      <c r="F4" s="725"/>
      <c r="G4" s="725"/>
      <c r="H4" s="338"/>
      <c r="I4" s="338"/>
      <c r="J4" s="142"/>
    </row>
    <row r="5" spans="1:14" ht="15" x14ac:dyDescent="0.25">
      <c r="A5" s="16" t="s">
        <v>435</v>
      </c>
      <c r="C5" s="363">
        <v>0.05</v>
      </c>
      <c r="L5" s="305"/>
    </row>
    <row r="6" spans="1:14" ht="15.75" thickBot="1" x14ac:dyDescent="0.3">
      <c r="A6" s="336" t="s">
        <v>434</v>
      </c>
      <c r="C6" s="362"/>
      <c r="L6" s="305"/>
    </row>
    <row r="7" spans="1:14" ht="12.75" customHeight="1" thickBot="1" x14ac:dyDescent="0.3">
      <c r="C7" s="772" t="s">
        <v>433</v>
      </c>
      <c r="D7" s="773"/>
      <c r="E7" s="773"/>
      <c r="F7" s="773"/>
      <c r="G7" s="774"/>
      <c r="L7" s="305"/>
    </row>
    <row r="8" spans="1:14" ht="15" x14ac:dyDescent="0.25">
      <c r="A8" s="361"/>
      <c r="B8" s="303"/>
      <c r="C8" s="770" t="s">
        <v>432</v>
      </c>
      <c r="D8" s="757" t="s">
        <v>431</v>
      </c>
      <c r="E8" s="775" t="s">
        <v>444</v>
      </c>
      <c r="F8" s="776"/>
      <c r="G8" s="771" t="s">
        <v>430</v>
      </c>
      <c r="H8" s="765" t="s">
        <v>269</v>
      </c>
      <c r="I8" s="766"/>
      <c r="J8" s="767"/>
      <c r="K8" s="769" t="s">
        <v>420</v>
      </c>
      <c r="L8" s="305"/>
    </row>
    <row r="9" spans="1:14" ht="42.75" customHeight="1" x14ac:dyDescent="0.25">
      <c r="A9" s="10" t="s">
        <v>388</v>
      </c>
      <c r="B9" s="342" t="s">
        <v>386</v>
      </c>
      <c r="C9" s="770"/>
      <c r="D9" s="757"/>
      <c r="E9" s="360" t="s">
        <v>443</v>
      </c>
      <c r="F9" s="359" t="s">
        <v>442</v>
      </c>
      <c r="G9" s="771"/>
      <c r="H9" s="469" t="s">
        <v>606</v>
      </c>
      <c r="I9" s="470" t="s">
        <v>600</v>
      </c>
      <c r="J9" s="357" t="s">
        <v>429</v>
      </c>
      <c r="K9" s="769"/>
    </row>
    <row r="10" spans="1:14" x14ac:dyDescent="0.2">
      <c r="A10" s="98">
        <v>2016</v>
      </c>
      <c r="B10" s="355">
        <v>0</v>
      </c>
      <c r="C10" s="317">
        <v>0</v>
      </c>
      <c r="D10" s="354">
        <v>0</v>
      </c>
      <c r="E10" s="198">
        <v>0</v>
      </c>
      <c r="F10" s="319">
        <v>0</v>
      </c>
      <c r="G10" s="353">
        <f t="shared" ref="G10:G41" si="0">SUM(C10:F10)</f>
        <v>0</v>
      </c>
      <c r="H10" s="317">
        <f>SUM('III.3 Benefits_Grouping'!C6:G6)</f>
        <v>0</v>
      </c>
      <c r="I10" s="182">
        <f>'III.3 Benefits_Grouping'!J6</f>
        <v>0</v>
      </c>
      <c r="J10" s="316">
        <f t="shared" ref="J10:J41" si="1">SUM(H10:I10)</f>
        <v>0</v>
      </c>
      <c r="K10" s="350">
        <f t="shared" ref="K10:K41" si="2">(J10-G10)</f>
        <v>0</v>
      </c>
    </row>
    <row r="11" spans="1:14" x14ac:dyDescent="0.2">
      <c r="A11" s="98">
        <f t="shared" ref="A11:A42" si="3">(A10+1)</f>
        <v>2017</v>
      </c>
      <c r="B11" s="355">
        <f t="shared" ref="B11:B42" si="4">(B10+1)</f>
        <v>1</v>
      </c>
      <c r="C11" s="317">
        <f>'III.1 LCCA_Grouping'!K26</f>
        <v>600000</v>
      </c>
      <c r="D11" s="354">
        <v>0</v>
      </c>
      <c r="E11" s="198">
        <v>0</v>
      </c>
      <c r="F11" s="319">
        <v>0</v>
      </c>
      <c r="G11" s="353">
        <f t="shared" si="0"/>
        <v>600000</v>
      </c>
      <c r="H11" s="317">
        <f>SUM('III.3 Benefits_Grouping'!C7:G7)</f>
        <v>0</v>
      </c>
      <c r="I11" s="182">
        <f>'III.3 Benefits_Grouping'!J7</f>
        <v>0</v>
      </c>
      <c r="J11" s="316">
        <f t="shared" si="1"/>
        <v>0</v>
      </c>
      <c r="K11" s="350">
        <f t="shared" si="2"/>
        <v>-600000</v>
      </c>
    </row>
    <row r="12" spans="1:14" ht="15" customHeight="1" x14ac:dyDescent="0.2">
      <c r="A12" s="98">
        <f t="shared" si="3"/>
        <v>2018</v>
      </c>
      <c r="B12" s="355">
        <f t="shared" si="4"/>
        <v>2</v>
      </c>
      <c r="C12" s="317">
        <f>'III.1 LCCA_Grouping'!L26</f>
        <v>400000</v>
      </c>
      <c r="D12" s="354">
        <v>0</v>
      </c>
      <c r="E12" s="198">
        <v>0</v>
      </c>
      <c r="F12" s="319">
        <v>0</v>
      </c>
      <c r="G12" s="353">
        <f t="shared" si="0"/>
        <v>400000</v>
      </c>
      <c r="H12" s="317">
        <f>H13*(0.994)</f>
        <v>72394.7595</v>
      </c>
      <c r="I12" s="182">
        <f>I13*(0.994)</f>
        <v>27875.736000000001</v>
      </c>
      <c r="J12" s="316">
        <f t="shared" si="1"/>
        <v>100270.4955</v>
      </c>
      <c r="K12" s="350">
        <f t="shared" si="2"/>
        <v>-299729.50449999998</v>
      </c>
      <c r="L12" s="305"/>
    </row>
    <row r="13" spans="1:14" x14ac:dyDescent="0.2">
      <c r="A13" s="98">
        <f t="shared" si="3"/>
        <v>2019</v>
      </c>
      <c r="B13" s="355">
        <f t="shared" si="4"/>
        <v>3</v>
      </c>
      <c r="C13" s="317">
        <v>0</v>
      </c>
      <c r="D13" s="354">
        <f>'III.1 LCCA_Grouping'!E34</f>
        <v>9909.9853719174971</v>
      </c>
      <c r="E13" s="198">
        <v>0</v>
      </c>
      <c r="F13" s="319">
        <f>'III.1 LCCA_Grouping'!E40</f>
        <v>45000</v>
      </c>
      <c r="G13" s="353">
        <f t="shared" si="0"/>
        <v>54909.985371917501</v>
      </c>
      <c r="H13" s="317">
        <f>SUM('III.3 Benefits_Grouping'!C9:G9)*0.152</f>
        <v>72831.75</v>
      </c>
      <c r="I13" s="182">
        <f>'III.3 Benefits_Grouping'!J9*0.152</f>
        <v>28044</v>
      </c>
      <c r="J13" s="316">
        <f t="shared" si="1"/>
        <v>100875.75</v>
      </c>
      <c r="K13" s="350">
        <f t="shared" si="2"/>
        <v>45965.764628082499</v>
      </c>
      <c r="L13" s="305"/>
      <c r="N13" s="341"/>
    </row>
    <row r="14" spans="1:14" x14ac:dyDescent="0.2">
      <c r="A14" s="98">
        <f t="shared" si="3"/>
        <v>2020</v>
      </c>
      <c r="B14" s="355">
        <f t="shared" si="4"/>
        <v>4</v>
      </c>
      <c r="C14" s="317">
        <v>0</v>
      </c>
      <c r="D14" s="354">
        <f t="shared" ref="D14:D60" si="5">D13</f>
        <v>9909.9853719174971</v>
      </c>
      <c r="E14" s="198">
        <v>0</v>
      </c>
      <c r="F14" s="319">
        <f t="shared" ref="F14:F22" si="6">F13</f>
        <v>45000</v>
      </c>
      <c r="G14" s="353">
        <f t="shared" si="0"/>
        <v>54909.985371917501</v>
      </c>
      <c r="H14" s="317">
        <f>SUM('III.3 Benefits_Grouping'!C10:G10)*0.152</f>
        <v>73279.199999999997</v>
      </c>
      <c r="I14" s="182">
        <f>'III.3 Benefits_Grouping'!J10*0.152</f>
        <v>28044</v>
      </c>
      <c r="J14" s="316">
        <f t="shared" si="1"/>
        <v>101323.2</v>
      </c>
      <c r="K14" s="350">
        <f t="shared" si="2"/>
        <v>46413.214628082496</v>
      </c>
      <c r="L14" s="305"/>
      <c r="N14" s="341"/>
    </row>
    <row r="15" spans="1:14" x14ac:dyDescent="0.2">
      <c r="A15" s="98">
        <f t="shared" si="3"/>
        <v>2021</v>
      </c>
      <c r="B15" s="355">
        <f t="shared" si="4"/>
        <v>5</v>
      </c>
      <c r="C15" s="317">
        <v>0</v>
      </c>
      <c r="D15" s="354">
        <f t="shared" si="5"/>
        <v>9909.9853719174971</v>
      </c>
      <c r="E15" s="198">
        <v>0</v>
      </c>
      <c r="F15" s="319">
        <f t="shared" si="6"/>
        <v>45000</v>
      </c>
      <c r="G15" s="353">
        <f t="shared" si="0"/>
        <v>54909.985371917501</v>
      </c>
      <c r="H15" s="317">
        <f>SUM('III.3 Benefits_Grouping'!C11:G11)*0.152</f>
        <v>73726.649999999994</v>
      </c>
      <c r="I15" s="182">
        <f>'III.3 Benefits_Grouping'!J11*0.152</f>
        <v>28044</v>
      </c>
      <c r="J15" s="316">
        <f t="shared" si="1"/>
        <v>101770.65</v>
      </c>
      <c r="K15" s="350">
        <f t="shared" si="2"/>
        <v>46860.664628082493</v>
      </c>
      <c r="L15" s="305"/>
      <c r="N15" s="341"/>
    </row>
    <row r="16" spans="1:14" x14ac:dyDescent="0.2">
      <c r="A16" s="98">
        <f t="shared" si="3"/>
        <v>2022</v>
      </c>
      <c r="B16" s="355">
        <f t="shared" si="4"/>
        <v>6</v>
      </c>
      <c r="C16" s="317">
        <v>0</v>
      </c>
      <c r="D16" s="354">
        <f t="shared" si="5"/>
        <v>9909.9853719174971</v>
      </c>
      <c r="E16" s="198">
        <v>0</v>
      </c>
      <c r="F16" s="319">
        <f t="shared" si="6"/>
        <v>45000</v>
      </c>
      <c r="G16" s="353">
        <f t="shared" si="0"/>
        <v>54909.985371917501</v>
      </c>
      <c r="H16" s="317">
        <f>SUM('III.3 Benefits_Grouping'!C12:G12)*0.152</f>
        <v>74174.099999999991</v>
      </c>
      <c r="I16" s="182">
        <f>'III.3 Benefits_Grouping'!J12*0.152</f>
        <v>28044</v>
      </c>
      <c r="J16" s="316">
        <f t="shared" si="1"/>
        <v>102218.09999999999</v>
      </c>
      <c r="K16" s="350">
        <f t="shared" si="2"/>
        <v>47308.114628082491</v>
      </c>
      <c r="L16" s="305"/>
      <c r="N16" s="341"/>
    </row>
    <row r="17" spans="1:14" x14ac:dyDescent="0.2">
      <c r="A17" s="98">
        <f t="shared" si="3"/>
        <v>2023</v>
      </c>
      <c r="B17" s="355">
        <f t="shared" si="4"/>
        <v>7</v>
      </c>
      <c r="C17" s="317">
        <v>0</v>
      </c>
      <c r="D17" s="354">
        <f t="shared" si="5"/>
        <v>9909.9853719174971</v>
      </c>
      <c r="E17" s="198">
        <v>0</v>
      </c>
      <c r="F17" s="319">
        <f t="shared" si="6"/>
        <v>45000</v>
      </c>
      <c r="G17" s="353">
        <f t="shared" si="0"/>
        <v>54909.985371917501</v>
      </c>
      <c r="H17" s="317">
        <f>SUM('III.3 Benefits_Grouping'!C13:G13)*0.152</f>
        <v>74621.55</v>
      </c>
      <c r="I17" s="182">
        <f>'III.3 Benefits_Grouping'!J13*0.152</f>
        <v>28044</v>
      </c>
      <c r="J17" s="316">
        <f t="shared" si="1"/>
        <v>102665.55</v>
      </c>
      <c r="K17" s="350">
        <f t="shared" si="2"/>
        <v>47755.564628082502</v>
      </c>
      <c r="L17" s="305"/>
      <c r="N17" s="341"/>
    </row>
    <row r="18" spans="1:14" x14ac:dyDescent="0.2">
      <c r="A18" s="98">
        <f t="shared" si="3"/>
        <v>2024</v>
      </c>
      <c r="B18" s="355">
        <f t="shared" si="4"/>
        <v>8</v>
      </c>
      <c r="C18" s="317">
        <v>0</v>
      </c>
      <c r="D18" s="354">
        <f t="shared" si="5"/>
        <v>9909.9853719174971</v>
      </c>
      <c r="E18" s="198">
        <v>0</v>
      </c>
      <c r="F18" s="319">
        <f t="shared" si="6"/>
        <v>45000</v>
      </c>
      <c r="G18" s="353">
        <f t="shared" si="0"/>
        <v>54909.985371917501</v>
      </c>
      <c r="H18" s="317">
        <f>SUM('III.3 Benefits_Grouping'!C14:G14)*0.152</f>
        <v>75069</v>
      </c>
      <c r="I18" s="182">
        <f>'III.3 Benefits_Grouping'!J14*0.152</f>
        <v>28044</v>
      </c>
      <c r="J18" s="316">
        <f t="shared" si="1"/>
        <v>103113</v>
      </c>
      <c r="K18" s="350">
        <f t="shared" si="2"/>
        <v>48203.014628082499</v>
      </c>
      <c r="L18" s="305"/>
      <c r="N18" s="341"/>
    </row>
    <row r="19" spans="1:14" x14ac:dyDescent="0.2">
      <c r="A19" s="98">
        <f t="shared" si="3"/>
        <v>2025</v>
      </c>
      <c r="B19" s="355">
        <f t="shared" si="4"/>
        <v>9</v>
      </c>
      <c r="C19" s="317">
        <v>0</v>
      </c>
      <c r="D19" s="354">
        <f t="shared" si="5"/>
        <v>9909.9853719174971</v>
      </c>
      <c r="E19" s="198">
        <v>0</v>
      </c>
      <c r="F19" s="319">
        <f t="shared" si="6"/>
        <v>45000</v>
      </c>
      <c r="G19" s="353">
        <f t="shared" si="0"/>
        <v>54909.985371917501</v>
      </c>
      <c r="H19" s="317">
        <f>SUM('III.3 Benefits_Grouping'!C15:G15)*0.152</f>
        <v>75516.45</v>
      </c>
      <c r="I19" s="182">
        <f>'III.3 Benefits_Grouping'!J15*0.152</f>
        <v>28044</v>
      </c>
      <c r="J19" s="316">
        <f t="shared" si="1"/>
        <v>103560.45</v>
      </c>
      <c r="K19" s="350">
        <f t="shared" si="2"/>
        <v>48650.464628082496</v>
      </c>
      <c r="L19" s="305"/>
    </row>
    <row r="20" spans="1:14" x14ac:dyDescent="0.2">
      <c r="A20" s="98">
        <f t="shared" si="3"/>
        <v>2026</v>
      </c>
      <c r="B20" s="355">
        <f t="shared" si="4"/>
        <v>10</v>
      </c>
      <c r="C20" s="317">
        <v>0</v>
      </c>
      <c r="D20" s="354">
        <f t="shared" si="5"/>
        <v>9909.9853719174971</v>
      </c>
      <c r="E20" s="198">
        <v>0</v>
      </c>
      <c r="F20" s="319">
        <f t="shared" si="6"/>
        <v>45000</v>
      </c>
      <c r="G20" s="353">
        <f t="shared" si="0"/>
        <v>54909.985371917501</v>
      </c>
      <c r="H20" s="317">
        <f>SUM('III.3 Benefits_Grouping'!C16:G16)*0.152</f>
        <v>75963.899999999994</v>
      </c>
      <c r="I20" s="182">
        <f>'III.3 Benefits_Grouping'!J16*0.152</f>
        <v>28044</v>
      </c>
      <c r="J20" s="316">
        <f t="shared" si="1"/>
        <v>104007.9</v>
      </c>
      <c r="K20" s="350">
        <f t="shared" si="2"/>
        <v>49097.914628082493</v>
      </c>
      <c r="L20" s="305"/>
    </row>
    <row r="21" spans="1:14" x14ac:dyDescent="0.2">
      <c r="A21" s="98">
        <f t="shared" si="3"/>
        <v>2027</v>
      </c>
      <c r="B21" s="355">
        <f t="shared" si="4"/>
        <v>11</v>
      </c>
      <c r="C21" s="317">
        <v>0</v>
      </c>
      <c r="D21" s="354">
        <f t="shared" si="5"/>
        <v>9909.9853719174971</v>
      </c>
      <c r="E21" s="198">
        <v>0</v>
      </c>
      <c r="F21" s="319">
        <f t="shared" si="6"/>
        <v>45000</v>
      </c>
      <c r="G21" s="353">
        <f t="shared" si="0"/>
        <v>54909.985371917501</v>
      </c>
      <c r="H21" s="317">
        <f>SUM('III.3 Benefits_Grouping'!C17:G17)*0.152</f>
        <v>76411.349999999991</v>
      </c>
      <c r="I21" s="182">
        <f>'III.3 Benefits_Grouping'!J17*0.152</f>
        <v>28044</v>
      </c>
      <c r="J21" s="316">
        <f t="shared" si="1"/>
        <v>104455.34999999999</v>
      </c>
      <c r="K21" s="350">
        <f t="shared" si="2"/>
        <v>49545.364628082491</v>
      </c>
      <c r="L21" s="305"/>
    </row>
    <row r="22" spans="1:14" x14ac:dyDescent="0.2">
      <c r="A22" s="98">
        <f t="shared" si="3"/>
        <v>2028</v>
      </c>
      <c r="B22" s="355">
        <f t="shared" si="4"/>
        <v>12</v>
      </c>
      <c r="C22" s="317">
        <v>0</v>
      </c>
      <c r="D22" s="354">
        <f t="shared" si="5"/>
        <v>9909.9853719174971</v>
      </c>
      <c r="E22" s="198">
        <f>'III.1 LCCA_Grouping'!E39</f>
        <v>100000</v>
      </c>
      <c r="F22" s="319">
        <f t="shared" si="6"/>
        <v>45000</v>
      </c>
      <c r="G22" s="353">
        <f t="shared" si="0"/>
        <v>154909.98537191749</v>
      </c>
      <c r="H22" s="317">
        <f>SUM('III.3 Benefits_Grouping'!C18:G18)*0.152</f>
        <v>76858.8</v>
      </c>
      <c r="I22" s="182">
        <f>'III.3 Benefits_Grouping'!J18*0.152</f>
        <v>28044</v>
      </c>
      <c r="J22" s="316">
        <f t="shared" si="1"/>
        <v>104902.8</v>
      </c>
      <c r="K22" s="350">
        <f t="shared" si="2"/>
        <v>-50007.185371917483</v>
      </c>
      <c r="L22" s="305"/>
    </row>
    <row r="23" spans="1:14" x14ac:dyDescent="0.2">
      <c r="A23" s="98">
        <f t="shared" si="3"/>
        <v>2029</v>
      </c>
      <c r="B23" s="355">
        <f t="shared" si="4"/>
        <v>13</v>
      </c>
      <c r="C23" s="317">
        <v>0</v>
      </c>
      <c r="D23" s="354">
        <f t="shared" si="5"/>
        <v>9909.9853719174971</v>
      </c>
      <c r="E23" s="198">
        <v>0</v>
      </c>
      <c r="F23" s="319">
        <v>0</v>
      </c>
      <c r="G23" s="353">
        <f t="shared" si="0"/>
        <v>9909.9853719174971</v>
      </c>
      <c r="H23" s="317">
        <f>SUM('III.3 Benefits_Grouping'!C19:G19)*0.152</f>
        <v>77306.25</v>
      </c>
      <c r="I23" s="182">
        <f>'III.3 Benefits_Grouping'!J19*0.152</f>
        <v>28044</v>
      </c>
      <c r="J23" s="316">
        <f t="shared" si="1"/>
        <v>105350.25</v>
      </c>
      <c r="K23" s="350">
        <f t="shared" si="2"/>
        <v>95440.264628082499</v>
      </c>
      <c r="L23" s="305"/>
    </row>
    <row r="24" spans="1:14" x14ac:dyDescent="0.2">
      <c r="A24" s="98">
        <f t="shared" si="3"/>
        <v>2030</v>
      </c>
      <c r="B24" s="355">
        <f t="shared" si="4"/>
        <v>14</v>
      </c>
      <c r="C24" s="317">
        <v>0</v>
      </c>
      <c r="D24" s="354">
        <f t="shared" si="5"/>
        <v>9909.9853719174971</v>
      </c>
      <c r="E24" s="198">
        <v>0</v>
      </c>
      <c r="F24" s="319">
        <v>0</v>
      </c>
      <c r="G24" s="353">
        <f t="shared" si="0"/>
        <v>9909.9853719174971</v>
      </c>
      <c r="H24" s="317">
        <f>SUM('III.3 Benefits_Grouping'!C20:G20)*0.152</f>
        <v>77753.7</v>
      </c>
      <c r="I24" s="182">
        <f>'III.3 Benefits_Grouping'!J20*0.152</f>
        <v>28044</v>
      </c>
      <c r="J24" s="316">
        <f t="shared" si="1"/>
        <v>105797.7</v>
      </c>
      <c r="K24" s="350">
        <f t="shared" si="2"/>
        <v>95887.714628082496</v>
      </c>
      <c r="L24" s="305"/>
    </row>
    <row r="25" spans="1:14" x14ac:dyDescent="0.2">
      <c r="A25" s="98">
        <f t="shared" si="3"/>
        <v>2031</v>
      </c>
      <c r="B25" s="355">
        <f t="shared" si="4"/>
        <v>15</v>
      </c>
      <c r="C25" s="317">
        <v>0</v>
      </c>
      <c r="D25" s="354">
        <f t="shared" si="5"/>
        <v>9909.9853719174971</v>
      </c>
      <c r="E25" s="198">
        <v>0</v>
      </c>
      <c r="F25" s="319">
        <v>0</v>
      </c>
      <c r="G25" s="353">
        <f t="shared" si="0"/>
        <v>9909.9853719174971</v>
      </c>
      <c r="H25" s="317">
        <f>SUM('III.3 Benefits_Grouping'!C21:G21)*0.152</f>
        <v>78201.149999999994</v>
      </c>
      <c r="I25" s="182">
        <f>'III.3 Benefits_Grouping'!J21*0.152</f>
        <v>28044</v>
      </c>
      <c r="J25" s="316">
        <f t="shared" si="1"/>
        <v>106245.15</v>
      </c>
      <c r="K25" s="350">
        <f t="shared" si="2"/>
        <v>96335.164628082493</v>
      </c>
      <c r="L25" s="305"/>
    </row>
    <row r="26" spans="1:14" x14ac:dyDescent="0.2">
      <c r="A26" s="98">
        <f t="shared" si="3"/>
        <v>2032</v>
      </c>
      <c r="B26" s="355">
        <f t="shared" si="4"/>
        <v>16</v>
      </c>
      <c r="C26" s="317">
        <v>0</v>
      </c>
      <c r="D26" s="354">
        <f t="shared" si="5"/>
        <v>9909.9853719174971</v>
      </c>
      <c r="E26" s="198">
        <v>0</v>
      </c>
      <c r="F26" s="319">
        <v>0</v>
      </c>
      <c r="G26" s="353">
        <f t="shared" si="0"/>
        <v>9909.9853719174971</v>
      </c>
      <c r="H26" s="317">
        <f>SUM('III.3 Benefits_Grouping'!C22:G22)*0.152</f>
        <v>78648.599999999991</v>
      </c>
      <c r="I26" s="182">
        <f>'III.3 Benefits_Grouping'!J22*0.152</f>
        <v>28044</v>
      </c>
      <c r="J26" s="316">
        <f t="shared" si="1"/>
        <v>106692.59999999999</v>
      </c>
      <c r="K26" s="350">
        <f t="shared" si="2"/>
        <v>96782.614628082491</v>
      </c>
      <c r="L26" s="305"/>
    </row>
    <row r="27" spans="1:14" x14ac:dyDescent="0.2">
      <c r="A27" s="98">
        <f t="shared" si="3"/>
        <v>2033</v>
      </c>
      <c r="B27" s="355">
        <f t="shared" si="4"/>
        <v>17</v>
      </c>
      <c r="C27" s="317">
        <v>0</v>
      </c>
      <c r="D27" s="354">
        <f t="shared" si="5"/>
        <v>9909.9853719174971</v>
      </c>
      <c r="E27" s="198">
        <v>0</v>
      </c>
      <c r="F27" s="319">
        <v>0</v>
      </c>
      <c r="G27" s="353">
        <f t="shared" si="0"/>
        <v>9909.9853719174971</v>
      </c>
      <c r="H27" s="317">
        <f>SUM('III.3 Benefits_Grouping'!C23:G23)*0.152</f>
        <v>79096.05</v>
      </c>
      <c r="I27" s="182">
        <f>'III.3 Benefits_Grouping'!J23*0.152</f>
        <v>28044</v>
      </c>
      <c r="J27" s="316">
        <f t="shared" si="1"/>
        <v>107140.05</v>
      </c>
      <c r="K27" s="350">
        <f t="shared" si="2"/>
        <v>97230.064628082502</v>
      </c>
      <c r="L27" s="305"/>
    </row>
    <row r="28" spans="1:14" x14ac:dyDescent="0.2">
      <c r="A28" s="98">
        <f t="shared" si="3"/>
        <v>2034</v>
      </c>
      <c r="B28" s="355">
        <f t="shared" si="4"/>
        <v>18</v>
      </c>
      <c r="C28" s="317">
        <v>0</v>
      </c>
      <c r="D28" s="354">
        <f t="shared" si="5"/>
        <v>9909.9853719174971</v>
      </c>
      <c r="E28" s="198">
        <v>0</v>
      </c>
      <c r="F28" s="319">
        <v>0</v>
      </c>
      <c r="G28" s="353">
        <f t="shared" si="0"/>
        <v>9909.9853719174971</v>
      </c>
      <c r="H28" s="317">
        <f>SUM('III.3 Benefits_Grouping'!C24:G24)*0.152</f>
        <v>79543.5</v>
      </c>
      <c r="I28" s="182">
        <f>'III.3 Benefits_Grouping'!J24*0.152</f>
        <v>28044</v>
      </c>
      <c r="J28" s="316">
        <f t="shared" si="1"/>
        <v>107587.5</v>
      </c>
      <c r="K28" s="350">
        <f t="shared" si="2"/>
        <v>97677.514628082499</v>
      </c>
      <c r="L28" s="305"/>
    </row>
    <row r="29" spans="1:14" x14ac:dyDescent="0.2">
      <c r="A29" s="98">
        <f t="shared" si="3"/>
        <v>2035</v>
      </c>
      <c r="B29" s="355">
        <f t="shared" si="4"/>
        <v>19</v>
      </c>
      <c r="C29" s="317">
        <v>0</v>
      </c>
      <c r="D29" s="354">
        <f t="shared" si="5"/>
        <v>9909.9853719174971</v>
      </c>
      <c r="E29" s="198">
        <v>0</v>
      </c>
      <c r="F29" s="319">
        <v>0</v>
      </c>
      <c r="G29" s="353">
        <f t="shared" si="0"/>
        <v>9909.9853719174971</v>
      </c>
      <c r="H29" s="317">
        <f>SUM('III.3 Benefits_Grouping'!C25:G25)*0.152</f>
        <v>79990.95</v>
      </c>
      <c r="I29" s="182">
        <f>'III.3 Benefits_Grouping'!J25*0.152</f>
        <v>28044</v>
      </c>
      <c r="J29" s="316">
        <f t="shared" si="1"/>
        <v>108034.95</v>
      </c>
      <c r="K29" s="350">
        <f t="shared" si="2"/>
        <v>98124.964628082496</v>
      </c>
      <c r="L29" s="305"/>
    </row>
    <row r="30" spans="1:14" x14ac:dyDescent="0.2">
      <c r="A30" s="98">
        <f t="shared" si="3"/>
        <v>2036</v>
      </c>
      <c r="B30" s="355">
        <f t="shared" si="4"/>
        <v>20</v>
      </c>
      <c r="C30" s="317">
        <v>0</v>
      </c>
      <c r="D30" s="354">
        <f t="shared" si="5"/>
        <v>9909.9853719174971</v>
      </c>
      <c r="E30" s="198">
        <v>0</v>
      </c>
      <c r="F30" s="319">
        <v>0</v>
      </c>
      <c r="G30" s="353">
        <f t="shared" si="0"/>
        <v>9909.9853719174971</v>
      </c>
      <c r="H30" s="317">
        <f>SUM('III.3 Benefits_Grouping'!C26:G26)*0.152</f>
        <v>80438.399999999994</v>
      </c>
      <c r="I30" s="182">
        <f>'III.3 Benefits_Grouping'!J26*0.152</f>
        <v>28044</v>
      </c>
      <c r="J30" s="316">
        <f t="shared" si="1"/>
        <v>108482.4</v>
      </c>
      <c r="K30" s="350">
        <f t="shared" si="2"/>
        <v>98572.414628082493</v>
      </c>
      <c r="L30" s="305"/>
    </row>
    <row r="31" spans="1:14" x14ac:dyDescent="0.2">
      <c r="A31" s="98">
        <f t="shared" si="3"/>
        <v>2037</v>
      </c>
      <c r="B31" s="355">
        <f t="shared" si="4"/>
        <v>21</v>
      </c>
      <c r="C31" s="317">
        <v>0</v>
      </c>
      <c r="D31" s="354">
        <f t="shared" si="5"/>
        <v>9909.9853719174971</v>
      </c>
      <c r="E31" s="198">
        <v>0</v>
      </c>
      <c r="F31" s="319">
        <v>0</v>
      </c>
      <c r="G31" s="353">
        <f t="shared" si="0"/>
        <v>9909.9853719174971</v>
      </c>
      <c r="H31" s="317">
        <f>SUM('III.3 Benefits_Grouping'!C27:G27)*0.152</f>
        <v>80885.849999999991</v>
      </c>
      <c r="I31" s="182">
        <f>'III.3 Benefits_Grouping'!J27*0.152</f>
        <v>28044</v>
      </c>
      <c r="J31" s="316">
        <f t="shared" si="1"/>
        <v>108929.84999999999</v>
      </c>
      <c r="K31" s="350">
        <f t="shared" si="2"/>
        <v>99019.864628082491</v>
      </c>
      <c r="L31" s="305"/>
    </row>
    <row r="32" spans="1:14" x14ac:dyDescent="0.2">
      <c r="A32" s="98">
        <f t="shared" si="3"/>
        <v>2038</v>
      </c>
      <c r="B32" s="355">
        <f t="shared" si="4"/>
        <v>22</v>
      </c>
      <c r="C32" s="317">
        <v>0</v>
      </c>
      <c r="D32" s="354">
        <f t="shared" si="5"/>
        <v>9909.9853719174971</v>
      </c>
      <c r="E32" s="198">
        <f>E22</f>
        <v>100000</v>
      </c>
      <c r="F32" s="319">
        <v>0</v>
      </c>
      <c r="G32" s="353">
        <f t="shared" si="0"/>
        <v>109909.9853719175</v>
      </c>
      <c r="H32" s="317">
        <f>SUM('III.3 Benefits_Grouping'!C28:G28)*0.152</f>
        <v>81333.3</v>
      </c>
      <c r="I32" s="182">
        <f>'III.3 Benefits_Grouping'!J28*0.152</f>
        <v>28044</v>
      </c>
      <c r="J32" s="316">
        <f t="shared" si="1"/>
        <v>109377.3</v>
      </c>
      <c r="K32" s="350">
        <f t="shared" si="2"/>
        <v>-532.68537191749783</v>
      </c>
      <c r="L32" s="305"/>
    </row>
    <row r="33" spans="1:12" x14ac:dyDescent="0.2">
      <c r="A33" s="98">
        <f t="shared" si="3"/>
        <v>2039</v>
      </c>
      <c r="B33" s="355">
        <f t="shared" si="4"/>
        <v>23</v>
      </c>
      <c r="C33" s="317">
        <v>0</v>
      </c>
      <c r="D33" s="354">
        <f t="shared" si="5"/>
        <v>9909.9853719174971</v>
      </c>
      <c r="E33" s="198">
        <v>0</v>
      </c>
      <c r="F33" s="319">
        <v>0</v>
      </c>
      <c r="G33" s="353">
        <f t="shared" si="0"/>
        <v>9909.9853719174971</v>
      </c>
      <c r="H33" s="317">
        <f>SUM('III.3 Benefits_Grouping'!C29:G29)*0.152</f>
        <v>81780.75</v>
      </c>
      <c r="I33" s="182">
        <f>'III.3 Benefits_Grouping'!J29*0.152</f>
        <v>28044</v>
      </c>
      <c r="J33" s="316">
        <f t="shared" si="1"/>
        <v>109824.75</v>
      </c>
      <c r="K33" s="350">
        <f t="shared" si="2"/>
        <v>99914.764628082499</v>
      </c>
      <c r="L33" s="305"/>
    </row>
    <row r="34" spans="1:12" x14ac:dyDescent="0.2">
      <c r="A34" s="98">
        <f t="shared" si="3"/>
        <v>2040</v>
      </c>
      <c r="B34" s="355">
        <f t="shared" si="4"/>
        <v>24</v>
      </c>
      <c r="C34" s="317">
        <v>0</v>
      </c>
      <c r="D34" s="354">
        <f t="shared" si="5"/>
        <v>9909.9853719174971</v>
      </c>
      <c r="E34" s="198">
        <v>0</v>
      </c>
      <c r="F34" s="319">
        <v>0</v>
      </c>
      <c r="G34" s="353">
        <f t="shared" si="0"/>
        <v>9909.9853719174971</v>
      </c>
      <c r="H34" s="317">
        <f>SUM('III.3 Benefits_Grouping'!C30:G30)*0.152</f>
        <v>82228.2</v>
      </c>
      <c r="I34" s="182">
        <f>'III.3 Benefits_Grouping'!J30*0.152</f>
        <v>28044</v>
      </c>
      <c r="J34" s="316">
        <f t="shared" si="1"/>
        <v>110272.2</v>
      </c>
      <c r="K34" s="350">
        <f t="shared" si="2"/>
        <v>100362.2146280825</v>
      </c>
      <c r="L34" s="305"/>
    </row>
    <row r="35" spans="1:12" x14ac:dyDescent="0.2">
      <c r="A35" s="98">
        <f t="shared" si="3"/>
        <v>2041</v>
      </c>
      <c r="B35" s="355">
        <f t="shared" si="4"/>
        <v>25</v>
      </c>
      <c r="C35" s="317">
        <v>0</v>
      </c>
      <c r="D35" s="354">
        <f t="shared" si="5"/>
        <v>9909.9853719174971</v>
      </c>
      <c r="E35" s="198">
        <v>0</v>
      </c>
      <c r="F35" s="319">
        <v>0</v>
      </c>
      <c r="G35" s="353">
        <f t="shared" si="0"/>
        <v>9909.9853719174971</v>
      </c>
      <c r="H35" s="317">
        <f>SUM('III.3 Benefits_Grouping'!C31:G31)*0.152</f>
        <v>82675.649999999994</v>
      </c>
      <c r="I35" s="182">
        <f>'III.3 Benefits_Grouping'!J31*0.152</f>
        <v>28044</v>
      </c>
      <c r="J35" s="316">
        <f t="shared" si="1"/>
        <v>110719.65</v>
      </c>
      <c r="K35" s="350">
        <f t="shared" si="2"/>
        <v>100809.66462808249</v>
      </c>
      <c r="L35" s="305"/>
    </row>
    <row r="36" spans="1:12" x14ac:dyDescent="0.2">
      <c r="A36" s="98">
        <f t="shared" si="3"/>
        <v>2042</v>
      </c>
      <c r="B36" s="355">
        <f t="shared" si="4"/>
        <v>26</v>
      </c>
      <c r="C36" s="317">
        <v>0</v>
      </c>
      <c r="D36" s="354">
        <f t="shared" si="5"/>
        <v>9909.9853719174971</v>
      </c>
      <c r="E36" s="198">
        <v>0</v>
      </c>
      <c r="F36" s="319">
        <v>0</v>
      </c>
      <c r="G36" s="353">
        <f t="shared" si="0"/>
        <v>9909.9853719174971</v>
      </c>
      <c r="H36" s="317">
        <f>SUM('III.3 Benefits_Grouping'!C32:G32)*0.152</f>
        <v>83123.099999999991</v>
      </c>
      <c r="I36" s="182">
        <f>'III.3 Benefits_Grouping'!J32*0.152</f>
        <v>28044</v>
      </c>
      <c r="J36" s="316">
        <f t="shared" si="1"/>
        <v>111167.09999999999</v>
      </c>
      <c r="K36" s="350">
        <f t="shared" si="2"/>
        <v>101257.11462808249</v>
      </c>
      <c r="L36" s="305"/>
    </row>
    <row r="37" spans="1:12" x14ac:dyDescent="0.2">
      <c r="A37" s="98">
        <f t="shared" si="3"/>
        <v>2043</v>
      </c>
      <c r="B37" s="355">
        <f t="shared" si="4"/>
        <v>27</v>
      </c>
      <c r="C37" s="317">
        <v>0</v>
      </c>
      <c r="D37" s="354">
        <f t="shared" si="5"/>
        <v>9909.9853719174971</v>
      </c>
      <c r="E37" s="198">
        <v>0</v>
      </c>
      <c r="F37" s="319">
        <v>0</v>
      </c>
      <c r="G37" s="353">
        <f t="shared" si="0"/>
        <v>9909.9853719174971</v>
      </c>
      <c r="H37" s="317">
        <f>SUM('III.3 Benefits_Grouping'!C33:G33)*0.152</f>
        <v>83570.55</v>
      </c>
      <c r="I37" s="182">
        <f>'III.3 Benefits_Grouping'!J33*0.152</f>
        <v>28044</v>
      </c>
      <c r="J37" s="316">
        <f t="shared" si="1"/>
        <v>111614.55</v>
      </c>
      <c r="K37" s="350">
        <f t="shared" si="2"/>
        <v>101704.5646280825</v>
      </c>
      <c r="L37" s="305"/>
    </row>
    <row r="38" spans="1:12" x14ac:dyDescent="0.2">
      <c r="A38" s="98">
        <f t="shared" si="3"/>
        <v>2044</v>
      </c>
      <c r="B38" s="355">
        <f t="shared" si="4"/>
        <v>28</v>
      </c>
      <c r="C38" s="317">
        <v>0</v>
      </c>
      <c r="D38" s="354">
        <f t="shared" si="5"/>
        <v>9909.9853719174971</v>
      </c>
      <c r="E38" s="198">
        <v>0</v>
      </c>
      <c r="F38" s="319">
        <v>0</v>
      </c>
      <c r="G38" s="353">
        <f t="shared" si="0"/>
        <v>9909.9853719174971</v>
      </c>
      <c r="H38" s="317">
        <f>SUM('III.3 Benefits_Grouping'!C34:G34)*0.152</f>
        <v>84018</v>
      </c>
      <c r="I38" s="182">
        <f>'III.3 Benefits_Grouping'!J34*0.152</f>
        <v>28044</v>
      </c>
      <c r="J38" s="316">
        <f t="shared" si="1"/>
        <v>112062</v>
      </c>
      <c r="K38" s="350">
        <f t="shared" si="2"/>
        <v>102152.0146280825</v>
      </c>
      <c r="L38" s="305"/>
    </row>
    <row r="39" spans="1:12" x14ac:dyDescent="0.2">
      <c r="A39" s="98">
        <f t="shared" si="3"/>
        <v>2045</v>
      </c>
      <c r="B39" s="355">
        <f t="shared" si="4"/>
        <v>29</v>
      </c>
      <c r="C39" s="317">
        <v>0</v>
      </c>
      <c r="D39" s="354">
        <f t="shared" si="5"/>
        <v>9909.9853719174971</v>
      </c>
      <c r="E39" s="198">
        <v>0</v>
      </c>
      <c r="F39" s="319">
        <v>0</v>
      </c>
      <c r="G39" s="353">
        <f t="shared" si="0"/>
        <v>9909.9853719174971</v>
      </c>
      <c r="H39" s="317">
        <f>SUM('III.3 Benefits_Grouping'!C35:G35)*0.152</f>
        <v>84465.45</v>
      </c>
      <c r="I39" s="182">
        <f>'III.3 Benefits_Grouping'!J35*0.152</f>
        <v>28044</v>
      </c>
      <c r="J39" s="316">
        <f t="shared" si="1"/>
        <v>112509.45</v>
      </c>
      <c r="K39" s="350">
        <f t="shared" si="2"/>
        <v>102599.4646280825</v>
      </c>
      <c r="L39" s="305"/>
    </row>
    <row r="40" spans="1:12" x14ac:dyDescent="0.2">
      <c r="A40" s="98">
        <f t="shared" si="3"/>
        <v>2046</v>
      </c>
      <c r="B40" s="355">
        <f t="shared" si="4"/>
        <v>30</v>
      </c>
      <c r="C40" s="317">
        <v>0</v>
      </c>
      <c r="D40" s="354">
        <f t="shared" si="5"/>
        <v>9909.9853719174971</v>
      </c>
      <c r="E40" s="198">
        <v>0</v>
      </c>
      <c r="F40" s="319">
        <v>0</v>
      </c>
      <c r="G40" s="353">
        <f t="shared" si="0"/>
        <v>9909.9853719174971</v>
      </c>
      <c r="H40" s="317">
        <f>SUM('III.3 Benefits_Grouping'!C36:G36)*0.152</f>
        <v>84912.9</v>
      </c>
      <c r="I40" s="182">
        <f>'III.3 Benefits_Grouping'!J36*0.152</f>
        <v>28044</v>
      </c>
      <c r="J40" s="316">
        <f t="shared" si="1"/>
        <v>112956.9</v>
      </c>
      <c r="K40" s="350">
        <f t="shared" si="2"/>
        <v>103046.91462808249</v>
      </c>
      <c r="L40" s="305"/>
    </row>
    <row r="41" spans="1:12" x14ac:dyDescent="0.2">
      <c r="A41" s="98">
        <f t="shared" si="3"/>
        <v>2047</v>
      </c>
      <c r="B41" s="355">
        <f t="shared" si="4"/>
        <v>31</v>
      </c>
      <c r="C41" s="317">
        <v>0</v>
      </c>
      <c r="D41" s="354">
        <f t="shared" si="5"/>
        <v>9909.9853719174971</v>
      </c>
      <c r="E41" s="198">
        <v>0</v>
      </c>
      <c r="F41" s="319">
        <v>0</v>
      </c>
      <c r="G41" s="353">
        <f t="shared" si="0"/>
        <v>9909.9853719174971</v>
      </c>
      <c r="H41" s="317">
        <f>SUM('III.3 Benefits_Grouping'!C37:G37)*0.152</f>
        <v>85360.349999999991</v>
      </c>
      <c r="I41" s="182">
        <f>'III.3 Benefits_Grouping'!J37*0.152</f>
        <v>28044</v>
      </c>
      <c r="J41" s="316">
        <f t="shared" si="1"/>
        <v>113404.34999999999</v>
      </c>
      <c r="K41" s="350">
        <f t="shared" si="2"/>
        <v>103494.36462808249</v>
      </c>
      <c r="L41" s="305"/>
    </row>
    <row r="42" spans="1:12" x14ac:dyDescent="0.2">
      <c r="A42" s="98">
        <f t="shared" si="3"/>
        <v>2048</v>
      </c>
      <c r="B42" s="355">
        <f t="shared" si="4"/>
        <v>32</v>
      </c>
      <c r="C42" s="317">
        <v>0</v>
      </c>
      <c r="D42" s="354">
        <f t="shared" si="5"/>
        <v>9909.9853719174971</v>
      </c>
      <c r="E42" s="198">
        <f>E32</f>
        <v>100000</v>
      </c>
      <c r="F42" s="319">
        <v>0</v>
      </c>
      <c r="G42" s="353">
        <f t="shared" ref="G42:G60" si="7">SUM(C42:F42)</f>
        <v>109909.9853719175</v>
      </c>
      <c r="H42" s="317">
        <f>SUM('III.3 Benefits_Grouping'!C38:G38)*0.152</f>
        <v>85807.8</v>
      </c>
      <c r="I42" s="182">
        <f>'III.3 Benefits_Grouping'!J38*0.152</f>
        <v>28044</v>
      </c>
      <c r="J42" s="316">
        <f t="shared" ref="J42:J60" si="8">SUM(H42:I42)</f>
        <v>113851.8</v>
      </c>
      <c r="K42" s="350">
        <f t="shared" ref="K42:K60" si="9">(J42-G42)</f>
        <v>3941.8146280825022</v>
      </c>
      <c r="L42" s="305"/>
    </row>
    <row r="43" spans="1:12" x14ac:dyDescent="0.2">
      <c r="A43" s="98">
        <f t="shared" ref="A43:A60" si="10">(A42+1)</f>
        <v>2049</v>
      </c>
      <c r="B43" s="355">
        <f t="shared" ref="B43:B60" si="11">(B42+1)</f>
        <v>33</v>
      </c>
      <c r="C43" s="317">
        <v>0</v>
      </c>
      <c r="D43" s="354">
        <f t="shared" si="5"/>
        <v>9909.9853719174971</v>
      </c>
      <c r="E43" s="198">
        <v>0</v>
      </c>
      <c r="F43" s="319">
        <v>0</v>
      </c>
      <c r="G43" s="353">
        <f t="shared" si="7"/>
        <v>9909.9853719174971</v>
      </c>
      <c r="H43" s="317">
        <f>SUM('III.3 Benefits_Grouping'!C39:G39)*0.152</f>
        <v>86255.25</v>
      </c>
      <c r="I43" s="182">
        <f>'III.3 Benefits_Grouping'!J39*0.152</f>
        <v>28044</v>
      </c>
      <c r="J43" s="316">
        <f t="shared" si="8"/>
        <v>114299.25</v>
      </c>
      <c r="K43" s="350">
        <f t="shared" si="9"/>
        <v>104389.2646280825</v>
      </c>
      <c r="L43" s="305"/>
    </row>
    <row r="44" spans="1:12" x14ac:dyDescent="0.2">
      <c r="A44" s="98">
        <f t="shared" si="10"/>
        <v>2050</v>
      </c>
      <c r="B44" s="355">
        <f t="shared" si="11"/>
        <v>34</v>
      </c>
      <c r="C44" s="317">
        <v>0</v>
      </c>
      <c r="D44" s="354">
        <f t="shared" si="5"/>
        <v>9909.9853719174971</v>
      </c>
      <c r="E44" s="198">
        <v>0</v>
      </c>
      <c r="F44" s="319">
        <v>0</v>
      </c>
      <c r="G44" s="353">
        <f t="shared" si="7"/>
        <v>9909.9853719174971</v>
      </c>
      <c r="H44" s="317">
        <f>SUM('III.3 Benefits_Grouping'!C40:G40)*0.152</f>
        <v>86702.7</v>
      </c>
      <c r="I44" s="182">
        <f>'III.3 Benefits_Grouping'!J40*0.152</f>
        <v>28044</v>
      </c>
      <c r="J44" s="316">
        <f t="shared" si="8"/>
        <v>114746.7</v>
      </c>
      <c r="K44" s="350">
        <f t="shared" si="9"/>
        <v>104836.7146280825</v>
      </c>
      <c r="L44" s="305"/>
    </row>
    <row r="45" spans="1:12" x14ac:dyDescent="0.2">
      <c r="A45" s="98">
        <f t="shared" si="10"/>
        <v>2051</v>
      </c>
      <c r="B45" s="355">
        <f t="shared" si="11"/>
        <v>35</v>
      </c>
      <c r="C45" s="317">
        <v>0</v>
      </c>
      <c r="D45" s="354">
        <f t="shared" si="5"/>
        <v>9909.9853719174971</v>
      </c>
      <c r="E45" s="198">
        <v>0</v>
      </c>
      <c r="F45" s="319">
        <v>0</v>
      </c>
      <c r="G45" s="353">
        <f t="shared" si="7"/>
        <v>9909.9853719174971</v>
      </c>
      <c r="H45" s="317">
        <f>SUM('III.3 Benefits_Grouping'!C41:G41)*0.152</f>
        <v>87150.15</v>
      </c>
      <c r="I45" s="182">
        <f>'III.3 Benefits_Grouping'!J41*0.152</f>
        <v>28044</v>
      </c>
      <c r="J45" s="316">
        <f t="shared" si="8"/>
        <v>115194.15</v>
      </c>
      <c r="K45" s="350">
        <f t="shared" si="9"/>
        <v>105284.16462808249</v>
      </c>
      <c r="L45" s="305"/>
    </row>
    <row r="46" spans="1:12" x14ac:dyDescent="0.2">
      <c r="A46" s="98">
        <f t="shared" si="10"/>
        <v>2052</v>
      </c>
      <c r="B46" s="355">
        <f t="shared" si="11"/>
        <v>36</v>
      </c>
      <c r="C46" s="317">
        <v>0</v>
      </c>
      <c r="D46" s="354">
        <f t="shared" si="5"/>
        <v>9909.9853719174971</v>
      </c>
      <c r="E46" s="198">
        <v>0</v>
      </c>
      <c r="F46" s="319">
        <v>0</v>
      </c>
      <c r="G46" s="353">
        <f t="shared" si="7"/>
        <v>9909.9853719174971</v>
      </c>
      <c r="H46" s="317">
        <f>SUM('III.3 Benefits_Grouping'!C42:G42)*0.152</f>
        <v>87597.599999999991</v>
      </c>
      <c r="I46" s="182">
        <f>'III.3 Benefits_Grouping'!J42*0.152</f>
        <v>28044</v>
      </c>
      <c r="J46" s="316">
        <f t="shared" si="8"/>
        <v>115641.59999999999</v>
      </c>
      <c r="K46" s="350">
        <f t="shared" si="9"/>
        <v>105731.61462808249</v>
      </c>
      <c r="L46" s="305"/>
    </row>
    <row r="47" spans="1:12" x14ac:dyDescent="0.2">
      <c r="A47" s="98">
        <f t="shared" si="10"/>
        <v>2053</v>
      </c>
      <c r="B47" s="355">
        <f t="shared" si="11"/>
        <v>37</v>
      </c>
      <c r="C47" s="317">
        <v>0</v>
      </c>
      <c r="D47" s="354">
        <f t="shared" si="5"/>
        <v>9909.9853719174971</v>
      </c>
      <c r="E47" s="198">
        <v>0</v>
      </c>
      <c r="F47" s="319">
        <v>0</v>
      </c>
      <c r="G47" s="353">
        <f t="shared" si="7"/>
        <v>9909.9853719174971</v>
      </c>
      <c r="H47" s="317">
        <f>SUM('III.3 Benefits_Grouping'!C43:G43)*0.152</f>
        <v>88045.05</v>
      </c>
      <c r="I47" s="182">
        <f>'III.3 Benefits_Grouping'!J43*0.152</f>
        <v>28044</v>
      </c>
      <c r="J47" s="316">
        <f t="shared" si="8"/>
        <v>116089.05</v>
      </c>
      <c r="K47" s="350">
        <f t="shared" si="9"/>
        <v>106179.0646280825</v>
      </c>
      <c r="L47" s="305"/>
    </row>
    <row r="48" spans="1:12" x14ac:dyDescent="0.2">
      <c r="A48" s="98">
        <f t="shared" si="10"/>
        <v>2054</v>
      </c>
      <c r="B48" s="355">
        <f t="shared" si="11"/>
        <v>38</v>
      </c>
      <c r="C48" s="317">
        <v>0</v>
      </c>
      <c r="D48" s="354">
        <f t="shared" si="5"/>
        <v>9909.9853719174971</v>
      </c>
      <c r="E48" s="198">
        <v>0</v>
      </c>
      <c r="F48" s="319">
        <v>0</v>
      </c>
      <c r="G48" s="353">
        <f t="shared" si="7"/>
        <v>9909.9853719174971</v>
      </c>
      <c r="H48" s="317">
        <f>SUM('III.3 Benefits_Grouping'!C44:G44)*0.152</f>
        <v>88492.5</v>
      </c>
      <c r="I48" s="182">
        <f>'III.3 Benefits_Grouping'!J44*0.152</f>
        <v>28044</v>
      </c>
      <c r="J48" s="316">
        <f t="shared" si="8"/>
        <v>116536.5</v>
      </c>
      <c r="K48" s="350">
        <f t="shared" si="9"/>
        <v>106626.5146280825</v>
      </c>
      <c r="L48" s="305"/>
    </row>
    <row r="49" spans="1:15" x14ac:dyDescent="0.2">
      <c r="A49" s="98">
        <f t="shared" si="10"/>
        <v>2055</v>
      </c>
      <c r="B49" s="355">
        <f t="shared" si="11"/>
        <v>39</v>
      </c>
      <c r="C49" s="317">
        <v>0</v>
      </c>
      <c r="D49" s="354">
        <f t="shared" si="5"/>
        <v>9909.9853719174971</v>
      </c>
      <c r="E49" s="198">
        <v>0</v>
      </c>
      <c r="F49" s="319">
        <v>0</v>
      </c>
      <c r="G49" s="353">
        <f t="shared" si="7"/>
        <v>9909.9853719174971</v>
      </c>
      <c r="H49" s="317">
        <f>SUM('III.3 Benefits_Grouping'!C45:G45)*0.152</f>
        <v>88939.95</v>
      </c>
      <c r="I49" s="182">
        <f>'III.3 Benefits_Grouping'!J45*0.152</f>
        <v>28044</v>
      </c>
      <c r="J49" s="316">
        <f t="shared" si="8"/>
        <v>116983.95</v>
      </c>
      <c r="K49" s="350">
        <f t="shared" si="9"/>
        <v>107073.9646280825</v>
      </c>
      <c r="L49" s="305"/>
    </row>
    <row r="50" spans="1:15" x14ac:dyDescent="0.2">
      <c r="A50" s="98">
        <f t="shared" si="10"/>
        <v>2056</v>
      </c>
      <c r="B50" s="355">
        <f t="shared" si="11"/>
        <v>40</v>
      </c>
      <c r="C50" s="317">
        <v>0</v>
      </c>
      <c r="D50" s="354">
        <f t="shared" si="5"/>
        <v>9909.9853719174971</v>
      </c>
      <c r="E50" s="198">
        <v>0</v>
      </c>
      <c r="F50" s="319">
        <v>0</v>
      </c>
      <c r="G50" s="353">
        <f t="shared" si="7"/>
        <v>9909.9853719174971</v>
      </c>
      <c r="H50" s="317">
        <f>SUM('III.3 Benefits_Grouping'!C46:G46)*0.152</f>
        <v>89387.4</v>
      </c>
      <c r="I50" s="182">
        <f>'III.3 Benefits_Grouping'!J46*0.152</f>
        <v>28044</v>
      </c>
      <c r="J50" s="316">
        <f t="shared" si="8"/>
        <v>117431.4</v>
      </c>
      <c r="K50" s="350">
        <f t="shared" si="9"/>
        <v>107521.41462808249</v>
      </c>
      <c r="L50" s="305"/>
    </row>
    <row r="51" spans="1:15" x14ac:dyDescent="0.2">
      <c r="A51" s="98">
        <f t="shared" si="10"/>
        <v>2057</v>
      </c>
      <c r="B51" s="355">
        <f t="shared" si="11"/>
        <v>41</v>
      </c>
      <c r="C51" s="317">
        <v>0</v>
      </c>
      <c r="D51" s="354">
        <f t="shared" si="5"/>
        <v>9909.9853719174971</v>
      </c>
      <c r="E51" s="198">
        <v>0</v>
      </c>
      <c r="F51" s="319">
        <v>0</v>
      </c>
      <c r="G51" s="353">
        <f t="shared" si="7"/>
        <v>9909.9853719174971</v>
      </c>
      <c r="H51" s="317">
        <f>SUM('III.3 Benefits_Grouping'!C47:G47)*0.152</f>
        <v>89834.849999999991</v>
      </c>
      <c r="I51" s="182">
        <f>'III.3 Benefits_Grouping'!J47*0.152</f>
        <v>28044</v>
      </c>
      <c r="J51" s="316">
        <f t="shared" si="8"/>
        <v>117878.84999999999</v>
      </c>
      <c r="K51" s="350">
        <f t="shared" si="9"/>
        <v>107968.86462808249</v>
      </c>
      <c r="L51" s="305"/>
    </row>
    <row r="52" spans="1:15" x14ac:dyDescent="0.2">
      <c r="A52" s="98">
        <f t="shared" si="10"/>
        <v>2058</v>
      </c>
      <c r="B52" s="355">
        <f t="shared" si="11"/>
        <v>42</v>
      </c>
      <c r="C52" s="317">
        <v>0</v>
      </c>
      <c r="D52" s="354">
        <f t="shared" si="5"/>
        <v>9909.9853719174971</v>
      </c>
      <c r="E52" s="198">
        <f>E42</f>
        <v>100000</v>
      </c>
      <c r="F52" s="319">
        <v>0</v>
      </c>
      <c r="G52" s="353">
        <f t="shared" si="7"/>
        <v>109909.9853719175</v>
      </c>
      <c r="H52" s="317">
        <f>SUM('III.3 Benefits_Grouping'!C48:G48)*0.152</f>
        <v>90282.3</v>
      </c>
      <c r="I52" s="182">
        <f>'III.3 Benefits_Grouping'!J48*0.152</f>
        <v>28044</v>
      </c>
      <c r="J52" s="316">
        <f t="shared" si="8"/>
        <v>118326.3</v>
      </c>
      <c r="K52" s="350">
        <f t="shared" si="9"/>
        <v>8416.3146280825022</v>
      </c>
      <c r="L52" s="305"/>
    </row>
    <row r="53" spans="1:15" x14ac:dyDescent="0.2">
      <c r="A53" s="98">
        <f t="shared" si="10"/>
        <v>2059</v>
      </c>
      <c r="B53" s="355">
        <f t="shared" si="11"/>
        <v>43</v>
      </c>
      <c r="C53" s="317">
        <v>0</v>
      </c>
      <c r="D53" s="354">
        <f t="shared" si="5"/>
        <v>9909.9853719174971</v>
      </c>
      <c r="E53" s="198">
        <v>0</v>
      </c>
      <c r="F53" s="319">
        <v>0</v>
      </c>
      <c r="G53" s="353">
        <f t="shared" si="7"/>
        <v>9909.9853719174971</v>
      </c>
      <c r="H53" s="317">
        <f>SUM('III.3 Benefits_Grouping'!C49:G49)*0.152</f>
        <v>90729.75</v>
      </c>
      <c r="I53" s="182">
        <f>'III.3 Benefits_Grouping'!J49*0.152</f>
        <v>28044</v>
      </c>
      <c r="J53" s="316">
        <f t="shared" si="8"/>
        <v>118773.75</v>
      </c>
      <c r="K53" s="350">
        <f t="shared" si="9"/>
        <v>108863.7646280825</v>
      </c>
      <c r="L53" s="305"/>
    </row>
    <row r="54" spans="1:15" x14ac:dyDescent="0.2">
      <c r="A54" s="98">
        <f t="shared" si="10"/>
        <v>2060</v>
      </c>
      <c r="B54" s="355">
        <f t="shared" si="11"/>
        <v>44</v>
      </c>
      <c r="C54" s="317">
        <v>0</v>
      </c>
      <c r="D54" s="354">
        <f t="shared" si="5"/>
        <v>9909.9853719174971</v>
      </c>
      <c r="E54" s="198">
        <v>0</v>
      </c>
      <c r="F54" s="319">
        <v>0</v>
      </c>
      <c r="G54" s="353">
        <f t="shared" si="7"/>
        <v>9909.9853719174971</v>
      </c>
      <c r="H54" s="317">
        <f>SUM('III.3 Benefits_Grouping'!C50:G50)*0.152</f>
        <v>91177.2</v>
      </c>
      <c r="I54" s="182">
        <f>'III.3 Benefits_Grouping'!J50*0.152</f>
        <v>28044</v>
      </c>
      <c r="J54" s="316">
        <f t="shared" si="8"/>
        <v>119221.2</v>
      </c>
      <c r="K54" s="350">
        <f t="shared" si="9"/>
        <v>109311.2146280825</v>
      </c>
      <c r="L54" s="305"/>
      <c r="O54" s="356"/>
    </row>
    <row r="55" spans="1:15" x14ac:dyDescent="0.2">
      <c r="A55" s="98">
        <f t="shared" si="10"/>
        <v>2061</v>
      </c>
      <c r="B55" s="355">
        <f t="shared" si="11"/>
        <v>45</v>
      </c>
      <c r="C55" s="317">
        <v>0</v>
      </c>
      <c r="D55" s="354">
        <f t="shared" si="5"/>
        <v>9909.9853719174971</v>
      </c>
      <c r="E55" s="198">
        <v>0</v>
      </c>
      <c r="F55" s="319">
        <v>0</v>
      </c>
      <c r="G55" s="353">
        <f t="shared" si="7"/>
        <v>9909.9853719174971</v>
      </c>
      <c r="H55" s="317">
        <f>SUM('III.3 Benefits_Grouping'!C51:G51)*0.152</f>
        <v>91624.65</v>
      </c>
      <c r="I55" s="182">
        <f>'III.3 Benefits_Grouping'!J51*0.152</f>
        <v>28044</v>
      </c>
      <c r="J55" s="316">
        <f t="shared" si="8"/>
        <v>119668.65</v>
      </c>
      <c r="K55" s="350">
        <f t="shared" si="9"/>
        <v>109758.66462808249</v>
      </c>
      <c r="L55" s="305"/>
    </row>
    <row r="56" spans="1:15" x14ac:dyDescent="0.2">
      <c r="A56" s="98">
        <f t="shared" si="10"/>
        <v>2062</v>
      </c>
      <c r="B56" s="355">
        <f t="shared" si="11"/>
        <v>46</v>
      </c>
      <c r="C56" s="317">
        <v>0</v>
      </c>
      <c r="D56" s="354">
        <f t="shared" si="5"/>
        <v>9909.9853719174971</v>
      </c>
      <c r="E56" s="198">
        <v>0</v>
      </c>
      <c r="F56" s="319">
        <v>0</v>
      </c>
      <c r="G56" s="353">
        <f t="shared" si="7"/>
        <v>9909.9853719174971</v>
      </c>
      <c r="H56" s="317">
        <f>SUM('III.3 Benefits_Grouping'!C52:G52)*0.152</f>
        <v>92072.099999999991</v>
      </c>
      <c r="I56" s="182">
        <f>'III.3 Benefits_Grouping'!J52*0.152</f>
        <v>28044</v>
      </c>
      <c r="J56" s="316">
        <f t="shared" si="8"/>
        <v>120116.09999999999</v>
      </c>
      <c r="K56" s="350">
        <f t="shared" si="9"/>
        <v>110206.11462808249</v>
      </c>
      <c r="L56" s="305"/>
    </row>
    <row r="57" spans="1:15" x14ac:dyDescent="0.2">
      <c r="A57" s="98">
        <f t="shared" si="10"/>
        <v>2063</v>
      </c>
      <c r="B57" s="355">
        <f t="shared" si="11"/>
        <v>47</v>
      </c>
      <c r="C57" s="317">
        <v>0</v>
      </c>
      <c r="D57" s="354">
        <f t="shared" si="5"/>
        <v>9909.9853719174971</v>
      </c>
      <c r="E57" s="198">
        <v>0</v>
      </c>
      <c r="F57" s="319">
        <v>0</v>
      </c>
      <c r="G57" s="353">
        <f t="shared" si="7"/>
        <v>9909.9853719174971</v>
      </c>
      <c r="H57" s="317">
        <f>SUM('III.3 Benefits_Grouping'!C53:G53)*0.152</f>
        <v>92519.55</v>
      </c>
      <c r="I57" s="182">
        <f>'III.3 Benefits_Grouping'!J53*0.152</f>
        <v>28044</v>
      </c>
      <c r="J57" s="316">
        <f t="shared" si="8"/>
        <v>120563.55</v>
      </c>
      <c r="K57" s="350">
        <f t="shared" si="9"/>
        <v>110653.5646280825</v>
      </c>
      <c r="L57" s="305"/>
    </row>
    <row r="58" spans="1:15" x14ac:dyDescent="0.2">
      <c r="A58" s="98">
        <f t="shared" si="10"/>
        <v>2064</v>
      </c>
      <c r="B58" s="355">
        <f t="shared" si="11"/>
        <v>48</v>
      </c>
      <c r="C58" s="317">
        <v>0</v>
      </c>
      <c r="D58" s="354">
        <f t="shared" si="5"/>
        <v>9909.9853719174971</v>
      </c>
      <c r="E58" s="198">
        <v>0</v>
      </c>
      <c r="F58" s="319">
        <v>0</v>
      </c>
      <c r="G58" s="353">
        <f t="shared" si="7"/>
        <v>9909.9853719174971</v>
      </c>
      <c r="H58" s="317">
        <f>SUM('III.3 Benefits_Grouping'!C54:G54)*0.152</f>
        <v>92967</v>
      </c>
      <c r="I58" s="182">
        <f>'III.3 Benefits_Grouping'!J54*0.152</f>
        <v>28044</v>
      </c>
      <c r="J58" s="316">
        <f t="shared" si="8"/>
        <v>121011</v>
      </c>
      <c r="K58" s="350">
        <f t="shared" si="9"/>
        <v>111101.0146280825</v>
      </c>
      <c r="L58" s="305"/>
    </row>
    <row r="59" spans="1:15" x14ac:dyDescent="0.2">
      <c r="A59" s="98">
        <f t="shared" si="10"/>
        <v>2065</v>
      </c>
      <c r="B59" s="355">
        <f t="shared" si="11"/>
        <v>49</v>
      </c>
      <c r="C59" s="317">
        <v>0</v>
      </c>
      <c r="D59" s="354">
        <f t="shared" si="5"/>
        <v>9909.9853719174971</v>
      </c>
      <c r="E59" s="198">
        <v>0</v>
      </c>
      <c r="F59" s="319">
        <v>0</v>
      </c>
      <c r="G59" s="353">
        <f t="shared" si="7"/>
        <v>9909.9853719174971</v>
      </c>
      <c r="H59" s="317">
        <f>SUM('III.3 Benefits_Grouping'!C55:G55)*0.152</f>
        <v>93414.45</v>
      </c>
      <c r="I59" s="182">
        <f>'III.3 Benefits_Grouping'!J55*0.152</f>
        <v>28044</v>
      </c>
      <c r="J59" s="316">
        <f t="shared" si="8"/>
        <v>121458.45</v>
      </c>
      <c r="K59" s="350">
        <f t="shared" si="9"/>
        <v>111548.4646280825</v>
      </c>
      <c r="L59" s="305"/>
    </row>
    <row r="60" spans="1:15" x14ac:dyDescent="0.2">
      <c r="A60" s="98">
        <f t="shared" si="10"/>
        <v>2066</v>
      </c>
      <c r="B60" s="355">
        <f t="shared" si="11"/>
        <v>50</v>
      </c>
      <c r="C60" s="317">
        <v>0</v>
      </c>
      <c r="D60" s="354">
        <f t="shared" si="5"/>
        <v>9909.9853719174971</v>
      </c>
      <c r="E60" s="198">
        <v>0</v>
      </c>
      <c r="F60" s="319">
        <v>0</v>
      </c>
      <c r="G60" s="353">
        <f t="shared" si="7"/>
        <v>9909.9853719174971</v>
      </c>
      <c r="H60" s="317">
        <f>SUM('III.3 Benefits_Grouping'!C56:G56)*0.152</f>
        <v>93414.45</v>
      </c>
      <c r="I60" s="182">
        <f>'III.3 Benefits_Grouping'!J56*0.152</f>
        <v>28044</v>
      </c>
      <c r="J60" s="316">
        <f t="shared" si="8"/>
        <v>121458.45</v>
      </c>
      <c r="K60" s="350">
        <f t="shared" si="9"/>
        <v>111548.4646280825</v>
      </c>
      <c r="L60" s="305"/>
    </row>
    <row r="61" spans="1:15" ht="15.75" thickBot="1" x14ac:dyDescent="0.3">
      <c r="A61" s="106" t="s">
        <v>422</v>
      </c>
      <c r="B61" s="352"/>
      <c r="C61" s="310">
        <f t="shared" ref="C61:J61" si="12">NPV($C$5,C11:C60)+C10</f>
        <v>934240.36281179136</v>
      </c>
      <c r="D61" s="191">
        <f t="shared" si="12"/>
        <v>162489.22409488491</v>
      </c>
      <c r="E61" s="313">
        <f t="shared" si="12"/>
        <v>123739.30769794964</v>
      </c>
      <c r="F61" s="312">
        <f t="shared" si="12"/>
        <v>315172.85425244126</v>
      </c>
      <c r="G61" s="351">
        <f t="shared" si="12"/>
        <v>1535641.7488570674</v>
      </c>
      <c r="H61" s="310">
        <f t="shared" si="12"/>
        <v>1369085.9228325388</v>
      </c>
      <c r="I61" s="179">
        <f t="shared" si="12"/>
        <v>485107.98177899607</v>
      </c>
      <c r="J61" s="309">
        <f t="shared" si="12"/>
        <v>1854193.9046115342</v>
      </c>
      <c r="L61" s="305"/>
      <c r="M61" s="273"/>
    </row>
    <row r="62" spans="1:15" ht="13.5" thickBot="1" x14ac:dyDescent="0.25">
      <c r="B62" s="304"/>
      <c r="C62" s="268"/>
      <c r="G62" s="307"/>
      <c r="L62" s="305"/>
    </row>
    <row r="63" spans="1:15" ht="15" x14ac:dyDescent="0.25">
      <c r="B63" s="304"/>
      <c r="C63" s="307"/>
      <c r="I63" s="482" t="s">
        <v>417</v>
      </c>
      <c r="J63" s="460"/>
      <c r="K63" s="471">
        <f>(J61/G61)</f>
        <v>1.2074391087579872</v>
      </c>
      <c r="L63" s="305"/>
    </row>
    <row r="64" spans="1:15" ht="15" x14ac:dyDescent="0.25">
      <c r="B64" s="304"/>
      <c r="C64" s="307"/>
      <c r="I64" s="483" t="s">
        <v>416</v>
      </c>
      <c r="J64" s="462"/>
      <c r="K64" s="472">
        <f>IRR(K10:K60)</f>
        <v>6.8052299952839457E-2</v>
      </c>
      <c r="L64" s="305"/>
    </row>
    <row r="65" spans="1:12" ht="15.75" thickBot="1" x14ac:dyDescent="0.3">
      <c r="B65" s="304"/>
      <c r="C65" s="268"/>
      <c r="I65" s="745" t="s">
        <v>592</v>
      </c>
      <c r="J65" s="746"/>
      <c r="K65" s="473">
        <f>NPV($C$5,K11:K60)+K10</f>
        <v>318552.15575446771</v>
      </c>
      <c r="L65" s="305"/>
    </row>
    <row r="66" spans="1:12" ht="13.5" thickBot="1" x14ac:dyDescent="0.25"/>
    <row r="67" spans="1:12" ht="15" x14ac:dyDescent="0.25">
      <c r="A67" s="480" t="s">
        <v>0</v>
      </c>
      <c r="B67" s="481"/>
      <c r="C67" s="250"/>
      <c r="D67" s="250"/>
      <c r="E67" s="250"/>
      <c r="F67" s="250"/>
      <c r="G67" s="177"/>
      <c r="H67" s="176"/>
      <c r="J67" s="349"/>
    </row>
    <row r="68" spans="1:12" ht="15" x14ac:dyDescent="0.2">
      <c r="A68" s="709" t="s">
        <v>388</v>
      </c>
      <c r="B68" s="710"/>
      <c r="C68" s="519" t="s">
        <v>387</v>
      </c>
      <c r="D68" s="519"/>
      <c r="E68" s="519"/>
      <c r="F68" s="519"/>
      <c r="G68" s="519"/>
      <c r="H68" s="520"/>
    </row>
    <row r="69" spans="1:12" ht="15" x14ac:dyDescent="0.2">
      <c r="A69" s="641" t="s">
        <v>386</v>
      </c>
      <c r="B69" s="642"/>
      <c r="C69" s="519" t="s">
        <v>385</v>
      </c>
      <c r="D69" s="519"/>
      <c r="E69" s="519"/>
      <c r="F69" s="519"/>
      <c r="G69" s="519"/>
      <c r="H69" s="520"/>
    </row>
    <row r="70" spans="1:12" ht="30.75" customHeight="1" x14ac:dyDescent="0.2">
      <c r="A70" s="641" t="s">
        <v>421</v>
      </c>
      <c r="B70" s="642"/>
      <c r="C70" s="538" t="s">
        <v>604</v>
      </c>
      <c r="D70" s="538"/>
      <c r="E70" s="538"/>
      <c r="F70" s="538"/>
      <c r="G70" s="538"/>
      <c r="H70" s="540"/>
    </row>
    <row r="71" spans="1:12" ht="30.75" customHeight="1" x14ac:dyDescent="0.2">
      <c r="A71" s="641" t="s">
        <v>269</v>
      </c>
      <c r="B71" s="642"/>
      <c r="C71" s="538" t="s">
        <v>605</v>
      </c>
      <c r="D71" s="538"/>
      <c r="E71" s="538"/>
      <c r="F71" s="538"/>
      <c r="G71" s="538"/>
      <c r="H71" s="540"/>
    </row>
    <row r="72" spans="1:12" ht="15" customHeight="1" x14ac:dyDescent="0.2">
      <c r="A72" s="641" t="s">
        <v>420</v>
      </c>
      <c r="B72" s="642"/>
      <c r="C72" s="519" t="s">
        <v>419</v>
      </c>
      <c r="D72" s="519"/>
      <c r="E72" s="519"/>
      <c r="F72" s="519"/>
      <c r="G72" s="519"/>
      <c r="H72" s="520"/>
    </row>
    <row r="73" spans="1:12" ht="30.75" customHeight="1" x14ac:dyDescent="0.2">
      <c r="A73" s="720" t="s">
        <v>418</v>
      </c>
      <c r="B73" s="737"/>
      <c r="C73" s="560" t="s">
        <v>663</v>
      </c>
      <c r="D73" s="561"/>
      <c r="E73" s="561"/>
      <c r="F73" s="561"/>
      <c r="G73" s="561"/>
      <c r="H73" s="562"/>
    </row>
    <row r="74" spans="1:12" ht="15" x14ac:dyDescent="0.2">
      <c r="A74" s="730" t="s">
        <v>417</v>
      </c>
      <c r="B74" s="731"/>
      <c r="C74" s="575" t="s">
        <v>595</v>
      </c>
      <c r="D74" s="575"/>
      <c r="E74" s="575"/>
      <c r="F74" s="575"/>
      <c r="G74" s="575"/>
      <c r="H74" s="576"/>
    </row>
    <row r="75" spans="1:12" ht="30.75" customHeight="1" x14ac:dyDescent="0.2">
      <c r="A75" s="728" t="s">
        <v>416</v>
      </c>
      <c r="B75" s="729"/>
      <c r="C75" s="560" t="s">
        <v>594</v>
      </c>
      <c r="D75" s="561"/>
      <c r="E75" s="561"/>
      <c r="F75" s="561"/>
      <c r="G75" s="561"/>
      <c r="H75" s="562"/>
    </row>
    <row r="76" spans="1:12" ht="30.75" customHeight="1" thickBot="1" x14ac:dyDescent="0.25">
      <c r="A76" s="743" t="s">
        <v>592</v>
      </c>
      <c r="B76" s="744"/>
      <c r="C76" s="579" t="s">
        <v>664</v>
      </c>
      <c r="D76" s="579"/>
      <c r="E76" s="579"/>
      <c r="F76" s="579"/>
      <c r="G76" s="579"/>
      <c r="H76" s="581"/>
    </row>
  </sheetData>
  <mergeCells count="32">
    <mergeCell ref="A1:E1"/>
    <mergeCell ref="K8:K9"/>
    <mergeCell ref="C8:C9"/>
    <mergeCell ref="D8:D9"/>
    <mergeCell ref="G8:G9"/>
    <mergeCell ref="C7:G7"/>
    <mergeCell ref="E8:F8"/>
    <mergeCell ref="A4:B4"/>
    <mergeCell ref="C4:G4"/>
    <mergeCell ref="A74:B74"/>
    <mergeCell ref="C74:H74"/>
    <mergeCell ref="C70:H70"/>
    <mergeCell ref="A71:B71"/>
    <mergeCell ref="A68:B68"/>
    <mergeCell ref="C68:H68"/>
    <mergeCell ref="F1:G1"/>
    <mergeCell ref="H1:I1"/>
    <mergeCell ref="A75:B75"/>
    <mergeCell ref="C75:H75"/>
    <mergeCell ref="A70:B70"/>
    <mergeCell ref="H8:J8"/>
    <mergeCell ref="A3:J3"/>
    <mergeCell ref="C71:H71"/>
    <mergeCell ref="A72:B72"/>
    <mergeCell ref="A69:B69"/>
    <mergeCell ref="A76:B76"/>
    <mergeCell ref="C76:H76"/>
    <mergeCell ref="C72:H72"/>
    <mergeCell ref="A73:B73"/>
    <mergeCell ref="C73:H73"/>
    <mergeCell ref="I65:J65"/>
    <mergeCell ref="C69:H69"/>
  </mergeCells>
  <pageMargins left="0.7" right="0.7" top="0.75" bottom="0.75" header="0.3" footer="0.3"/>
  <pageSetup scale="46" orientation="landscape" cellComments="asDisplayed"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8EBEE-4DF8-476F-8029-B12CE3B0269F}">
  <dimension ref="A1:N22"/>
  <sheetViews>
    <sheetView view="pageBreakPreview" topLeftCell="B10" zoomScaleNormal="90" zoomScaleSheetLayoutView="100" workbookViewId="0">
      <selection activeCell="N24" sqref="N24"/>
    </sheetView>
  </sheetViews>
  <sheetFormatPr defaultRowHeight="15" x14ac:dyDescent="0.25"/>
  <cols>
    <col min="1" max="1" width="9.7109375" customWidth="1"/>
    <col min="2" max="2" width="16.7109375" customWidth="1"/>
    <col min="3" max="3" width="25.5703125" customWidth="1"/>
    <col min="4" max="4" width="11.85546875" customWidth="1"/>
    <col min="5" max="5" width="12.28515625" bestFit="1" customWidth="1"/>
    <col min="6" max="6" width="15.85546875" customWidth="1"/>
    <col min="7" max="7" width="10.28515625" customWidth="1"/>
    <col min="8" max="8" width="22.140625" customWidth="1"/>
    <col min="9" max="9" width="23.5703125" customWidth="1"/>
    <col min="10" max="10" width="20.5703125" customWidth="1"/>
    <col min="11" max="11" width="21.7109375" customWidth="1"/>
    <col min="12" max="12" width="24" customWidth="1"/>
    <col min="13" max="13" width="30.7109375" customWidth="1"/>
    <col min="14" max="14" width="27.28515625" customWidth="1"/>
  </cols>
  <sheetData>
    <row r="1" spans="1:14" ht="15" customHeight="1" x14ac:dyDescent="0.25">
      <c r="A1" s="499" t="s">
        <v>521</v>
      </c>
      <c r="B1" s="499"/>
      <c r="C1" s="499"/>
      <c r="D1" s="534" t="s">
        <v>539</v>
      </c>
      <c r="E1" s="534"/>
      <c r="F1" s="671" t="s">
        <v>540</v>
      </c>
      <c r="G1" s="671"/>
      <c r="H1" s="499"/>
      <c r="I1" s="499"/>
      <c r="J1" s="499" t="s">
        <v>642</v>
      </c>
      <c r="K1" s="114"/>
      <c r="L1" s="114"/>
      <c r="M1" s="114"/>
      <c r="N1" s="114"/>
    </row>
    <row r="2" spans="1:14" ht="19.5" customHeight="1" x14ac:dyDescent="0.25">
      <c r="A2" s="777" t="s">
        <v>486</v>
      </c>
      <c r="B2" s="777"/>
      <c r="C2" s="777"/>
      <c r="D2" s="777"/>
      <c r="E2" s="777"/>
      <c r="F2" s="777"/>
      <c r="G2" s="777"/>
      <c r="H2" s="777"/>
      <c r="I2" s="777"/>
      <c r="J2" s="777"/>
      <c r="K2" s="777"/>
      <c r="L2" s="777"/>
      <c r="M2" s="114"/>
      <c r="N2" s="114"/>
    </row>
    <row r="3" spans="1:14" ht="34.5" customHeight="1" x14ac:dyDescent="0.25">
      <c r="A3" s="515" t="s">
        <v>500</v>
      </c>
      <c r="B3" s="515"/>
      <c r="C3" s="515"/>
      <c r="D3" s="515"/>
      <c r="E3" s="515"/>
      <c r="F3" s="515"/>
      <c r="G3" s="515"/>
      <c r="H3" s="515"/>
      <c r="I3" s="515"/>
      <c r="J3" s="501"/>
      <c r="K3" s="501"/>
      <c r="L3" s="501"/>
      <c r="M3" s="114"/>
      <c r="N3" s="114"/>
    </row>
    <row r="4" spans="1:14" ht="70.5" customHeight="1" x14ac:dyDescent="0.25">
      <c r="A4" s="374" t="s">
        <v>273</v>
      </c>
      <c r="B4" s="612" t="s">
        <v>524</v>
      </c>
      <c r="C4" s="569"/>
      <c r="D4" s="569"/>
      <c r="E4" s="569"/>
      <c r="F4" s="569"/>
      <c r="G4" s="569"/>
      <c r="H4" s="569"/>
      <c r="I4" s="613"/>
      <c r="J4" s="612" t="s">
        <v>585</v>
      </c>
      <c r="K4" s="569"/>
      <c r="L4" s="569"/>
      <c r="M4" s="569"/>
      <c r="N4" s="613"/>
    </row>
    <row r="5" spans="1:14" ht="15.75" thickBot="1" x14ac:dyDescent="0.3">
      <c r="A5" s="444" t="s">
        <v>434</v>
      </c>
      <c r="B5" s="373"/>
      <c r="C5" s="373"/>
      <c r="D5" s="373"/>
      <c r="E5" s="373"/>
      <c r="F5" s="373"/>
      <c r="G5" s="373"/>
      <c r="H5" s="373"/>
      <c r="I5" s="373"/>
      <c r="J5" s="373"/>
      <c r="K5" s="373"/>
      <c r="L5" s="373"/>
      <c r="M5" s="372"/>
      <c r="N5" s="372"/>
    </row>
    <row r="6" spans="1:14" ht="38.25" customHeight="1" x14ac:dyDescent="0.25">
      <c r="A6" s="778" t="s">
        <v>453</v>
      </c>
      <c r="B6" s="783"/>
      <c r="C6" s="779"/>
      <c r="D6" s="786" t="s">
        <v>452</v>
      </c>
      <c r="E6" s="787"/>
      <c r="F6" s="787"/>
      <c r="G6" s="788"/>
      <c r="H6" s="778" t="s">
        <v>645</v>
      </c>
      <c r="I6" s="779"/>
      <c r="J6" s="778" t="s">
        <v>450</v>
      </c>
      <c r="K6" s="783"/>
      <c r="L6" s="779"/>
      <c r="M6" s="732" t="s">
        <v>522</v>
      </c>
      <c r="N6" s="784" t="s">
        <v>480</v>
      </c>
    </row>
    <row r="7" spans="1:14" ht="76.150000000000006" customHeight="1" x14ac:dyDescent="0.25">
      <c r="A7" s="239" t="s">
        <v>271</v>
      </c>
      <c r="B7" s="265" t="s">
        <v>479</v>
      </c>
      <c r="C7" s="331" t="s">
        <v>478</v>
      </c>
      <c r="D7" s="371" t="s">
        <v>477</v>
      </c>
      <c r="E7" s="381" t="s">
        <v>429</v>
      </c>
      <c r="F7" s="381" t="s">
        <v>476</v>
      </c>
      <c r="G7" s="331" t="s">
        <v>475</v>
      </c>
      <c r="H7" s="371" t="s">
        <v>474</v>
      </c>
      <c r="I7" s="331" t="s">
        <v>596</v>
      </c>
      <c r="J7" s="370" t="s">
        <v>473</v>
      </c>
      <c r="K7" s="69" t="s">
        <v>472</v>
      </c>
      <c r="L7" s="369" t="s">
        <v>471</v>
      </c>
      <c r="M7" s="733"/>
      <c r="N7" s="785"/>
    </row>
    <row r="8" spans="1:14" ht="153" customHeight="1" x14ac:dyDescent="0.25">
      <c r="A8" s="141">
        <v>1</v>
      </c>
      <c r="B8" s="97" t="s">
        <v>470</v>
      </c>
      <c r="C8" s="135" t="s">
        <v>469</v>
      </c>
      <c r="D8" s="384">
        <f>'III.4.2 BCR NPV Seawall Alt'!E60</f>
        <v>5776874.2423095033</v>
      </c>
      <c r="E8" s="385">
        <f>'III.4.2 BCR NPV Seawall Alt'!H60</f>
        <v>9716220.0330466293</v>
      </c>
      <c r="F8" s="385">
        <f>E8-D8</f>
        <v>3939345.790737126</v>
      </c>
      <c r="G8" s="386">
        <f>'III.4.2 BCR NPV Seawall Alt'!I62</f>
        <v>1.6819164872736156</v>
      </c>
      <c r="H8" s="136" t="s">
        <v>616</v>
      </c>
      <c r="I8" s="135" t="s">
        <v>261</v>
      </c>
      <c r="J8" s="136" t="s">
        <v>638</v>
      </c>
      <c r="K8" s="97" t="s">
        <v>454</v>
      </c>
      <c r="L8" s="135" t="s">
        <v>633</v>
      </c>
      <c r="M8" s="445" t="s">
        <v>611</v>
      </c>
      <c r="N8" s="131" t="s">
        <v>468</v>
      </c>
    </row>
    <row r="9" spans="1:14" ht="102.75" customHeight="1" x14ac:dyDescent="0.25">
      <c r="A9" s="141">
        <v>2</v>
      </c>
      <c r="B9" s="97" t="s">
        <v>467</v>
      </c>
      <c r="C9" s="135" t="s">
        <v>617</v>
      </c>
      <c r="D9" s="384">
        <f>'III.4.3 BCR NPV Flood Gate'!E60</f>
        <v>144421.0256368402</v>
      </c>
      <c r="E9" s="385">
        <f>'III.4.3 BCR NPV Flood Gate'!H60</f>
        <v>243972.88218572826</v>
      </c>
      <c r="F9" s="385">
        <f>E9-D9</f>
        <v>99551.856548888056</v>
      </c>
      <c r="G9" s="386">
        <f>'III.4.3 BCR NPV Flood Gate'!I62</f>
        <v>1.6893169198176188</v>
      </c>
      <c r="H9" s="136" t="s">
        <v>466</v>
      </c>
      <c r="I9" s="135" t="s">
        <v>258</v>
      </c>
      <c r="J9" s="136" t="s">
        <v>465</v>
      </c>
      <c r="K9" s="97" t="s">
        <v>464</v>
      </c>
      <c r="L9" s="135" t="s">
        <v>495</v>
      </c>
      <c r="M9" s="445" t="s">
        <v>612</v>
      </c>
      <c r="N9" s="131" t="s">
        <v>463</v>
      </c>
    </row>
    <row r="10" spans="1:14" ht="127.5" customHeight="1" x14ac:dyDescent="0.25">
      <c r="A10" s="141">
        <v>4</v>
      </c>
      <c r="B10" s="97" t="s">
        <v>462</v>
      </c>
      <c r="C10" s="135" t="s">
        <v>618</v>
      </c>
      <c r="D10" s="384">
        <f>'III.4.4 BCR NPV Restore Marsh '!E60</f>
        <v>225437.69855506771</v>
      </c>
      <c r="E10" s="385">
        <f>'III.4.4 BCR NPV Restore Marsh '!H60</f>
        <v>378157.96738787898</v>
      </c>
      <c r="F10" s="385">
        <f>E10-D10</f>
        <v>152720.26883281127</v>
      </c>
      <c r="G10" s="386">
        <f>'III.4.4 BCR NPV Restore Marsh '!I62</f>
        <v>1.6774389102251515</v>
      </c>
      <c r="H10" s="136" t="s">
        <v>461</v>
      </c>
      <c r="I10" s="135" t="s">
        <v>248</v>
      </c>
      <c r="J10" s="136" t="s">
        <v>460</v>
      </c>
      <c r="K10" s="97" t="s">
        <v>454</v>
      </c>
      <c r="L10" s="135" t="s">
        <v>634</v>
      </c>
      <c r="M10" s="445" t="s">
        <v>613</v>
      </c>
      <c r="N10" s="445" t="s">
        <v>459</v>
      </c>
    </row>
    <row r="11" spans="1:14" ht="129.75" customHeight="1" thickBot="1" x14ac:dyDescent="0.3">
      <c r="A11" s="377">
        <v>6</v>
      </c>
      <c r="B11" s="119" t="s">
        <v>458</v>
      </c>
      <c r="C11" s="123" t="s">
        <v>619</v>
      </c>
      <c r="D11" s="387">
        <f>'III.4.5 BCR NPV Oyster Reef'!G61</f>
        <v>1535641.7488570674</v>
      </c>
      <c r="E11" s="388">
        <f>'III.4.5 BCR NPV Oyster Reef'!J61</f>
        <v>1854193.9046115342</v>
      </c>
      <c r="F11" s="388">
        <f>E11-D11</f>
        <v>318552.15575446677</v>
      </c>
      <c r="G11" s="389">
        <f>'III.4.5 BCR NPV Oyster Reef'!K63</f>
        <v>1.2074391087579872</v>
      </c>
      <c r="H11" s="120" t="s">
        <v>457</v>
      </c>
      <c r="I11" s="123" t="s">
        <v>456</v>
      </c>
      <c r="J11" s="120" t="s">
        <v>455</v>
      </c>
      <c r="K11" s="119" t="s">
        <v>454</v>
      </c>
      <c r="L11" s="123" t="s">
        <v>495</v>
      </c>
      <c r="M11" s="498" t="s">
        <v>614</v>
      </c>
      <c r="N11" s="368" t="s">
        <v>615</v>
      </c>
    </row>
    <row r="12" spans="1:14" ht="8.25" customHeight="1" thickBot="1" x14ac:dyDescent="0.3">
      <c r="A12" s="115"/>
      <c r="B12" s="114"/>
      <c r="C12" s="367"/>
      <c r="D12" s="114"/>
      <c r="E12" s="115"/>
      <c r="F12" s="364"/>
      <c r="G12" s="364"/>
      <c r="H12" s="364"/>
      <c r="I12" s="364"/>
      <c r="J12" s="114"/>
      <c r="K12" s="114"/>
      <c r="L12" s="114"/>
      <c r="M12" s="114"/>
      <c r="N12" s="114"/>
    </row>
    <row r="13" spans="1:14" ht="15.75" x14ac:dyDescent="0.25">
      <c r="A13" s="54" t="s">
        <v>0</v>
      </c>
      <c r="B13" s="24"/>
      <c r="C13" s="24"/>
      <c r="D13" s="24"/>
      <c r="E13" s="24"/>
      <c r="F13" s="366"/>
      <c r="G13" s="366"/>
      <c r="H13" s="366"/>
      <c r="I13" s="365"/>
      <c r="J13" s="114"/>
      <c r="K13" s="114"/>
      <c r="L13" s="114"/>
      <c r="M13" s="114"/>
      <c r="N13" s="114"/>
    </row>
    <row r="14" spans="1:14" x14ac:dyDescent="0.25">
      <c r="A14" s="641" t="s">
        <v>453</v>
      </c>
      <c r="B14" s="642"/>
      <c r="C14" s="539" t="s">
        <v>665</v>
      </c>
      <c r="D14" s="552"/>
      <c r="E14" s="552"/>
      <c r="F14" s="552"/>
      <c r="G14" s="552"/>
      <c r="H14" s="552"/>
      <c r="I14" s="553"/>
      <c r="J14" s="114"/>
      <c r="K14" s="114"/>
      <c r="L14" s="114"/>
      <c r="M14" s="114"/>
      <c r="N14" s="114"/>
    </row>
    <row r="15" spans="1:14" x14ac:dyDescent="0.25">
      <c r="A15" s="641" t="s">
        <v>452</v>
      </c>
      <c r="B15" s="642"/>
      <c r="C15" s="539" t="s">
        <v>666</v>
      </c>
      <c r="D15" s="552"/>
      <c r="E15" s="552"/>
      <c r="F15" s="552"/>
      <c r="G15" s="552"/>
      <c r="H15" s="552"/>
      <c r="I15" s="553"/>
      <c r="J15" s="114"/>
      <c r="K15" s="114"/>
      <c r="L15" s="114"/>
      <c r="M15" s="114"/>
      <c r="N15" s="114"/>
    </row>
    <row r="16" spans="1:14" x14ac:dyDescent="0.25">
      <c r="A16" s="643" t="s">
        <v>451</v>
      </c>
      <c r="B16" s="644"/>
      <c r="C16" s="539" t="s">
        <v>667</v>
      </c>
      <c r="D16" s="552"/>
      <c r="E16" s="552"/>
      <c r="F16" s="552"/>
      <c r="G16" s="552"/>
      <c r="H16" s="552"/>
      <c r="I16" s="553"/>
      <c r="J16" s="114"/>
      <c r="K16" s="114"/>
      <c r="L16" s="114"/>
      <c r="M16" s="114"/>
      <c r="N16" s="114"/>
    </row>
    <row r="17" spans="1:14" x14ac:dyDescent="0.25">
      <c r="A17" s="782" t="s">
        <v>450</v>
      </c>
      <c r="B17" s="514"/>
      <c r="C17" s="505"/>
      <c r="D17" s="506"/>
      <c r="E17" s="506"/>
      <c r="F17" s="506"/>
      <c r="G17" s="506"/>
      <c r="H17" s="506"/>
      <c r="I17" s="507"/>
      <c r="J17" s="114"/>
      <c r="K17" s="114"/>
      <c r="L17" s="114"/>
      <c r="M17" s="114"/>
      <c r="N17" s="114"/>
    </row>
    <row r="18" spans="1:14" x14ac:dyDescent="0.25">
      <c r="A18" s="730" t="s">
        <v>449</v>
      </c>
      <c r="B18" s="731"/>
      <c r="C18" s="539" t="s">
        <v>668</v>
      </c>
      <c r="D18" s="552"/>
      <c r="E18" s="552"/>
      <c r="F18" s="552"/>
      <c r="G18" s="552"/>
      <c r="H18" s="552"/>
      <c r="I18" s="553"/>
      <c r="J18" s="114"/>
      <c r="K18" s="114"/>
      <c r="L18" s="114"/>
      <c r="M18" s="114"/>
      <c r="N18" s="114"/>
    </row>
    <row r="19" spans="1:14" x14ac:dyDescent="0.25">
      <c r="A19" s="730" t="s">
        <v>448</v>
      </c>
      <c r="B19" s="731"/>
      <c r="C19" s="539" t="s">
        <v>669</v>
      </c>
      <c r="D19" s="552"/>
      <c r="E19" s="552"/>
      <c r="F19" s="552"/>
      <c r="G19" s="552"/>
      <c r="H19" s="552"/>
      <c r="I19" s="553"/>
      <c r="J19" s="114"/>
      <c r="K19" s="114"/>
      <c r="L19" s="114"/>
      <c r="M19" s="114"/>
      <c r="N19" s="114"/>
    </row>
    <row r="20" spans="1:14" x14ac:dyDescent="0.25">
      <c r="A20" s="730" t="s">
        <v>447</v>
      </c>
      <c r="B20" s="731"/>
      <c r="C20" s="516" t="s">
        <v>670</v>
      </c>
      <c r="D20" s="517"/>
      <c r="E20" s="517"/>
      <c r="F20" s="517"/>
      <c r="G20" s="517"/>
      <c r="H20" s="517"/>
      <c r="I20" s="518"/>
      <c r="J20" s="114"/>
      <c r="K20" s="114"/>
      <c r="L20" s="114"/>
      <c r="M20" s="114"/>
      <c r="N20" s="114"/>
    </row>
    <row r="21" spans="1:14" ht="43.5" customHeight="1" x14ac:dyDescent="0.25">
      <c r="A21" s="643" t="s">
        <v>610</v>
      </c>
      <c r="B21" s="644"/>
      <c r="C21" s="539" t="s">
        <v>672</v>
      </c>
      <c r="D21" s="552"/>
      <c r="E21" s="552"/>
      <c r="F21" s="552"/>
      <c r="G21" s="552"/>
      <c r="H21" s="552"/>
      <c r="I21" s="553"/>
      <c r="J21" s="114"/>
      <c r="K21" s="114"/>
      <c r="L21" s="114"/>
      <c r="M21" s="114"/>
      <c r="N21" s="114"/>
    </row>
    <row r="22" spans="1:14" ht="15.75" thickBot="1" x14ac:dyDescent="0.3">
      <c r="A22" s="780" t="s">
        <v>446</v>
      </c>
      <c r="B22" s="781"/>
      <c r="C22" s="557" t="s">
        <v>671</v>
      </c>
      <c r="D22" s="558"/>
      <c r="E22" s="558"/>
      <c r="F22" s="558"/>
      <c r="G22" s="558"/>
      <c r="H22" s="558"/>
      <c r="I22" s="559"/>
      <c r="J22" s="114"/>
      <c r="K22" s="114"/>
      <c r="L22" s="114"/>
      <c r="M22" s="114"/>
      <c r="N22" s="114"/>
    </row>
  </sheetData>
  <mergeCells count="29">
    <mergeCell ref="J6:L6"/>
    <mergeCell ref="C16:I16"/>
    <mergeCell ref="N6:N7"/>
    <mergeCell ref="A14:B14"/>
    <mergeCell ref="M6:M7"/>
    <mergeCell ref="C15:I15"/>
    <mergeCell ref="C14:I14"/>
    <mergeCell ref="A15:B15"/>
    <mergeCell ref="A6:C6"/>
    <mergeCell ref="D6:G6"/>
    <mergeCell ref="H6:I6"/>
    <mergeCell ref="A22:B22"/>
    <mergeCell ref="C22:I22"/>
    <mergeCell ref="A17:B17"/>
    <mergeCell ref="A18:B18"/>
    <mergeCell ref="C18:I18"/>
    <mergeCell ref="A19:B19"/>
    <mergeCell ref="C19:I19"/>
    <mergeCell ref="A20:B20"/>
    <mergeCell ref="D1:E1"/>
    <mergeCell ref="F1:G1"/>
    <mergeCell ref="A3:I3"/>
    <mergeCell ref="J4:N4"/>
    <mergeCell ref="C20:I20"/>
    <mergeCell ref="A21:B21"/>
    <mergeCell ref="C21:I21"/>
    <mergeCell ref="A2:L2"/>
    <mergeCell ref="B4:I4"/>
    <mergeCell ref="A16:B16"/>
  </mergeCells>
  <pageMargins left="0.7" right="0.7" top="0.75" bottom="0.75" header="0.3" footer="0.3"/>
  <pageSetup scale="53" fitToWidth="2" orientation="landscape" cellComments="asDisplayed" r:id="rId1"/>
  <colBreaks count="1" manualBreakCount="1">
    <brk id="9" max="2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7032D-C16D-4D28-BEF0-D53EC21142B1}">
  <sheetPr>
    <pageSetUpPr fitToPage="1"/>
  </sheetPr>
  <dimension ref="A1:G27"/>
  <sheetViews>
    <sheetView view="pageBreakPreview" zoomScaleNormal="100" zoomScaleSheetLayoutView="100" workbookViewId="0">
      <selection activeCell="N24" sqref="N24"/>
    </sheetView>
  </sheetViews>
  <sheetFormatPr defaultRowHeight="15" x14ac:dyDescent="0.25"/>
  <cols>
    <col min="1" max="1" width="88" customWidth="1"/>
  </cols>
  <sheetData>
    <row r="1" spans="1:7" ht="15.75" x14ac:dyDescent="0.25">
      <c r="A1" s="33" t="s">
        <v>497</v>
      </c>
    </row>
    <row r="2" spans="1:7" ht="15.75" x14ac:dyDescent="0.25">
      <c r="A2" s="503" t="s">
        <v>42</v>
      </c>
    </row>
    <row r="3" spans="1:7" ht="46.5" customHeight="1" x14ac:dyDescent="0.25">
      <c r="A3" s="446" t="str">
        <f>'I.1 Assessment Scope'!A2:D2</f>
        <v>Purpose: Develop an assessment scope  to maintain focus and discipline through a complex analytical process. Document answers and assumptions to develop an assessment scope and guide preliminary research steps needed to develop a problem statement, which is the output of this stage.</v>
      </c>
      <c r="G3" s="47"/>
    </row>
    <row r="4" spans="1:7" x14ac:dyDescent="0.25">
      <c r="A4" s="504" t="s">
        <v>64</v>
      </c>
    </row>
    <row r="5" spans="1:7" ht="45" x14ac:dyDescent="0.25">
      <c r="A5" s="34" t="str">
        <f>'I.2 Site Info'!A2:J2</f>
        <v xml:space="preserve">Purpose: To identify and assess necessary datasets, information, and expertise to evaluate impacts on the focus area established during your assessment scope development. This information will help you prepare Worksheets I.3 and Worksheet I.7. </v>
      </c>
    </row>
    <row r="6" spans="1:7" x14ac:dyDescent="0.25">
      <c r="A6" s="504" t="s">
        <v>4</v>
      </c>
    </row>
    <row r="7" spans="1:7" ht="75" x14ac:dyDescent="0.25">
      <c r="A7" s="34" t="str">
        <f>'I.3 Past Event Info'!A2:E2</f>
        <v xml:space="preserve">Purpose: Learn about and record information regarding past events and their impacts upon the focus area identified in the assessment scope.  Historical event information may provide some sense of how susceptible or sensitive the site and its infrastructure have been and shed light on how future events may impact the focus area. This information could be helpful as you complete Worksheet I.7, but is not critical. </v>
      </c>
    </row>
    <row r="8" spans="1:7" x14ac:dyDescent="0.25">
      <c r="A8" s="504" t="s">
        <v>226</v>
      </c>
    </row>
    <row r="9" spans="1:7" ht="45" x14ac:dyDescent="0.25">
      <c r="A9" s="446" t="str">
        <f>'I.4 Climate Info Require'!A2:I2</f>
        <v>Purpose: To identify and record which climate data are needed to delineate and evaluate the hazard of concern and weather/climate phenomena identified in the assessment scope and Worksheet I.1, and to assess the quality and type of climate data available.</v>
      </c>
    </row>
    <row r="10" spans="1:7" x14ac:dyDescent="0.25">
      <c r="A10" s="504" t="s">
        <v>534</v>
      </c>
    </row>
    <row r="11" spans="1:7" ht="30" x14ac:dyDescent="0.25">
      <c r="A11" s="446" t="str">
        <f>'I.5 Current Future Conditions'!A2:G2</f>
        <v>Purpose: Confirm important site reference information (e.g., site reference datum and unit of measure) and document baseline and plausible future condition information.</v>
      </c>
    </row>
    <row r="12" spans="1:7" ht="15" customHeight="1" x14ac:dyDescent="0.25">
      <c r="A12" s="504" t="s">
        <v>678</v>
      </c>
    </row>
    <row r="13" spans="1:7" ht="34.5" customHeight="1" x14ac:dyDescent="0.25">
      <c r="A13" s="34" t="str">
        <f>'I.6 Existing Assmt Eval'!A2:C2</f>
        <v xml:space="preserve">Purpose: Evaluate any existing impact, vulnerability or hazards assessment to determine whether it provides useful information or analysis of the focus area identified in my assessment scope. </v>
      </c>
    </row>
    <row r="14" spans="1:7" x14ac:dyDescent="0.25">
      <c r="A14" s="504" t="s">
        <v>57</v>
      </c>
    </row>
    <row r="15" spans="1:7" ht="30" x14ac:dyDescent="0.25">
      <c r="A15" s="34" t="str">
        <f>'I.7 Impact Characterization'!A2:G2</f>
        <v xml:space="preserve">Purpose: Document and describe current and future climate impacts on your focus area from multiple plausible future conditions. </v>
      </c>
    </row>
    <row r="16" spans="1:7" x14ac:dyDescent="0.25">
      <c r="A16" s="504" t="s">
        <v>481</v>
      </c>
    </row>
    <row r="17" spans="1:1" ht="30" x14ac:dyDescent="0.25">
      <c r="A17" s="34" t="str">
        <f>'II.1 Actions '!A2</f>
        <v>Purpose: Assemble and screen a list of potential action alternatives that are feasible and appropriate for your installation.</v>
      </c>
    </row>
    <row r="18" spans="1:1" x14ac:dyDescent="0.25">
      <c r="A18" s="504" t="s">
        <v>485</v>
      </c>
    </row>
    <row r="19" spans="1:1" ht="45" x14ac:dyDescent="0.25">
      <c r="A19" s="34" t="str">
        <f>'III.1 LCCA_Grouping'!A2:I2</f>
        <v>Purpose: Develop conceptual costs for action alternatives. You will use the non-monetized benefits identified in Worksheet I.1 as performance metrics, and estimate and assemble life cycle costs for each action alternative.</v>
      </c>
    </row>
    <row r="20" spans="1:1" x14ac:dyDescent="0.25">
      <c r="A20" s="504" t="s">
        <v>482</v>
      </c>
    </row>
    <row r="21" spans="1:1" ht="45" x14ac:dyDescent="0.25">
      <c r="A21" s="34" t="str">
        <f>'III.2 CEA'!A2:F2</f>
        <v xml:space="preserve">Purpose: Conduct a preliminary screening of your list of action alternatives by applying cost effectiveness analysis, using information from Worksheets II.1 and III.1. Using this type of analysis before a full benefit cost analysis can inform an objective decision making process. </v>
      </c>
    </row>
    <row r="22" spans="1:1" x14ac:dyDescent="0.25">
      <c r="A22" s="504" t="s">
        <v>483</v>
      </c>
    </row>
    <row r="23" spans="1:1" ht="30" x14ac:dyDescent="0.25">
      <c r="A23" s="34" t="str">
        <f>'III.3 Benefits_Grouping'!A2:K2</f>
        <v xml:space="preserve">Purpose: Record and transfer the monetary values for the direct, indirect, and cumulative benefits of each action alternative under consideration. </v>
      </c>
    </row>
    <row r="24" spans="1:1" x14ac:dyDescent="0.25">
      <c r="A24" s="504" t="s">
        <v>439</v>
      </c>
    </row>
    <row r="25" spans="1:1" ht="19.5" customHeight="1" x14ac:dyDescent="0.25">
      <c r="A25" s="34" t="str">
        <f>'III.4.1 BCR NPV Grouping'!A2</f>
        <v>Purpose: Use this worksheet to bring together costs and benefits to calculate BCR and NPV.</v>
      </c>
    </row>
    <row r="26" spans="1:1" x14ac:dyDescent="0.25">
      <c r="A26" s="504" t="s">
        <v>521</v>
      </c>
    </row>
    <row r="27" spans="1:1" ht="30" customHeight="1" x14ac:dyDescent="0.25">
      <c r="A27" s="34" t="str">
        <f>'IV.1 Portfolio Summary'!A2:L2</f>
        <v>Purpose: Assemble information generated in the previous stages into a concise summary that presents the results of the analyses conducted using this Handbook.</v>
      </c>
    </row>
  </sheetData>
  <customSheetViews>
    <customSheetView guid="{E4212B35-3167-45C2-BD72-B3516EB52D76}">
      <selection activeCell="A3" sqref="A3"/>
      <pageMargins left="0.7" right="0.7" top="0.75" bottom="0.75" header="0.3" footer="0.3"/>
      <pageSetup orientation="landscape" r:id="rId1"/>
    </customSheetView>
  </customSheetViews>
  <pageMargins left="0.7" right="0.7" top="0.75" bottom="0.75" header="0.3" footer="0.3"/>
  <pageSetup scale="72" orientation="landscape" cellComments="asDisplayed"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92055-B299-49AF-B9B5-24688FDF8B60}">
  <sheetPr>
    <pageSetUpPr fitToPage="1"/>
  </sheetPr>
  <dimension ref="A1:D15"/>
  <sheetViews>
    <sheetView view="pageBreakPreview" topLeftCell="A6" zoomScaleNormal="110" zoomScaleSheetLayoutView="100" workbookViewId="0">
      <selection activeCell="N24" sqref="N24"/>
    </sheetView>
  </sheetViews>
  <sheetFormatPr defaultRowHeight="15" x14ac:dyDescent="0.25"/>
  <cols>
    <col min="1" max="1" width="36.140625" customWidth="1"/>
    <col min="2" max="2" width="34.5703125" style="32" customWidth="1"/>
    <col min="3" max="3" width="34.5703125" customWidth="1"/>
    <col min="4" max="4" width="33.28515625" customWidth="1"/>
  </cols>
  <sheetData>
    <row r="1" spans="1:4" x14ac:dyDescent="0.25">
      <c r="A1" s="1" t="s">
        <v>42</v>
      </c>
      <c r="B1" s="500" t="s">
        <v>539</v>
      </c>
      <c r="C1" s="500" t="s">
        <v>540</v>
      </c>
      <c r="D1" s="2"/>
    </row>
    <row r="2" spans="1:4" ht="33" customHeight="1" x14ac:dyDescent="0.25">
      <c r="A2" s="508" t="s">
        <v>643</v>
      </c>
      <c r="B2" s="508"/>
      <c r="C2" s="508"/>
      <c r="D2" s="508"/>
    </row>
    <row r="3" spans="1:4" ht="20.25" customHeight="1" x14ac:dyDescent="0.25">
      <c r="A3" s="515" t="s">
        <v>94</v>
      </c>
      <c r="B3" s="515"/>
      <c r="C3" s="515"/>
      <c r="D3" s="515"/>
    </row>
    <row r="4" spans="1:4" x14ac:dyDescent="0.25">
      <c r="A4" s="3" t="s">
        <v>1</v>
      </c>
      <c r="B4" s="48" t="s">
        <v>40</v>
      </c>
      <c r="C4" s="15" t="s">
        <v>39</v>
      </c>
      <c r="D4" s="4" t="s">
        <v>2</v>
      </c>
    </row>
    <row r="5" spans="1:4" ht="111" customHeight="1" x14ac:dyDescent="0.25">
      <c r="A5" s="5" t="s">
        <v>67</v>
      </c>
      <c r="B5" s="51" t="s">
        <v>161</v>
      </c>
      <c r="C5" s="51" t="s">
        <v>61</v>
      </c>
      <c r="D5" s="51" t="s">
        <v>81</v>
      </c>
    </row>
    <row r="6" spans="1:4" ht="70.5" x14ac:dyDescent="0.25">
      <c r="A6" s="6" t="s">
        <v>162</v>
      </c>
      <c r="B6" s="51" t="s">
        <v>63</v>
      </c>
      <c r="C6" s="51" t="s">
        <v>163</v>
      </c>
      <c r="D6" s="51" t="s">
        <v>95</v>
      </c>
    </row>
    <row r="7" spans="1:4" ht="102.75" customHeight="1" x14ac:dyDescent="0.25">
      <c r="A7" s="6" t="s">
        <v>164</v>
      </c>
      <c r="B7" s="51" t="s">
        <v>620</v>
      </c>
      <c r="C7" s="51" t="s">
        <v>621</v>
      </c>
      <c r="D7" s="60"/>
    </row>
    <row r="8" spans="1:4" ht="113.25" customHeight="1" x14ac:dyDescent="0.25">
      <c r="A8" s="3" t="s">
        <v>529</v>
      </c>
      <c r="B8" s="51" t="s">
        <v>622</v>
      </c>
      <c r="C8" s="51" t="s">
        <v>70</v>
      </c>
      <c r="D8" s="61"/>
    </row>
    <row r="9" spans="1:4" ht="77.25" customHeight="1" x14ac:dyDescent="0.25">
      <c r="A9" s="3" t="s">
        <v>60</v>
      </c>
      <c r="B9" s="51" t="s">
        <v>68</v>
      </c>
      <c r="C9" s="51" t="s">
        <v>623</v>
      </c>
      <c r="D9" s="51" t="s">
        <v>82</v>
      </c>
    </row>
    <row r="10" spans="1:4" ht="90.75" customHeight="1" x14ac:dyDescent="0.25">
      <c r="A10" s="3" t="s">
        <v>568</v>
      </c>
      <c r="B10" s="51" t="s">
        <v>106</v>
      </c>
      <c r="C10" s="51" t="s">
        <v>62</v>
      </c>
      <c r="D10" s="61"/>
    </row>
    <row r="11" spans="1:4" ht="77.25" customHeight="1" x14ac:dyDescent="0.25">
      <c r="A11" s="3" t="s">
        <v>530</v>
      </c>
      <c r="B11" s="51" t="s">
        <v>69</v>
      </c>
      <c r="C11" s="51" t="s">
        <v>103</v>
      </c>
      <c r="D11" s="60"/>
    </row>
    <row r="12" spans="1:4" ht="15" customHeight="1" x14ac:dyDescent="0.25">
      <c r="A12" s="513" t="s">
        <v>77</v>
      </c>
      <c r="B12" s="514"/>
      <c r="C12" s="514"/>
      <c r="D12" s="514"/>
    </row>
    <row r="13" spans="1:4" ht="32.25" customHeight="1" x14ac:dyDescent="0.25">
      <c r="A13" s="509" t="s">
        <v>527</v>
      </c>
      <c r="B13" s="509"/>
      <c r="C13" s="509"/>
      <c r="D13" s="509"/>
    </row>
    <row r="14" spans="1:4" ht="18" customHeight="1" x14ac:dyDescent="0.25">
      <c r="A14" s="509" t="s">
        <v>107</v>
      </c>
      <c r="B14" s="509"/>
      <c r="C14" s="509"/>
      <c r="D14" s="509"/>
    </row>
    <row r="15" spans="1:4" ht="17.25" customHeight="1" x14ac:dyDescent="0.25">
      <c r="A15" s="510" t="s">
        <v>528</v>
      </c>
      <c r="B15" s="511"/>
      <c r="C15" s="511"/>
      <c r="D15" s="512"/>
    </row>
  </sheetData>
  <customSheetViews>
    <customSheetView guid="{E4212B35-3167-45C2-BD72-B3516EB52D76}" fitToPage="1">
      <selection activeCell="G6" sqref="G6"/>
      <pageMargins left="0.7" right="0.7" top="0.75" bottom="0.75" header="0.3" footer="0.3"/>
      <pageSetup scale="71" orientation="landscape" r:id="rId1"/>
    </customSheetView>
  </customSheetViews>
  <mergeCells count="6">
    <mergeCell ref="A2:D2"/>
    <mergeCell ref="A13:D13"/>
    <mergeCell ref="A14:D14"/>
    <mergeCell ref="A15:D15"/>
    <mergeCell ref="A12:D12"/>
    <mergeCell ref="A3:D3"/>
  </mergeCells>
  <pageMargins left="0.7" right="0.7" top="0.75" bottom="0.75" header="0.3" footer="0.3"/>
  <pageSetup scale="64" orientation="landscape" cellComments="asDisplayed"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C68DF-C002-44AA-B24A-B761B377756B}">
  <sheetPr>
    <pageSetUpPr fitToPage="1"/>
  </sheetPr>
  <dimension ref="A1:J30"/>
  <sheetViews>
    <sheetView view="pageBreakPreview" topLeftCell="A12" zoomScaleNormal="90" zoomScaleSheetLayoutView="100" workbookViewId="0">
      <selection activeCell="N24" sqref="N24"/>
    </sheetView>
  </sheetViews>
  <sheetFormatPr defaultRowHeight="15" x14ac:dyDescent="0.25"/>
  <cols>
    <col min="1" max="1" width="19.7109375" customWidth="1"/>
    <col min="2" max="2" width="9.7109375" customWidth="1"/>
    <col min="3" max="3" width="12" customWidth="1"/>
    <col min="4" max="4" width="14.42578125" customWidth="1"/>
    <col min="5" max="5" width="10.42578125" customWidth="1"/>
    <col min="6" max="6" width="22" customWidth="1"/>
    <col min="7" max="7" width="10.28515625" customWidth="1"/>
    <col min="8" max="8" width="17.7109375" customWidth="1"/>
    <col min="9" max="9" width="30.7109375" customWidth="1"/>
    <col min="10" max="10" width="29" customWidth="1"/>
    <col min="14" max="14" width="5.85546875" customWidth="1"/>
  </cols>
  <sheetData>
    <row r="1" spans="1:10" x14ac:dyDescent="0.25">
      <c r="A1" s="7" t="s">
        <v>64</v>
      </c>
      <c r="B1" s="7"/>
      <c r="C1" s="7"/>
      <c r="D1" s="7"/>
      <c r="E1" s="7"/>
      <c r="F1" s="534" t="s">
        <v>539</v>
      </c>
      <c r="G1" s="534"/>
      <c r="H1" s="534" t="s">
        <v>540</v>
      </c>
      <c r="I1" s="534"/>
      <c r="J1" s="8"/>
    </row>
    <row r="2" spans="1:10" ht="42" customHeight="1" x14ac:dyDescent="0.25">
      <c r="A2" s="526" t="s">
        <v>644</v>
      </c>
      <c r="B2" s="527"/>
      <c r="C2" s="527"/>
      <c r="D2" s="527"/>
      <c r="E2" s="527"/>
      <c r="F2" s="527"/>
      <c r="G2" s="527"/>
      <c r="H2" s="527"/>
      <c r="I2" s="527"/>
      <c r="J2" s="527"/>
    </row>
    <row r="3" spans="1:10" ht="27.75" customHeight="1" x14ac:dyDescent="0.25">
      <c r="A3" s="515" t="s">
        <v>679</v>
      </c>
      <c r="B3" s="515"/>
      <c r="C3" s="515"/>
      <c r="D3" s="515"/>
      <c r="E3" s="515"/>
      <c r="F3" s="515"/>
      <c r="G3" s="515"/>
      <c r="H3" s="515"/>
      <c r="I3" s="515"/>
      <c r="J3" s="515"/>
    </row>
    <row r="4" spans="1:10" ht="30" customHeight="1" x14ac:dyDescent="0.25">
      <c r="A4" s="68" t="s">
        <v>43</v>
      </c>
      <c r="B4" s="528" t="s">
        <v>541</v>
      </c>
      <c r="C4" s="529"/>
      <c r="D4" s="529"/>
      <c r="E4" s="529"/>
      <c r="F4" s="529"/>
      <c r="G4" s="529"/>
      <c r="H4" s="529"/>
      <c r="I4" s="529"/>
      <c r="J4" s="530"/>
    </row>
    <row r="5" spans="1:10" ht="21" customHeight="1" x14ac:dyDescent="0.25">
      <c r="A5" s="68" t="s">
        <v>109</v>
      </c>
      <c r="B5" s="528" t="s">
        <v>108</v>
      </c>
      <c r="C5" s="529"/>
      <c r="D5" s="529"/>
      <c r="E5" s="529"/>
      <c r="F5" s="529"/>
      <c r="G5" s="529"/>
      <c r="H5" s="529"/>
      <c r="I5" s="529"/>
      <c r="J5" s="530"/>
    </row>
    <row r="6" spans="1:10" ht="28.5" customHeight="1" x14ac:dyDescent="0.25">
      <c r="A6" s="68" t="s">
        <v>104</v>
      </c>
      <c r="B6" s="531" t="s">
        <v>542</v>
      </c>
      <c r="C6" s="532"/>
      <c r="D6" s="532"/>
      <c r="E6" s="532"/>
      <c r="F6" s="532"/>
      <c r="G6" s="532"/>
      <c r="H6" s="532"/>
      <c r="I6" s="532"/>
      <c r="J6" s="533"/>
    </row>
    <row r="7" spans="1:10" ht="18" customHeight="1" x14ac:dyDescent="0.25">
      <c r="A7" s="521" t="s">
        <v>119</v>
      </c>
      <c r="B7" s="521"/>
      <c r="C7" s="522"/>
      <c r="D7" s="522"/>
      <c r="E7" s="522"/>
      <c r="F7" s="522"/>
      <c r="G7" s="522"/>
      <c r="H7" s="522"/>
      <c r="I7" s="522"/>
      <c r="J7" s="521"/>
    </row>
    <row r="8" spans="1:10" x14ac:dyDescent="0.25">
      <c r="A8" s="437"/>
      <c r="B8" s="451"/>
      <c r="C8" s="523" t="s">
        <v>3</v>
      </c>
      <c r="D8" s="524"/>
      <c r="E8" s="524"/>
      <c r="F8" s="524"/>
      <c r="G8" s="524"/>
      <c r="H8" s="524"/>
      <c r="I8" s="525"/>
      <c r="J8" s="452"/>
    </row>
    <row r="9" spans="1:10" ht="45" x14ac:dyDescent="0.25">
      <c r="A9" s="10" t="s">
        <v>78</v>
      </c>
      <c r="B9" s="4" t="s">
        <v>80</v>
      </c>
      <c r="C9" s="15" t="s">
        <v>41</v>
      </c>
      <c r="D9" s="15" t="s">
        <v>90</v>
      </c>
      <c r="E9" s="15" t="s">
        <v>89</v>
      </c>
      <c r="F9" s="63" t="s">
        <v>88</v>
      </c>
      <c r="G9" s="15" t="s">
        <v>170</v>
      </c>
      <c r="H9" s="67" t="s">
        <v>120</v>
      </c>
      <c r="I9" s="49" t="s">
        <v>2</v>
      </c>
      <c r="J9" s="67" t="s">
        <v>46</v>
      </c>
    </row>
    <row r="10" spans="1:10" ht="72.75" customHeight="1" x14ac:dyDescent="0.25">
      <c r="A10" s="50" t="s">
        <v>96</v>
      </c>
      <c r="B10" s="50" t="s">
        <v>73</v>
      </c>
      <c r="C10" s="50" t="s">
        <v>75</v>
      </c>
      <c r="D10" s="50" t="s">
        <v>544</v>
      </c>
      <c r="E10" s="50">
        <v>2012</v>
      </c>
      <c r="F10" s="52" t="s">
        <v>79</v>
      </c>
      <c r="G10" s="52" t="s">
        <v>202</v>
      </c>
      <c r="H10" s="52" t="s">
        <v>83</v>
      </c>
      <c r="I10" s="50" t="s">
        <v>85</v>
      </c>
      <c r="J10" s="50" t="s">
        <v>110</v>
      </c>
    </row>
    <row r="11" spans="1:10" ht="77.25" customHeight="1" x14ac:dyDescent="0.25">
      <c r="A11" s="50" t="s">
        <v>112</v>
      </c>
      <c r="B11" s="50" t="s">
        <v>73</v>
      </c>
      <c r="C11" s="50" t="s">
        <v>65</v>
      </c>
      <c r="D11" s="50" t="s">
        <v>93</v>
      </c>
      <c r="E11" s="50">
        <v>2015</v>
      </c>
      <c r="F11" s="50" t="s">
        <v>97</v>
      </c>
      <c r="G11" s="52" t="s">
        <v>202</v>
      </c>
      <c r="H11" s="50" t="s">
        <v>124</v>
      </c>
      <c r="I11" s="50" t="s">
        <v>123</v>
      </c>
      <c r="J11" s="50" t="s">
        <v>505</v>
      </c>
    </row>
    <row r="12" spans="1:10" ht="33" customHeight="1" x14ac:dyDescent="0.25">
      <c r="A12" s="50" t="s">
        <v>84</v>
      </c>
      <c r="B12" s="50" t="s">
        <v>73</v>
      </c>
      <c r="C12" s="50" t="s">
        <v>91</v>
      </c>
      <c r="D12" s="50" t="s">
        <v>83</v>
      </c>
      <c r="E12" s="50" t="s">
        <v>83</v>
      </c>
      <c r="F12" s="50" t="s">
        <v>83</v>
      </c>
      <c r="G12" s="50" t="s">
        <v>83</v>
      </c>
      <c r="H12" s="50" t="s">
        <v>121</v>
      </c>
      <c r="I12" s="50" t="s">
        <v>212</v>
      </c>
      <c r="J12" s="50" t="s">
        <v>504</v>
      </c>
    </row>
    <row r="13" spans="1:10" ht="35.25" customHeight="1" x14ac:dyDescent="0.25">
      <c r="A13" s="50" t="s">
        <v>66</v>
      </c>
      <c r="B13" s="50" t="s">
        <v>73</v>
      </c>
      <c r="C13" s="50" t="s">
        <v>65</v>
      </c>
      <c r="D13" s="50" t="s">
        <v>92</v>
      </c>
      <c r="E13" s="52" t="s">
        <v>83</v>
      </c>
      <c r="F13" s="52" t="s">
        <v>79</v>
      </c>
      <c r="G13" s="52" t="s">
        <v>202</v>
      </c>
      <c r="H13" s="52" t="s">
        <v>122</v>
      </c>
      <c r="I13" s="50" t="s">
        <v>76</v>
      </c>
      <c r="J13" s="50" t="s">
        <v>110</v>
      </c>
    </row>
    <row r="14" spans="1:10" ht="69.75" customHeight="1" x14ac:dyDescent="0.25">
      <c r="A14" s="50" t="s">
        <v>72</v>
      </c>
      <c r="B14" s="50" t="s">
        <v>73</v>
      </c>
      <c r="C14" s="50" t="s">
        <v>74</v>
      </c>
      <c r="D14" s="50" t="s">
        <v>111</v>
      </c>
      <c r="E14" s="50">
        <v>2000</v>
      </c>
      <c r="F14" s="50" t="s">
        <v>97</v>
      </c>
      <c r="G14" s="50" t="s">
        <v>103</v>
      </c>
      <c r="H14" s="50" t="s">
        <v>208</v>
      </c>
      <c r="I14" s="53" t="s">
        <v>503</v>
      </c>
      <c r="J14" s="53" t="s">
        <v>506</v>
      </c>
    </row>
    <row r="15" spans="1:10" ht="68.25" customHeight="1" x14ac:dyDescent="0.25">
      <c r="A15" s="50" t="s">
        <v>71</v>
      </c>
      <c r="B15" s="50" t="s">
        <v>73</v>
      </c>
      <c r="C15" s="50" t="s">
        <v>74</v>
      </c>
      <c r="D15" s="50" t="s">
        <v>508</v>
      </c>
      <c r="E15" s="50">
        <v>1965</v>
      </c>
      <c r="F15" s="50" t="s">
        <v>97</v>
      </c>
      <c r="G15" s="50" t="s">
        <v>103</v>
      </c>
      <c r="H15" s="50" t="s">
        <v>208</v>
      </c>
      <c r="I15" s="53" t="s">
        <v>209</v>
      </c>
      <c r="J15" s="53" t="s">
        <v>506</v>
      </c>
    </row>
    <row r="16" spans="1:10" ht="30.75" customHeight="1" x14ac:dyDescent="0.25">
      <c r="A16" s="50" t="s">
        <v>179</v>
      </c>
      <c r="B16" s="50" t="s">
        <v>73</v>
      </c>
      <c r="C16" s="50" t="s">
        <v>177</v>
      </c>
      <c r="D16" s="50" t="s">
        <v>178</v>
      </c>
      <c r="E16" s="50">
        <v>2006</v>
      </c>
      <c r="F16" s="50" t="s">
        <v>103</v>
      </c>
      <c r="G16" s="50" t="s">
        <v>103</v>
      </c>
      <c r="H16" s="50" t="s">
        <v>83</v>
      </c>
      <c r="I16" s="53" t="s">
        <v>210</v>
      </c>
      <c r="J16" s="53" t="s">
        <v>507</v>
      </c>
    </row>
    <row r="17" spans="1:10" ht="76.5" customHeight="1" x14ac:dyDescent="0.25">
      <c r="A17" s="50" t="s">
        <v>113</v>
      </c>
      <c r="B17" s="50" t="s">
        <v>83</v>
      </c>
      <c r="C17" s="50" t="s">
        <v>83</v>
      </c>
      <c r="D17" s="50" t="s">
        <v>83</v>
      </c>
      <c r="E17" s="50" t="s">
        <v>83</v>
      </c>
      <c r="F17" s="50" t="s">
        <v>83</v>
      </c>
      <c r="G17" s="50" t="s">
        <v>103</v>
      </c>
      <c r="H17" s="50" t="s">
        <v>83</v>
      </c>
      <c r="I17" s="53" t="s">
        <v>114</v>
      </c>
      <c r="J17" s="53" t="s">
        <v>545</v>
      </c>
    </row>
    <row r="18" spans="1:10" ht="53.25" customHeight="1" x14ac:dyDescent="0.25">
      <c r="A18" s="50" t="s">
        <v>115</v>
      </c>
      <c r="B18" s="50" t="s">
        <v>83</v>
      </c>
      <c r="C18" s="50" t="s">
        <v>83</v>
      </c>
      <c r="D18" s="50" t="s">
        <v>83</v>
      </c>
      <c r="E18" s="50" t="s">
        <v>83</v>
      </c>
      <c r="F18" s="50" t="s">
        <v>83</v>
      </c>
      <c r="G18" s="50" t="s">
        <v>103</v>
      </c>
      <c r="H18" s="50" t="s">
        <v>83</v>
      </c>
      <c r="I18" s="53" t="s">
        <v>116</v>
      </c>
      <c r="J18" s="53" t="s">
        <v>509</v>
      </c>
    </row>
    <row r="19" spans="1:10" ht="7.5" customHeight="1" thickBot="1" x14ac:dyDescent="0.3">
      <c r="A19" s="8"/>
      <c r="B19" s="8"/>
      <c r="C19" s="8"/>
      <c r="D19" s="8"/>
      <c r="E19" s="11"/>
      <c r="F19" s="11"/>
      <c r="G19" s="11"/>
      <c r="H19" s="11"/>
      <c r="I19" s="11"/>
      <c r="J19" s="11"/>
    </row>
    <row r="20" spans="1:10" ht="15.75" x14ac:dyDescent="0.25">
      <c r="A20" s="54" t="s">
        <v>0</v>
      </c>
      <c r="B20" s="24"/>
      <c r="C20" s="24"/>
      <c r="D20" s="24"/>
      <c r="E20" s="24"/>
      <c r="F20" s="24"/>
      <c r="G20" s="24"/>
      <c r="H20" s="24"/>
      <c r="I20" s="24"/>
      <c r="J20" s="55"/>
    </row>
    <row r="21" spans="1:10" x14ac:dyDescent="0.25">
      <c r="A21" s="56" t="s">
        <v>78</v>
      </c>
      <c r="B21" s="519" t="s">
        <v>575</v>
      </c>
      <c r="C21" s="519"/>
      <c r="D21" s="519"/>
      <c r="E21" s="519"/>
      <c r="F21" s="516"/>
      <c r="G21" s="516"/>
      <c r="H21" s="516"/>
      <c r="I21" s="516"/>
      <c r="J21" s="520"/>
    </row>
    <row r="22" spans="1:10" x14ac:dyDescent="0.25">
      <c r="A22" s="57" t="s">
        <v>80</v>
      </c>
      <c r="B22" s="519" t="s">
        <v>574</v>
      </c>
      <c r="C22" s="519"/>
      <c r="D22" s="519"/>
      <c r="E22" s="519"/>
      <c r="F22" s="516"/>
      <c r="G22" s="516"/>
      <c r="H22" s="516"/>
      <c r="I22" s="516"/>
      <c r="J22" s="520"/>
    </row>
    <row r="23" spans="1:10" x14ac:dyDescent="0.25">
      <c r="A23" s="58" t="s">
        <v>41</v>
      </c>
      <c r="B23" s="538" t="s">
        <v>211</v>
      </c>
      <c r="C23" s="538"/>
      <c r="D23" s="538"/>
      <c r="E23" s="538"/>
      <c r="F23" s="539"/>
      <c r="G23" s="539"/>
      <c r="H23" s="539"/>
      <c r="I23" s="539"/>
      <c r="J23" s="540"/>
    </row>
    <row r="24" spans="1:10" x14ac:dyDescent="0.25">
      <c r="A24" s="58" t="s">
        <v>90</v>
      </c>
      <c r="B24" s="519" t="s">
        <v>118</v>
      </c>
      <c r="C24" s="519"/>
      <c r="D24" s="519"/>
      <c r="E24" s="519"/>
      <c r="F24" s="516"/>
      <c r="G24" s="516"/>
      <c r="H24" s="516"/>
      <c r="I24" s="516"/>
      <c r="J24" s="520"/>
    </row>
    <row r="25" spans="1:10" x14ac:dyDescent="0.25">
      <c r="A25" s="58" t="s">
        <v>89</v>
      </c>
      <c r="B25" s="519" t="s">
        <v>117</v>
      </c>
      <c r="C25" s="519"/>
      <c r="D25" s="519"/>
      <c r="E25" s="519"/>
      <c r="F25" s="516"/>
      <c r="G25" s="516"/>
      <c r="H25" s="516"/>
      <c r="I25" s="516"/>
      <c r="J25" s="520"/>
    </row>
    <row r="26" spans="1:10" x14ac:dyDescent="0.25">
      <c r="A26" s="58" t="s">
        <v>88</v>
      </c>
      <c r="B26" s="519" t="s">
        <v>150</v>
      </c>
      <c r="C26" s="519"/>
      <c r="D26" s="519"/>
      <c r="E26" s="519"/>
      <c r="F26" s="516"/>
      <c r="G26" s="516"/>
      <c r="H26" s="516"/>
      <c r="I26" s="516"/>
      <c r="J26" s="520"/>
    </row>
    <row r="27" spans="1:10" x14ac:dyDescent="0.25">
      <c r="A27" s="441" t="s">
        <v>170</v>
      </c>
      <c r="B27" s="516" t="s">
        <v>576</v>
      </c>
      <c r="C27" s="517"/>
      <c r="D27" s="517"/>
      <c r="E27" s="517"/>
      <c r="F27" s="517"/>
      <c r="G27" s="517"/>
      <c r="H27" s="517"/>
      <c r="I27" s="517"/>
      <c r="J27" s="518"/>
    </row>
    <row r="28" spans="1:10" x14ac:dyDescent="0.25">
      <c r="A28" s="57" t="s">
        <v>120</v>
      </c>
      <c r="B28" s="538" t="s">
        <v>125</v>
      </c>
      <c r="C28" s="538"/>
      <c r="D28" s="538"/>
      <c r="E28" s="538"/>
      <c r="F28" s="539"/>
      <c r="G28" s="539"/>
      <c r="H28" s="539"/>
      <c r="I28" s="539"/>
      <c r="J28" s="540"/>
    </row>
    <row r="29" spans="1:10" x14ac:dyDescent="0.25">
      <c r="A29" s="62" t="s">
        <v>2</v>
      </c>
      <c r="B29" s="538" t="s">
        <v>86</v>
      </c>
      <c r="C29" s="538"/>
      <c r="D29" s="538"/>
      <c r="E29" s="538"/>
      <c r="F29" s="539"/>
      <c r="G29" s="539"/>
      <c r="H29" s="539"/>
      <c r="I29" s="539"/>
      <c r="J29" s="540"/>
    </row>
    <row r="30" spans="1:10" ht="45.75" thickBot="1" x14ac:dyDescent="0.3">
      <c r="A30" s="59" t="s">
        <v>46</v>
      </c>
      <c r="B30" s="535" t="s">
        <v>646</v>
      </c>
      <c r="C30" s="535"/>
      <c r="D30" s="535"/>
      <c r="E30" s="535"/>
      <c r="F30" s="536"/>
      <c r="G30" s="536"/>
      <c r="H30" s="536"/>
      <c r="I30" s="536"/>
      <c r="J30" s="537"/>
    </row>
  </sheetData>
  <customSheetViews>
    <customSheetView guid="{E4212B35-3167-45C2-BD72-B3516EB52D76}" fitToPage="1">
      <selection activeCell="A15" sqref="A15"/>
      <pageMargins left="0.7" right="0.7" top="0.75" bottom="0.75" header="0.3" footer="0.3"/>
      <pageSetup orientation="landscape" r:id="rId1"/>
    </customSheetView>
  </customSheetViews>
  <mergeCells count="19">
    <mergeCell ref="F1:G1"/>
    <mergeCell ref="H1:I1"/>
    <mergeCell ref="B30:J30"/>
    <mergeCell ref="B21:J21"/>
    <mergeCell ref="B22:J22"/>
    <mergeCell ref="B23:J23"/>
    <mergeCell ref="B24:J24"/>
    <mergeCell ref="B28:J28"/>
    <mergeCell ref="B29:J29"/>
    <mergeCell ref="B25:J25"/>
    <mergeCell ref="B27:J27"/>
    <mergeCell ref="B26:J26"/>
    <mergeCell ref="A7:J7"/>
    <mergeCell ref="C8:I8"/>
    <mergeCell ref="A2:J2"/>
    <mergeCell ref="B4:J4"/>
    <mergeCell ref="B5:J5"/>
    <mergeCell ref="B6:J6"/>
    <mergeCell ref="A3:J3"/>
  </mergeCells>
  <pageMargins left="0.7" right="0.7" top="0.75" bottom="0.75" header="0.3" footer="0.3"/>
  <pageSetup scale="54" orientation="landscape" cellComments="asDisplayed"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69009-75FD-4E93-AFBE-D36B95D21C61}">
  <sheetPr>
    <pageSetUpPr fitToPage="1"/>
  </sheetPr>
  <dimension ref="A1:F26"/>
  <sheetViews>
    <sheetView view="pageBreakPreview" topLeftCell="A8" zoomScaleNormal="100" zoomScaleSheetLayoutView="100" workbookViewId="0">
      <selection activeCell="N24" sqref="N24"/>
    </sheetView>
  </sheetViews>
  <sheetFormatPr defaultRowHeight="15" x14ac:dyDescent="0.25"/>
  <cols>
    <col min="1" max="1" width="32.85546875" customWidth="1"/>
    <col min="2" max="2" width="49.5703125" customWidth="1"/>
    <col min="3" max="3" width="23.5703125" customWidth="1"/>
    <col min="4" max="4" width="36.7109375" customWidth="1"/>
    <col min="5" max="5" width="33.42578125" customWidth="1"/>
  </cols>
  <sheetData>
    <row r="1" spans="1:6" x14ac:dyDescent="0.25">
      <c r="A1" s="12" t="s">
        <v>4</v>
      </c>
      <c r="B1" s="8"/>
      <c r="C1" s="500" t="s">
        <v>539</v>
      </c>
      <c r="D1" s="500" t="s">
        <v>540</v>
      </c>
      <c r="E1" s="8"/>
    </row>
    <row r="2" spans="1:6" ht="44.25" customHeight="1" x14ac:dyDescent="0.25">
      <c r="A2" s="527" t="s">
        <v>126</v>
      </c>
      <c r="B2" s="527"/>
      <c r="C2" s="527"/>
      <c r="D2" s="527"/>
      <c r="E2" s="527"/>
    </row>
    <row r="3" spans="1:6" ht="94.5" customHeight="1" x14ac:dyDescent="0.25">
      <c r="A3" s="515" t="s">
        <v>213</v>
      </c>
      <c r="B3" s="515"/>
      <c r="C3" s="515"/>
      <c r="D3" s="515"/>
      <c r="E3" s="515"/>
    </row>
    <row r="4" spans="1:6" x14ac:dyDescent="0.25">
      <c r="A4" s="68" t="s">
        <v>109</v>
      </c>
      <c r="B4" s="528" t="s">
        <v>108</v>
      </c>
      <c r="C4" s="528"/>
      <c r="D4" s="528"/>
      <c r="E4" s="10" t="s">
        <v>140</v>
      </c>
    </row>
    <row r="5" spans="1:6" ht="21" customHeight="1" x14ac:dyDescent="0.25">
      <c r="A5" s="13" t="s">
        <v>5</v>
      </c>
      <c r="B5" s="528" t="s">
        <v>128</v>
      </c>
      <c r="C5" s="528"/>
      <c r="D5" s="528"/>
      <c r="E5" s="394" t="s">
        <v>533</v>
      </c>
    </row>
    <row r="6" spans="1:6" ht="85.5" customHeight="1" x14ac:dyDescent="0.25">
      <c r="A6" s="14" t="s">
        <v>6</v>
      </c>
      <c r="B6" s="528" t="s">
        <v>129</v>
      </c>
      <c r="C6" s="528"/>
      <c r="D6" s="528"/>
      <c r="E6" s="96" t="s">
        <v>511</v>
      </c>
    </row>
    <row r="7" spans="1:6" ht="16.5" customHeight="1" x14ac:dyDescent="0.25">
      <c r="A7" s="551" t="s">
        <v>513</v>
      </c>
      <c r="B7" s="551"/>
      <c r="C7" s="551"/>
      <c r="D7" s="551"/>
      <c r="E7" s="551"/>
    </row>
    <row r="8" spans="1:6" ht="27.75" customHeight="1" x14ac:dyDescent="0.25">
      <c r="A8" s="69" t="s">
        <v>159</v>
      </c>
      <c r="B8" s="15" t="s">
        <v>127</v>
      </c>
      <c r="C8" s="15" t="s">
        <v>130</v>
      </c>
      <c r="D8" s="15" t="s">
        <v>7</v>
      </c>
      <c r="E8" s="10" t="s">
        <v>140</v>
      </c>
    </row>
    <row r="9" spans="1:6" ht="75" x14ac:dyDescent="0.25">
      <c r="A9" s="96" t="s">
        <v>512</v>
      </c>
      <c r="B9" s="395" t="s">
        <v>535</v>
      </c>
      <c r="C9" s="91" t="s">
        <v>143</v>
      </c>
      <c r="D9" s="395" t="s">
        <v>146</v>
      </c>
      <c r="E9" s="96" t="s">
        <v>531</v>
      </c>
    </row>
    <row r="10" spans="1:6" ht="61.5" customHeight="1" x14ac:dyDescent="0.25">
      <c r="A10" s="96" t="s">
        <v>138</v>
      </c>
      <c r="B10" s="91" t="s">
        <v>538</v>
      </c>
      <c r="C10" s="91" t="s">
        <v>143</v>
      </c>
      <c r="D10" s="91" t="s">
        <v>147</v>
      </c>
      <c r="E10" s="96" t="s">
        <v>510</v>
      </c>
    </row>
    <row r="11" spans="1:6" ht="52.5" customHeight="1" x14ac:dyDescent="0.25">
      <c r="A11" s="96" t="s">
        <v>139</v>
      </c>
      <c r="B11" s="395" t="s">
        <v>165</v>
      </c>
      <c r="C11" s="91" t="s">
        <v>144</v>
      </c>
      <c r="D11" s="91" t="s">
        <v>145</v>
      </c>
      <c r="E11" s="96" t="s">
        <v>532</v>
      </c>
    </row>
    <row r="12" spans="1:6" ht="15" customHeight="1" thickBot="1" x14ac:dyDescent="0.3">
      <c r="A12" s="550"/>
      <c r="B12" s="550"/>
      <c r="C12" s="550"/>
      <c r="D12" s="550"/>
      <c r="E12" s="550"/>
      <c r="F12" s="47"/>
    </row>
    <row r="13" spans="1:6" ht="15.75" x14ac:dyDescent="0.25">
      <c r="A13" s="54" t="s">
        <v>0</v>
      </c>
      <c r="B13" s="24"/>
      <c r="C13" s="24"/>
      <c r="D13" s="24"/>
      <c r="E13" s="55"/>
    </row>
    <row r="14" spans="1:6" x14ac:dyDescent="0.25">
      <c r="A14" s="56" t="s">
        <v>159</v>
      </c>
      <c r="B14" s="516" t="s">
        <v>131</v>
      </c>
      <c r="C14" s="517"/>
      <c r="D14" s="517"/>
      <c r="E14" s="518"/>
    </row>
    <row r="15" spans="1:6" ht="47.25" customHeight="1" x14ac:dyDescent="0.25">
      <c r="A15" s="57" t="s">
        <v>127</v>
      </c>
      <c r="B15" s="539" t="s">
        <v>537</v>
      </c>
      <c r="C15" s="552"/>
      <c r="D15" s="552"/>
      <c r="E15" s="553"/>
    </row>
    <row r="16" spans="1:6" ht="31.5" customHeight="1" x14ac:dyDescent="0.25">
      <c r="A16" s="57" t="s">
        <v>52</v>
      </c>
      <c r="B16" s="554" t="s">
        <v>166</v>
      </c>
      <c r="C16" s="555"/>
      <c r="D16" s="555"/>
      <c r="E16" s="556"/>
    </row>
    <row r="17" spans="1:5" ht="15.75" customHeight="1" x14ac:dyDescent="0.25">
      <c r="A17" s="58" t="s">
        <v>7</v>
      </c>
      <c r="B17" s="516" t="s">
        <v>647</v>
      </c>
      <c r="C17" s="517"/>
      <c r="D17" s="517"/>
      <c r="E17" s="518"/>
    </row>
    <row r="18" spans="1:5" ht="19.5" customHeight="1" thickBot="1" x14ac:dyDescent="0.3">
      <c r="A18" s="70" t="s">
        <v>140</v>
      </c>
      <c r="B18" s="557" t="s">
        <v>141</v>
      </c>
      <c r="C18" s="558"/>
      <c r="D18" s="558"/>
      <c r="E18" s="559"/>
    </row>
    <row r="19" spans="1:5" ht="8.25" customHeight="1" thickBot="1" x14ac:dyDescent="0.3"/>
    <row r="20" spans="1:5" x14ac:dyDescent="0.25">
      <c r="B20" s="71" t="s">
        <v>52</v>
      </c>
      <c r="C20" s="79"/>
      <c r="D20" s="24"/>
      <c r="E20" s="55"/>
    </row>
    <row r="21" spans="1:5" x14ac:dyDescent="0.25">
      <c r="B21" s="541" t="s">
        <v>132</v>
      </c>
      <c r="C21" s="542"/>
      <c r="D21" s="542"/>
      <c r="E21" s="543"/>
    </row>
    <row r="22" spans="1:5" x14ac:dyDescent="0.25">
      <c r="B22" s="541" t="s">
        <v>133</v>
      </c>
      <c r="C22" s="542"/>
      <c r="D22" s="542"/>
      <c r="E22" s="543"/>
    </row>
    <row r="23" spans="1:5" ht="15" customHeight="1" x14ac:dyDescent="0.25">
      <c r="B23" s="544" t="s">
        <v>134</v>
      </c>
      <c r="C23" s="545"/>
      <c r="D23" s="545"/>
      <c r="E23" s="546"/>
    </row>
    <row r="24" spans="1:5" x14ac:dyDescent="0.25">
      <c r="B24" s="541" t="s">
        <v>135</v>
      </c>
      <c r="C24" s="542"/>
      <c r="D24" s="542"/>
      <c r="E24" s="543"/>
    </row>
    <row r="25" spans="1:5" x14ac:dyDescent="0.25">
      <c r="B25" s="541" t="s">
        <v>136</v>
      </c>
      <c r="C25" s="542"/>
      <c r="D25" s="542"/>
      <c r="E25" s="543"/>
    </row>
    <row r="26" spans="1:5" ht="15.75" thickBot="1" x14ac:dyDescent="0.3">
      <c r="B26" s="547" t="s">
        <v>496</v>
      </c>
      <c r="C26" s="548"/>
      <c r="D26" s="548"/>
      <c r="E26" s="549"/>
    </row>
  </sheetData>
  <customSheetViews>
    <customSheetView guid="{E4212B35-3167-45C2-BD72-B3516EB52D76}" fitToPage="1">
      <selection activeCell="A2" sqref="A2:D2"/>
      <pageMargins left="0.7" right="0.7" top="0.75" bottom="0.75" header="0.3" footer="0.3"/>
      <pageSetup scale="87" orientation="landscape" r:id="rId1"/>
    </customSheetView>
  </customSheetViews>
  <mergeCells count="18">
    <mergeCell ref="B6:D6"/>
    <mergeCell ref="B4:D4"/>
    <mergeCell ref="B21:E21"/>
    <mergeCell ref="B14:E14"/>
    <mergeCell ref="B15:E15"/>
    <mergeCell ref="B16:E16"/>
    <mergeCell ref="B17:E17"/>
    <mergeCell ref="B18:E18"/>
    <mergeCell ref="B22:E22"/>
    <mergeCell ref="B23:E23"/>
    <mergeCell ref="B24:E24"/>
    <mergeCell ref="B25:E25"/>
    <mergeCell ref="B26:E26"/>
    <mergeCell ref="A2:E2"/>
    <mergeCell ref="A12:E12"/>
    <mergeCell ref="A3:E3"/>
    <mergeCell ref="A7:E7"/>
    <mergeCell ref="B5:D5"/>
  </mergeCells>
  <pageMargins left="0.7" right="0.7" top="0.75" bottom="0.75" header="0.3" footer="0.3"/>
  <pageSetup scale="65" orientation="landscape" cellComments="asDisplayed"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09147-E1B5-4CA3-B9EC-8594F4CB49C6}">
  <sheetPr>
    <pageSetUpPr fitToPage="1"/>
  </sheetPr>
  <dimension ref="A1:M30"/>
  <sheetViews>
    <sheetView view="pageBreakPreview" topLeftCell="A5" zoomScaleNormal="100" zoomScaleSheetLayoutView="100" workbookViewId="0">
      <selection activeCell="N24" sqref="N24"/>
    </sheetView>
  </sheetViews>
  <sheetFormatPr defaultRowHeight="15" x14ac:dyDescent="0.25"/>
  <cols>
    <col min="1" max="1" width="17.7109375" customWidth="1"/>
    <col min="2" max="2" width="10" customWidth="1"/>
    <col min="3" max="3" width="9" customWidth="1"/>
    <col min="4" max="4" width="14.5703125" customWidth="1"/>
    <col min="5" max="5" width="9.42578125" customWidth="1"/>
    <col min="6" max="7" width="11.7109375" customWidth="1"/>
    <col min="8" max="9" width="11.42578125" customWidth="1"/>
    <col min="10" max="10" width="12" customWidth="1"/>
    <col min="11" max="11" width="14.42578125" customWidth="1"/>
    <col min="12" max="12" width="21.5703125" customWidth="1"/>
    <col min="13" max="13" width="16.7109375" customWidth="1"/>
    <col min="14" max="14" width="32.7109375" customWidth="1"/>
    <col min="15" max="15" width="41" customWidth="1"/>
  </cols>
  <sheetData>
    <row r="1" spans="1:13" x14ac:dyDescent="0.25">
      <c r="A1" s="41" t="s">
        <v>167</v>
      </c>
      <c r="B1" s="41"/>
      <c r="C1" s="42"/>
      <c r="D1" s="42"/>
      <c r="E1" s="42"/>
      <c r="F1" s="42"/>
      <c r="G1" s="534" t="s">
        <v>539</v>
      </c>
      <c r="H1" s="534"/>
      <c r="I1" s="534"/>
      <c r="J1" s="534" t="s">
        <v>540</v>
      </c>
      <c r="K1" s="534"/>
      <c r="L1" s="534"/>
    </row>
    <row r="2" spans="1:13" ht="45" customHeight="1" x14ac:dyDescent="0.25">
      <c r="A2" s="582" t="s">
        <v>148</v>
      </c>
      <c r="B2" s="582"/>
      <c r="C2" s="582"/>
      <c r="D2" s="582"/>
      <c r="E2" s="582"/>
      <c r="F2" s="582"/>
      <c r="G2" s="582"/>
      <c r="H2" s="582"/>
      <c r="I2" s="582"/>
    </row>
    <row r="3" spans="1:13" x14ac:dyDescent="0.25">
      <c r="A3" s="572" t="s">
        <v>559</v>
      </c>
      <c r="B3" s="572"/>
      <c r="C3" s="572"/>
      <c r="D3" s="572"/>
      <c r="E3" s="572"/>
      <c r="F3" s="572"/>
      <c r="G3" s="572"/>
      <c r="H3" s="572"/>
      <c r="I3" s="572"/>
      <c r="L3" s="28"/>
    </row>
    <row r="4" spans="1:13" ht="31.5" customHeight="1" x14ac:dyDescent="0.25">
      <c r="A4" s="17" t="s">
        <v>43</v>
      </c>
      <c r="B4" s="569" t="str">
        <f>'I.2 Site Info'!B4:J4</f>
        <v>Given the stated assumptions in Worksheet I.1, determine how we can protect the installation infrastructure from damage due to flooding and permanent inundation over the next 100 years.</v>
      </c>
      <c r="C4" s="570"/>
      <c r="D4" s="570"/>
      <c r="E4" s="570"/>
      <c r="F4" s="570"/>
      <c r="G4" s="570"/>
      <c r="H4" s="570"/>
      <c r="I4" s="571"/>
    </row>
    <row r="5" spans="1:13" ht="15.75" customHeight="1" x14ac:dyDescent="0.25">
      <c r="A5" s="72" t="s">
        <v>44</v>
      </c>
      <c r="B5" s="569" t="s">
        <v>149</v>
      </c>
      <c r="C5" s="570"/>
      <c r="D5" s="570"/>
      <c r="E5" s="570"/>
      <c r="F5" s="570"/>
      <c r="G5" s="570"/>
      <c r="H5" s="570"/>
      <c r="I5" s="571"/>
    </row>
    <row r="6" spans="1:13" ht="31.5" customHeight="1" x14ac:dyDescent="0.25">
      <c r="A6" s="104" t="s">
        <v>105</v>
      </c>
      <c r="B6" s="569" t="str">
        <f>'I.2 Site Info'!B6:J6</f>
        <v>Sea level change and storm surge (the 1% annual chance event or 100-year storm event)</v>
      </c>
      <c r="C6" s="570"/>
      <c r="D6" s="570"/>
      <c r="E6" s="570"/>
      <c r="F6" s="570"/>
      <c r="G6" s="570"/>
      <c r="H6" s="570"/>
      <c r="I6" s="571"/>
    </row>
    <row r="7" spans="1:13" ht="21.75" customHeight="1" x14ac:dyDescent="0.25">
      <c r="A7" s="515" t="s">
        <v>119</v>
      </c>
      <c r="B7" s="515"/>
      <c r="C7" s="515"/>
      <c r="D7" s="515"/>
      <c r="E7" s="515"/>
      <c r="F7" s="515"/>
      <c r="G7" s="515"/>
      <c r="H7" s="515"/>
      <c r="I7" s="515"/>
    </row>
    <row r="8" spans="1:13" ht="15" customHeight="1" x14ac:dyDescent="0.25">
      <c r="A8" s="573" t="s">
        <v>514</v>
      </c>
      <c r="B8" s="574"/>
      <c r="C8" s="523" t="s">
        <v>3</v>
      </c>
      <c r="D8" s="524"/>
      <c r="E8" s="524"/>
      <c r="F8" s="524"/>
      <c r="G8" s="524"/>
      <c r="H8" s="524"/>
      <c r="I8" s="524"/>
      <c r="J8" s="524"/>
      <c r="K8" s="524"/>
      <c r="L8" s="524"/>
      <c r="M8" s="525"/>
    </row>
    <row r="9" spans="1:13" ht="60" x14ac:dyDescent="0.25">
      <c r="A9" s="29" t="s">
        <v>104</v>
      </c>
      <c r="B9" s="64" t="s">
        <v>80</v>
      </c>
      <c r="C9" s="15" t="s">
        <v>41</v>
      </c>
      <c r="D9" s="15" t="s">
        <v>90</v>
      </c>
      <c r="E9" s="15" t="s">
        <v>89</v>
      </c>
      <c r="F9" s="15" t="s">
        <v>170</v>
      </c>
      <c r="G9" s="15" t="s">
        <v>88</v>
      </c>
      <c r="H9" s="15" t="s">
        <v>565</v>
      </c>
      <c r="I9" s="429" t="s">
        <v>168</v>
      </c>
      <c r="J9" s="15" t="s">
        <v>99</v>
      </c>
      <c r="K9" s="15" t="s">
        <v>567</v>
      </c>
      <c r="L9" s="15" t="s">
        <v>120</v>
      </c>
      <c r="M9" s="15" t="s">
        <v>2</v>
      </c>
    </row>
    <row r="10" spans="1:13" ht="15.75" customHeight="1" x14ac:dyDescent="0.25">
      <c r="A10" s="566" t="s">
        <v>562</v>
      </c>
      <c r="B10" s="567"/>
      <c r="C10" s="567"/>
      <c r="D10" s="567"/>
      <c r="E10" s="567"/>
      <c r="F10" s="567"/>
      <c r="G10" s="567"/>
      <c r="H10" s="567"/>
      <c r="I10" s="567"/>
      <c r="J10" s="567"/>
      <c r="K10" s="567"/>
      <c r="L10" s="567"/>
      <c r="M10" s="568"/>
    </row>
    <row r="11" spans="1:13" ht="111.75" customHeight="1" x14ac:dyDescent="0.25">
      <c r="A11" s="50" t="s">
        <v>563</v>
      </c>
      <c r="B11" s="51" t="s">
        <v>73</v>
      </c>
      <c r="C11" s="50" t="s">
        <v>100</v>
      </c>
      <c r="D11" s="50" t="s">
        <v>151</v>
      </c>
      <c r="E11" s="50">
        <v>2016</v>
      </c>
      <c r="F11" s="50" t="s">
        <v>103</v>
      </c>
      <c r="G11" s="93" t="s">
        <v>101</v>
      </c>
      <c r="H11" s="93" t="s">
        <v>102</v>
      </c>
      <c r="I11" s="50" t="s">
        <v>103</v>
      </c>
      <c r="J11" s="93" t="s">
        <v>103</v>
      </c>
      <c r="K11" s="93" t="s">
        <v>103</v>
      </c>
      <c r="L11" s="443" t="s">
        <v>205</v>
      </c>
      <c r="M11" s="93" t="s">
        <v>564</v>
      </c>
    </row>
    <row r="12" spans="1:13" ht="94.5" customHeight="1" x14ac:dyDescent="0.25">
      <c r="A12" s="50" t="s">
        <v>201</v>
      </c>
      <c r="B12" s="51" t="s">
        <v>73</v>
      </c>
      <c r="C12" s="50" t="s">
        <v>100</v>
      </c>
      <c r="D12" s="50" t="s">
        <v>151</v>
      </c>
      <c r="E12" s="50">
        <v>2016</v>
      </c>
      <c r="F12" s="50" t="s">
        <v>103</v>
      </c>
      <c r="G12" s="93" t="s">
        <v>171</v>
      </c>
      <c r="H12" s="93" t="s">
        <v>102</v>
      </c>
      <c r="I12" s="50" t="s">
        <v>103</v>
      </c>
      <c r="J12" s="93" t="s">
        <v>103</v>
      </c>
      <c r="K12" s="93" t="s">
        <v>103</v>
      </c>
      <c r="L12" s="443" t="s">
        <v>494</v>
      </c>
      <c r="M12" s="96"/>
    </row>
    <row r="13" spans="1:13" x14ac:dyDescent="0.25">
      <c r="A13" s="566" t="s">
        <v>8</v>
      </c>
      <c r="B13" s="567"/>
      <c r="C13" s="567"/>
      <c r="D13" s="567"/>
      <c r="E13" s="567"/>
      <c r="F13" s="567"/>
      <c r="G13" s="567"/>
      <c r="H13" s="567"/>
      <c r="I13" s="567"/>
      <c r="J13" s="567"/>
      <c r="K13" s="567"/>
      <c r="L13" s="567"/>
      <c r="M13" s="568"/>
    </row>
    <row r="14" spans="1:13" ht="105.75" customHeight="1" x14ac:dyDescent="0.25">
      <c r="A14" s="50" t="s">
        <v>28</v>
      </c>
      <c r="B14" s="51" t="s">
        <v>73</v>
      </c>
      <c r="C14" s="50" t="s">
        <v>100</v>
      </c>
      <c r="D14" s="50" t="s">
        <v>151</v>
      </c>
      <c r="E14" s="50">
        <v>2016</v>
      </c>
      <c r="F14" s="50" t="s">
        <v>103</v>
      </c>
      <c r="G14" s="93" t="s">
        <v>101</v>
      </c>
      <c r="H14" s="93" t="s">
        <v>102</v>
      </c>
      <c r="I14" s="50" t="s">
        <v>204</v>
      </c>
      <c r="J14" s="93" t="s">
        <v>152</v>
      </c>
      <c r="K14" s="93" t="s">
        <v>153</v>
      </c>
      <c r="L14" s="390" t="s">
        <v>205</v>
      </c>
      <c r="M14" s="50"/>
    </row>
    <row r="15" spans="1:13" ht="93.75" customHeight="1" x14ac:dyDescent="0.25">
      <c r="A15" s="50" t="s">
        <v>201</v>
      </c>
      <c r="B15" s="51" t="s">
        <v>73</v>
      </c>
      <c r="C15" s="50" t="s">
        <v>100</v>
      </c>
      <c r="D15" s="50" t="s">
        <v>151</v>
      </c>
      <c r="E15" s="50">
        <v>2016</v>
      </c>
      <c r="F15" s="50" t="s">
        <v>103</v>
      </c>
      <c r="G15" s="93" t="s">
        <v>171</v>
      </c>
      <c r="H15" s="93" t="s">
        <v>102</v>
      </c>
      <c r="I15" s="50" t="s">
        <v>103</v>
      </c>
      <c r="J15" s="93" t="s">
        <v>152</v>
      </c>
      <c r="K15" s="390" t="s">
        <v>154</v>
      </c>
      <c r="L15" s="390" t="s">
        <v>494</v>
      </c>
      <c r="M15" s="99"/>
    </row>
    <row r="16" spans="1:13" ht="6.75" customHeight="1" thickBot="1" x14ac:dyDescent="0.3"/>
    <row r="17" spans="1:12" ht="15.75" x14ac:dyDescent="0.25">
      <c r="A17" s="54" t="s">
        <v>0</v>
      </c>
      <c r="B17" s="24"/>
      <c r="C17" s="24"/>
      <c r="D17" s="24"/>
      <c r="E17" s="24"/>
      <c r="F17" s="24"/>
      <c r="G17" s="24"/>
      <c r="H17" s="24"/>
      <c r="I17" s="24"/>
      <c r="J17" s="24"/>
      <c r="K17" s="55"/>
    </row>
    <row r="18" spans="1:12" ht="30" x14ac:dyDescent="0.25">
      <c r="A18" s="78" t="s">
        <v>104</v>
      </c>
      <c r="B18" s="538" t="s">
        <v>543</v>
      </c>
      <c r="C18" s="538"/>
      <c r="D18" s="538"/>
      <c r="E18" s="538"/>
      <c r="F18" s="538"/>
      <c r="G18" s="538"/>
      <c r="H18" s="538"/>
      <c r="I18" s="538"/>
      <c r="J18" s="538"/>
      <c r="K18" s="540"/>
    </row>
    <row r="19" spans="1:12" ht="29.25" customHeight="1" x14ac:dyDescent="0.25">
      <c r="A19" s="379" t="s">
        <v>80</v>
      </c>
      <c r="B19" s="538" t="s">
        <v>578</v>
      </c>
      <c r="C19" s="538"/>
      <c r="D19" s="538"/>
      <c r="E19" s="538"/>
      <c r="F19" s="539"/>
      <c r="G19" s="539"/>
      <c r="H19" s="539"/>
      <c r="I19" s="539"/>
      <c r="J19" s="539"/>
      <c r="K19" s="540"/>
      <c r="L19" s="74"/>
    </row>
    <row r="20" spans="1:12" ht="28.5" customHeight="1" x14ac:dyDescent="0.25">
      <c r="A20" s="380" t="s">
        <v>41</v>
      </c>
      <c r="B20" s="538" t="s">
        <v>214</v>
      </c>
      <c r="C20" s="538"/>
      <c r="D20" s="538"/>
      <c r="E20" s="538"/>
      <c r="F20" s="539"/>
      <c r="G20" s="539"/>
      <c r="H20" s="539"/>
      <c r="I20" s="539"/>
      <c r="J20" s="539"/>
      <c r="K20" s="540"/>
      <c r="L20" s="75"/>
    </row>
    <row r="21" spans="1:12" x14ac:dyDescent="0.25">
      <c r="A21" s="380" t="s">
        <v>90</v>
      </c>
      <c r="B21" s="519" t="s">
        <v>118</v>
      </c>
      <c r="C21" s="519"/>
      <c r="D21" s="519"/>
      <c r="E21" s="519"/>
      <c r="F21" s="516"/>
      <c r="G21" s="516"/>
      <c r="H21" s="516"/>
      <c r="I21" s="516"/>
      <c r="J21" s="516"/>
      <c r="K21" s="520"/>
      <c r="L21" s="74"/>
    </row>
    <row r="22" spans="1:12" x14ac:dyDescent="0.25">
      <c r="A22" s="380" t="s">
        <v>89</v>
      </c>
      <c r="B22" s="519" t="s">
        <v>117</v>
      </c>
      <c r="C22" s="519"/>
      <c r="D22" s="519"/>
      <c r="E22" s="519"/>
      <c r="F22" s="516"/>
      <c r="G22" s="516"/>
      <c r="H22" s="516"/>
      <c r="I22" s="516"/>
      <c r="J22" s="516"/>
      <c r="K22" s="520"/>
      <c r="L22" s="74"/>
    </row>
    <row r="23" spans="1:12" x14ac:dyDescent="0.25">
      <c r="A23" s="380" t="s">
        <v>170</v>
      </c>
      <c r="B23" s="563" t="s">
        <v>206</v>
      </c>
      <c r="C23" s="564"/>
      <c r="D23" s="564"/>
      <c r="E23" s="564"/>
      <c r="F23" s="564"/>
      <c r="G23" s="564"/>
      <c r="H23" s="564"/>
      <c r="I23" s="564"/>
      <c r="J23" s="564"/>
      <c r="K23" s="565"/>
      <c r="L23" s="74"/>
    </row>
    <row r="24" spans="1:12" x14ac:dyDescent="0.25">
      <c r="A24" s="380" t="s">
        <v>88</v>
      </c>
      <c r="B24" s="575" t="s">
        <v>150</v>
      </c>
      <c r="C24" s="575"/>
      <c r="D24" s="575"/>
      <c r="E24" s="575"/>
      <c r="F24" s="563"/>
      <c r="G24" s="563"/>
      <c r="H24" s="563"/>
      <c r="I24" s="563"/>
      <c r="J24" s="563"/>
      <c r="K24" s="576"/>
      <c r="L24" s="74"/>
    </row>
    <row r="25" spans="1:12" ht="32.25" customHeight="1" x14ac:dyDescent="0.25">
      <c r="A25" s="380" t="s">
        <v>565</v>
      </c>
      <c r="B25" s="577" t="s">
        <v>566</v>
      </c>
      <c r="C25" s="577"/>
      <c r="D25" s="577"/>
      <c r="E25" s="577"/>
      <c r="F25" s="560"/>
      <c r="G25" s="560"/>
      <c r="H25" s="560"/>
      <c r="I25" s="560"/>
      <c r="J25" s="560"/>
      <c r="K25" s="578"/>
      <c r="L25" s="74"/>
    </row>
    <row r="26" spans="1:12" ht="30" x14ac:dyDescent="0.25">
      <c r="A26" s="380" t="s">
        <v>168</v>
      </c>
      <c r="B26" s="560" t="s">
        <v>579</v>
      </c>
      <c r="C26" s="561"/>
      <c r="D26" s="561"/>
      <c r="E26" s="561"/>
      <c r="F26" s="561"/>
      <c r="G26" s="561"/>
      <c r="H26" s="561"/>
      <c r="I26" s="561"/>
      <c r="J26" s="561"/>
      <c r="K26" s="562"/>
      <c r="L26" s="74"/>
    </row>
    <row r="27" spans="1:12" x14ac:dyDescent="0.25">
      <c r="A27" s="380" t="s">
        <v>99</v>
      </c>
      <c r="B27" s="575" t="s">
        <v>580</v>
      </c>
      <c r="C27" s="575"/>
      <c r="D27" s="575"/>
      <c r="E27" s="575"/>
      <c r="F27" s="563"/>
      <c r="G27" s="563"/>
      <c r="H27" s="563"/>
      <c r="I27" s="563"/>
      <c r="J27" s="563"/>
      <c r="K27" s="576"/>
      <c r="L27" s="74"/>
    </row>
    <row r="28" spans="1:12" ht="45" x14ac:dyDescent="0.25">
      <c r="A28" s="380" t="s">
        <v>567</v>
      </c>
      <c r="B28" s="577" t="s">
        <v>581</v>
      </c>
      <c r="C28" s="577"/>
      <c r="D28" s="577"/>
      <c r="E28" s="577"/>
      <c r="F28" s="560"/>
      <c r="G28" s="560"/>
      <c r="H28" s="560"/>
      <c r="I28" s="560"/>
      <c r="J28" s="560"/>
      <c r="K28" s="578"/>
      <c r="L28" s="74"/>
    </row>
    <row r="29" spans="1:12" x14ac:dyDescent="0.25">
      <c r="A29" s="380" t="s">
        <v>120</v>
      </c>
      <c r="B29" s="577" t="s">
        <v>207</v>
      </c>
      <c r="C29" s="577"/>
      <c r="D29" s="577"/>
      <c r="E29" s="577"/>
      <c r="F29" s="560"/>
      <c r="G29" s="560"/>
      <c r="H29" s="560"/>
      <c r="I29" s="560"/>
      <c r="J29" s="560"/>
      <c r="K29" s="578"/>
      <c r="L29" s="75"/>
    </row>
    <row r="30" spans="1:12" ht="15.75" thickBot="1" x14ac:dyDescent="0.3">
      <c r="A30" s="378" t="s">
        <v>2</v>
      </c>
      <c r="B30" s="579" t="s">
        <v>86</v>
      </c>
      <c r="C30" s="579"/>
      <c r="D30" s="579"/>
      <c r="E30" s="579"/>
      <c r="F30" s="580"/>
      <c r="G30" s="580"/>
      <c r="H30" s="580"/>
      <c r="I30" s="580"/>
      <c r="J30" s="580"/>
      <c r="K30" s="581"/>
      <c r="L30" s="75"/>
    </row>
  </sheetData>
  <mergeCells count="25">
    <mergeCell ref="G1:I1"/>
    <mergeCell ref="J1:L1"/>
    <mergeCell ref="B24:K24"/>
    <mergeCell ref="B29:K29"/>
    <mergeCell ref="B30:K30"/>
    <mergeCell ref="B25:K25"/>
    <mergeCell ref="B27:K27"/>
    <mergeCell ref="B28:K28"/>
    <mergeCell ref="A2:I2"/>
    <mergeCell ref="B4:I4"/>
    <mergeCell ref="C8:M8"/>
    <mergeCell ref="B5:I5"/>
    <mergeCell ref="B6:I6"/>
    <mergeCell ref="A3:I3"/>
    <mergeCell ref="A7:I7"/>
    <mergeCell ref="B21:K21"/>
    <mergeCell ref="B18:K18"/>
    <mergeCell ref="A8:B8"/>
    <mergeCell ref="B26:K26"/>
    <mergeCell ref="B23:K23"/>
    <mergeCell ref="B19:K19"/>
    <mergeCell ref="B20:K20"/>
    <mergeCell ref="A10:M10"/>
    <mergeCell ref="A13:M13"/>
    <mergeCell ref="B22:K22"/>
  </mergeCells>
  <pageMargins left="0.7" right="0.7" top="0.75" bottom="0.75" header="0.3" footer="0.3"/>
  <pageSetup scale="51" orientation="landscape"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83926-6746-41A1-BDD6-C60A449647C7}">
  <sheetPr>
    <pageSetUpPr fitToPage="1"/>
  </sheetPr>
  <dimension ref="A1:P32"/>
  <sheetViews>
    <sheetView view="pageBreakPreview" topLeftCell="B4" zoomScaleNormal="90" zoomScaleSheetLayoutView="100" workbookViewId="0">
      <selection activeCell="N24" sqref="N24"/>
    </sheetView>
  </sheetViews>
  <sheetFormatPr defaultRowHeight="15" x14ac:dyDescent="0.25"/>
  <cols>
    <col min="1" max="1" width="28.7109375" customWidth="1"/>
    <col min="2" max="2" width="10.28515625" customWidth="1"/>
    <col min="3" max="3" width="15" customWidth="1"/>
    <col min="4" max="4" width="13.28515625" customWidth="1"/>
    <col min="5" max="5" width="10.85546875" customWidth="1"/>
    <col min="6" max="6" width="14.7109375" customWidth="1"/>
    <col min="7" max="7" width="10.85546875" customWidth="1"/>
    <col min="8" max="8" width="14.7109375" customWidth="1"/>
    <col min="9" max="9" width="10.85546875" customWidth="1"/>
    <col min="10" max="10" width="14.7109375" customWidth="1"/>
    <col min="11" max="11" width="10.85546875" customWidth="1"/>
    <col min="12" max="12" width="14.7109375" customWidth="1"/>
    <col min="13" max="13" width="10.85546875" customWidth="1"/>
    <col min="14" max="14" width="14.7109375" customWidth="1"/>
    <col min="15" max="15" width="10.85546875" customWidth="1"/>
    <col min="16" max="16" width="14.7109375" customWidth="1"/>
  </cols>
  <sheetData>
    <row r="1" spans="1:12" x14ac:dyDescent="0.25">
      <c r="A1" s="41" t="s">
        <v>534</v>
      </c>
      <c r="B1" s="28"/>
      <c r="C1" s="28"/>
      <c r="G1" s="534" t="s">
        <v>539</v>
      </c>
      <c r="H1" s="534"/>
      <c r="I1" s="534"/>
      <c r="J1" s="534" t="s">
        <v>540</v>
      </c>
      <c r="K1" s="534"/>
      <c r="L1" s="534"/>
    </row>
    <row r="2" spans="1:12" ht="33" customHeight="1" x14ac:dyDescent="0.25">
      <c r="A2" s="527" t="s">
        <v>155</v>
      </c>
      <c r="B2" s="527"/>
      <c r="C2" s="527"/>
      <c r="D2" s="527"/>
      <c r="E2" s="527"/>
      <c r="F2" s="527"/>
      <c r="G2" s="527"/>
    </row>
    <row r="3" spans="1:12" ht="17.25" customHeight="1" x14ac:dyDescent="0.25">
      <c r="A3" s="588" t="s">
        <v>559</v>
      </c>
      <c r="B3" s="588"/>
      <c r="C3" s="588"/>
      <c r="D3" s="588"/>
      <c r="E3" s="588"/>
      <c r="F3" s="588"/>
      <c r="G3" s="588"/>
    </row>
    <row r="4" spans="1:12" ht="39" customHeight="1" x14ac:dyDescent="0.25">
      <c r="A4" s="68" t="s">
        <v>43</v>
      </c>
      <c r="B4" s="528" t="str">
        <f>'I.2 Site Info'!B4:J4</f>
        <v>Given the stated assumptions in Worksheet I.1, determine how we can protect the installation infrastructure from damage due to flooding and permanent inundation over the next 100 years.</v>
      </c>
      <c r="C4" s="528"/>
      <c r="D4" s="528"/>
      <c r="E4" s="528"/>
      <c r="F4" s="528"/>
      <c r="G4" s="528"/>
      <c r="H4" s="528"/>
      <c r="I4" s="599"/>
      <c r="J4" s="43"/>
    </row>
    <row r="5" spans="1:12" ht="17.25" customHeight="1" x14ac:dyDescent="0.25">
      <c r="A5" s="72" t="s">
        <v>44</v>
      </c>
      <c r="B5" s="528" t="str">
        <f>'I.2 Site Info'!B5:J5</f>
        <v xml:space="preserve">Permanent inundation and flooding </v>
      </c>
      <c r="C5" s="528"/>
      <c r="D5" s="528"/>
      <c r="E5" s="528"/>
      <c r="F5" s="528"/>
      <c r="G5" s="528"/>
      <c r="H5" s="528"/>
      <c r="I5" s="599"/>
      <c r="J5" s="38"/>
    </row>
    <row r="6" spans="1:12" ht="16.5" customHeight="1" x14ac:dyDescent="0.25">
      <c r="A6" s="73" t="s">
        <v>105</v>
      </c>
      <c r="B6" s="528" t="str">
        <f>'I.2 Site Info'!B6:J6</f>
        <v>Sea level change and storm surge (the 1% annual chance event or 100-year storm event)</v>
      </c>
      <c r="C6" s="528"/>
      <c r="D6" s="528"/>
      <c r="E6" s="528"/>
      <c r="F6" s="528"/>
      <c r="G6" s="528"/>
      <c r="H6" s="528"/>
      <c r="I6" s="599"/>
    </row>
    <row r="7" spans="1:12" ht="9" customHeight="1" x14ac:dyDescent="0.25">
      <c r="A7" s="9"/>
    </row>
    <row r="8" spans="1:12" ht="15.75" customHeight="1" thickBot="1" x14ac:dyDescent="0.3">
      <c r="A8" s="589" t="s">
        <v>498</v>
      </c>
      <c r="B8" s="589"/>
      <c r="C8" s="589"/>
      <c r="D8" s="589"/>
      <c r="E8" s="589"/>
      <c r="F8" s="589"/>
      <c r="G8" s="589"/>
      <c r="H8" s="589"/>
      <c r="I8" s="589"/>
    </row>
    <row r="9" spans="1:12" x14ac:dyDescent="0.25">
      <c r="A9" s="586" t="s">
        <v>9</v>
      </c>
      <c r="B9" s="587"/>
      <c r="C9" s="393"/>
      <c r="D9" s="19"/>
      <c r="E9" s="44"/>
      <c r="F9" s="44"/>
      <c r="G9" s="20"/>
    </row>
    <row r="10" spans="1:12" ht="26.25" thickBot="1" x14ac:dyDescent="0.3">
      <c r="A10" s="87" t="s">
        <v>10</v>
      </c>
      <c r="B10" s="449" t="s">
        <v>11</v>
      </c>
      <c r="C10" s="22" t="s">
        <v>12</v>
      </c>
      <c r="D10" s="396" t="s">
        <v>13</v>
      </c>
      <c r="E10" s="46"/>
      <c r="F10" s="46"/>
      <c r="G10" s="20"/>
    </row>
    <row r="11" spans="1:12" ht="18.75" customHeight="1" thickBot="1" x14ac:dyDescent="0.3">
      <c r="A11" s="589" t="s">
        <v>499</v>
      </c>
      <c r="B11" s="589"/>
      <c r="C11" s="589"/>
      <c r="D11" s="589"/>
      <c r="E11" s="589"/>
      <c r="F11" s="589"/>
      <c r="G11" s="589"/>
      <c r="H11" s="589"/>
      <c r="I11" s="589"/>
    </row>
    <row r="12" spans="1:12" ht="15" customHeight="1" x14ac:dyDescent="0.25">
      <c r="A12" s="23" t="s">
        <v>14</v>
      </c>
      <c r="B12" s="24"/>
      <c r="C12" s="24"/>
      <c r="D12" s="24"/>
      <c r="E12" s="24"/>
      <c r="F12" s="24"/>
      <c r="G12" s="25"/>
    </row>
    <row r="13" spans="1:12" ht="28.5" customHeight="1" x14ac:dyDescent="0.25">
      <c r="A13" s="430" t="s">
        <v>15</v>
      </c>
      <c r="B13" s="90" t="s">
        <v>16</v>
      </c>
      <c r="C13" s="26" t="s">
        <v>197</v>
      </c>
      <c r="D13" s="27" t="s">
        <v>17</v>
      </c>
      <c r="E13" s="88"/>
      <c r="F13" s="88"/>
      <c r="G13" s="89"/>
      <c r="H13" s="20"/>
    </row>
    <row r="14" spans="1:12" x14ac:dyDescent="0.25">
      <c r="A14" s="397" t="s">
        <v>18</v>
      </c>
      <c r="B14" s="358">
        <v>9.1999999999999998E-2</v>
      </c>
      <c r="C14" s="358" t="s">
        <v>19</v>
      </c>
      <c r="D14" s="398" t="s">
        <v>20</v>
      </c>
      <c r="E14" s="399"/>
      <c r="F14" s="399"/>
      <c r="G14" s="400"/>
      <c r="H14" s="20"/>
    </row>
    <row r="15" spans="1:12" x14ac:dyDescent="0.25">
      <c r="A15" s="397" t="s">
        <v>21</v>
      </c>
      <c r="B15" s="358">
        <v>0.623</v>
      </c>
      <c r="C15" s="358" t="s">
        <v>22</v>
      </c>
      <c r="D15" s="398" t="s">
        <v>20</v>
      </c>
      <c r="E15" s="399"/>
      <c r="F15" s="399"/>
      <c r="G15" s="400"/>
      <c r="H15" s="20"/>
    </row>
    <row r="16" spans="1:12" ht="15.75" thickBot="1" x14ac:dyDescent="0.3">
      <c r="A16" s="401" t="s">
        <v>198</v>
      </c>
      <c r="B16" s="402">
        <v>3.3</v>
      </c>
      <c r="C16" s="402" t="s">
        <v>23</v>
      </c>
      <c r="D16" s="403" t="s">
        <v>24</v>
      </c>
      <c r="E16" s="404"/>
      <c r="F16" s="404"/>
      <c r="G16" s="405"/>
      <c r="H16" s="20"/>
    </row>
    <row r="17" spans="1:16" ht="18" customHeight="1" thickBot="1" x14ac:dyDescent="0.3">
      <c r="A17" s="585" t="s">
        <v>555</v>
      </c>
      <c r="B17" s="585"/>
      <c r="C17" s="585"/>
      <c r="D17" s="585"/>
      <c r="E17" s="585"/>
      <c r="F17" s="585"/>
      <c r="G17" s="585"/>
      <c r="H17" s="585"/>
      <c r="I17" s="585"/>
      <c r="J17" s="585"/>
      <c r="K17" s="585"/>
      <c r="L17" s="585"/>
      <c r="M17" s="585"/>
      <c r="N17" s="585"/>
      <c r="O17" s="585"/>
      <c r="P17" s="585"/>
    </row>
    <row r="18" spans="1:16" ht="15.75" customHeight="1" thickBot="1" x14ac:dyDescent="0.3">
      <c r="A18" s="602" t="s">
        <v>547</v>
      </c>
      <c r="B18" s="603"/>
      <c r="C18" s="593" t="s">
        <v>25</v>
      </c>
      <c r="D18" s="594"/>
      <c r="E18" s="590" t="s">
        <v>87</v>
      </c>
      <c r="F18" s="591"/>
      <c r="G18" s="591"/>
      <c r="H18" s="591"/>
      <c r="I18" s="591"/>
      <c r="J18" s="591"/>
      <c r="K18" s="591"/>
      <c r="L18" s="591"/>
      <c r="M18" s="591"/>
      <c r="N18" s="591"/>
      <c r="O18" s="591"/>
      <c r="P18" s="592"/>
    </row>
    <row r="19" spans="1:16" x14ac:dyDescent="0.25">
      <c r="A19" s="604"/>
      <c r="B19" s="605"/>
      <c r="C19" s="583">
        <v>2016</v>
      </c>
      <c r="D19" s="584"/>
      <c r="E19" s="595">
        <v>2035</v>
      </c>
      <c r="F19" s="596"/>
      <c r="G19" s="596"/>
      <c r="H19" s="597"/>
      <c r="I19" s="595">
        <v>2065</v>
      </c>
      <c r="J19" s="596"/>
      <c r="K19" s="596"/>
      <c r="L19" s="597"/>
      <c r="M19" s="595">
        <v>2100</v>
      </c>
      <c r="N19" s="596"/>
      <c r="O19" s="596"/>
      <c r="P19" s="597"/>
    </row>
    <row r="20" spans="1:16" ht="15" customHeight="1" x14ac:dyDescent="0.25">
      <c r="A20" s="600" t="s">
        <v>546</v>
      </c>
      <c r="B20" s="601"/>
      <c r="C20" s="583"/>
      <c r="D20" s="584"/>
      <c r="E20" s="583" t="s">
        <v>27</v>
      </c>
      <c r="F20" s="598"/>
      <c r="G20" s="598" t="s">
        <v>26</v>
      </c>
      <c r="H20" s="584"/>
      <c r="I20" s="583" t="s">
        <v>27</v>
      </c>
      <c r="J20" s="598"/>
      <c r="K20" s="598" t="s">
        <v>26</v>
      </c>
      <c r="L20" s="584"/>
      <c r="M20" s="583" t="s">
        <v>27</v>
      </c>
      <c r="N20" s="598"/>
      <c r="O20" s="598" t="s">
        <v>26</v>
      </c>
      <c r="P20" s="584"/>
    </row>
    <row r="21" spans="1:16" ht="73.5" customHeight="1" x14ac:dyDescent="0.25">
      <c r="A21" s="608" t="s">
        <v>98</v>
      </c>
      <c r="B21" s="609"/>
      <c r="C21" s="111"/>
      <c r="D21" s="426" t="s">
        <v>47</v>
      </c>
      <c r="E21" s="407" t="s">
        <v>28</v>
      </c>
      <c r="F21" s="301" t="s">
        <v>48</v>
      </c>
      <c r="G21" s="301" t="s">
        <v>28</v>
      </c>
      <c r="H21" s="406" t="s">
        <v>48</v>
      </c>
      <c r="I21" s="407" t="s">
        <v>28</v>
      </c>
      <c r="J21" s="301" t="s">
        <v>48</v>
      </c>
      <c r="K21" s="301" t="s">
        <v>28</v>
      </c>
      <c r="L21" s="406" t="s">
        <v>48</v>
      </c>
      <c r="M21" s="438" t="s">
        <v>28</v>
      </c>
      <c r="N21" s="440" t="s">
        <v>48</v>
      </c>
      <c r="O21" s="440" t="s">
        <v>28</v>
      </c>
      <c r="P21" s="439" t="s">
        <v>48</v>
      </c>
    </row>
    <row r="22" spans="1:16" ht="15.75" thickBot="1" x14ac:dyDescent="0.3">
      <c r="A22" s="610" t="s">
        <v>203</v>
      </c>
      <c r="B22" s="611"/>
      <c r="C22" s="105"/>
      <c r="D22" s="408">
        <f>D24+$B$15</f>
        <v>3.923</v>
      </c>
      <c r="E22" s="409">
        <f t="shared" ref="E22:P22" si="0">E24-$B$14</f>
        <v>0.50800000000000001</v>
      </c>
      <c r="F22" s="410">
        <f t="shared" si="0"/>
        <v>4.4080000000000004</v>
      </c>
      <c r="G22" s="410">
        <f t="shared" si="0"/>
        <v>1.508</v>
      </c>
      <c r="H22" s="408">
        <f t="shared" si="0"/>
        <v>5.4080000000000004</v>
      </c>
      <c r="I22" s="409">
        <f t="shared" si="0"/>
        <v>1.208</v>
      </c>
      <c r="J22" s="410">
        <f t="shared" si="0"/>
        <v>5.1080000000000005</v>
      </c>
      <c r="K22" s="410">
        <f t="shared" si="0"/>
        <v>3.508</v>
      </c>
      <c r="L22" s="408">
        <f t="shared" si="0"/>
        <v>7.4080000000000004</v>
      </c>
      <c r="M22" s="409">
        <f t="shared" si="0"/>
        <v>2.2079999999999997</v>
      </c>
      <c r="N22" s="410">
        <f t="shared" si="0"/>
        <v>6.1080000000000005</v>
      </c>
      <c r="O22" s="410">
        <f t="shared" si="0"/>
        <v>8.2080000000000002</v>
      </c>
      <c r="P22" s="408">
        <f t="shared" si="0"/>
        <v>12.107999999999999</v>
      </c>
    </row>
    <row r="23" spans="1:16" ht="6" customHeight="1" x14ac:dyDescent="0.25"/>
    <row r="24" spans="1:16" x14ac:dyDescent="0.25">
      <c r="A24" s="606" t="s">
        <v>549</v>
      </c>
      <c r="B24" s="607"/>
      <c r="C24" s="107"/>
      <c r="D24" s="91">
        <v>3.3</v>
      </c>
      <c r="E24" s="91">
        <v>0.6</v>
      </c>
      <c r="F24" s="91">
        <v>4.5</v>
      </c>
      <c r="G24" s="91">
        <v>1.6</v>
      </c>
      <c r="H24" s="91">
        <v>5.5</v>
      </c>
      <c r="I24" s="91">
        <v>1.3</v>
      </c>
      <c r="J24" s="91">
        <v>5.2</v>
      </c>
      <c r="K24" s="91">
        <v>3.6</v>
      </c>
      <c r="L24" s="91">
        <v>7.5</v>
      </c>
      <c r="M24" s="91">
        <v>2.2999999999999998</v>
      </c>
      <c r="N24" s="91">
        <v>6.2</v>
      </c>
      <c r="O24" s="91">
        <v>8.3000000000000007</v>
      </c>
      <c r="P24" s="91">
        <v>12.2</v>
      </c>
    </row>
    <row r="25" spans="1:16" x14ac:dyDescent="0.25">
      <c r="A25" s="108" t="s">
        <v>551</v>
      </c>
      <c r="B25" s="109"/>
      <c r="C25" s="110"/>
      <c r="D25" s="411" t="s">
        <v>199</v>
      </c>
      <c r="E25" s="411" t="s">
        <v>200</v>
      </c>
      <c r="F25" s="411" t="s">
        <v>200</v>
      </c>
      <c r="G25" s="411" t="s">
        <v>200</v>
      </c>
      <c r="H25" s="411" t="s">
        <v>200</v>
      </c>
      <c r="I25" s="411" t="s">
        <v>200</v>
      </c>
      <c r="J25" s="411" t="s">
        <v>200</v>
      </c>
      <c r="K25" s="411" t="s">
        <v>200</v>
      </c>
      <c r="L25" s="411" t="s">
        <v>200</v>
      </c>
      <c r="M25" s="411" t="s">
        <v>200</v>
      </c>
      <c r="N25" s="411" t="s">
        <v>200</v>
      </c>
      <c r="O25" s="411" t="s">
        <v>200</v>
      </c>
      <c r="P25" s="411" t="s">
        <v>200</v>
      </c>
    </row>
    <row r="26" spans="1:16" ht="15.75" thickBot="1" x14ac:dyDescent="0.3"/>
    <row r="27" spans="1:16" ht="15.75" x14ac:dyDescent="0.25">
      <c r="A27" s="54" t="s">
        <v>556</v>
      </c>
      <c r="B27" s="24"/>
      <c r="C27" s="24"/>
      <c r="D27" s="24"/>
      <c r="E27" s="24"/>
      <c r="F27" s="24"/>
      <c r="G27" s="24"/>
      <c r="H27" s="24"/>
      <c r="I27" s="24"/>
      <c r="J27" s="24"/>
      <c r="K27" s="55"/>
    </row>
    <row r="28" spans="1:16" x14ac:dyDescent="0.25">
      <c r="A28" s="78" t="s">
        <v>552</v>
      </c>
      <c r="B28" s="538" t="s">
        <v>553</v>
      </c>
      <c r="C28" s="538"/>
      <c r="D28" s="538"/>
      <c r="E28" s="538"/>
      <c r="F28" s="538"/>
      <c r="G28" s="538"/>
      <c r="H28" s="538"/>
      <c r="I28" s="538"/>
      <c r="J28" s="538"/>
      <c r="K28" s="540"/>
    </row>
    <row r="29" spans="1:16" ht="45.75" customHeight="1" x14ac:dyDescent="0.25">
      <c r="A29" s="428" t="s">
        <v>547</v>
      </c>
      <c r="B29" s="538" t="s">
        <v>648</v>
      </c>
      <c r="C29" s="538"/>
      <c r="D29" s="538"/>
      <c r="E29" s="538"/>
      <c r="F29" s="539"/>
      <c r="G29" s="539"/>
      <c r="H29" s="539"/>
      <c r="I29" s="539"/>
      <c r="J29" s="539"/>
      <c r="K29" s="540"/>
    </row>
    <row r="30" spans="1:16" x14ac:dyDescent="0.25">
      <c r="A30" s="427" t="s">
        <v>554</v>
      </c>
      <c r="B30" s="538" t="s">
        <v>649</v>
      </c>
      <c r="C30" s="538"/>
      <c r="D30" s="538"/>
      <c r="E30" s="538"/>
      <c r="F30" s="539"/>
      <c r="G30" s="539"/>
      <c r="H30" s="539"/>
      <c r="I30" s="539"/>
      <c r="J30" s="539"/>
      <c r="K30" s="540"/>
    </row>
    <row r="31" spans="1:16" ht="32.25" customHeight="1" x14ac:dyDescent="0.25">
      <c r="A31" s="427" t="s">
        <v>548</v>
      </c>
      <c r="B31" s="538" t="s">
        <v>650</v>
      </c>
      <c r="C31" s="538"/>
      <c r="D31" s="538"/>
      <c r="E31" s="538"/>
      <c r="F31" s="539"/>
      <c r="G31" s="539"/>
      <c r="H31" s="539"/>
      <c r="I31" s="539"/>
      <c r="J31" s="539"/>
      <c r="K31" s="540"/>
    </row>
    <row r="32" spans="1:16" ht="18" customHeight="1" x14ac:dyDescent="0.25">
      <c r="A32" s="427" t="s">
        <v>550</v>
      </c>
      <c r="B32" s="519" t="s">
        <v>651</v>
      </c>
      <c r="C32" s="519"/>
      <c r="D32" s="519"/>
      <c r="E32" s="519"/>
      <c r="F32" s="516"/>
      <c r="G32" s="516"/>
      <c r="H32" s="516"/>
      <c r="I32" s="516"/>
      <c r="J32" s="516"/>
      <c r="K32" s="520"/>
    </row>
  </sheetData>
  <customSheetViews>
    <customSheetView guid="{E4212B35-3167-45C2-BD72-B3516EB52D76}" fitToPage="1">
      <selection activeCell="B4" sqref="B4:E4"/>
      <pageMargins left="0.7" right="0.7" top="0.75" bottom="0.75" header="0.3" footer="0.3"/>
      <pageSetup scale="70" orientation="landscape" r:id="rId1"/>
    </customSheetView>
  </customSheetViews>
  <mergeCells count="33">
    <mergeCell ref="B29:K29"/>
    <mergeCell ref="B30:K30"/>
    <mergeCell ref="B31:K31"/>
    <mergeCell ref="B32:K32"/>
    <mergeCell ref="A20:B20"/>
    <mergeCell ref="A18:B19"/>
    <mergeCell ref="A24:B24"/>
    <mergeCell ref="A21:B21"/>
    <mergeCell ref="A22:B22"/>
    <mergeCell ref="G20:H20"/>
    <mergeCell ref="G1:I1"/>
    <mergeCell ref="J1:L1"/>
    <mergeCell ref="B4:I4"/>
    <mergeCell ref="B5:I5"/>
    <mergeCell ref="B6:I6"/>
    <mergeCell ref="A8:I8"/>
    <mergeCell ref="K20:L20"/>
    <mergeCell ref="M20:N20"/>
    <mergeCell ref="O20:P20"/>
    <mergeCell ref="I19:L19"/>
    <mergeCell ref="I20:J20"/>
    <mergeCell ref="E19:H19"/>
    <mergeCell ref="E20:F20"/>
    <mergeCell ref="B28:K28"/>
    <mergeCell ref="C19:D20"/>
    <mergeCell ref="A17:P17"/>
    <mergeCell ref="A2:G2"/>
    <mergeCell ref="A9:B9"/>
    <mergeCell ref="A3:G3"/>
    <mergeCell ref="A11:I11"/>
    <mergeCell ref="E18:P18"/>
    <mergeCell ref="C18:D18"/>
    <mergeCell ref="M19:P19"/>
  </mergeCells>
  <pageMargins left="0.7" right="0.7" top="0.75" bottom="0.75" header="0.3" footer="0.3"/>
  <pageSetup scale="55" orientation="landscape" cellComments="asDisplayed"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DD521-4295-499C-8EF0-754FE8F7E3EC}">
  <sheetPr>
    <pageSetUpPr fitToPage="1"/>
  </sheetPr>
  <dimension ref="A1:G20"/>
  <sheetViews>
    <sheetView view="pageBreakPreview" topLeftCell="A7" zoomScaleNormal="100" zoomScaleSheetLayoutView="100" workbookViewId="0">
      <selection activeCell="N24" sqref="N24"/>
    </sheetView>
  </sheetViews>
  <sheetFormatPr defaultRowHeight="15" x14ac:dyDescent="0.25"/>
  <cols>
    <col min="1" max="1" width="42" customWidth="1"/>
    <col min="2" max="2" width="38.7109375" customWidth="1"/>
    <col min="3" max="3" width="35.140625" customWidth="1"/>
  </cols>
  <sheetData>
    <row r="1" spans="1:7" x14ac:dyDescent="0.25">
      <c r="A1" s="12" t="s">
        <v>29</v>
      </c>
      <c r="B1" s="500" t="s">
        <v>539</v>
      </c>
      <c r="C1" s="500" t="s">
        <v>540</v>
      </c>
    </row>
    <row r="2" spans="1:7" ht="31.5" customHeight="1" x14ac:dyDescent="0.25">
      <c r="A2" s="582" t="s">
        <v>49</v>
      </c>
      <c r="B2" s="582"/>
      <c r="C2" s="582"/>
    </row>
    <row r="3" spans="1:7" ht="15" customHeight="1" x14ac:dyDescent="0.25">
      <c r="A3" s="588" t="s">
        <v>559</v>
      </c>
      <c r="B3" s="588"/>
      <c r="C3" s="588"/>
      <c r="D3" s="588"/>
      <c r="E3" s="588"/>
      <c r="F3" s="588"/>
      <c r="G3" s="588"/>
    </row>
    <row r="4" spans="1:7" ht="46.5" customHeight="1" x14ac:dyDescent="0.25">
      <c r="A4" s="18" t="s">
        <v>43</v>
      </c>
      <c r="B4" s="612" t="str">
        <f>'I.2 Site Info'!B4:J4</f>
        <v>Given the stated assumptions in Worksheet I.1, determine how we can protect the installation infrastructure from damage due to flooding and permanent inundation over the next 100 years.</v>
      </c>
      <c r="C4" s="613"/>
    </row>
    <row r="5" spans="1:7" ht="17.25" customHeight="1" x14ac:dyDescent="0.25">
      <c r="A5" s="39" t="s">
        <v>44</v>
      </c>
      <c r="B5" s="612" t="str">
        <f>'I.2 Site Info'!B5:J5</f>
        <v xml:space="preserve">Permanent inundation and flooding </v>
      </c>
      <c r="C5" s="613"/>
    </row>
    <row r="6" spans="1:7" ht="34.5" customHeight="1" x14ac:dyDescent="0.25">
      <c r="A6" s="40" t="s">
        <v>105</v>
      </c>
      <c r="B6" s="612" t="str">
        <f>'I.2 Site Info'!B6:J6</f>
        <v>Sea level change and storm surge (the 1% annual chance event or 100-year storm event)</v>
      </c>
      <c r="C6" s="613"/>
    </row>
    <row r="7" spans="1:7" x14ac:dyDescent="0.25">
      <c r="A7" s="572" t="s">
        <v>557</v>
      </c>
      <c r="B7" s="572"/>
      <c r="C7" s="572"/>
    </row>
    <row r="8" spans="1:7" x14ac:dyDescent="0.25">
      <c r="A8" s="29" t="s">
        <v>1</v>
      </c>
      <c r="B8" s="4" t="s">
        <v>172</v>
      </c>
      <c r="C8" s="4" t="s">
        <v>2</v>
      </c>
    </row>
    <row r="9" spans="1:7" ht="30" x14ac:dyDescent="0.25">
      <c r="A9" s="29" t="s">
        <v>180</v>
      </c>
      <c r="B9" s="413" t="s">
        <v>181</v>
      </c>
      <c r="C9" s="80"/>
    </row>
    <row r="10" spans="1:7" ht="30" x14ac:dyDescent="0.25">
      <c r="A10" s="30" t="s">
        <v>174</v>
      </c>
      <c r="B10" s="412" t="s">
        <v>182</v>
      </c>
      <c r="C10" s="81"/>
    </row>
    <row r="11" spans="1:7" ht="32.25" customHeight="1" x14ac:dyDescent="0.25">
      <c r="A11" s="30" t="s">
        <v>175</v>
      </c>
      <c r="B11" s="412" t="s">
        <v>183</v>
      </c>
      <c r="C11" s="81"/>
    </row>
    <row r="12" spans="1:7" ht="43.5" customHeight="1" x14ac:dyDescent="0.25">
      <c r="A12" s="30" t="s">
        <v>176</v>
      </c>
      <c r="B12" s="412" t="s">
        <v>184</v>
      </c>
      <c r="C12" s="81"/>
    </row>
    <row r="13" spans="1:7" ht="102.75" customHeight="1" x14ac:dyDescent="0.25">
      <c r="A13" s="30" t="str">
        <f>'I.6 Existing Assmt Eval'!A2:C2</f>
        <v xml:space="preserve">Purpose: Evaluate any existing impact, vulnerability or hazards assessment to determine whether it provides useful information or analysis of the focus area identified in my assessment scope. </v>
      </c>
      <c r="B13" s="412" t="s">
        <v>185</v>
      </c>
      <c r="C13" s="81"/>
    </row>
    <row r="14" spans="1:7" ht="83.25" customHeight="1" x14ac:dyDescent="0.25">
      <c r="A14" s="31" t="s">
        <v>30</v>
      </c>
      <c r="B14" s="413" t="s">
        <v>186</v>
      </c>
      <c r="C14" s="82"/>
    </row>
    <row r="15" spans="1:7" ht="33.75" customHeight="1" x14ac:dyDescent="0.25">
      <c r="A15" s="617" t="s">
        <v>676</v>
      </c>
      <c r="B15" s="617"/>
      <c r="C15" s="617"/>
    </row>
    <row r="16" spans="1:7" ht="48.75" customHeight="1" x14ac:dyDescent="0.25">
      <c r="A16" s="31" t="s">
        <v>173</v>
      </c>
      <c r="B16" s="392" t="s">
        <v>103</v>
      </c>
      <c r="C16" s="83"/>
    </row>
    <row r="17" spans="1:3" ht="15.75" thickBot="1" x14ac:dyDescent="0.3">
      <c r="A17" s="450"/>
      <c r="B17" s="431"/>
      <c r="C17" s="431"/>
    </row>
    <row r="18" spans="1:3" ht="136.5" customHeight="1" thickBot="1" x14ac:dyDescent="0.3">
      <c r="A18" s="614" t="s">
        <v>652</v>
      </c>
      <c r="B18" s="615"/>
      <c r="C18" s="616"/>
    </row>
    <row r="19" spans="1:3" x14ac:dyDescent="0.25">
      <c r="A19" s="32"/>
    </row>
    <row r="20" spans="1:3" x14ac:dyDescent="0.25">
      <c r="A20" s="32"/>
    </row>
  </sheetData>
  <customSheetViews>
    <customSheetView guid="{E4212B35-3167-45C2-BD72-B3516EB52D76}" fitToPage="1">
      <selection activeCell="A2" sqref="A2:C2"/>
      <pageMargins left="0.7" right="0.7" top="0.75" bottom="0.75" header="0.3" footer="0.3"/>
      <pageSetup scale="90" orientation="landscape" r:id="rId1"/>
    </customSheetView>
  </customSheetViews>
  <mergeCells count="8">
    <mergeCell ref="A2:C2"/>
    <mergeCell ref="B4:C4"/>
    <mergeCell ref="B6:C6"/>
    <mergeCell ref="A18:C18"/>
    <mergeCell ref="B5:C5"/>
    <mergeCell ref="A7:C7"/>
    <mergeCell ref="A15:C15"/>
    <mergeCell ref="A3:G3"/>
  </mergeCells>
  <pageMargins left="0.7" right="0.7" top="0.75" bottom="0.75" header="0.3" footer="0.3"/>
  <pageSetup scale="69" orientation="landscape" cellComments="asDisplayed"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1C365-4DB2-4167-B4C5-6508DA2C45ED}">
  <dimension ref="A1:O38"/>
  <sheetViews>
    <sheetView view="pageBreakPreview" topLeftCell="B8" zoomScaleNormal="80" zoomScaleSheetLayoutView="100" workbookViewId="0">
      <selection activeCell="N24" sqref="N24"/>
    </sheetView>
  </sheetViews>
  <sheetFormatPr defaultRowHeight="15" x14ac:dyDescent="0.25"/>
  <cols>
    <col min="1" max="1" width="27.85546875" customWidth="1"/>
    <col min="2" max="2" width="19" customWidth="1"/>
    <col min="3" max="3" width="21.28515625" customWidth="1"/>
    <col min="4" max="4" width="18.7109375" customWidth="1"/>
    <col min="5" max="5" width="21.28515625" customWidth="1"/>
    <col min="6" max="6" width="18.7109375" customWidth="1"/>
    <col min="7" max="7" width="21.28515625" customWidth="1"/>
    <col min="8" max="8" width="18.7109375" customWidth="1"/>
    <col min="9" max="9" width="21.28515625" customWidth="1"/>
    <col min="10" max="10" width="18.7109375" customWidth="1"/>
    <col min="11" max="11" width="21.28515625" customWidth="1"/>
    <col min="12" max="12" width="18.7109375" customWidth="1"/>
    <col min="13" max="13" width="21.28515625" customWidth="1"/>
    <col min="14" max="14" width="18.7109375" customWidth="1"/>
    <col min="15" max="15" width="21.28515625" customWidth="1"/>
  </cols>
  <sheetData>
    <row r="1" spans="1:15" x14ac:dyDescent="0.25">
      <c r="A1" s="7" t="s">
        <v>57</v>
      </c>
      <c r="B1" s="7"/>
      <c r="C1" s="7"/>
      <c r="D1" s="534" t="s">
        <v>539</v>
      </c>
      <c r="E1" s="534"/>
      <c r="F1" s="534" t="s">
        <v>540</v>
      </c>
      <c r="G1" s="534"/>
      <c r="L1" s="16" t="s">
        <v>639</v>
      </c>
    </row>
    <row r="2" spans="1:15" ht="17.25" customHeight="1" x14ac:dyDescent="0.25">
      <c r="A2" s="582" t="s">
        <v>192</v>
      </c>
      <c r="B2" s="582"/>
      <c r="C2" s="582"/>
      <c r="D2" s="582"/>
      <c r="E2" s="582"/>
      <c r="F2" s="582"/>
      <c r="G2" s="582"/>
    </row>
    <row r="3" spans="1:15" ht="36.75" customHeight="1" x14ac:dyDescent="0.25">
      <c r="A3" s="638" t="s">
        <v>558</v>
      </c>
      <c r="B3" s="638"/>
      <c r="C3" s="638"/>
      <c r="D3" s="638"/>
      <c r="E3" s="638"/>
      <c r="F3" s="638"/>
      <c r="G3" s="638"/>
      <c r="H3" s="638"/>
      <c r="I3" s="638"/>
    </row>
    <row r="4" spans="1:15" ht="18.75" customHeight="1" thickBot="1" x14ac:dyDescent="0.3">
      <c r="A4" s="588" t="s">
        <v>559</v>
      </c>
      <c r="B4" s="588"/>
      <c r="C4" s="588"/>
      <c r="D4" s="588"/>
      <c r="E4" s="588"/>
      <c r="F4" s="588"/>
      <c r="G4" s="588"/>
    </row>
    <row r="5" spans="1:15" ht="33.75" customHeight="1" x14ac:dyDescent="0.25">
      <c r="A5" s="101" t="s">
        <v>43</v>
      </c>
      <c r="B5" s="621" t="str">
        <f>'I.2 Site Info'!B4:J4</f>
        <v>Given the stated assumptions in Worksheet I.1, determine how we can protect the installation infrastructure from damage due to flooding and permanent inundation over the next 100 years.</v>
      </c>
      <c r="C5" s="622"/>
      <c r="D5" s="622"/>
      <c r="E5" s="622"/>
      <c r="F5" s="622"/>
      <c r="G5" s="623"/>
    </row>
    <row r="6" spans="1:15" ht="18" customHeight="1" x14ac:dyDescent="0.25">
      <c r="A6" s="102" t="s">
        <v>44</v>
      </c>
      <c r="B6" s="612" t="str">
        <f>'I.2 Site Info'!B5:J5</f>
        <v xml:space="preserve">Permanent inundation and flooding </v>
      </c>
      <c r="C6" s="570"/>
      <c r="D6" s="570"/>
      <c r="E6" s="570"/>
      <c r="F6" s="570"/>
      <c r="G6" s="624"/>
    </row>
    <row r="7" spans="1:15" ht="17.25" customHeight="1" thickBot="1" x14ac:dyDescent="0.3">
      <c r="A7" s="103" t="s">
        <v>105</v>
      </c>
      <c r="B7" s="612" t="str">
        <f>'I.2 Site Info'!B6:J6</f>
        <v>Sea level change and storm surge (the 1% annual chance event or 100-year storm event)</v>
      </c>
      <c r="C7" s="570"/>
      <c r="D7" s="570"/>
      <c r="E7" s="570"/>
      <c r="F7" s="570"/>
      <c r="G7" s="624"/>
    </row>
    <row r="8" spans="1:15" ht="15.75" customHeight="1" thickBot="1" x14ac:dyDescent="0.3">
      <c r="A8" s="589" t="s">
        <v>560</v>
      </c>
      <c r="B8" s="589"/>
      <c r="C8" s="589"/>
      <c r="D8" s="589"/>
      <c r="E8" s="589"/>
      <c r="F8" s="589"/>
      <c r="G8" s="589"/>
      <c r="H8" s="589"/>
      <c r="I8" s="589"/>
    </row>
    <row r="9" spans="1:15" ht="15" customHeight="1" x14ac:dyDescent="0.25">
      <c r="A9" s="586" t="s">
        <v>9</v>
      </c>
      <c r="B9" s="587"/>
      <c r="C9" s="66"/>
      <c r="D9" s="19"/>
      <c r="E9" s="100"/>
      <c r="F9" s="76"/>
      <c r="G9" s="65"/>
    </row>
    <row r="10" spans="1:15" ht="15.75" thickBot="1" x14ac:dyDescent="0.3">
      <c r="A10" s="21" t="s">
        <v>10</v>
      </c>
      <c r="B10" s="85" t="s">
        <v>11</v>
      </c>
      <c r="C10" s="22" t="s">
        <v>12</v>
      </c>
      <c r="D10" s="86" t="s">
        <v>13</v>
      </c>
      <c r="E10" s="46"/>
      <c r="F10" s="77"/>
      <c r="G10" s="65"/>
    </row>
    <row r="11" spans="1:15" ht="15.75" customHeight="1" thickBot="1" x14ac:dyDescent="0.3">
      <c r="A11" s="588" t="s">
        <v>157</v>
      </c>
      <c r="B11" s="588"/>
      <c r="C11" s="588"/>
      <c r="D11" s="588"/>
      <c r="E11" s="588"/>
      <c r="F11" s="588"/>
      <c r="G11" s="588"/>
      <c r="H11" s="588"/>
      <c r="I11" s="588"/>
    </row>
    <row r="12" spans="1:15" ht="15" customHeight="1" thickBot="1" x14ac:dyDescent="0.3">
      <c r="A12" s="635" t="s">
        <v>561</v>
      </c>
      <c r="B12" s="593" t="s">
        <v>25</v>
      </c>
      <c r="C12" s="594"/>
      <c r="D12" s="590" t="s">
        <v>87</v>
      </c>
      <c r="E12" s="591"/>
      <c r="F12" s="591"/>
      <c r="G12" s="591"/>
      <c r="H12" s="591"/>
      <c r="I12" s="591"/>
      <c r="J12" s="591"/>
      <c r="K12" s="591"/>
      <c r="L12" s="591"/>
      <c r="M12" s="591"/>
      <c r="N12" s="591"/>
      <c r="O12" s="592"/>
    </row>
    <row r="13" spans="1:15" x14ac:dyDescent="0.25">
      <c r="A13" s="636"/>
      <c r="B13" s="627">
        <v>2016</v>
      </c>
      <c r="C13" s="628"/>
      <c r="D13" s="595">
        <v>2035</v>
      </c>
      <c r="E13" s="596"/>
      <c r="F13" s="596"/>
      <c r="G13" s="597"/>
      <c r="H13" s="595">
        <v>2065</v>
      </c>
      <c r="I13" s="596"/>
      <c r="J13" s="596"/>
      <c r="K13" s="597"/>
      <c r="L13" s="595">
        <v>2100</v>
      </c>
      <c r="M13" s="596"/>
      <c r="N13" s="596"/>
      <c r="O13" s="597"/>
    </row>
    <row r="14" spans="1:15" x14ac:dyDescent="0.25">
      <c r="A14" s="433" t="s">
        <v>546</v>
      </c>
      <c r="B14" s="629"/>
      <c r="C14" s="630"/>
      <c r="D14" s="583" t="s">
        <v>27</v>
      </c>
      <c r="E14" s="598"/>
      <c r="F14" s="598" t="s">
        <v>26</v>
      </c>
      <c r="G14" s="584"/>
      <c r="H14" s="583" t="s">
        <v>27</v>
      </c>
      <c r="I14" s="598"/>
      <c r="J14" s="598" t="s">
        <v>26</v>
      </c>
      <c r="K14" s="584"/>
      <c r="L14" s="639" t="s">
        <v>27</v>
      </c>
      <c r="M14" s="640"/>
      <c r="N14" s="633" t="s">
        <v>26</v>
      </c>
      <c r="O14" s="634"/>
    </row>
    <row r="15" spans="1:15" ht="51" customHeight="1" x14ac:dyDescent="0.25">
      <c r="A15" s="625" t="s">
        <v>31</v>
      </c>
      <c r="B15" s="631"/>
      <c r="C15" s="45" t="s">
        <v>45</v>
      </c>
      <c r="D15" s="407" t="s">
        <v>28</v>
      </c>
      <c r="E15" s="301" t="s">
        <v>48</v>
      </c>
      <c r="F15" s="301" t="s">
        <v>28</v>
      </c>
      <c r="G15" s="406" t="s">
        <v>48</v>
      </c>
      <c r="H15" s="407" t="s">
        <v>28</v>
      </c>
      <c r="I15" s="301" t="s">
        <v>48</v>
      </c>
      <c r="J15" s="301" t="s">
        <v>28</v>
      </c>
      <c r="K15" s="406" t="s">
        <v>48</v>
      </c>
      <c r="L15" s="407" t="s">
        <v>28</v>
      </c>
      <c r="M15" s="301" t="s">
        <v>48</v>
      </c>
      <c r="N15" s="301" t="s">
        <v>28</v>
      </c>
      <c r="O15" s="406" t="s">
        <v>48</v>
      </c>
    </row>
    <row r="16" spans="1:15" x14ac:dyDescent="0.25">
      <c r="A16" s="626"/>
      <c r="B16" s="632"/>
      <c r="C16" s="84">
        <f>'I.5 Current Future Conditions'!D22</f>
        <v>3.923</v>
      </c>
      <c r="D16" s="417">
        <f>'I.5 Current Future Conditions'!E22</f>
        <v>0.50800000000000001</v>
      </c>
      <c r="E16" s="418">
        <f>'I.5 Current Future Conditions'!F22</f>
        <v>4.4080000000000004</v>
      </c>
      <c r="F16" s="418">
        <f>'I.5 Current Future Conditions'!G22</f>
        <v>1.508</v>
      </c>
      <c r="G16" s="419">
        <f>'I.5 Current Future Conditions'!H22</f>
        <v>5.4080000000000004</v>
      </c>
      <c r="H16" s="417">
        <f>'I.5 Current Future Conditions'!I22</f>
        <v>1.208</v>
      </c>
      <c r="I16" s="418">
        <f>'I.5 Current Future Conditions'!J22</f>
        <v>5.1080000000000005</v>
      </c>
      <c r="J16" s="418">
        <f>'I.5 Current Future Conditions'!K22</f>
        <v>3.508</v>
      </c>
      <c r="K16" s="419">
        <f>'I.5 Current Future Conditions'!L22</f>
        <v>7.4080000000000004</v>
      </c>
      <c r="L16" s="417">
        <f>'I.5 Current Future Conditions'!M22</f>
        <v>2.2079999999999997</v>
      </c>
      <c r="M16" s="418">
        <f>'I.5 Current Future Conditions'!N22</f>
        <v>6.1080000000000005</v>
      </c>
      <c r="N16" s="418">
        <f>'I.5 Current Future Conditions'!O22</f>
        <v>8.2080000000000002</v>
      </c>
      <c r="O16" s="419">
        <f>'I.5 Current Future Conditions'!P22</f>
        <v>12.107999999999999</v>
      </c>
    </row>
    <row r="17" spans="1:15" ht="38.25" x14ac:dyDescent="0.25">
      <c r="A17" s="432" t="s">
        <v>50</v>
      </c>
      <c r="B17" s="137" t="s">
        <v>32</v>
      </c>
      <c r="C17" s="415" t="s">
        <v>156</v>
      </c>
      <c r="D17" s="137" t="s">
        <v>32</v>
      </c>
      <c r="E17" s="416" t="s">
        <v>156</v>
      </c>
      <c r="F17" s="51" t="s">
        <v>33</v>
      </c>
      <c r="G17" s="415" t="s">
        <v>34</v>
      </c>
      <c r="H17" s="420"/>
      <c r="I17" s="416"/>
      <c r="J17" s="51" t="s">
        <v>169</v>
      </c>
      <c r="K17" s="415" t="s">
        <v>34</v>
      </c>
      <c r="L17" s="137" t="s">
        <v>32</v>
      </c>
      <c r="M17" s="416" t="s">
        <v>34</v>
      </c>
      <c r="N17" s="51" t="s">
        <v>169</v>
      </c>
      <c r="O17" s="415" t="s">
        <v>34</v>
      </c>
    </row>
    <row r="18" spans="1:15" ht="33.75" customHeight="1" x14ac:dyDescent="0.25">
      <c r="A18" s="434" t="s">
        <v>159</v>
      </c>
      <c r="B18" s="637" t="s">
        <v>52</v>
      </c>
      <c r="C18" s="637"/>
      <c r="D18" s="618" t="s">
        <v>52</v>
      </c>
      <c r="E18" s="619"/>
      <c r="F18" s="619" t="s">
        <v>52</v>
      </c>
      <c r="G18" s="620"/>
      <c r="H18" s="618" t="s">
        <v>52</v>
      </c>
      <c r="I18" s="619"/>
      <c r="J18" s="619" t="s">
        <v>52</v>
      </c>
      <c r="K18" s="620"/>
      <c r="L18" s="618" t="s">
        <v>52</v>
      </c>
      <c r="M18" s="619"/>
      <c r="N18" s="619" t="s">
        <v>52</v>
      </c>
      <c r="O18" s="620"/>
    </row>
    <row r="19" spans="1:15" x14ac:dyDescent="0.25">
      <c r="A19" s="435" t="s">
        <v>137</v>
      </c>
      <c r="B19" s="137" t="s">
        <v>53</v>
      </c>
      <c r="C19" s="414" t="s">
        <v>54</v>
      </c>
      <c r="D19" s="137" t="s">
        <v>53</v>
      </c>
      <c r="E19" s="51" t="s">
        <v>54</v>
      </c>
      <c r="F19" s="51" t="s">
        <v>53</v>
      </c>
      <c r="G19" s="414" t="s">
        <v>54</v>
      </c>
      <c r="H19" s="137" t="s">
        <v>53</v>
      </c>
      <c r="I19" s="51" t="s">
        <v>54</v>
      </c>
      <c r="J19" s="51" t="s">
        <v>53</v>
      </c>
      <c r="K19" s="415" t="s">
        <v>56</v>
      </c>
      <c r="L19" s="137" t="s">
        <v>53</v>
      </c>
      <c r="M19" s="416" t="s">
        <v>55</v>
      </c>
      <c r="N19" s="416" t="s">
        <v>56</v>
      </c>
      <c r="O19" s="415" t="s">
        <v>56</v>
      </c>
    </row>
    <row r="20" spans="1:15" ht="29.25" customHeight="1" x14ac:dyDescent="0.25">
      <c r="A20" s="435" t="s">
        <v>138</v>
      </c>
      <c r="B20" s="137" t="s">
        <v>53</v>
      </c>
      <c r="C20" s="414" t="s">
        <v>54</v>
      </c>
      <c r="D20" s="137" t="s">
        <v>53</v>
      </c>
      <c r="E20" s="51" t="s">
        <v>54</v>
      </c>
      <c r="F20" s="51" t="s">
        <v>53</v>
      </c>
      <c r="G20" s="414" t="s">
        <v>54</v>
      </c>
      <c r="H20" s="137" t="s">
        <v>53</v>
      </c>
      <c r="I20" s="51" t="s">
        <v>54</v>
      </c>
      <c r="J20" s="51" t="s">
        <v>54</v>
      </c>
      <c r="K20" s="414" t="s">
        <v>54</v>
      </c>
      <c r="L20" s="137" t="s">
        <v>54</v>
      </c>
      <c r="M20" s="51" t="s">
        <v>54</v>
      </c>
      <c r="N20" s="416" t="s">
        <v>55</v>
      </c>
      <c r="O20" s="415" t="s">
        <v>55</v>
      </c>
    </row>
    <row r="21" spans="1:15" ht="19.5" customHeight="1" x14ac:dyDescent="0.25">
      <c r="A21" s="435" t="s">
        <v>139</v>
      </c>
      <c r="B21" s="137" t="s">
        <v>53</v>
      </c>
      <c r="C21" s="414" t="s">
        <v>54</v>
      </c>
      <c r="D21" s="137" t="s">
        <v>53</v>
      </c>
      <c r="E21" s="51" t="s">
        <v>54</v>
      </c>
      <c r="F21" s="51" t="s">
        <v>53</v>
      </c>
      <c r="G21" s="414" t="s">
        <v>54</v>
      </c>
      <c r="H21" s="137" t="s">
        <v>53</v>
      </c>
      <c r="I21" s="51" t="s">
        <v>54</v>
      </c>
      <c r="J21" s="51" t="s">
        <v>53</v>
      </c>
      <c r="K21" s="415" t="s">
        <v>55</v>
      </c>
      <c r="L21" s="137" t="s">
        <v>53</v>
      </c>
      <c r="M21" s="416" t="s">
        <v>55</v>
      </c>
      <c r="N21" s="416" t="s">
        <v>56</v>
      </c>
      <c r="O21" s="415" t="s">
        <v>56</v>
      </c>
    </row>
    <row r="22" spans="1:15" ht="291" customHeight="1" thickBot="1" x14ac:dyDescent="0.3">
      <c r="A22" s="436" t="s">
        <v>51</v>
      </c>
      <c r="B22" s="421" t="s">
        <v>142</v>
      </c>
      <c r="C22" s="422" t="s">
        <v>536</v>
      </c>
      <c r="D22" s="421" t="s">
        <v>190</v>
      </c>
      <c r="E22" s="423" t="s">
        <v>187</v>
      </c>
      <c r="F22" s="423" t="s">
        <v>189</v>
      </c>
      <c r="G22" s="424" t="s">
        <v>193</v>
      </c>
      <c r="H22" s="401" t="s">
        <v>189</v>
      </c>
      <c r="I22" s="423" t="s">
        <v>191</v>
      </c>
      <c r="J22" s="423" t="s">
        <v>188</v>
      </c>
      <c r="K22" s="424" t="s">
        <v>194</v>
      </c>
      <c r="L22" s="401" t="s">
        <v>35</v>
      </c>
      <c r="M22" s="423" t="s">
        <v>195</v>
      </c>
      <c r="N22" s="423" t="s">
        <v>624</v>
      </c>
      <c r="O22" s="424" t="s">
        <v>196</v>
      </c>
    </row>
    <row r="23" spans="1:15" ht="8.25" customHeight="1" thickBot="1" x14ac:dyDescent="0.3"/>
    <row r="24" spans="1:15" ht="15.75" x14ac:dyDescent="0.25">
      <c r="A24" s="54" t="s">
        <v>0</v>
      </c>
      <c r="B24" s="24"/>
      <c r="C24" s="24"/>
      <c r="D24" s="24"/>
      <c r="E24" s="24"/>
      <c r="F24" s="24"/>
      <c r="G24" s="24"/>
      <c r="H24" s="24"/>
      <c r="I24" s="55"/>
    </row>
    <row r="25" spans="1:15" ht="20.25" customHeight="1" x14ac:dyDescent="0.25">
      <c r="A25" s="78" t="s">
        <v>552</v>
      </c>
      <c r="B25" s="519" t="s">
        <v>158</v>
      </c>
      <c r="C25" s="519"/>
      <c r="D25" s="519"/>
      <c r="E25" s="519"/>
      <c r="F25" s="519"/>
      <c r="G25" s="519"/>
      <c r="H25" s="519"/>
      <c r="I25" s="520"/>
    </row>
    <row r="26" spans="1:15" ht="30" x14ac:dyDescent="0.25">
      <c r="A26" s="428" t="s">
        <v>547</v>
      </c>
      <c r="B26" s="519" t="s">
        <v>158</v>
      </c>
      <c r="C26" s="519"/>
      <c r="D26" s="519"/>
      <c r="E26" s="519"/>
      <c r="F26" s="519"/>
      <c r="G26" s="519"/>
      <c r="H26" s="519"/>
      <c r="I26" s="520"/>
    </row>
    <row r="27" spans="1:15" ht="66" customHeight="1" x14ac:dyDescent="0.25">
      <c r="A27" s="57" t="s">
        <v>50</v>
      </c>
      <c r="B27" s="538" t="s">
        <v>570</v>
      </c>
      <c r="C27" s="538"/>
      <c r="D27" s="538"/>
      <c r="E27" s="538"/>
      <c r="F27" s="539"/>
      <c r="G27" s="539"/>
      <c r="H27" s="539"/>
      <c r="I27" s="540"/>
    </row>
    <row r="28" spans="1:15" ht="30" x14ac:dyDescent="0.25">
      <c r="A28" s="58" t="s">
        <v>159</v>
      </c>
      <c r="B28" s="538" t="s">
        <v>653</v>
      </c>
      <c r="C28" s="538"/>
      <c r="D28" s="538"/>
      <c r="E28" s="538"/>
      <c r="F28" s="539"/>
      <c r="G28" s="539"/>
      <c r="H28" s="539"/>
      <c r="I28" s="540"/>
    </row>
    <row r="29" spans="1:15" ht="30" customHeight="1" x14ac:dyDescent="0.25">
      <c r="A29" s="58" t="s">
        <v>52</v>
      </c>
      <c r="B29" s="538" t="s">
        <v>654</v>
      </c>
      <c r="C29" s="538"/>
      <c r="D29" s="538"/>
      <c r="E29" s="538"/>
      <c r="F29" s="539"/>
      <c r="G29" s="539"/>
      <c r="H29" s="539"/>
      <c r="I29" s="540"/>
    </row>
    <row r="30" spans="1:15" ht="31.5" customHeight="1" thickBot="1" x14ac:dyDescent="0.3">
      <c r="A30" s="70" t="s">
        <v>160</v>
      </c>
      <c r="B30" s="535" t="s">
        <v>569</v>
      </c>
      <c r="C30" s="535"/>
      <c r="D30" s="535"/>
      <c r="E30" s="535"/>
      <c r="F30" s="536"/>
      <c r="G30" s="536"/>
      <c r="H30" s="536"/>
      <c r="I30" s="537"/>
    </row>
    <row r="31" spans="1:15" ht="7.5" customHeight="1" thickBot="1" x14ac:dyDescent="0.3"/>
    <row r="32" spans="1:15" x14ac:dyDescent="0.25">
      <c r="B32" s="71" t="s">
        <v>52</v>
      </c>
      <c r="C32" s="79"/>
      <c r="D32" s="24"/>
      <c r="E32" s="55"/>
    </row>
    <row r="33" spans="2:5" x14ac:dyDescent="0.25">
      <c r="B33" s="541" t="s">
        <v>132</v>
      </c>
      <c r="C33" s="542"/>
      <c r="D33" s="542"/>
      <c r="E33" s="543"/>
    </row>
    <row r="34" spans="2:5" x14ac:dyDescent="0.25">
      <c r="B34" s="541" t="s">
        <v>133</v>
      </c>
      <c r="C34" s="542"/>
      <c r="D34" s="542"/>
      <c r="E34" s="543"/>
    </row>
    <row r="35" spans="2:5" ht="29.25" customHeight="1" x14ac:dyDescent="0.25">
      <c r="B35" s="544" t="s">
        <v>134</v>
      </c>
      <c r="C35" s="545"/>
      <c r="D35" s="545"/>
      <c r="E35" s="546"/>
    </row>
    <row r="36" spans="2:5" x14ac:dyDescent="0.25">
      <c r="B36" s="541" t="s">
        <v>135</v>
      </c>
      <c r="C36" s="542"/>
      <c r="D36" s="542"/>
      <c r="E36" s="543"/>
    </row>
    <row r="37" spans="2:5" x14ac:dyDescent="0.25">
      <c r="B37" s="541" t="s">
        <v>136</v>
      </c>
      <c r="C37" s="542"/>
      <c r="D37" s="542"/>
      <c r="E37" s="543"/>
    </row>
    <row r="38" spans="2:5" ht="15.75" thickBot="1" x14ac:dyDescent="0.3">
      <c r="B38" s="547" t="s">
        <v>496</v>
      </c>
      <c r="C38" s="548"/>
      <c r="D38" s="548"/>
      <c r="E38" s="549"/>
    </row>
  </sheetData>
  <mergeCells count="45">
    <mergeCell ref="B25:I25"/>
    <mergeCell ref="A4:G4"/>
    <mergeCell ref="J18:K18"/>
    <mergeCell ref="L18:M18"/>
    <mergeCell ref="A2:G2"/>
    <mergeCell ref="A3:I3"/>
    <mergeCell ref="A8:I8"/>
    <mergeCell ref="A11:I11"/>
    <mergeCell ref="F14:G14"/>
    <mergeCell ref="L14:M14"/>
    <mergeCell ref="N14:O14"/>
    <mergeCell ref="D13:G13"/>
    <mergeCell ref="D14:E14"/>
    <mergeCell ref="L13:O13"/>
    <mergeCell ref="A12:A13"/>
    <mergeCell ref="N18:O18"/>
    <mergeCell ref="B18:C18"/>
    <mergeCell ref="B5:G5"/>
    <mergeCell ref="B6:G6"/>
    <mergeCell ref="B7:G7"/>
    <mergeCell ref="H18:I18"/>
    <mergeCell ref="A9:B9"/>
    <mergeCell ref="A15:A16"/>
    <mergeCell ref="B13:C14"/>
    <mergeCell ref="B15:B16"/>
    <mergeCell ref="B35:E35"/>
    <mergeCell ref="B38:E38"/>
    <mergeCell ref="B36:E36"/>
    <mergeCell ref="B37:E37"/>
    <mergeCell ref="B30:I30"/>
    <mergeCell ref="D18:E18"/>
    <mergeCell ref="F18:G18"/>
    <mergeCell ref="B26:I26"/>
    <mergeCell ref="B27:I27"/>
    <mergeCell ref="B28:I28"/>
    <mergeCell ref="D1:E1"/>
    <mergeCell ref="F1:G1"/>
    <mergeCell ref="B12:C12"/>
    <mergeCell ref="H13:K13"/>
    <mergeCell ref="B33:E33"/>
    <mergeCell ref="B34:E34"/>
    <mergeCell ref="B29:I29"/>
    <mergeCell ref="H14:I14"/>
    <mergeCell ref="D12:O12"/>
    <mergeCell ref="J14:K14"/>
  </mergeCells>
  <pageMargins left="0.7" right="0.7" top="0.75" bottom="0.75" header="0.3" footer="0.3"/>
  <pageSetup scale="46" fitToWidth="2" orientation="landscape" cellComments="asDisplayed" r:id="rId1"/>
  <colBreaks count="1" manualBreakCount="1">
    <brk id="11" max="37"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DFBC81F019A0044B77B8A5700B1882D" ma:contentTypeVersion="0" ma:contentTypeDescription="Create a new document." ma:contentTypeScope="" ma:versionID="aa8a1796de48d176d47d628a197edfb2">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FCE859-BE46-439D-BF59-E8576962C65A}">
  <ds:schemaRefs>
    <ds:schemaRef ds:uri="http://schemas.microsoft.com/sharepoint/v3/contenttype/forms"/>
  </ds:schemaRefs>
</ds:datastoreItem>
</file>

<file path=customXml/itemProps2.xml><?xml version="1.0" encoding="utf-8"?>
<ds:datastoreItem xmlns:ds="http://schemas.openxmlformats.org/officeDocument/2006/customXml" ds:itemID="{B0C3A3AE-5DE8-4485-A83D-ED3D52F00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C12B82D-BBB9-4AF9-B567-010D4155A110}">
  <ds:schemaRefs>
    <ds:schemaRef ds:uri="http://purl.org/dc/dcmitype/"/>
    <ds:schemaRef ds:uri="http://purl.org/dc/elements/1.1/"/>
    <ds:schemaRef ds:uri="http://schemas.microsoft.com/office/2006/documentManagement/types"/>
    <ds:schemaRef ds:uri="http://www.w3.org/XML/1998/namespace"/>
    <ds:schemaRef ds:uri="http://schemas.microsoft.com/office/2006/metadata/properties"/>
    <ds:schemaRef ds:uri="http://purl.org/dc/term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App G Contents</vt:lpstr>
      <vt:lpstr>Worksheet Overview</vt:lpstr>
      <vt:lpstr>I.1 Assessment Scope</vt:lpstr>
      <vt:lpstr>I.2 Site Info</vt:lpstr>
      <vt:lpstr>I.3 Past Event Info</vt:lpstr>
      <vt:lpstr>I.4 Climate Info Require</vt:lpstr>
      <vt:lpstr>I.5 Current Future Conditions</vt:lpstr>
      <vt:lpstr>I.6 Existing Assmt Eval</vt:lpstr>
      <vt:lpstr>I.7 Impact Characterization</vt:lpstr>
      <vt:lpstr>II.1 Actions </vt:lpstr>
      <vt:lpstr>III.1 LCCA_Grouping</vt:lpstr>
      <vt:lpstr>III.2 CEA</vt:lpstr>
      <vt:lpstr>III.3 Benefits_Grouping</vt:lpstr>
      <vt:lpstr>III.4.1 BCR NPV Grouping</vt:lpstr>
      <vt:lpstr>III.4.2 BCR NPV Seawall Alt</vt:lpstr>
      <vt:lpstr>III.4.3 BCR NPV Flood Gate</vt:lpstr>
      <vt:lpstr>III.4.4 BCR NPV Restore Marsh </vt:lpstr>
      <vt:lpstr>III.4.5 BCR NPV Oyster Reef</vt:lpstr>
      <vt:lpstr>IV.1 Portfolio Summary</vt:lpstr>
      <vt:lpstr>'App G Contents'!Print_Area</vt:lpstr>
      <vt:lpstr>'I.1 Assessment Scope'!Print_Area</vt:lpstr>
      <vt:lpstr>'I.2 Site Info'!Print_Area</vt:lpstr>
      <vt:lpstr>'I.3 Past Event Info'!Print_Area</vt:lpstr>
      <vt:lpstr>'I.4 Climate Info Require'!Print_Area</vt:lpstr>
      <vt:lpstr>'I.5 Current Future Conditions'!Print_Area</vt:lpstr>
      <vt:lpstr>'I.6 Existing Assmt Eval'!Print_Area</vt:lpstr>
      <vt:lpstr>'I.7 Impact Characterization'!Print_Area</vt:lpstr>
      <vt:lpstr>'II.1 Actions '!Print_Area</vt:lpstr>
      <vt:lpstr>'III.1 LCCA_Grouping'!Print_Area</vt:lpstr>
      <vt:lpstr>'III.2 CEA'!Print_Area</vt:lpstr>
      <vt:lpstr>'III.3 Benefits_Grouping'!Print_Area</vt:lpstr>
      <vt:lpstr>'III.4.1 BCR NPV Grouping'!Print_Area</vt:lpstr>
      <vt:lpstr>'III.4.2 BCR NPV Seawall Alt'!Print_Area</vt:lpstr>
      <vt:lpstr>'III.4.3 BCR NPV Flood Gate'!Print_Area</vt:lpstr>
      <vt:lpstr>'III.4.4 BCR NPV Restore Marsh '!Print_Area</vt:lpstr>
      <vt:lpstr>'III.4.5 BCR NPV Oyster Reef'!Print_Area</vt:lpstr>
      <vt:lpstr>'IV.1 Portfolio Summary'!Print_Area</vt:lpstr>
      <vt:lpstr>'Worksheet Overview'!Print_Area</vt:lpstr>
    </vt:vector>
  </TitlesOfParts>
  <Company>Leidos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Hudson</dc:creator>
  <cp:lastModifiedBy>james lloyd</cp:lastModifiedBy>
  <cp:lastPrinted>2017-01-17T19:48:18Z</cp:lastPrinted>
  <dcterms:created xsi:type="dcterms:W3CDTF">2015-11-10T22:06:05Z</dcterms:created>
  <dcterms:modified xsi:type="dcterms:W3CDTF">2024-06-06T19:46:42Z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0x0101005DFBC81F019A0044B77B8A5700B1882D</vt:lpwstr>
  </property>
</Properties>
</file>