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https://boozallen.sharepoint.us/teams/pmefsp_afcec/Authorization and Allocation Resources/Authorization Team Resources/Unit-Specific Resources/FSS Resources/FSS CAW Templates/"/>
    </mc:Choice>
  </mc:AlternateContent>
  <xr:revisionPtr revIDLastSave="0" documentId="13_ncr:1_{A2B0B63A-7B08-4F2A-82CB-59BCC572C085}" xr6:coauthVersionLast="47" xr6:coauthVersionMax="47" xr10:uidLastSave="{00000000-0000-0000-0000-000000000000}"/>
  <bookViews>
    <workbookView xWindow="28680" yWindow="-120" windowWidth="29040" windowHeight="15720" tabRatio="802" firstSheet="12" activeTab="16" xr2:uid="{00000000-000D-0000-FFFF-FFFF00000000}"/>
  </bookViews>
  <sheets>
    <sheet name="Customer Summary" sheetId="4" r:id="rId1"/>
    <sheet name="Instructions &amp; Pop Data" sheetId="71" r:id="rId2"/>
    <sheet name="171815_PME" sheetId="19" r:id="rId3"/>
    <sheet name="432283_Cold Storage" sheetId="34" r:id="rId4"/>
    <sheet name="441100_Gen Storage" sheetId="35" r:id="rId5"/>
    <sheet name="442765_Subsistence Whse" sheetId="72" r:id="rId6"/>
    <sheet name="730801_HG_Admin" sheetId="11" r:id="rId7"/>
    <sheet name="610124_Sq HQ" sheetId="30" r:id="rId8"/>
    <sheet name="610128(FSP)" sheetId="31" r:id="rId9"/>
    <sheet name="610128(FSC)" sheetId="32" r:id="rId10"/>
    <sheet name="721215_DFAC(Dorm)" sheetId="36" r:id="rId11"/>
    <sheet name="722351_DFAC" sheetId="37" r:id="rId12"/>
    <sheet name="722345_Fast Food" sheetId="38" r:id="rId13"/>
    <sheet name="723385_Prep Kitchen" sheetId="39" r:id="rId14"/>
    <sheet name="723388_Flt Kitchen" sheetId="40" r:id="rId15"/>
    <sheet name="730441_Ed Ctr" sheetId="41" r:id="rId16"/>
    <sheet name="730443_Postal" sheetId="42" r:id="rId17"/>
    <sheet name="738521_Toilet" sheetId="43" r:id="rId18"/>
    <sheet name="740253_MFRC" sheetId="44" r:id="rId19"/>
    <sheet name="740255_Thrift Shop" sheetId="45" r:id="rId20"/>
    <sheet name="740315_Rod&amp;Gun Club" sheetId="46" r:id="rId21"/>
    <sheet name="740316_Rec Ctr" sheetId="47" r:id="rId22"/>
    <sheet name="740317_Aero Club" sheetId="48" r:id="rId23"/>
    <sheet name="740370_ODR Ctr " sheetId="49" r:id="rId24"/>
    <sheet name="740615_Club" sheetId="50" r:id="rId25"/>
    <sheet name="740664_A&amp;C Ctr" sheetId="51" r:id="rId26"/>
    <sheet name="740665_Auto Hobby" sheetId="52" r:id="rId27"/>
    <sheet name="740668_Misc Rec" sheetId="53" r:id="rId28"/>
    <sheet name="740671_Bowling Ctr" sheetId="54" r:id="rId29"/>
    <sheet name="740672_ODR Storage" sheetId="55" r:id="rId30"/>
    <sheet name="740674_Gym" sheetId="56" r:id="rId31"/>
    <sheet name="740675_Library" sheetId="57" r:id="rId32"/>
    <sheet name="740677_Indoor Pool" sheetId="58" r:id="rId33"/>
    <sheet name="740735_Restaurant" sheetId="59" r:id="rId34"/>
    <sheet name="740873_Theatre" sheetId="60" r:id="rId35"/>
    <sheet name="740874_Cmty Ctr" sheetId="61" r:id="rId36"/>
    <sheet name="740883_Youth Ctr" sheetId="62" r:id="rId37"/>
    <sheet name="740884_CDC" sheetId="63" r:id="rId38"/>
    <sheet name="750422_Clubhouse" sheetId="64" r:id="rId39"/>
    <sheet name="750423_Golf Eqpt" sheetId="65" r:id="rId40"/>
    <sheet name="750583_Stables" sheetId="66" r:id="rId41"/>
    <sheet name="750612_Camp Spt" sheetId="67" r:id="rId42"/>
    <sheet name="750811_Bath House" sheetId="68" r:id="rId43"/>
    <sheet name="UMD" sheetId="2" r:id="rId44"/>
    <sheet name="Support Agreement" sheetId="33" state="hidden" r:id="rId45"/>
    <sheet name="Sheet References" sheetId="6" r:id="rId46"/>
    <sheet name="CatCodes FY24" sheetId="25" state="hidden" r:id="rId47"/>
  </sheets>
  <definedNames>
    <definedName name="_5_6_digit" localSheetId="46">#REF!</definedName>
    <definedName name="_5_6_digit" localSheetId="1">#REF!</definedName>
    <definedName name="_5_6_digit">#REF!</definedName>
    <definedName name="_xlnm._FilterDatabase" localSheetId="46" hidden="1">'CatCodes FY24'!$A$1:$T$975</definedName>
    <definedName name="_xlnm._FilterDatabase" localSheetId="45" hidden="1">'Sheet References'!$A$13:$B$57</definedName>
    <definedName name="CATCode" localSheetId="2">'171815_PME'!$E$1</definedName>
    <definedName name="CATCode" localSheetId="3">'432283_Cold Storage'!$E$1</definedName>
    <definedName name="CATCode" localSheetId="4">'441100_Gen Storage'!$E$1</definedName>
    <definedName name="CATCode" localSheetId="5">'442765_Subsistence Whse'!$E$1</definedName>
    <definedName name="CATCode" localSheetId="7">'610124_Sq HQ'!$E$1</definedName>
    <definedName name="CATCode" localSheetId="9">'610128(FSC)'!$E$1</definedName>
    <definedName name="CATCode" localSheetId="8">'610128(FSP)'!$E$1</definedName>
    <definedName name="CATCode" localSheetId="10">'721215_DFAC(Dorm)'!$E$1</definedName>
    <definedName name="CATCode" localSheetId="12">'722345_Fast Food'!$E$1</definedName>
    <definedName name="CATCode" localSheetId="11">'722351_DFAC'!$E$1</definedName>
    <definedName name="CATCode" localSheetId="13">'723385_Prep Kitchen'!$E$1</definedName>
    <definedName name="CATCode" localSheetId="14">'723388_Flt Kitchen'!$E$1</definedName>
    <definedName name="CATCode" localSheetId="15">'730441_Ed Ctr'!$E$1</definedName>
    <definedName name="CATCode" localSheetId="16">'730443_Postal'!$E$1</definedName>
    <definedName name="CATCode" localSheetId="17">'738521_Toilet'!$E$1</definedName>
    <definedName name="CATCode" localSheetId="18">'740253_MFRC'!$E$1</definedName>
    <definedName name="CATCode" localSheetId="19">'740255_Thrift Shop'!$E$1</definedName>
    <definedName name="CATCode" localSheetId="20">'740315_Rod&amp;Gun Club'!$E$1</definedName>
    <definedName name="CATCode" localSheetId="21">'740316_Rec Ctr'!$E$1</definedName>
    <definedName name="CATCode" localSheetId="22">'740317_Aero Club'!$E$1</definedName>
    <definedName name="CATCode" localSheetId="23">'740370_ODR Ctr '!$E$1</definedName>
    <definedName name="CATCode" localSheetId="24">'740615_Club'!$E$1</definedName>
    <definedName name="CATCode" localSheetId="25">'740664_A&amp;C Ctr'!$E$1</definedName>
    <definedName name="CATCode" localSheetId="26">'740665_Auto Hobby'!$E$1</definedName>
    <definedName name="CATCode" localSheetId="27">'740668_Misc Rec'!$E$1</definedName>
    <definedName name="CATCode" localSheetId="28">'740671_Bowling Ctr'!$E$1</definedName>
    <definedName name="CATCode" localSheetId="29">'740672_ODR Storage'!$E$1</definedName>
    <definedName name="CATCode" localSheetId="30">'740674_Gym'!$E$1</definedName>
    <definedName name="CATCode" localSheetId="31">'740675_Library'!$E$1</definedName>
    <definedName name="CATCode" localSheetId="32">'740677_Indoor Pool'!$E$1</definedName>
    <definedName name="CATCode" localSheetId="33">'740735_Restaurant'!$E$1</definedName>
    <definedName name="CATCode" localSheetId="34">'740873_Theatre'!$E$1</definedName>
    <definedName name="CATCode" localSheetId="35">'740874_Cmty Ctr'!$E$1</definedName>
    <definedName name="CATCode" localSheetId="36">'740883_Youth Ctr'!$E$1</definedName>
    <definedName name="CATCode" localSheetId="37">'740884_CDC'!$E$1</definedName>
    <definedName name="CATCode" localSheetId="38">'750422_Clubhouse'!$E$1</definedName>
    <definedName name="CATCode" localSheetId="39">'750423_Golf Eqpt'!$E$1</definedName>
    <definedName name="CATCode" localSheetId="40">'750583_Stables'!$E$1</definedName>
    <definedName name="CATCode" localSheetId="41">'750612_Camp Spt'!$E$1</definedName>
    <definedName name="CATCode" localSheetId="42">'750811_Bath House'!$E$1</definedName>
    <definedName name="CATCode" localSheetId="1">#REF!</definedName>
    <definedName name="CATCode" localSheetId="44">'Support Agreement'!$E$1</definedName>
    <definedName name="CATCode">'730801_HG_Admin'!$E$1</definedName>
    <definedName name="Ecat" localSheetId="46">#REF!</definedName>
    <definedName name="Ecat" localSheetId="1">#REF!</definedName>
    <definedName name="Ecat">#REF!</definedName>
    <definedName name="Ecat1" localSheetId="46">#REF!</definedName>
    <definedName name="Ecat1">#REF!</definedName>
    <definedName name="MB_5_6_digit_CC_export" localSheetId="46">#REF!</definedName>
    <definedName name="MB_5_6_digit_CC_export">#REF!</definedName>
    <definedName name="MB_latestorder">#REF!</definedName>
    <definedName name="NVMC_Lkup_UICs">#REF!</definedName>
    <definedName name="NVMC_lookup_UICs2">#REF!</definedName>
    <definedName name="_xlnm.Print_Area" localSheetId="2">'171815_PME'!$A$1:$H$46</definedName>
    <definedName name="_xlnm.Print_Area" localSheetId="3">'432283_Cold Storage'!$A$1:$H$19</definedName>
    <definedName name="_xlnm.Print_Area" localSheetId="4">'441100_Gen Storage'!$A$1:$H$18</definedName>
    <definedName name="_xlnm.Print_Area" localSheetId="5">'442765_Subsistence Whse'!$A$1:$H$18</definedName>
    <definedName name="_xlnm.Print_Area" localSheetId="7">'610124_Sq HQ'!$A$1:$H$60</definedName>
    <definedName name="_xlnm.Print_Area" localSheetId="9">'610128(FSC)'!$A$1:$H$60</definedName>
    <definedName name="_xlnm.Print_Area" localSheetId="8">'610128(FSP)'!$A$1:$H$60</definedName>
    <definedName name="_xlnm.Print_Area" localSheetId="10">'721215_DFAC(Dorm)'!$A$1:$H$19</definedName>
    <definedName name="_xlnm.Print_Area" localSheetId="12">'722345_Fast Food'!$A$1:$H$19</definedName>
    <definedName name="_xlnm.Print_Area" localSheetId="11">'722351_DFAC'!$A$1:$H$18</definedName>
    <definedName name="_xlnm.Print_Area" localSheetId="13">'723385_Prep Kitchen'!$A$1:$H$19</definedName>
    <definedName name="_xlnm.Print_Area" localSheetId="14">'723388_Flt Kitchen'!$A$1:$H$16</definedName>
    <definedName name="_xlnm.Print_Area" localSheetId="15">'730441_Ed Ctr'!$A$1:$H$19</definedName>
    <definedName name="_xlnm.Print_Area" localSheetId="16">'730443_Postal'!$A$1:$H$18</definedName>
    <definedName name="_xlnm.Print_Area" localSheetId="6">'730801_HG_Admin'!$A$1:$H$48</definedName>
    <definedName name="_xlnm.Print_Area" localSheetId="17">'738521_Toilet'!$A$1:$H$19</definedName>
    <definedName name="_xlnm.Print_Area" localSheetId="18">'740253_MFRC'!$A$1:$H$19</definedName>
    <definedName name="_xlnm.Print_Area" localSheetId="19">'740255_Thrift Shop'!$A$1:$H$18</definedName>
    <definedName name="_xlnm.Print_Area" localSheetId="20">'740315_Rod&amp;Gun Club'!$A$1:$H$18</definedName>
    <definedName name="_xlnm.Print_Area" localSheetId="21">'740316_Rec Ctr'!$A$1:$H$18</definedName>
    <definedName name="_xlnm.Print_Area" localSheetId="22">'740317_Aero Club'!$A$1:$H$18</definedName>
    <definedName name="_xlnm.Print_Area" localSheetId="23">'740370_ODR Ctr '!$A$1:$H$17</definedName>
    <definedName name="_xlnm.Print_Area" localSheetId="24">'740615_Club'!$A$1:$H$18</definedName>
    <definedName name="_xlnm.Print_Area" localSheetId="25">'740664_A&amp;C Ctr'!$A$1:$H$18</definedName>
    <definedName name="_xlnm.Print_Area" localSheetId="26">'740665_Auto Hobby'!$A$1:$H$18</definedName>
    <definedName name="_xlnm.Print_Area" localSheetId="27">'740668_Misc Rec'!$A$1:$H$18</definedName>
    <definedName name="_xlnm.Print_Area" localSheetId="28">'740671_Bowling Ctr'!$A$1:$H$18</definedName>
    <definedName name="_xlnm.Print_Area" localSheetId="29">'740672_ODR Storage'!$A$1:$H$16</definedName>
    <definedName name="_xlnm.Print_Area" localSheetId="30">'740674_Gym'!$A$1:$H$18</definedName>
    <definedName name="_xlnm.Print_Area" localSheetId="31">'740675_Library'!$A$1:$H$18</definedName>
    <definedName name="_xlnm.Print_Area" localSheetId="32">'740677_Indoor Pool'!$A$1:$H$18</definedName>
    <definedName name="_xlnm.Print_Area" localSheetId="33">'740735_Restaurant'!$A$1:$H$19</definedName>
    <definedName name="_xlnm.Print_Area" localSheetId="34">'740873_Theatre'!$A$1:$H$18</definedName>
    <definedName name="_xlnm.Print_Area" localSheetId="35">'740874_Cmty Ctr'!$A$1:$H$19</definedName>
    <definedName name="_xlnm.Print_Area" localSheetId="36">'740883_Youth Ctr'!$A$1:$H$18</definedName>
    <definedName name="_xlnm.Print_Area" localSheetId="37">'740884_CDC'!$A$1:$H$19</definedName>
    <definedName name="_xlnm.Print_Area" localSheetId="38">'750422_Clubhouse'!$A$1:$H$16</definedName>
    <definedName name="_xlnm.Print_Area" localSheetId="39">'750423_Golf Eqpt'!$A$1:$H$16</definedName>
    <definedName name="_xlnm.Print_Area" localSheetId="40">'750583_Stables'!$A$1:$H$18</definedName>
    <definedName name="_xlnm.Print_Area" localSheetId="41">'750612_Camp Spt'!$A$1:$H$16</definedName>
    <definedName name="_xlnm.Print_Area" localSheetId="42">'750811_Bath House'!$A$1:$H$19</definedName>
    <definedName name="_xlnm.Print_Area" localSheetId="44">'Support Agreement'!$A$1:$E$13</definedName>
    <definedName name="_xlnm.Print_Area" localSheetId="43">UMD!$A:$J</definedName>
    <definedName name="_xlnm.Print_Titles" localSheetId="43">UMD!$6:$6</definedName>
    <definedName name="SF_FACS" localSheetId="46">#REF!</definedName>
    <definedName name="SF_FACS" localSheetId="1">#REF!</definedName>
    <definedName name="SF_FACS">#REF!</definedName>
    <definedName name="SF_FACs2" localSheetId="1">#REF!</definedName>
    <definedName name="SF_FACs2">#REF!</definedName>
    <definedName name="Sort_Servi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3" i="42" l="1"/>
  <c r="H22" i="47"/>
  <c r="E10" i="47"/>
  <c r="F24" i="47"/>
  <c r="F22" i="47"/>
  <c r="D25" i="71"/>
  <c r="D26" i="71"/>
  <c r="D24" i="71"/>
  <c r="D29" i="71"/>
  <c r="D23" i="71"/>
  <c r="D20" i="71"/>
  <c r="D19" i="71"/>
  <c r="D18" i="71"/>
  <c r="F26" i="54"/>
  <c r="E9" i="54" l="1"/>
  <c r="B65" i="19"/>
  <c r="B71" i="19"/>
  <c r="C71" i="19"/>
  <c r="B85" i="19"/>
  <c r="B91" i="19"/>
  <c r="C91" i="19"/>
  <c r="A25" i="47"/>
  <c r="A23" i="47" s="1"/>
  <c r="A26" i="45"/>
  <c r="E24" i="49"/>
  <c r="E23" i="49"/>
  <c r="E22" i="49"/>
  <c r="C15" i="49"/>
  <c r="E15" i="49" s="1"/>
  <c r="C14" i="49"/>
  <c r="E14" i="49" s="1"/>
  <c r="C8" i="49"/>
  <c r="E8" i="49" s="1"/>
  <c r="G33" i="49"/>
  <c r="G32" i="49"/>
  <c r="G31" i="49"/>
  <c r="G30" i="49"/>
  <c r="G29" i="49"/>
  <c r="E8" i="38"/>
  <c r="E26" i="41" l="1"/>
  <c r="E27" i="41"/>
  <c r="E28" i="41"/>
  <c r="E29" i="41"/>
  <c r="E30" i="41"/>
  <c r="E31" i="41"/>
  <c r="E32" i="41"/>
  <c r="E33" i="41"/>
  <c r="E34" i="41"/>
  <c r="E35" i="41"/>
  <c r="E36" i="41"/>
  <c r="E37" i="41"/>
  <c r="E38" i="41"/>
  <c r="E39" i="41"/>
  <c r="E40" i="41"/>
  <c r="E41" i="41"/>
  <c r="E42" i="41"/>
  <c r="E43" i="41"/>
  <c r="E44" i="41"/>
  <c r="E45" i="41"/>
  <c r="E46" i="41"/>
  <c r="E47" i="41"/>
  <c r="E48" i="41"/>
  <c r="E25" i="41"/>
  <c r="C19" i="41"/>
  <c r="C18" i="41"/>
  <c r="E18" i="41" s="1"/>
  <c r="E12" i="41"/>
  <c r="E8" i="41"/>
  <c r="C9" i="41"/>
  <c r="E9" i="41" s="1"/>
  <c r="C10" i="41"/>
  <c r="E10" i="41" s="1"/>
  <c r="C11" i="41"/>
  <c r="E11" i="41" s="1"/>
  <c r="C12" i="41"/>
  <c r="C8" i="41"/>
  <c r="E25" i="44"/>
  <c r="C17" i="44" l="1"/>
  <c r="E17" i="44" s="1"/>
  <c r="C18" i="44"/>
  <c r="E18" i="44" s="1"/>
  <c r="C16" i="44"/>
  <c r="E16" i="44" s="1"/>
  <c r="C9" i="44"/>
  <c r="E9" i="44" s="1"/>
  <c r="C10" i="44"/>
  <c r="E10" i="44" s="1"/>
  <c r="C8" i="44"/>
  <c r="E8" i="44" s="1"/>
  <c r="G9" i="63"/>
  <c r="D31" i="62" l="1"/>
  <c r="D24" i="62"/>
  <c r="C31" i="62"/>
  <c r="C27" i="62"/>
  <c r="C24" i="62"/>
  <c r="B31" i="62"/>
  <c r="B27" i="62"/>
  <c r="B24" i="62"/>
  <c r="F30" i="62" s="1"/>
  <c r="D26" i="63"/>
  <c r="C26" i="63"/>
  <c r="B26" i="63"/>
  <c r="A26" i="63"/>
  <c r="C24" i="55"/>
  <c r="A21" i="55" s="1"/>
  <c r="D22" i="66"/>
  <c r="E21" i="65"/>
  <c r="G34" i="49"/>
  <c r="G23" i="49"/>
  <c r="G24" i="49"/>
  <c r="G22" i="49"/>
  <c r="F16" i="49"/>
  <c r="G15" i="49"/>
  <c r="G14" i="49"/>
  <c r="F9" i="49"/>
  <c r="G8" i="49"/>
  <c r="G9" i="49" s="1"/>
  <c r="G10" i="49" s="1"/>
  <c r="G11" i="49" s="1"/>
  <c r="G16" i="49" l="1"/>
  <c r="G17" i="49" s="1"/>
  <c r="G18" i="49" s="1"/>
  <c r="G35" i="49"/>
  <c r="G36" i="49" s="1"/>
  <c r="G37" i="49" s="1"/>
  <c r="F20" i="49"/>
  <c r="G20" i="49" s="1"/>
  <c r="D28" i="71"/>
  <c r="B23" i="42" s="1"/>
  <c r="D27" i="71"/>
  <c r="D24" i="68"/>
  <c r="E21" i="64"/>
  <c r="D23" i="58"/>
  <c r="A23" i="57"/>
  <c r="D23" i="57"/>
  <c r="E23" i="56"/>
  <c r="A23" i="54"/>
  <c r="D23" i="52"/>
  <c r="A23" i="52" s="1"/>
  <c r="D24" i="51"/>
  <c r="C23" i="50"/>
  <c r="A23" i="50" s="1"/>
  <c r="F24" i="46"/>
  <c r="A23" i="45"/>
  <c r="E23" i="42"/>
  <c r="B7" i="4"/>
  <c r="D30" i="71" l="1"/>
  <c r="B24" i="68"/>
  <c r="B23" i="57"/>
  <c r="F21" i="49"/>
  <c r="G21" i="49" s="1"/>
  <c r="A24" i="68"/>
  <c r="B21" i="65"/>
  <c r="B21" i="64"/>
  <c r="C24" i="46"/>
  <c r="B23" i="58"/>
  <c r="B24" i="51"/>
  <c r="B23" i="52"/>
  <c r="A24" i="46"/>
  <c r="A23" i="58"/>
  <c r="B24" i="46"/>
  <c r="B23" i="54"/>
  <c r="A21" i="65"/>
  <c r="A24" i="51"/>
  <c r="C23" i="54"/>
  <c r="A21" i="64"/>
  <c r="A23" i="56"/>
  <c r="B23" i="45"/>
  <c r="C23" i="45"/>
  <c r="G10" i="72"/>
  <c r="G9" i="72"/>
  <c r="G8" i="72"/>
  <c r="A5" i="72"/>
  <c r="E4" i="72"/>
  <c r="E3" i="72"/>
  <c r="E2" i="72"/>
  <c r="B23" i="48"/>
  <c r="B22" i="66"/>
  <c r="A22" i="66"/>
  <c r="B37" i="4"/>
  <c r="E23" i="54" l="1"/>
  <c r="G11" i="72"/>
  <c r="G12" i="72" s="1"/>
  <c r="G13" i="72" s="1"/>
  <c r="G16" i="72" s="1"/>
  <c r="G25" i="49"/>
  <c r="G26" i="49" s="1"/>
  <c r="G27" i="49" s="1"/>
  <c r="G39" i="49" s="1"/>
  <c r="C22" i="66"/>
  <c r="E22" i="66" s="1"/>
  <c r="E8" i="66" s="1"/>
  <c r="F32" i="19"/>
  <c r="A91" i="19"/>
  <c r="A71" i="19"/>
  <c r="C88" i="19"/>
  <c r="C68" i="19"/>
  <c r="B88" i="19"/>
  <c r="B68" i="19"/>
  <c r="A88" i="19"/>
  <c r="A68" i="19"/>
  <c r="C85" i="19"/>
  <c r="C65" i="19"/>
  <c r="A85" i="19"/>
  <c r="A65" i="19"/>
  <c r="C82" i="19"/>
  <c r="C62" i="19"/>
  <c r="B82" i="19"/>
  <c r="B62" i="19"/>
  <c r="A82" i="19"/>
  <c r="A62" i="19"/>
  <c r="B79" i="19"/>
  <c r="A79" i="19"/>
  <c r="A59" i="19"/>
  <c r="F23" i="54" l="1"/>
  <c r="E8" i="54" s="1"/>
  <c r="A26" i="54"/>
  <c r="C26" i="54"/>
  <c r="E34" i="19"/>
  <c r="G34" i="19" s="1"/>
  <c r="G40" i="49"/>
  <c r="G41" i="49" s="1"/>
  <c r="C24" i="4" s="1"/>
  <c r="G17" i="72"/>
  <c r="G18" i="72" s="1"/>
  <c r="C7" i="4" s="1"/>
  <c r="C44" i="68"/>
  <c r="D39" i="68"/>
  <c r="C39" i="68"/>
  <c r="D38" i="68"/>
  <c r="C38" i="68"/>
  <c r="D37" i="68"/>
  <c r="C37" i="68"/>
  <c r="D36" i="68"/>
  <c r="D35" i="68"/>
  <c r="D34" i="68"/>
  <c r="C34" i="68"/>
  <c r="B22" i="67" l="1"/>
  <c r="C21" i="65"/>
  <c r="E54" i="63"/>
  <c r="E42" i="63"/>
  <c r="E45" i="63" s="1"/>
  <c r="D57" i="63"/>
  <c r="D60" i="63" s="1"/>
  <c r="C57" i="63"/>
  <c r="C60" i="63" s="1"/>
  <c r="C45" i="63"/>
  <c r="C48" i="63" s="1"/>
  <c r="B57" i="63"/>
  <c r="A57" i="63"/>
  <c r="B45" i="63"/>
  <c r="B48" i="63" s="1"/>
  <c r="A45" i="63"/>
  <c r="A48" i="63" s="1"/>
  <c r="E57" i="63" l="1"/>
  <c r="F54" i="63"/>
  <c r="F42" i="63"/>
  <c r="F26" i="62"/>
  <c r="A30" i="62" l="1"/>
  <c r="E30" i="62" s="1"/>
  <c r="A26" i="62"/>
  <c r="E26" i="62" s="1"/>
  <c r="A23" i="62"/>
  <c r="C43" i="58"/>
  <c r="D38" i="58"/>
  <c r="C38" i="58"/>
  <c r="D37" i="58"/>
  <c r="C37" i="58"/>
  <c r="C36" i="58"/>
  <c r="D36" i="58"/>
  <c r="D35" i="58"/>
  <c r="D34" i="58"/>
  <c r="B26" i="57"/>
  <c r="B24" i="55"/>
  <c r="D19" i="55" s="1"/>
  <c r="B26" i="50"/>
  <c r="D26" i="62" l="1"/>
  <c r="D27" i="62" s="1"/>
  <c r="E23" i="62"/>
  <c r="C23" i="48"/>
  <c r="E26" i="45"/>
  <c r="H28" i="42"/>
  <c r="F35" i="42"/>
  <c r="F29" i="42" a="1"/>
  <c r="F29" i="42" s="1"/>
  <c r="B21" i="40" a="1"/>
  <c r="B21" i="40" s="1"/>
  <c r="F29" i="37"/>
  <c r="F28" i="37"/>
  <c r="F27" i="37"/>
  <c r="C26" i="37"/>
  <c r="F26" i="37" s="1"/>
  <c r="C24" i="37"/>
  <c r="F24" i="37" s="1"/>
  <c r="F23" i="62" l="1"/>
  <c r="H23" i="62" s="1"/>
  <c r="E8" i="62" s="1"/>
  <c r="F2" i="71"/>
  <c r="D34" i="48"/>
  <c r="D35" i="48" s="1"/>
  <c r="D36" i="48" s="1"/>
  <c r="D37" i="48" s="1"/>
  <c r="D38" i="48" s="1"/>
  <c r="C34" i="48"/>
  <c r="C35" i="48" s="1"/>
  <c r="C36" i="48" s="1"/>
  <c r="C37" i="48" s="1"/>
  <c r="C38" i="48" s="1"/>
  <c r="D46" i="57"/>
  <c r="D45" i="57"/>
  <c r="D44" i="57"/>
  <c r="D43" i="57"/>
  <c r="D42" i="57"/>
  <c r="D41" i="57"/>
  <c r="D40" i="57"/>
  <c r="D39" i="57"/>
  <c r="D38" i="57"/>
  <c r="D37" i="57"/>
  <c r="D36" i="57"/>
  <c r="D35" i="57"/>
  <c r="D34" i="57"/>
  <c r="D33" i="57"/>
  <c r="D33" i="58"/>
  <c r="C33" i="58"/>
  <c r="C40" i="47"/>
  <c r="C41" i="47" s="1"/>
  <c r="D39" i="47"/>
  <c r="D38" i="47"/>
  <c r="D37" i="47"/>
  <c r="D36" i="47"/>
  <c r="D35" i="47"/>
  <c r="D34" i="47"/>
  <c r="C21" i="64"/>
  <c r="D41" i="47" l="1"/>
  <c r="C42" i="47"/>
  <c r="D40" i="47"/>
  <c r="D45" i="63"/>
  <c r="D48" i="63" s="1"/>
  <c r="E48" i="63" s="1"/>
  <c r="F45" i="63" s="1"/>
  <c r="E26" i="63"/>
  <c r="D29" i="63"/>
  <c r="D32" i="63" s="1"/>
  <c r="C29" i="63"/>
  <c r="C32" i="63" s="1"/>
  <c r="A29" i="63"/>
  <c r="A32" i="63" s="1"/>
  <c r="B29" i="63"/>
  <c r="B32" i="63" s="1"/>
  <c r="E29" i="63" l="1"/>
  <c r="F26" i="63"/>
  <c r="D42" i="47"/>
  <c r="C43" i="47"/>
  <c r="E32" i="63"/>
  <c r="F29" i="63" l="1"/>
  <c r="C44" i="47"/>
  <c r="D43" i="47"/>
  <c r="C45" i="47" l="1"/>
  <c r="D45" i="47" s="1"/>
  <c r="D44" i="47"/>
  <c r="C24" i="68"/>
  <c r="A5" i="71"/>
  <c r="D21" i="65"/>
  <c r="C23" i="42"/>
  <c r="D22" i="71"/>
  <c r="D21" i="71"/>
  <c r="F23" i="50"/>
  <c r="F22" i="50"/>
  <c r="D23" i="42" l="1"/>
  <c r="D26" i="42"/>
  <c r="C23" i="52"/>
  <c r="A26" i="50"/>
  <c r="B23" i="50" s="1"/>
  <c r="C26" i="68"/>
  <c r="E8" i="68" s="1"/>
  <c r="B26" i="68"/>
  <c r="E26" i="68" s="1"/>
  <c r="A24" i="65"/>
  <c r="C24" i="65"/>
  <c r="E8" i="65" s="1"/>
  <c r="F21" i="50"/>
  <c r="C23" i="37"/>
  <c r="C23" i="58"/>
  <c r="B23" i="56"/>
  <c r="B21" i="55"/>
  <c r="A24" i="55" s="1"/>
  <c r="D22" i="55" s="1"/>
  <c r="D26" i="55" s="1"/>
  <c r="C25" i="58" l="1"/>
  <c r="B25" i="58"/>
  <c r="E25" i="58" s="1"/>
  <c r="E8" i="58" s="1"/>
  <c r="F23" i="37"/>
  <c r="D23" i="48"/>
  <c r="E8" i="48" s="1"/>
  <c r="E8" i="40"/>
  <c r="B23" i="47" l="1"/>
  <c r="G44" i="44"/>
  <c r="G43" i="44"/>
  <c r="G42" i="44"/>
  <c r="G41" i="44"/>
  <c r="G40" i="44"/>
  <c r="G39" i="44"/>
  <c r="G33" i="44"/>
  <c r="G32" i="44"/>
  <c r="G31" i="44"/>
  <c r="G30" i="44"/>
  <c r="G29" i="44"/>
  <c r="G28" i="44"/>
  <c r="G27" i="44"/>
  <c r="F19" i="44"/>
  <c r="G18" i="44"/>
  <c r="G17" i="44"/>
  <c r="G16" i="44"/>
  <c r="F11" i="44"/>
  <c r="G10" i="44"/>
  <c r="G9" i="44"/>
  <c r="G8" i="44"/>
  <c r="F59" i="41"/>
  <c r="G58" i="41"/>
  <c r="G59" i="41" s="1"/>
  <c r="G52" i="41"/>
  <c r="G51" i="41"/>
  <c r="G50" i="41"/>
  <c r="G49" i="41"/>
  <c r="G48" i="41"/>
  <c r="G47" i="41"/>
  <c r="G46" i="41"/>
  <c r="G45" i="41"/>
  <c r="G44" i="41"/>
  <c r="G43" i="41"/>
  <c r="G42" i="41"/>
  <c r="G41" i="41"/>
  <c r="G40" i="41"/>
  <c r="G39" i="41"/>
  <c r="G38" i="41"/>
  <c r="G37" i="41"/>
  <c r="G36" i="41"/>
  <c r="G35" i="41"/>
  <c r="G34" i="41"/>
  <c r="G33" i="41"/>
  <c r="G32" i="41"/>
  <c r="G31" i="41"/>
  <c r="G30" i="41"/>
  <c r="G29" i="41"/>
  <c r="G28" i="41"/>
  <c r="F20" i="41"/>
  <c r="G19" i="41"/>
  <c r="G18" i="41"/>
  <c r="G20" i="41" s="1"/>
  <c r="G21" i="41" s="1"/>
  <c r="G22" i="41" s="1"/>
  <c r="F13" i="41"/>
  <c r="G12" i="41"/>
  <c r="G11" i="41"/>
  <c r="G10" i="41"/>
  <c r="G9" i="41"/>
  <c r="G8" i="41"/>
  <c r="D24" i="46"/>
  <c r="D23" i="45"/>
  <c r="E23" i="45" s="1"/>
  <c r="C30" i="37"/>
  <c r="A23" i="37" s="1"/>
  <c r="F14" i="19"/>
  <c r="F43" i="19"/>
  <c r="G42" i="19"/>
  <c r="G43" i="19" s="1"/>
  <c r="A51" i="19"/>
  <c r="F8" i="19"/>
  <c r="B59" i="19"/>
  <c r="E8" i="67"/>
  <c r="D21" i="64"/>
  <c r="F23" i="56"/>
  <c r="E9" i="56" s="1"/>
  <c r="F24" i="50"/>
  <c r="D35" i="42"/>
  <c r="G26" i="50" l="1"/>
  <c r="D34" i="50"/>
  <c r="D45" i="50"/>
  <c r="D33" i="50"/>
  <c r="D44" i="50"/>
  <c r="D43" i="50"/>
  <c r="D42" i="50"/>
  <c r="D41" i="50"/>
  <c r="D40" i="50"/>
  <c r="D39" i="50"/>
  <c r="D38" i="50"/>
  <c r="D37" i="50"/>
  <c r="D36" i="50"/>
  <c r="D35" i="50"/>
  <c r="E24" i="46"/>
  <c r="H22" i="46" s="1"/>
  <c r="E8" i="46" s="1"/>
  <c r="G14" i="19"/>
  <c r="G15" i="19" s="1"/>
  <c r="G16" i="19" s="1"/>
  <c r="G17" i="19" s="1"/>
  <c r="F22" i="19"/>
  <c r="G22" i="19" s="1"/>
  <c r="C24" i="64"/>
  <c r="A24" i="64"/>
  <c r="E8" i="64" s="1"/>
  <c r="F24" i="44"/>
  <c r="F26" i="44" s="1"/>
  <c r="G26" i="44" s="1"/>
  <c r="G19" i="44"/>
  <c r="G20" i="44" s="1"/>
  <c r="G21" i="44" s="1"/>
  <c r="F25" i="44"/>
  <c r="G25" i="44" s="1"/>
  <c r="F30" i="37"/>
  <c r="G13" i="41"/>
  <c r="G14" i="41" s="1"/>
  <c r="G15" i="41" s="1"/>
  <c r="F25" i="50"/>
  <c r="C26" i="45"/>
  <c r="F23" i="45" s="1"/>
  <c r="F25" i="41"/>
  <c r="C23" i="57"/>
  <c r="C26" i="57" s="1"/>
  <c r="E9" i="57" s="1"/>
  <c r="F15" i="19"/>
  <c r="B25" i="47"/>
  <c r="G45" i="44"/>
  <c r="G46" i="44" s="1"/>
  <c r="G47" i="44" s="1"/>
  <c r="G11" i="44"/>
  <c r="G12" i="44" s="1"/>
  <c r="G13" i="44" s="1"/>
  <c r="G60" i="41"/>
  <c r="G61" i="41" s="1"/>
  <c r="F27" i="41"/>
  <c r="G27" i="41" s="1"/>
  <c r="C24" i="51"/>
  <c r="E23" i="52"/>
  <c r="F9" i="19"/>
  <c r="F20" i="19"/>
  <c r="G20" i="19" s="1"/>
  <c r="F21" i="19"/>
  <c r="G21" i="19" s="1"/>
  <c r="G8" i="19"/>
  <c r="G9" i="19" s="1"/>
  <c r="G10" i="19" s="1"/>
  <c r="G11" i="19" s="1"/>
  <c r="G44" i="19"/>
  <c r="C23" i="56"/>
  <c r="H23" i="56" s="1"/>
  <c r="E8" i="56" s="1"/>
  <c r="F23" i="42"/>
  <c r="G25" i="41" l="1"/>
  <c r="F26" i="41"/>
  <c r="G26" i="41" s="1"/>
  <c r="C33" i="50"/>
  <c r="C45" i="50"/>
  <c r="C44" i="50"/>
  <c r="C43" i="50"/>
  <c r="C41" i="50"/>
  <c r="C40" i="50"/>
  <c r="C39" i="50"/>
  <c r="C38" i="50"/>
  <c r="C36" i="50"/>
  <c r="C35" i="50"/>
  <c r="C42" i="50"/>
  <c r="C34" i="50"/>
  <c r="G24" i="44"/>
  <c r="G34" i="44" s="1"/>
  <c r="G35" i="44" s="1"/>
  <c r="G36" i="44" s="1"/>
  <c r="G50" i="44" s="1"/>
  <c r="D32" i="42"/>
  <c r="H22" i="42" s="1"/>
  <c r="H31" i="42" s="1"/>
  <c r="G53" i="41"/>
  <c r="G54" i="41" s="1"/>
  <c r="G55" i="41" s="1"/>
  <c r="G64" i="41" s="1"/>
  <c r="C32" i="51"/>
  <c r="C31" i="51"/>
  <c r="E24" i="51"/>
  <c r="F24" i="51" s="1"/>
  <c r="E8" i="51" s="1"/>
  <c r="C29" i="51"/>
  <c r="C40" i="51"/>
  <c r="C38" i="51"/>
  <c r="C36" i="51"/>
  <c r="C30" i="51"/>
  <c r="C37" i="51"/>
  <c r="C33" i="51"/>
  <c r="C39" i="51"/>
  <c r="C35" i="51"/>
  <c r="C34" i="51"/>
  <c r="I22" i="37"/>
  <c r="E8" i="37" s="1"/>
  <c r="I24" i="37"/>
  <c r="A26" i="57"/>
  <c r="H23" i="57" s="1"/>
  <c r="C37" i="50"/>
  <c r="F23" i="52"/>
  <c r="E8" i="52" s="1"/>
  <c r="E8" i="45"/>
  <c r="G23" i="50" l="1"/>
  <c r="H23" i="50" s="1"/>
  <c r="E8" i="50" s="1"/>
  <c r="E8" i="57"/>
  <c r="G51" i="44"/>
  <c r="G52" i="44" s="1"/>
  <c r="C19" i="4" s="1"/>
  <c r="G65" i="41"/>
  <c r="G66" i="41" s="1"/>
  <c r="C16" i="4" s="1"/>
  <c r="H33" i="42"/>
  <c r="E8" i="42" s="1"/>
  <c r="E32" i="19" l="1"/>
  <c r="G32" i="19" s="1"/>
  <c r="B99" i="19"/>
  <c r="E27" i="19" s="1"/>
  <c r="G27" i="19" s="1"/>
  <c r="E36" i="19"/>
  <c r="G36" i="19" s="1"/>
  <c r="E31" i="19"/>
  <c r="G31" i="19" s="1"/>
  <c r="E26" i="19"/>
  <c r="G26" i="19" s="1"/>
  <c r="E25" i="19"/>
  <c r="G25" i="19" s="1"/>
  <c r="E29" i="19"/>
  <c r="G29" i="19" s="1"/>
  <c r="E24" i="19"/>
  <c r="G24" i="19" s="1"/>
  <c r="B35" i="4"/>
  <c r="B36" i="4"/>
  <c r="B38" i="4"/>
  <c r="B39" i="4"/>
  <c r="B40" i="4"/>
  <c r="B6" i="4"/>
  <c r="B11" i="4"/>
  <c r="B12" i="4"/>
  <c r="B13" i="4"/>
  <c r="B14" i="4"/>
  <c r="B15" i="4"/>
  <c r="B16" i="4"/>
  <c r="B17" i="4"/>
  <c r="B18" i="4"/>
  <c r="B19" i="4"/>
  <c r="B20" i="4"/>
  <c r="B21" i="4"/>
  <c r="B22" i="4"/>
  <c r="B23" i="4"/>
  <c r="B24" i="4"/>
  <c r="B25" i="4"/>
  <c r="B26" i="4"/>
  <c r="B27" i="4"/>
  <c r="B28" i="4"/>
  <c r="B29" i="4"/>
  <c r="B30" i="4"/>
  <c r="B31" i="4"/>
  <c r="B32" i="4"/>
  <c r="B33" i="4"/>
  <c r="B34" i="4"/>
  <c r="B41" i="4"/>
  <c r="B42" i="4"/>
  <c r="B43" i="4"/>
  <c r="E30" i="19" l="1"/>
  <c r="G30" i="19" s="1"/>
  <c r="E35" i="19"/>
  <c r="G35" i="19" s="1"/>
  <c r="E23" i="19"/>
  <c r="G23" i="19" s="1"/>
  <c r="E28" i="19"/>
  <c r="G28" i="19" s="1"/>
  <c r="G11" i="68"/>
  <c r="G10" i="68"/>
  <c r="G9" i="68"/>
  <c r="G8" i="68"/>
  <c r="A5" i="68"/>
  <c r="E4" i="68"/>
  <c r="E3" i="68"/>
  <c r="E2" i="68"/>
  <c r="G8" i="67"/>
  <c r="A5" i="67"/>
  <c r="E4" i="67"/>
  <c r="E3" i="67"/>
  <c r="E2" i="67"/>
  <c r="G10" i="66"/>
  <c r="G9" i="66"/>
  <c r="G8" i="66"/>
  <c r="A5" i="66"/>
  <c r="E4" i="66"/>
  <c r="E3" i="66"/>
  <c r="E2" i="66"/>
  <c r="G8" i="65"/>
  <c r="A5" i="65"/>
  <c r="E4" i="65"/>
  <c r="E3" i="65"/>
  <c r="E2" i="65"/>
  <c r="G8" i="64"/>
  <c r="A5" i="64"/>
  <c r="E4" i="64"/>
  <c r="E3" i="64"/>
  <c r="E2" i="64"/>
  <c r="G11" i="63"/>
  <c r="G10" i="63"/>
  <c r="A5" i="63"/>
  <c r="E4" i="63"/>
  <c r="E3" i="63"/>
  <c r="E2" i="63"/>
  <c r="G10" i="62"/>
  <c r="G9" i="62"/>
  <c r="G8" i="62"/>
  <c r="A5" i="62"/>
  <c r="E4" i="62"/>
  <c r="E3" i="62"/>
  <c r="E2" i="62"/>
  <c r="G11" i="61"/>
  <c r="G10" i="61"/>
  <c r="G9" i="61"/>
  <c r="G8" i="61"/>
  <c r="A5" i="61"/>
  <c r="E4" i="61"/>
  <c r="E3" i="61"/>
  <c r="E2" i="61"/>
  <c r="G10" i="60"/>
  <c r="G9" i="60"/>
  <c r="G8" i="60"/>
  <c r="A5" i="60"/>
  <c r="E4" i="60"/>
  <c r="E3" i="60"/>
  <c r="E2" i="60"/>
  <c r="G11" i="59"/>
  <c r="G10" i="59"/>
  <c r="G9" i="59"/>
  <c r="G8" i="59"/>
  <c r="A5" i="59"/>
  <c r="E4" i="59"/>
  <c r="E3" i="59"/>
  <c r="E2" i="59"/>
  <c r="G10" i="58"/>
  <c r="G9" i="58"/>
  <c r="G8" i="58"/>
  <c r="A5" i="58"/>
  <c r="E4" i="58"/>
  <c r="E3" i="58"/>
  <c r="E2" i="58"/>
  <c r="G10" i="57"/>
  <c r="G9" i="57"/>
  <c r="G8" i="57"/>
  <c r="A5" i="57"/>
  <c r="E4" i="57"/>
  <c r="E3" i="57"/>
  <c r="E2" i="57"/>
  <c r="G10" i="56"/>
  <c r="G9" i="56"/>
  <c r="G8" i="56"/>
  <c r="A5" i="56"/>
  <c r="E4" i="56"/>
  <c r="E3" i="56"/>
  <c r="E2" i="56"/>
  <c r="A5" i="55"/>
  <c r="E4" i="55"/>
  <c r="E3" i="55"/>
  <c r="E2" i="55"/>
  <c r="G10" i="54"/>
  <c r="G9" i="54"/>
  <c r="G8" i="54"/>
  <c r="A5" i="54"/>
  <c r="E4" i="54"/>
  <c r="E3" i="54"/>
  <c r="E2" i="54"/>
  <c r="G10" i="53"/>
  <c r="G9" i="53"/>
  <c r="G8" i="53"/>
  <c r="A5" i="53"/>
  <c r="E4" i="53"/>
  <c r="E3" i="53"/>
  <c r="E2" i="53"/>
  <c r="G10" i="52"/>
  <c r="G9" i="52"/>
  <c r="G8" i="52"/>
  <c r="A5" i="52"/>
  <c r="E4" i="52"/>
  <c r="E3" i="52"/>
  <c r="E2" i="52"/>
  <c r="G10" i="51"/>
  <c r="G9" i="51"/>
  <c r="G8" i="51"/>
  <c r="A5" i="51"/>
  <c r="E4" i="51"/>
  <c r="E3" i="51"/>
  <c r="E2" i="51"/>
  <c r="G10" i="50"/>
  <c r="G9" i="50"/>
  <c r="G8" i="50"/>
  <c r="A5" i="50"/>
  <c r="E4" i="50"/>
  <c r="E3" i="50"/>
  <c r="E2" i="50"/>
  <c r="A5" i="49"/>
  <c r="E4" i="49"/>
  <c r="E3" i="49"/>
  <c r="E2" i="49"/>
  <c r="G10" i="48"/>
  <c r="G9" i="48"/>
  <c r="G8" i="48"/>
  <c r="A5" i="48"/>
  <c r="E4" i="48"/>
  <c r="E3" i="48"/>
  <c r="E2" i="48"/>
  <c r="G10" i="47"/>
  <c r="A5" i="47"/>
  <c r="E4" i="47"/>
  <c r="E3" i="47"/>
  <c r="E2" i="47"/>
  <c r="G10" i="46"/>
  <c r="G9" i="46"/>
  <c r="G8" i="46"/>
  <c r="A5" i="46"/>
  <c r="E4" i="46"/>
  <c r="E3" i="46"/>
  <c r="E2" i="46"/>
  <c r="G10" i="45"/>
  <c r="G9" i="45"/>
  <c r="G8" i="45"/>
  <c r="A5" i="45"/>
  <c r="D4" i="45"/>
  <c r="E3" i="45"/>
  <c r="E2" i="45"/>
  <c r="A5" i="44"/>
  <c r="E4" i="44"/>
  <c r="E3" i="44"/>
  <c r="E2" i="44"/>
  <c r="G11" i="43"/>
  <c r="G10" i="43"/>
  <c r="G9" i="43"/>
  <c r="G8" i="43"/>
  <c r="A5" i="43"/>
  <c r="E4" i="43"/>
  <c r="E3" i="43"/>
  <c r="E2" i="43"/>
  <c r="G10" i="42"/>
  <c r="G9" i="42"/>
  <c r="G8" i="42"/>
  <c r="A5" i="42"/>
  <c r="E4" i="42"/>
  <c r="E3" i="42"/>
  <c r="E2" i="42"/>
  <c r="A5" i="41"/>
  <c r="E4" i="41"/>
  <c r="E3" i="41"/>
  <c r="E2" i="41"/>
  <c r="G8" i="40"/>
  <c r="G9" i="40" s="1"/>
  <c r="A5" i="40"/>
  <c r="E4" i="40"/>
  <c r="E3" i="40"/>
  <c r="E2" i="40"/>
  <c r="G11" i="39"/>
  <c r="G10" i="39"/>
  <c r="G9" i="39"/>
  <c r="G8" i="39"/>
  <c r="A5" i="39"/>
  <c r="E4" i="39"/>
  <c r="E3" i="39"/>
  <c r="E2" i="39"/>
  <c r="G11" i="38"/>
  <c r="G10" i="38"/>
  <c r="G9" i="38"/>
  <c r="G8" i="38"/>
  <c r="A5" i="38"/>
  <c r="E4" i="38"/>
  <c r="E3" i="38"/>
  <c r="E2" i="38"/>
  <c r="G10" i="37"/>
  <c r="G9" i="37"/>
  <c r="G8" i="37"/>
  <c r="A5" i="37"/>
  <c r="E4" i="37"/>
  <c r="E3" i="37"/>
  <c r="E2" i="37"/>
  <c r="G11" i="36"/>
  <c r="G10" i="36"/>
  <c r="G9" i="36"/>
  <c r="G8" i="36"/>
  <c r="A5" i="36"/>
  <c r="E4" i="36"/>
  <c r="E3" i="36"/>
  <c r="E2" i="36"/>
  <c r="G10" i="35"/>
  <c r="G9" i="35"/>
  <c r="G8" i="35"/>
  <c r="A5" i="35"/>
  <c r="E4" i="35"/>
  <c r="E3" i="35"/>
  <c r="E2" i="35"/>
  <c r="G11" i="34"/>
  <c r="G10" i="34"/>
  <c r="G9" i="34"/>
  <c r="G8" i="34"/>
  <c r="A5" i="34"/>
  <c r="E4" i="34"/>
  <c r="E3" i="34"/>
  <c r="E2" i="34"/>
  <c r="I975" i="25"/>
  <c r="C975" i="25"/>
  <c r="G11" i="52" l="1"/>
  <c r="G12" i="52" s="1"/>
  <c r="G13" i="52" s="1"/>
  <c r="G16" i="52" s="1"/>
  <c r="G12" i="36"/>
  <c r="G13" i="36" s="1"/>
  <c r="G14" i="36" s="1"/>
  <c r="G17" i="36" s="1"/>
  <c r="G12" i="43"/>
  <c r="G13" i="43" s="1"/>
  <c r="G14" i="43" s="1"/>
  <c r="G17" i="43" s="1"/>
  <c r="G11" i="37"/>
  <c r="G12" i="37" s="1"/>
  <c r="G13" i="37" s="1"/>
  <c r="G16" i="37" s="1"/>
  <c r="G11" i="58"/>
  <c r="G12" i="58" s="1"/>
  <c r="G13" i="58" s="1"/>
  <c r="G16" i="58" s="1"/>
  <c r="G12" i="61"/>
  <c r="G13" i="61" s="1"/>
  <c r="G14" i="61" s="1"/>
  <c r="G17" i="61" s="1"/>
  <c r="G9" i="64"/>
  <c r="G10" i="64" s="1"/>
  <c r="G11" i="64" s="1"/>
  <c r="G14" i="64" s="1"/>
  <c r="G9" i="67"/>
  <c r="G10" i="67" s="1"/>
  <c r="G11" i="67" s="1"/>
  <c r="G14" i="67" s="1"/>
  <c r="G11" i="46"/>
  <c r="G12" i="46" s="1"/>
  <c r="G13" i="46" s="1"/>
  <c r="G16" i="46" s="1"/>
  <c r="G12" i="34"/>
  <c r="G13" i="34" s="1"/>
  <c r="G14" i="34" s="1"/>
  <c r="G17" i="34" s="1"/>
  <c r="G12" i="39"/>
  <c r="G13" i="39" s="1"/>
  <c r="G14" i="39" s="1"/>
  <c r="G17" i="39" s="1"/>
  <c r="G11" i="45"/>
  <c r="G12" i="45" s="1"/>
  <c r="G13" i="45" s="1"/>
  <c r="G16" i="45" s="1"/>
  <c r="G11" i="48"/>
  <c r="G12" i="48" s="1"/>
  <c r="G13" i="48" s="1"/>
  <c r="G16" i="48" s="1"/>
  <c r="G11" i="51"/>
  <c r="G12" i="51" s="1"/>
  <c r="G13" i="51" s="1"/>
  <c r="G16" i="51" s="1"/>
  <c r="G11" i="54"/>
  <c r="G12" i="54" s="1"/>
  <c r="G13" i="54" s="1"/>
  <c r="G16" i="54" s="1"/>
  <c r="G11" i="57"/>
  <c r="G12" i="57" s="1"/>
  <c r="G13" i="57" s="1"/>
  <c r="G16" i="57" s="1"/>
  <c r="G11" i="60"/>
  <c r="G12" i="60" s="1"/>
  <c r="G13" i="60" s="1"/>
  <c r="G16" i="60" s="1"/>
  <c r="G11" i="66"/>
  <c r="G12" i="66" s="1"/>
  <c r="G13" i="66" s="1"/>
  <c r="G16" i="66" s="1"/>
  <c r="G11" i="62"/>
  <c r="G12" i="62" s="1"/>
  <c r="G13" i="62" s="1"/>
  <c r="G16" i="62" s="1"/>
  <c r="G11" i="56"/>
  <c r="G12" i="56" s="1"/>
  <c r="G13" i="56" s="1"/>
  <c r="G16" i="56" s="1"/>
  <c r="G12" i="59"/>
  <c r="G13" i="59" s="1"/>
  <c r="G14" i="59" s="1"/>
  <c r="G17" i="59" s="1"/>
  <c r="G11" i="35"/>
  <c r="G12" i="38"/>
  <c r="G13" i="38" s="1"/>
  <c r="G14" i="38" s="1"/>
  <c r="G17" i="38" s="1"/>
  <c r="G11" i="50"/>
  <c r="G12" i="50" s="1"/>
  <c r="G13" i="50" s="1"/>
  <c r="G16" i="50" s="1"/>
  <c r="G9" i="65"/>
  <c r="G10" i="65" s="1"/>
  <c r="G11" i="65" s="1"/>
  <c r="G14" i="65" s="1"/>
  <c r="G12" i="68"/>
  <c r="G13" i="68" s="1"/>
  <c r="G11" i="53"/>
  <c r="G12" i="53" s="1"/>
  <c r="G13" i="53" s="1"/>
  <c r="G16" i="53" s="1"/>
  <c r="G11" i="42"/>
  <c r="G12" i="42" s="1"/>
  <c r="G13" i="42" s="1"/>
  <c r="G16" i="42" s="1"/>
  <c r="G10" i="40"/>
  <c r="G11" i="40" s="1"/>
  <c r="G14" i="40" s="1"/>
  <c r="G3" i="33"/>
  <c r="F4" i="33"/>
  <c r="G2" i="33"/>
  <c r="G11" i="33"/>
  <c r="G10" i="33"/>
  <c r="G9" i="33"/>
  <c r="G8" i="33"/>
  <c r="A5" i="33"/>
  <c r="G48" i="32"/>
  <c r="G49" i="32"/>
  <c r="G50" i="32"/>
  <c r="G51" i="32"/>
  <c r="G52" i="32"/>
  <c r="E35" i="32"/>
  <c r="E36" i="32"/>
  <c r="E37" i="32"/>
  <c r="E38" i="32"/>
  <c r="G38" i="32" s="1"/>
  <c r="E39" i="32"/>
  <c r="G39" i="32" s="1"/>
  <c r="E40" i="32"/>
  <c r="G40" i="32" s="1"/>
  <c r="E41" i="32"/>
  <c r="G41" i="32" s="1"/>
  <c r="E42" i="32"/>
  <c r="G42" i="32" s="1"/>
  <c r="C20" i="32"/>
  <c r="E20" i="32" s="1"/>
  <c r="G20" i="32" s="1"/>
  <c r="C21" i="32"/>
  <c r="E21" i="32" s="1"/>
  <c r="G21" i="32" s="1"/>
  <c r="C22" i="32"/>
  <c r="E22" i="32" s="1"/>
  <c r="G22" i="32" s="1"/>
  <c r="C23" i="32"/>
  <c r="E23" i="32" s="1"/>
  <c r="G23" i="32" s="1"/>
  <c r="C24" i="32"/>
  <c r="E24" i="32" s="1"/>
  <c r="G24" i="32" s="1"/>
  <c r="C25" i="32"/>
  <c r="E25" i="32" s="1"/>
  <c r="G25" i="32" s="1"/>
  <c r="C26" i="32"/>
  <c r="E26" i="32" s="1"/>
  <c r="G26" i="32" s="1"/>
  <c r="C27" i="32"/>
  <c r="E27" i="32" s="1"/>
  <c r="G27" i="32" s="1"/>
  <c r="C28" i="32"/>
  <c r="E28" i="32" s="1"/>
  <c r="G28" i="32" s="1"/>
  <c r="C29" i="32"/>
  <c r="E29" i="32" s="1"/>
  <c r="G29" i="32" s="1"/>
  <c r="F30" i="32"/>
  <c r="E2" i="32"/>
  <c r="E3" i="32"/>
  <c r="E4" i="32"/>
  <c r="A5" i="32"/>
  <c r="C8" i="32"/>
  <c r="E8" i="32" s="1"/>
  <c r="G8" i="32" s="1"/>
  <c r="C9" i="32"/>
  <c r="E9" i="32" s="1"/>
  <c r="G9" i="32" s="1"/>
  <c r="C10" i="32"/>
  <c r="E10" i="32" s="1"/>
  <c r="G10" i="32" s="1"/>
  <c r="C11" i="32"/>
  <c r="E11" i="32" s="1"/>
  <c r="G11" i="32" s="1"/>
  <c r="C12" i="32"/>
  <c r="E12" i="32" s="1"/>
  <c r="G12" i="32" s="1"/>
  <c r="C13" i="32"/>
  <c r="E13" i="32" s="1"/>
  <c r="G13" i="32" s="1"/>
  <c r="C14" i="32"/>
  <c r="E14" i="32" s="1"/>
  <c r="G14" i="32" s="1"/>
  <c r="F15" i="32"/>
  <c r="G48" i="31"/>
  <c r="G49" i="31"/>
  <c r="G50" i="31"/>
  <c r="G51" i="31"/>
  <c r="G52" i="31"/>
  <c r="E35" i="31"/>
  <c r="E36" i="31"/>
  <c r="E37" i="31"/>
  <c r="E38" i="31"/>
  <c r="G38" i="31" s="1"/>
  <c r="E39" i="31"/>
  <c r="G39" i="31" s="1"/>
  <c r="E40" i="31"/>
  <c r="G40" i="31" s="1"/>
  <c r="E41" i="31"/>
  <c r="G41" i="31" s="1"/>
  <c r="E42" i="31"/>
  <c r="G42" i="31" s="1"/>
  <c r="C20" i="31"/>
  <c r="E20" i="31" s="1"/>
  <c r="G20" i="31" s="1"/>
  <c r="C21" i="31"/>
  <c r="E21" i="31" s="1"/>
  <c r="G21" i="31" s="1"/>
  <c r="C22" i="31"/>
  <c r="E22" i="31" s="1"/>
  <c r="G22" i="31" s="1"/>
  <c r="C23" i="31"/>
  <c r="E23" i="31" s="1"/>
  <c r="G23" i="31" s="1"/>
  <c r="C24" i="31"/>
  <c r="E24" i="31" s="1"/>
  <c r="G24" i="31" s="1"/>
  <c r="C25" i="31"/>
  <c r="E25" i="31" s="1"/>
  <c r="G25" i="31" s="1"/>
  <c r="C26" i="31"/>
  <c r="E26" i="31" s="1"/>
  <c r="G26" i="31" s="1"/>
  <c r="C27" i="31"/>
  <c r="E27" i="31" s="1"/>
  <c r="G27" i="31" s="1"/>
  <c r="C28" i="31"/>
  <c r="E28" i="31" s="1"/>
  <c r="G28" i="31" s="1"/>
  <c r="C29" i="31"/>
  <c r="E29" i="31" s="1"/>
  <c r="G29" i="31" s="1"/>
  <c r="F30" i="31"/>
  <c r="E2" i="31"/>
  <c r="E3" i="31"/>
  <c r="E4" i="31"/>
  <c r="A5" i="31"/>
  <c r="C8" i="31"/>
  <c r="E8" i="31" s="1"/>
  <c r="G8" i="31" s="1"/>
  <c r="C9" i="31"/>
  <c r="E9" i="31" s="1"/>
  <c r="G9" i="31" s="1"/>
  <c r="C10" i="31"/>
  <c r="E10" i="31" s="1"/>
  <c r="G10" i="31" s="1"/>
  <c r="C11" i="31"/>
  <c r="E11" i="31" s="1"/>
  <c r="G11" i="31" s="1"/>
  <c r="C12" i="31"/>
  <c r="E12" i="31" s="1"/>
  <c r="G12" i="31" s="1"/>
  <c r="C13" i="31"/>
  <c r="E13" i="31" s="1"/>
  <c r="G13" i="31" s="1"/>
  <c r="C14" i="31"/>
  <c r="E14" i="31" s="1"/>
  <c r="G14" i="31" s="1"/>
  <c r="F15" i="31"/>
  <c r="G48" i="30"/>
  <c r="G49" i="30"/>
  <c r="G50" i="30"/>
  <c r="G51" i="30"/>
  <c r="G52" i="30"/>
  <c r="E35" i="30"/>
  <c r="E36" i="30"/>
  <c r="E37" i="30"/>
  <c r="E38" i="30"/>
  <c r="G38" i="30" s="1"/>
  <c r="E39" i="30"/>
  <c r="G39" i="30" s="1"/>
  <c r="E40" i="30"/>
  <c r="G40" i="30" s="1"/>
  <c r="E41" i="30"/>
  <c r="G41" i="30" s="1"/>
  <c r="E42" i="30"/>
  <c r="G42" i="30" s="1"/>
  <c r="C20" i="30"/>
  <c r="E20" i="30" s="1"/>
  <c r="G20" i="30" s="1"/>
  <c r="C21" i="30"/>
  <c r="E21" i="30" s="1"/>
  <c r="G21" i="30" s="1"/>
  <c r="C22" i="30"/>
  <c r="E22" i="30" s="1"/>
  <c r="G22" i="30" s="1"/>
  <c r="C23" i="30"/>
  <c r="E23" i="30" s="1"/>
  <c r="G23" i="30" s="1"/>
  <c r="C24" i="30"/>
  <c r="E24" i="30" s="1"/>
  <c r="G24" i="30" s="1"/>
  <c r="C25" i="30"/>
  <c r="E25" i="30" s="1"/>
  <c r="G25" i="30" s="1"/>
  <c r="C26" i="30"/>
  <c r="E26" i="30" s="1"/>
  <c r="G26" i="30" s="1"/>
  <c r="C27" i="30"/>
  <c r="E27" i="30" s="1"/>
  <c r="G27" i="30" s="1"/>
  <c r="C28" i="30"/>
  <c r="E28" i="30" s="1"/>
  <c r="G28" i="30" s="1"/>
  <c r="C29" i="30"/>
  <c r="E29" i="30" s="1"/>
  <c r="G29" i="30" s="1"/>
  <c r="F30" i="30"/>
  <c r="E2" i="30"/>
  <c r="E3" i="30"/>
  <c r="E4" i="30"/>
  <c r="A5" i="30"/>
  <c r="C8" i="30"/>
  <c r="E8" i="30" s="1"/>
  <c r="G8" i="30" s="1"/>
  <c r="C9" i="30"/>
  <c r="E9" i="30" s="1"/>
  <c r="G9" i="30" s="1"/>
  <c r="C10" i="30"/>
  <c r="E10" i="30" s="1"/>
  <c r="G10" i="30" s="1"/>
  <c r="C11" i="30"/>
  <c r="E11" i="30" s="1"/>
  <c r="G11" i="30" s="1"/>
  <c r="C12" i="30"/>
  <c r="E12" i="30" s="1"/>
  <c r="G12" i="30" s="1"/>
  <c r="C13" i="30"/>
  <c r="E13" i="30" s="1"/>
  <c r="G13" i="30" s="1"/>
  <c r="C14" i="30"/>
  <c r="E14" i="30" s="1"/>
  <c r="G14" i="30" s="1"/>
  <c r="F15" i="30"/>
  <c r="F18" i="11"/>
  <c r="E8" i="55" l="1"/>
  <c r="G8" i="55" s="1"/>
  <c r="G9" i="55" s="1"/>
  <c r="F36" i="32"/>
  <c r="G36" i="32" s="1"/>
  <c r="G14" i="68"/>
  <c r="G17" i="68" s="1"/>
  <c r="G18" i="68" s="1"/>
  <c r="G19" i="68" s="1"/>
  <c r="C43" i="4" s="1"/>
  <c r="G12" i="35"/>
  <c r="G13" i="35" s="1"/>
  <c r="G16" i="35" s="1"/>
  <c r="G15" i="67"/>
  <c r="G16" i="67" s="1"/>
  <c r="C42" i="4" s="1"/>
  <c r="G17" i="66"/>
  <c r="G18" i="66" s="1"/>
  <c r="C41" i="4" s="1"/>
  <c r="G15" i="65"/>
  <c r="G16" i="65" s="1"/>
  <c r="C40" i="4" s="1"/>
  <c r="G15" i="64"/>
  <c r="G16" i="64" s="1"/>
  <c r="C39" i="4" s="1"/>
  <c r="G17" i="62"/>
  <c r="G18" i="62" s="1"/>
  <c r="C37" i="4" s="1"/>
  <c r="G18" i="61"/>
  <c r="G19" i="61" s="1"/>
  <c r="C36" i="4" s="1"/>
  <c r="G17" i="60"/>
  <c r="G18" i="60" s="1"/>
  <c r="G18" i="59"/>
  <c r="G19" i="59" s="1"/>
  <c r="C34" i="4" s="1"/>
  <c r="G17" i="58"/>
  <c r="G18" i="58" s="1"/>
  <c r="G17" i="57"/>
  <c r="G18" i="57" s="1"/>
  <c r="C32" i="4" s="1"/>
  <c r="G17" i="56"/>
  <c r="G18" i="56" s="1"/>
  <c r="C31" i="4" s="1"/>
  <c r="G17" i="54"/>
  <c r="G18" i="54" s="1"/>
  <c r="C29" i="4" s="1"/>
  <c r="G17" i="53"/>
  <c r="G18" i="53" s="1"/>
  <c r="G17" i="52"/>
  <c r="G18" i="52" s="1"/>
  <c r="C27" i="4" s="1"/>
  <c r="G17" i="51"/>
  <c r="G18" i="51" s="1"/>
  <c r="C26" i="4" s="1"/>
  <c r="G17" i="50"/>
  <c r="G18" i="50" s="1"/>
  <c r="C25" i="4" s="1"/>
  <c r="G17" i="48"/>
  <c r="G18" i="48" s="1"/>
  <c r="C23" i="4" s="1"/>
  <c r="G17" i="46"/>
  <c r="G18" i="46" s="1"/>
  <c r="C21" i="4" s="1"/>
  <c r="G17" i="45"/>
  <c r="G18" i="45" s="1"/>
  <c r="C20" i="4" s="1"/>
  <c r="G18" i="43"/>
  <c r="G19" i="43" s="1"/>
  <c r="C18" i="4" s="1"/>
  <c r="G17" i="42"/>
  <c r="G18" i="42" s="1"/>
  <c r="C17" i="4" s="1"/>
  <c r="G15" i="40"/>
  <c r="G16" i="40" s="1"/>
  <c r="C15" i="4" s="1"/>
  <c r="G18" i="39"/>
  <c r="G19" i="39" s="1"/>
  <c r="C14" i="4" s="1"/>
  <c r="G18" i="38"/>
  <c r="G19" i="38" s="1"/>
  <c r="C13" i="4" s="1"/>
  <c r="G17" i="37"/>
  <c r="G18" i="37" s="1"/>
  <c r="C12" i="4" s="1"/>
  <c r="G18" i="36"/>
  <c r="G19" i="36" s="1"/>
  <c r="C11" i="4" s="1"/>
  <c r="G18" i="34"/>
  <c r="G19" i="34" s="1"/>
  <c r="C5" i="4" s="1"/>
  <c r="F36" i="30"/>
  <c r="G36" i="30" s="1"/>
  <c r="G12" i="33"/>
  <c r="F37" i="31"/>
  <c r="G37" i="31" s="1"/>
  <c r="G30" i="32"/>
  <c r="G31" i="32" s="1"/>
  <c r="G32" i="32" s="1"/>
  <c r="G53" i="30"/>
  <c r="G54" i="30" s="1"/>
  <c r="G55" i="30" s="1"/>
  <c r="G15" i="32"/>
  <c r="G16" i="32" s="1"/>
  <c r="G17" i="32" s="1"/>
  <c r="G53" i="32"/>
  <c r="G54" i="32" s="1"/>
  <c r="G55" i="32" s="1"/>
  <c r="G15" i="31"/>
  <c r="G16" i="31" s="1"/>
  <c r="G17" i="31" s="1"/>
  <c r="F35" i="31"/>
  <c r="G35" i="31" s="1"/>
  <c r="F37" i="30"/>
  <c r="G37" i="30" s="1"/>
  <c r="G53" i="31"/>
  <c r="G54" i="31" s="1"/>
  <c r="G55" i="31" s="1"/>
  <c r="F37" i="32"/>
  <c r="G37" i="32" s="1"/>
  <c r="F35" i="32"/>
  <c r="G35" i="32" s="1"/>
  <c r="G30" i="31"/>
  <c r="G31" i="31" s="1"/>
  <c r="G32" i="31" s="1"/>
  <c r="F36" i="31"/>
  <c r="G36" i="31" s="1"/>
  <c r="G15" i="30"/>
  <c r="G16" i="30" s="1"/>
  <c r="G17" i="30" s="1"/>
  <c r="G30" i="30"/>
  <c r="G31" i="30" s="1"/>
  <c r="G32" i="30" s="1"/>
  <c r="F35" i="30"/>
  <c r="G35" i="30" s="1"/>
  <c r="C28" i="4" l="1"/>
  <c r="G16" i="55"/>
  <c r="C30" i="4" s="1"/>
  <c r="G10" i="55"/>
  <c r="G11" i="55" s="1"/>
  <c r="G14" i="55" s="1"/>
  <c r="G15" i="55" s="1"/>
  <c r="C35" i="4"/>
  <c r="G19" i="58"/>
  <c r="C33" i="4"/>
  <c r="G17" i="35"/>
  <c r="G18" i="35" s="1"/>
  <c r="C6" i="4" s="1"/>
  <c r="G43" i="32"/>
  <c r="G44" i="32" s="1"/>
  <c r="G45" i="32" s="1"/>
  <c r="G58" i="32" s="1"/>
  <c r="G43" i="31"/>
  <c r="G44" i="31" s="1"/>
  <c r="G45" i="31" s="1"/>
  <c r="G58" i="31" s="1"/>
  <c r="G43" i="30"/>
  <c r="G44" i="30" s="1"/>
  <c r="G45" i="30" s="1"/>
  <c r="G58" i="30" s="1"/>
  <c r="E9" i="47" l="1"/>
  <c r="G9" i="47" s="1"/>
  <c r="E8" i="47"/>
  <c r="G8" i="47" s="1"/>
  <c r="G59" i="32"/>
  <c r="G60" i="32" s="1"/>
  <c r="G59" i="31"/>
  <c r="G60" i="31" s="1"/>
  <c r="G59" i="30"/>
  <c r="G60" i="30" s="1"/>
  <c r="C9" i="4" s="1"/>
  <c r="E2" i="19"/>
  <c r="E2" i="11"/>
  <c r="E27" i="11"/>
  <c r="G27" i="11" s="1"/>
  <c r="E26" i="11"/>
  <c r="G26" i="11" s="1"/>
  <c r="E28" i="11"/>
  <c r="G28" i="11" s="1"/>
  <c r="E29" i="11"/>
  <c r="G29" i="11" s="1"/>
  <c r="F9" i="11"/>
  <c r="B8" i="4"/>
  <c r="B9" i="4"/>
  <c r="B10" i="4"/>
  <c r="G37" i="11"/>
  <c r="G38" i="11"/>
  <c r="C16" i="11"/>
  <c r="E16" i="11" s="1"/>
  <c r="G16" i="11" s="1"/>
  <c r="C17" i="11"/>
  <c r="E17" i="11" s="1"/>
  <c r="G17" i="11" s="1"/>
  <c r="A5" i="19"/>
  <c r="E4" i="19"/>
  <c r="E3" i="19"/>
  <c r="E4" i="11"/>
  <c r="A5" i="2"/>
  <c r="A5" i="11"/>
  <c r="E3" i="11"/>
  <c r="C14" i="11"/>
  <c r="E14" i="11" s="1"/>
  <c r="G14" i="11" s="1"/>
  <c r="G36" i="11"/>
  <c r="C15" i="11"/>
  <c r="E15" i="11" s="1"/>
  <c r="G15" i="11" s="1"/>
  <c r="E23" i="11"/>
  <c r="E24" i="11"/>
  <c r="E25" i="11"/>
  <c r="E30" i="11"/>
  <c r="G30" i="11" s="1"/>
  <c r="B5" i="4"/>
  <c r="B4" i="4"/>
  <c r="G39" i="11"/>
  <c r="G40" i="11"/>
  <c r="G11" i="47" l="1"/>
  <c r="G12" i="47" s="1"/>
  <c r="G13" i="47" s="1"/>
  <c r="G16" i="47" s="1"/>
  <c r="G17" i="47" s="1"/>
  <c r="G18" i="47" s="1"/>
  <c r="C22" i="4" s="1"/>
  <c r="C10" i="4"/>
  <c r="F23" i="11"/>
  <c r="G23" i="11" s="1"/>
  <c r="F25" i="11"/>
  <c r="G25" i="11" s="1"/>
  <c r="F24" i="11"/>
  <c r="G24" i="11" s="1"/>
  <c r="G18" i="11"/>
  <c r="G19" i="11" s="1"/>
  <c r="G20" i="11" s="1"/>
  <c r="G41" i="11"/>
  <c r="G42" i="11" s="1"/>
  <c r="G43" i="11" s="1"/>
  <c r="G9" i="11"/>
  <c r="G10" i="11" s="1"/>
  <c r="G11" i="11" s="1"/>
  <c r="G31" i="11" l="1"/>
  <c r="G32" i="11" s="1"/>
  <c r="G33" i="11" s="1"/>
  <c r="G46" i="11" s="1"/>
  <c r="G47" i="11" l="1"/>
  <c r="G48" i="11" s="1"/>
  <c r="C8" i="4" s="1"/>
  <c r="E33" i="19" l="1"/>
  <c r="G33" i="19" l="1"/>
  <c r="G37" i="19" s="1"/>
  <c r="G38" i="19" s="1"/>
  <c r="G39" i="19" s="1"/>
  <c r="G45" i="19" s="1"/>
  <c r="C4" i="4" s="1"/>
  <c r="A60" i="63"/>
  <c r="B60" i="63"/>
  <c r="E60" i="63" l="1"/>
  <c r="F57" i="63" s="1"/>
  <c r="H25" i="63" s="1"/>
  <c r="E8" i="63" s="1"/>
  <c r="G8" i="63" s="1"/>
  <c r="G12" i="63" s="1"/>
  <c r="G13" i="63" s="1"/>
  <c r="G14" i="63" s="1"/>
  <c r="G17" i="63" s="1"/>
  <c r="G18" i="63" s="1"/>
  <c r="G19" i="63" s="1"/>
  <c r="C38" i="4" s="1"/>
  <c r="C4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<sst xmlns="http://schemas.openxmlformats.org/spreadsheetml/2006/main" count="19105" uniqueCount="8460">
  <si>
    <t>CUSTOMER AUTHORIZATION WORKBOOK</t>
  </si>
  <si>
    <t>Total SF Authorized</t>
  </si>
  <si>
    <t>## Force Support Squadron (## FSS)</t>
  </si>
  <si>
    <t>CATCode</t>
  </si>
  <si>
    <t>CATCODE TITLE</t>
  </si>
  <si>
    <t>SOURCE</t>
  </si>
  <si>
    <t>BULK</t>
  </si>
  <si>
    <t>AUTHORIZED=ACTUAL</t>
  </si>
  <si>
    <t>INTERVIEW</t>
  </si>
  <si>
    <t>BULK or A=A</t>
  </si>
  <si>
    <t>MAJCOM OR CENTER</t>
  </si>
  <si>
    <t>All CATCODE Sum</t>
  </si>
  <si>
    <r>
      <rPr>
        <sz val="11"/>
        <color rgb="FF000000"/>
        <rFont val="Calibri"/>
        <family val="2"/>
        <scheme val="minor"/>
      </rPr>
      <t xml:space="preserve">Note: Each tab in the Customer Authorization Workbook (CAW) is based on a CATCODE. DAFMAN 32-1084 is now a collection of Category Codes (CATCODEs) and is maintained in the Whole Building Design Guide (WBDG) </t>
    </r>
    <r>
      <rPr>
        <i/>
        <sz val="11"/>
        <color rgb="FF000000"/>
        <rFont val="Calibri"/>
        <family val="2"/>
        <scheme val="minor"/>
      </rPr>
      <t>DAFMAN 32-1084 Facility Requirements Standards</t>
    </r>
    <r>
      <rPr>
        <sz val="11"/>
        <color rgb="FF000000"/>
        <rFont val="Calibri"/>
        <family val="2"/>
        <scheme val="minor"/>
      </rPr>
      <t xml:space="preserve">.  The CATCODEs are divided into Facility Class (FC) and Category Groups (CG).  The URL for the WBDG DAFMAN 32-1084 is as follows (copy and paste into browser):  </t>
    </r>
    <r>
      <rPr>
        <b/>
        <sz val="11"/>
        <color rgb="FF000000"/>
        <rFont val="Calibri"/>
        <family val="2"/>
        <scheme val="minor"/>
      </rPr>
      <t>https://www.wbdg.org/ffc/af-afcec/manuals-afm/afman-32-1084</t>
    </r>
  </si>
  <si>
    <r>
      <t xml:space="preserve">The administrative authorizations, office sizes, conference rooms, break rooms, etc. are typically based on </t>
    </r>
    <r>
      <rPr>
        <i/>
        <sz val="11"/>
        <color theme="1"/>
        <rFont val="Calibri"/>
        <family val="2"/>
        <scheme val="minor"/>
      </rPr>
      <t>Facility Class 6, Administrative; Category Group 61,</t>
    </r>
    <r>
      <rPr>
        <sz val="11"/>
        <color theme="1"/>
        <rFont val="Calibri"/>
        <family val="2"/>
        <scheme val="minor"/>
      </rPr>
      <t xml:space="preserve"> </t>
    </r>
    <r>
      <rPr>
        <i/>
        <sz val="11"/>
        <color theme="1"/>
        <rFont val="Calibri"/>
        <family val="2"/>
        <scheme val="minor"/>
      </rPr>
      <t>Administrative and Administrative Support Spaces</t>
    </r>
    <r>
      <rPr>
        <sz val="11"/>
        <color theme="1"/>
        <rFont val="Calibri"/>
        <family val="2"/>
        <scheme val="minor"/>
      </rPr>
      <t xml:space="preserve">.  The URL reference is as follows (copy and paste into browser): </t>
    </r>
    <r>
      <rPr>
        <b/>
        <sz val="11"/>
        <color theme="1"/>
        <rFont val="Calibri"/>
        <family val="2"/>
        <scheme val="minor"/>
      </rPr>
      <t>https://www.wbdg.org/FFC/AF/AFMAN/6_FC_6_CG_61_Admin_Overview_Nov_2022.pdf</t>
    </r>
  </si>
  <si>
    <t>Interview and Workbook Preparation</t>
  </si>
  <si>
    <t>Interview / Walkthrough Date:</t>
  </si>
  <si>
    <t>Customer Representative:</t>
  </si>
  <si>
    <t>CES Representative:</t>
  </si>
  <si>
    <t>Workbook Preparation Date:</t>
  </si>
  <si>
    <t>Workbook Preparer:</t>
  </si>
  <si>
    <t>Controlled by:  USAF</t>
  </si>
  <si>
    <t>Controlled by:  AFCEC/CIP</t>
  </si>
  <si>
    <t>CUI Category: OPSEC</t>
  </si>
  <si>
    <t>Limited Dissemination Control: NONE</t>
  </si>
  <si>
    <t>POC:</t>
  </si>
  <si>
    <t>BASE POPULATION DATA SHEET</t>
  </si>
  <si>
    <t>START HERE</t>
  </si>
  <si>
    <t>Controlled by:  AFCEC/CP</t>
  </si>
  <si>
    <t>BASE CHARACTERISTICS</t>
  </si>
  <si>
    <t>CONUS</t>
  </si>
  <si>
    <t>COLOR CODES</t>
  </si>
  <si>
    <t>REQUIRES MANUAL INPUT FROM THE INTERVIEWER</t>
  </si>
  <si>
    <t>OCONUS</t>
  </si>
  <si>
    <t>AUTOMATICALLY CALCULATES FROM MANUAL ENTRIES</t>
  </si>
  <si>
    <t>ACCOMPANIED</t>
  </si>
  <si>
    <t>Population Type</t>
  </si>
  <si>
    <t>PN</t>
  </si>
  <si>
    <t>Data Source</t>
  </si>
  <si>
    <r>
      <t xml:space="preserve">1) Calculated using </t>
    </r>
    <r>
      <rPr>
        <b/>
        <u/>
        <sz val="11"/>
        <color theme="0"/>
        <rFont val="Calibri"/>
        <family val="2"/>
        <scheme val="minor"/>
      </rPr>
      <t>2024 Interactive Dashboard</t>
    </r>
    <r>
      <rPr>
        <u/>
        <sz val="11"/>
        <color theme="0"/>
        <rFont val="Calibri"/>
        <family val="2"/>
        <scheme val="minor"/>
      </rPr>
      <t xml:space="preserve"> (tool)</t>
    </r>
    <r>
      <rPr>
        <sz val="11"/>
        <color theme="0"/>
        <rFont val="Calibri"/>
        <family val="2"/>
        <scheme val="minor"/>
      </rPr>
      <t xml:space="preserve"> found at: https://www.militaryonesource.mil/data-research-and-statistics/military-community-demographics/2024-demographics-profile/</t>
    </r>
  </si>
  <si>
    <t>Select One for each above</t>
  </si>
  <si>
    <t>Active Duty Military, 
Total, Permanent Party</t>
  </si>
  <si>
    <t>UMD</t>
  </si>
  <si>
    <t>Use Whole-Installation UMD</t>
  </si>
  <si>
    <t>INSTRUCTIONS</t>
  </si>
  <si>
    <r>
      <rPr>
        <b/>
        <sz val="11"/>
        <color theme="1"/>
        <rFont val="Calibri"/>
        <family val="2"/>
        <scheme val="minor"/>
      </rPr>
      <t>CONUS</t>
    </r>
    <r>
      <rPr>
        <sz val="11"/>
        <color theme="1"/>
        <rFont val="Calibri"/>
        <family val="2"/>
        <scheme val="minor"/>
      </rPr>
      <t xml:space="preserve"> DoD Civilians, 
Total - Including HI &amp; AK</t>
    </r>
  </si>
  <si>
    <r>
      <rPr>
        <b/>
        <sz val="11"/>
        <color theme="1"/>
        <rFont val="Calibri"/>
        <family val="2"/>
        <scheme val="minor"/>
      </rPr>
      <t xml:space="preserve">Step 1. </t>
    </r>
    <r>
      <rPr>
        <sz val="11"/>
        <color theme="1"/>
        <rFont val="Calibri"/>
        <family val="2"/>
        <scheme val="minor"/>
      </rPr>
      <t xml:space="preserve"> Select option for CONUS, OCONUS, and ACCOMPANIED on Base Characristics table above.
</t>
    </r>
    <r>
      <rPr>
        <b/>
        <sz val="11"/>
        <color theme="1"/>
        <rFont val="Calibri"/>
        <family val="2"/>
        <scheme val="minor"/>
      </rPr>
      <t xml:space="preserve">Step 2: </t>
    </r>
    <r>
      <rPr>
        <sz val="11"/>
        <color theme="1"/>
        <rFont val="Calibri"/>
        <family val="2"/>
        <scheme val="minor"/>
      </rPr>
      <t xml:space="preserve"> Use base UMD or other sources to complete the MANUAL INPUT section of the table on the left.  This  will auto-calculate authorizations for most BULK criteria.
</t>
    </r>
    <r>
      <rPr>
        <b/>
        <sz val="11"/>
        <color theme="1"/>
        <rFont val="Calibri"/>
        <family val="2"/>
        <scheme val="minor"/>
      </rPr>
      <t>Step 3:</t>
    </r>
    <r>
      <rPr>
        <sz val="11"/>
        <color theme="1"/>
        <rFont val="Calibri"/>
        <family val="2"/>
        <scheme val="minor"/>
      </rPr>
      <t xml:space="preserve">  Conduct Unit Interview to complete authorizations for non-bulk authority criteria.
</t>
    </r>
    <r>
      <rPr>
        <b/>
        <sz val="11"/>
        <color theme="1"/>
        <rFont val="Calibri"/>
        <family val="2"/>
        <scheme val="minor"/>
      </rPr>
      <t>Step 4:</t>
    </r>
    <r>
      <rPr>
        <sz val="11"/>
        <color theme="1"/>
        <rFont val="Calibri"/>
        <family val="2"/>
        <scheme val="minor"/>
      </rPr>
      <t xml:space="preserve">  Delete tabs that do are not applicable to the unit.
</t>
    </r>
    <r>
      <rPr>
        <b/>
        <sz val="11"/>
        <color theme="1"/>
        <rFont val="Calibri"/>
        <family val="2"/>
        <scheme val="minor"/>
      </rPr>
      <t>Step 5:</t>
    </r>
    <r>
      <rPr>
        <sz val="11"/>
        <color theme="1"/>
        <rFont val="Calibri"/>
        <family val="2"/>
        <scheme val="minor"/>
      </rPr>
      <t xml:space="preserve">  Delete non-applicable rows on the Summary Page-</t>
    </r>
    <r>
      <rPr>
        <i/>
        <sz val="11"/>
        <color theme="1"/>
        <rFont val="Calibri"/>
        <family val="2"/>
        <scheme val="minor"/>
      </rPr>
      <t>should correspond to deleted tabs from Step 4.</t>
    </r>
    <r>
      <rPr>
        <sz val="11"/>
        <color theme="1"/>
        <rFont val="Calibri"/>
        <family val="2"/>
        <scheme val="minor"/>
      </rPr>
      <t xml:space="preserve">
</t>
    </r>
    <r>
      <rPr>
        <b/>
        <sz val="11"/>
        <color theme="1"/>
        <rFont val="Calibri"/>
        <family val="2"/>
        <scheme val="minor"/>
      </rPr>
      <t xml:space="preserve">Step 6: </t>
    </r>
    <r>
      <rPr>
        <sz val="11"/>
        <color theme="1"/>
        <rFont val="Calibri"/>
        <family val="2"/>
        <scheme val="minor"/>
      </rPr>
      <t xml:space="preserve"> Transcribe data to FSS CAWs with alternate names.  Ex: FSS CLUB, FSS FAM CAMP, FSS CHILDCARE, etc.</t>
    </r>
  </si>
  <si>
    <r>
      <rPr>
        <b/>
        <sz val="11"/>
        <color theme="1"/>
        <rFont val="Calibri"/>
        <family val="2"/>
        <scheme val="minor"/>
      </rPr>
      <t>OCONUS</t>
    </r>
    <r>
      <rPr>
        <sz val="11"/>
        <color theme="1"/>
        <rFont val="Calibri"/>
        <family val="2"/>
        <scheme val="minor"/>
      </rPr>
      <t xml:space="preserve"> DoD Civilians, Total </t>
    </r>
  </si>
  <si>
    <t xml:space="preserve">Reserve Duty Military, Total </t>
  </si>
  <si>
    <t>Reservists on special orders: Active Duty Special Work (ADSW), Individual Mobilization Augmentee (IMA), Active Duty Training (ADT), and Active Guard &amp; Reserve (AGR) Tour.  Must be on orders 50%(+) of the time. If &lt;50% of time, they should be counted as TDY.</t>
  </si>
  <si>
    <t>Retired Military</t>
  </si>
  <si>
    <t>FSS/FSP</t>
  </si>
  <si>
    <t>Total Other Military, 
Foreign &amp; U.S., Non-USAF</t>
  </si>
  <si>
    <t>For use in various sizing calculations this number will be added to U.S. Military population total while in CONUS.  For OCONUS/Foreign Area check Host Nation Support Agreement for eligibility to utilize FSS facilities.</t>
  </si>
  <si>
    <t>Training/TDY Military, E1-E4, 
Active &amp; Reserve Duty</t>
  </si>
  <si>
    <t>For use in DFAC/Open Mess sizing calculations.</t>
  </si>
  <si>
    <t>Training/TDY Military, E5-E9,
Active &amp; Reserve Duty</t>
  </si>
  <si>
    <t>For use in Open Mess sizing calculations.</t>
  </si>
  <si>
    <t>Training/TDY Military, O1-O10, 
Active &amp; Reserve Duty</t>
  </si>
  <si>
    <t>*NOTE:  ON BULK-CALCULATED CRITERIA, YOU SHOULD NOT MANUALLY ALTER ANY CELLS UNLESS YOU UNDERSTAND FORMULAS OR PROMPTED TO DO SO.</t>
  </si>
  <si>
    <t>Confinement Status, 
Total Personnel</t>
  </si>
  <si>
    <t>Active Duty Military, E1-E4, 
Permanent Party</t>
  </si>
  <si>
    <t>AUTO</t>
  </si>
  <si>
    <r>
      <t xml:space="preserve">Use UMD for breakdown of population by grade. If breakdown not available, </t>
    </r>
    <r>
      <rPr>
        <u/>
        <sz val="11"/>
        <color theme="1"/>
        <rFont val="Calibri"/>
        <family val="2"/>
        <scheme val="minor"/>
      </rPr>
      <t>enter formula: =D9*0.419</t>
    </r>
    <r>
      <rPr>
        <sz val="11"/>
        <color theme="1"/>
        <rFont val="Calibri"/>
        <family val="2"/>
        <scheme val="minor"/>
      </rPr>
      <t xml:space="preserve">: size as follows - Per Note (2): Section 2.04. (Pg. 15), a factor of .419(41.9%) can be applied to Active Duty Military population to calculate number of USAF E1-E4 Total.  </t>
    </r>
    <r>
      <rPr>
        <b/>
        <sz val="11"/>
        <color theme="1"/>
        <rFont val="Calibri"/>
        <family val="2"/>
        <scheme val="minor"/>
      </rPr>
      <t>EX:  (Active Duty Military, Total No.) x .419 = Total USAF E1-E4 Population.</t>
    </r>
    <r>
      <rPr>
        <sz val="11"/>
        <color theme="1"/>
        <rFont val="Calibri"/>
        <family val="2"/>
        <scheme val="minor"/>
      </rPr>
      <t xml:space="preserve"> </t>
    </r>
  </si>
  <si>
    <t>Active Duty Military, E5-E9, 
Permanent Party</t>
  </si>
  <si>
    <r>
      <t xml:space="preserve">Use UMD for breakdown of population by grade. If breakdown not available, </t>
    </r>
    <r>
      <rPr>
        <u/>
        <sz val="11"/>
        <color theme="1"/>
        <rFont val="Calibri"/>
        <family val="2"/>
        <scheme val="minor"/>
      </rPr>
      <t>enter formula: =D9*0.388</t>
    </r>
    <r>
      <rPr>
        <sz val="11"/>
        <color theme="1"/>
        <rFont val="Calibri"/>
        <family val="2"/>
        <scheme val="minor"/>
      </rPr>
      <t xml:space="preserve">: size as follows - Per Note (2): Section 2.04. (Pg. 15), a factor of .388 (38.8%) can be applied to Active Duty Military population to calculate number of USAF E5-E9 Total.
</t>
    </r>
    <r>
      <rPr>
        <b/>
        <sz val="11"/>
        <color theme="1"/>
        <rFont val="Calibri"/>
        <family val="2"/>
        <scheme val="minor"/>
      </rPr>
      <t>EX:  (Active Duty Military, Total No.) x .388 = Total USAF E5-E9 Population.</t>
    </r>
  </si>
  <si>
    <t>Active Duty Military, O1-O10, 
Permanent Party</t>
  </si>
  <si>
    <r>
      <t xml:space="preserve">Use UMD for breakdown of population by grade. If breakdown not available, </t>
    </r>
    <r>
      <rPr>
        <u/>
        <sz val="11"/>
        <color theme="1"/>
        <rFont val="Calibri"/>
        <family val="2"/>
        <scheme val="minor"/>
      </rPr>
      <t>enter formula: =D9*.194</t>
    </r>
    <r>
      <rPr>
        <sz val="11"/>
        <color theme="1"/>
        <rFont val="Calibri"/>
        <family val="2"/>
        <scheme val="minor"/>
      </rPr>
      <t xml:space="preserve">: size as follows - Per Note (2): Section 2.04. (Pg. 15), a factor of .194 (19.4%) can be applied to Active Duty Military population to calculate number of USAF O1-O10 Total. 
</t>
    </r>
    <r>
      <rPr>
        <b/>
        <sz val="11"/>
        <color theme="1"/>
        <rFont val="Calibri"/>
        <family val="2"/>
        <scheme val="minor"/>
      </rPr>
      <t>EX:  (Active Duty Military, Total No.) x .194 = Total USAF O1-O10 Population.</t>
    </r>
  </si>
  <si>
    <t>Retired Enlisted</t>
  </si>
  <si>
    <r>
      <t xml:space="preserve">For use in Club sizing calculations.  Per Note (1): Dashboard Personnel Separations (Branches: All; Retirement %), a factor of 0.32 can be applied to Retired Military population to estimate the number of Retired Enlisted. This is calculated by taking the average Ratio of Retiring Officers to Retiring Enlisted (OFF : ENL or 49.2 : 23.1 = 68% : 32%), and applying that as a factor (32% or 0.32) to the retiree population.  </t>
    </r>
    <r>
      <rPr>
        <b/>
        <sz val="11"/>
        <color theme="1"/>
        <rFont val="Calibri"/>
        <family val="2"/>
        <scheme val="minor"/>
      </rPr>
      <t>EX:  (Retired Military, Total No.) x 0.32 = Total Retired Enlisted Population.</t>
    </r>
    <r>
      <rPr>
        <sz val="11"/>
        <color theme="1"/>
        <rFont val="Calibri"/>
        <family val="2"/>
        <scheme val="minor"/>
      </rPr>
      <t xml:space="preserve"> </t>
    </r>
  </si>
  <si>
    <t>Retired Officers</t>
  </si>
  <si>
    <r>
      <t xml:space="preserve">For use in Club sizing calculations.  Per Note (1): Dashboard Personnel Separations (Branches: All; Retirement %), a factor of 0.68 can be applied to Retired Military population to estimate the number of Retired Officers. This is calculated by taking the average Ratio of Retiring Officers to Retiring Enlisted (OFF : ENL or 49.2 : 23.1 = 68% : 32%), and applying that as a factor (68% or 0.68) to the retiree population.  </t>
    </r>
    <r>
      <rPr>
        <b/>
        <sz val="11"/>
        <color theme="1"/>
        <rFont val="Calibri"/>
        <family val="2"/>
        <scheme val="minor"/>
      </rPr>
      <t>EX:  (Retired Military, Total No.) x 0.68 = Total Retired Officer Population.</t>
    </r>
    <r>
      <rPr>
        <sz val="11"/>
        <color theme="1"/>
        <rFont val="Calibri"/>
        <family val="2"/>
        <scheme val="minor"/>
      </rPr>
      <t xml:space="preserve"> </t>
    </r>
  </si>
  <si>
    <t>Unaccompanied Military, Total 
- Incl. Active Duty, TDY, &amp; Foreign
Active Duty Incl. Civ when OCONUS</t>
  </si>
  <si>
    <r>
      <t xml:space="preserve">Per Note (2): Section 5.03. (Pg. 104), a factor of 0.436 can be applied to Total Active Duty Military population (incl. Civilian when OCONUS) to calculate number of Active Duty Unaccomp. (Military). Next, add all TDY &amp; Foreign Military, for Total Unaccomp. Military.
</t>
    </r>
    <r>
      <rPr>
        <b/>
        <sz val="11"/>
        <color theme="1"/>
        <rFont val="Calibri"/>
        <family val="2"/>
        <scheme val="minor"/>
      </rPr>
      <t>EX:  (Active Duty Military, Total No.) x 0.436 (43.6%) + TDY Mil (All Ranks) + Foreign Mil = Total Unaccompanied Military.</t>
    </r>
  </si>
  <si>
    <t>Dependents - Spouses, 
E1-E4 Active Duty</t>
  </si>
  <si>
    <r>
      <t xml:space="preserve">For use in Club sizing calculations. Does not count Dual Military spouses, as they are counted under Active Duty. Per Note (1): Dashboard - DoD Force Family Status (USAF Active, E1-E4), 22.4% (factor 0.224) of Active Duty Airforce E1-E4 are married to civilians. 
</t>
    </r>
    <r>
      <rPr>
        <b/>
        <sz val="11"/>
        <color theme="1"/>
        <rFont val="Calibri"/>
        <family val="2"/>
        <scheme val="minor"/>
      </rPr>
      <t>EX:  (Dependents, Total No.) x .224 = Total Military Spouse Population. 
Use factors 0.259 for Army; 0.2 for USN; &amp; 0.161 for USMC.</t>
    </r>
  </si>
  <si>
    <t>Dependents - Spouses, 
E5-E9 Active Duty</t>
  </si>
  <si>
    <r>
      <t xml:space="preserve">For use in Club sizing calculations. Does not count Dual Military spouses, as they are counted under Active Duty. Per Note (1): Dashboard - DoD Force Family Status (USAF Active, E5-E9), 69.8% (factor 0.698) of Active Duty Airforce E5-E9 are married to civilians. 
</t>
    </r>
    <r>
      <rPr>
        <b/>
        <sz val="11"/>
        <color theme="1"/>
        <rFont val="Calibri"/>
        <family val="2"/>
        <scheme val="minor"/>
      </rPr>
      <t>EX:  (Dependents, Total No.) x .698 = Total Military Spouse Population. 
Use factors 0.641 for Army; 0.534 for USN; &amp; 0.479 for USMC.</t>
    </r>
  </si>
  <si>
    <t xml:space="preserve">Dependents - Spouses, 
O1-O10 Active Duty
</t>
  </si>
  <si>
    <r>
      <t xml:space="preserve">For use in Club sizing calculations. Does not count Dual Military spouses, as they are counted under Active Duty. Per Note (1): Dashboard - DoD Force Family Status (USAF Active, All), 76.2% (factor 0.762) of Active Duty Airforce O1-O10 (incl. Civilian when OCONUS) are married to civilians. </t>
    </r>
    <r>
      <rPr>
        <b/>
        <sz val="11"/>
        <color theme="1"/>
        <rFont val="Calibri"/>
        <family val="2"/>
        <scheme val="minor"/>
      </rPr>
      <t>EX:  (Dependents, Total No.) x .762 = Total Military Spouse Population. 
Use factors 0.585 for Army; 0.554 for USN; &amp; 0.599 for USMC.</t>
    </r>
  </si>
  <si>
    <r>
      <t xml:space="preserve">All Dependents, Children &amp; Family
</t>
    </r>
    <r>
      <rPr>
        <b/>
        <sz val="11"/>
        <color theme="1"/>
        <rFont val="Calibri"/>
        <family val="2"/>
        <scheme val="minor"/>
      </rPr>
      <t>CONUS</t>
    </r>
    <r>
      <rPr>
        <sz val="11"/>
        <color theme="1"/>
        <rFont val="Calibri"/>
        <family val="2"/>
        <scheme val="minor"/>
      </rPr>
      <t>, Total - Active Military</t>
    </r>
  </si>
  <si>
    <r>
      <t xml:space="preserve">Per Note (2): Section 5.02. (Pg. 116), a factor of 1.2 can be applied to Active Duty Military population to calculate number of USAF Dependents.  </t>
    </r>
    <r>
      <rPr>
        <b/>
        <sz val="11"/>
        <color theme="1"/>
        <rFont val="Calibri"/>
        <family val="2"/>
        <scheme val="minor"/>
      </rPr>
      <t>EX:  (Active Duty Military, Total No.) x 1.2 = Total CONUS Dependent Population.</t>
    </r>
    <r>
      <rPr>
        <sz val="11"/>
        <color theme="1"/>
        <rFont val="Calibri"/>
        <family val="2"/>
        <scheme val="minor"/>
      </rPr>
      <t xml:space="preserve"> 
</t>
    </r>
    <r>
      <rPr>
        <b/>
        <sz val="11"/>
        <color theme="1"/>
        <rFont val="Calibri"/>
        <family val="2"/>
        <scheme val="minor"/>
      </rPr>
      <t>Use factors 1.3 for Army; 1.1 for USN; &amp; 0.8 for USMC.</t>
    </r>
  </si>
  <si>
    <r>
      <t xml:space="preserve">All Dependents, Children &amp; Family, 
</t>
    </r>
    <r>
      <rPr>
        <b/>
        <sz val="11"/>
        <color theme="1"/>
        <rFont val="Calibri"/>
        <family val="2"/>
        <scheme val="minor"/>
      </rPr>
      <t>OCONUS</t>
    </r>
    <r>
      <rPr>
        <sz val="11"/>
        <color theme="1"/>
        <rFont val="Calibri"/>
        <family val="2"/>
        <scheme val="minor"/>
      </rPr>
      <t>, Total - Military &amp; DoD Civilian</t>
    </r>
  </si>
  <si>
    <r>
      <t xml:space="preserve">Per Note (2): Section 5.02. (Pg. 116), a factor of 1.2 can be applied to Active Duty Military population  (incl. Civilian when OCONUS) to calculate number of USAF Dependents. </t>
    </r>
    <r>
      <rPr>
        <b/>
        <sz val="11"/>
        <color theme="1"/>
        <rFont val="Calibri"/>
        <family val="2"/>
        <scheme val="minor"/>
      </rPr>
      <t>EX:  (Active Duty Military, Total No.) x 1.2 = Total CONUS Dependent Population.</t>
    </r>
    <r>
      <rPr>
        <sz val="11"/>
        <color theme="1"/>
        <rFont val="Calibri"/>
        <family val="2"/>
        <scheme val="minor"/>
      </rPr>
      <t xml:space="preserve"> 
</t>
    </r>
    <r>
      <rPr>
        <b/>
        <sz val="11"/>
        <color theme="1"/>
        <rFont val="Calibri"/>
        <family val="2"/>
        <scheme val="minor"/>
      </rPr>
      <t>Use factors 1.3 for Army; 1.1 for USN; &amp; 0.8 for USMC.</t>
    </r>
  </si>
  <si>
    <r>
      <t xml:space="preserve">Dependents - Spouses &amp; Children </t>
    </r>
    <r>
      <rPr>
        <u/>
        <sz val="11"/>
        <color theme="1"/>
        <rFont val="Calibri"/>
        <family val="2"/>
        <scheme val="minor"/>
      </rPr>
      <t>13 Yrs (+)</t>
    </r>
    <r>
      <rPr>
        <sz val="11"/>
        <color theme="1"/>
        <rFont val="Calibri"/>
        <family val="2"/>
        <scheme val="minor"/>
      </rPr>
      <t xml:space="preserve"> </t>
    </r>
    <r>
      <rPr>
        <b/>
        <sz val="11"/>
        <color theme="1"/>
        <rFont val="Calibri"/>
        <family val="2"/>
        <scheme val="minor"/>
      </rPr>
      <t>CONUS</t>
    </r>
  </si>
  <si>
    <r>
      <t xml:space="preserve">For use in Gym sizing calculations.  Per Note (2): Sections 4.06 &amp; 4.08. (Pgs. 110 &amp; 111), 57% of Mil Dep(s) are Children; of these, 26.4% are ages 12-22 [0.57 x 0.264 = 15%]. Total Gym-Eligible Mil Dep Population = 52% [15% + 37%].  
</t>
    </r>
    <r>
      <rPr>
        <b/>
        <sz val="11"/>
        <color theme="1"/>
        <rFont val="Calibri"/>
        <family val="2"/>
        <scheme val="minor"/>
      </rPr>
      <t>EX:  (Dependents, Total No.) x .52 (52%) = Total Gym-Eligible Military Dependent Population.  Use same factor for all branches.</t>
    </r>
  </si>
  <si>
    <r>
      <t xml:space="preserve">Dependents - Spouses &amp; Children </t>
    </r>
    <r>
      <rPr>
        <u/>
        <sz val="11"/>
        <color theme="1"/>
        <rFont val="Calibri"/>
        <family val="2"/>
        <scheme val="minor"/>
      </rPr>
      <t>13 Yrs (+)</t>
    </r>
    <r>
      <rPr>
        <sz val="11"/>
        <color theme="1"/>
        <rFont val="Calibri"/>
        <family val="2"/>
        <scheme val="minor"/>
      </rPr>
      <t xml:space="preserve"> </t>
    </r>
    <r>
      <rPr>
        <b/>
        <sz val="11"/>
        <color theme="1"/>
        <rFont val="Calibri"/>
        <family val="2"/>
        <scheme val="minor"/>
      </rPr>
      <t>OCONUS</t>
    </r>
  </si>
  <si>
    <r>
      <t xml:space="preserve">For use in Gym sizing calculations.  Per Note (2): Sections 4.06 &amp; 4.08. (Pgs. 110 &amp; 111), 63% of Mil Dep(s) are Children; of these, 31% are ages 12-22 [0.63 x 0.31 = 20%]. Total Gym-Eligible Mil Dep Population = 57% [20% + 37%].  
</t>
    </r>
    <r>
      <rPr>
        <b/>
        <sz val="11"/>
        <color theme="1"/>
        <rFont val="Calibri"/>
        <family val="2"/>
        <scheme val="minor"/>
      </rPr>
      <t>EX:  (Dependents, Total No.) x .57 (57%) = Total Gym-Eligible Military Dependent Population.  Use same factor for all branches.</t>
    </r>
  </si>
  <si>
    <r>
      <t xml:space="preserve">Dependents - Infants </t>
    </r>
    <r>
      <rPr>
        <u/>
        <sz val="11"/>
        <color theme="1"/>
        <rFont val="Calibri"/>
        <family val="2"/>
        <scheme val="minor"/>
      </rPr>
      <t>6 Wks - 12 Mos</t>
    </r>
    <r>
      <rPr>
        <sz val="11"/>
        <color theme="1"/>
        <rFont val="Calibri"/>
        <family val="2"/>
        <scheme val="minor"/>
      </rPr>
      <t>, 
No. of Children (Peak)</t>
    </r>
  </si>
  <si>
    <t>FSS/FSY</t>
  </si>
  <si>
    <r>
      <t xml:space="preserve">For use in CDC sizing calculations.  Ensure this number reflects </t>
    </r>
    <r>
      <rPr>
        <u/>
        <sz val="11"/>
        <color theme="1"/>
        <rFont val="Calibri"/>
        <family val="2"/>
        <scheme val="minor"/>
      </rPr>
      <t>enrollment data</t>
    </r>
    <r>
      <rPr>
        <sz val="11"/>
        <color theme="1"/>
        <rFont val="Calibri"/>
        <family val="2"/>
        <scheme val="minor"/>
      </rPr>
      <t xml:space="preserve"> and </t>
    </r>
    <r>
      <rPr>
        <u/>
        <sz val="11"/>
        <color theme="1"/>
        <rFont val="Calibri"/>
        <family val="2"/>
        <scheme val="minor"/>
      </rPr>
      <t>not capacity</t>
    </r>
    <r>
      <rPr>
        <sz val="11"/>
        <color theme="1"/>
        <rFont val="Calibri"/>
        <family val="2"/>
        <scheme val="minor"/>
      </rPr>
      <t>.  Review enrollment data from 12-Month period (use the last-average year/Not COVID-19 numbers) to find peak number receiving services.</t>
    </r>
  </si>
  <si>
    <r>
      <t xml:space="preserve">Dependents - Infants </t>
    </r>
    <r>
      <rPr>
        <u/>
        <sz val="11"/>
        <color theme="1"/>
        <rFont val="Calibri"/>
        <family val="2"/>
        <scheme val="minor"/>
      </rPr>
      <t>6 Wks - 12 Mos</t>
    </r>
    <r>
      <rPr>
        <sz val="11"/>
        <color theme="1"/>
        <rFont val="Calibri"/>
        <family val="2"/>
        <scheme val="minor"/>
      </rPr>
      <t>, 
Waiting List (Peak No. of Children)</t>
    </r>
  </si>
  <si>
    <t>For use in CDC sizing calculations.  Review enrollment data from 12-Month period (use the last-average year/Not COVID-19 numbers) to find peak number waiting for services.  Ensure Waiting List is reflective of the same month as the Enrollment so sizing is not skewed by staffing constraints (e.g., if enrollment drops but waiting list increases, the total reflects the actual requirement). This variance is allowed per DAFMAN, providing a this number is documented.</t>
  </si>
  <si>
    <r>
      <t xml:space="preserve">Dependents - Pre-Toddlers </t>
    </r>
    <r>
      <rPr>
        <u/>
        <sz val="11"/>
        <color theme="1"/>
        <rFont val="Calibri"/>
        <family val="2"/>
        <scheme val="minor"/>
      </rPr>
      <t>13 Mos - 24 Mos</t>
    </r>
    <r>
      <rPr>
        <sz val="11"/>
        <color theme="1"/>
        <rFont val="Calibri"/>
        <family val="2"/>
        <scheme val="minor"/>
      </rPr>
      <t>, 
No. of Children (Peak)</t>
    </r>
  </si>
  <si>
    <r>
      <t xml:space="preserve">Dependents - Pre-Toddlers </t>
    </r>
    <r>
      <rPr>
        <u/>
        <sz val="11"/>
        <color theme="1"/>
        <rFont val="Calibri"/>
        <family val="2"/>
        <scheme val="minor"/>
      </rPr>
      <t>13 Mos - 24 Mos</t>
    </r>
    <r>
      <rPr>
        <sz val="11"/>
        <color theme="1"/>
        <rFont val="Calibri"/>
        <family val="2"/>
        <scheme val="minor"/>
      </rPr>
      <t>, 
Waiting List (Peak No. of Children)</t>
    </r>
  </si>
  <si>
    <r>
      <t xml:space="preserve">Dependents - Toddlers </t>
    </r>
    <r>
      <rPr>
        <u/>
        <sz val="11"/>
        <color theme="1"/>
        <rFont val="Calibri"/>
        <family val="2"/>
        <scheme val="minor"/>
      </rPr>
      <t>25 Mos - 36 Mos</t>
    </r>
    <r>
      <rPr>
        <sz val="11"/>
        <color theme="1"/>
        <rFont val="Calibri"/>
        <family val="2"/>
        <scheme val="minor"/>
      </rPr>
      <t>, 
No. of Children (Peak)</t>
    </r>
  </si>
  <si>
    <r>
      <t xml:space="preserve">Dependents - Toddlers </t>
    </r>
    <r>
      <rPr>
        <u/>
        <sz val="11"/>
        <color theme="1"/>
        <rFont val="Calibri"/>
        <family val="2"/>
        <scheme val="minor"/>
      </rPr>
      <t>25 Mos - 36 Mos</t>
    </r>
    <r>
      <rPr>
        <sz val="11"/>
        <color theme="1"/>
        <rFont val="Calibri"/>
        <family val="2"/>
        <scheme val="minor"/>
      </rPr>
      <t>, 
Waiting List (Peak No. of Children)</t>
    </r>
  </si>
  <si>
    <r>
      <t xml:space="preserve">Dependents - Pre-Schoolers </t>
    </r>
    <r>
      <rPr>
        <u/>
        <sz val="11"/>
        <color theme="1"/>
        <rFont val="Calibri"/>
        <family val="2"/>
        <scheme val="minor"/>
      </rPr>
      <t>3 Yrs - 5 Yrs</t>
    </r>
    <r>
      <rPr>
        <sz val="11"/>
        <color theme="1"/>
        <rFont val="Calibri"/>
        <family val="2"/>
        <scheme val="minor"/>
      </rPr>
      <t>, 
No. of Children (Peak)</t>
    </r>
  </si>
  <si>
    <r>
      <t xml:space="preserve">Dependents -  Pre-Schoolers </t>
    </r>
    <r>
      <rPr>
        <u/>
        <sz val="11"/>
        <color theme="1"/>
        <rFont val="Calibri"/>
        <family val="2"/>
        <scheme val="minor"/>
      </rPr>
      <t>3 Yrs - 5 Yrs</t>
    </r>
    <r>
      <rPr>
        <sz val="11"/>
        <color theme="1"/>
        <rFont val="Calibri"/>
        <family val="2"/>
        <scheme val="minor"/>
      </rPr>
      <t>, 
Waiting List (Peak No. of Children)</t>
    </r>
  </si>
  <si>
    <r>
      <t xml:space="preserve">Dependents - </t>
    </r>
    <r>
      <rPr>
        <u/>
        <sz val="11"/>
        <color theme="1"/>
        <rFont val="Calibri"/>
        <family val="2"/>
        <scheme val="minor"/>
      </rPr>
      <t>6 Yrs - 8 Yrs</t>
    </r>
    <r>
      <rPr>
        <sz val="11"/>
        <color theme="1"/>
        <rFont val="Calibri"/>
        <family val="2"/>
        <scheme val="minor"/>
      </rPr>
      <t xml:space="preserve">, 
No. of Children (Peak);  
Youth Center:  School Age Care (SAC) </t>
    </r>
  </si>
  <si>
    <r>
      <t xml:space="preserve">For use in Youth Center sizing calculations.  Ensure this number reflects </t>
    </r>
    <r>
      <rPr>
        <u/>
        <sz val="11"/>
        <color theme="1"/>
        <rFont val="Calibri"/>
        <family val="2"/>
        <scheme val="minor"/>
      </rPr>
      <t>enrollment data</t>
    </r>
    <r>
      <rPr>
        <sz val="11"/>
        <color theme="1"/>
        <rFont val="Calibri"/>
        <family val="2"/>
        <scheme val="minor"/>
      </rPr>
      <t xml:space="preserve"> and </t>
    </r>
    <r>
      <rPr>
        <u/>
        <sz val="11"/>
        <color theme="1"/>
        <rFont val="Calibri"/>
        <family val="2"/>
        <scheme val="minor"/>
      </rPr>
      <t>not capacity</t>
    </r>
    <r>
      <rPr>
        <sz val="11"/>
        <color theme="1"/>
        <rFont val="Calibri"/>
        <family val="2"/>
        <scheme val="minor"/>
      </rPr>
      <t>.  Review enrollment data from 12-Month period (use the last-average year/Not COVID-19 numbers) to find peak number receiving services.</t>
    </r>
  </si>
  <si>
    <r>
      <t xml:space="preserve">Dependents - </t>
    </r>
    <r>
      <rPr>
        <u/>
        <sz val="11"/>
        <color theme="1"/>
        <rFont val="Calibri"/>
        <family val="2"/>
        <scheme val="minor"/>
      </rPr>
      <t>6 Yrs - 8 Yrs</t>
    </r>
    <r>
      <rPr>
        <sz val="11"/>
        <color theme="1"/>
        <rFont val="Calibri"/>
        <family val="2"/>
        <scheme val="minor"/>
      </rPr>
      <t xml:space="preserve">, 
Waiting List (Peak No. of Children); 
Youth Center: School Age Care  </t>
    </r>
  </si>
  <si>
    <r>
      <t xml:space="preserve">Dependents - </t>
    </r>
    <r>
      <rPr>
        <u/>
        <sz val="11"/>
        <color theme="1"/>
        <rFont val="Calibri"/>
        <family val="2"/>
        <scheme val="minor"/>
      </rPr>
      <t>9 Yrs - 12 Yrs</t>
    </r>
    <r>
      <rPr>
        <sz val="11"/>
        <color theme="1"/>
        <rFont val="Calibri"/>
        <family val="2"/>
        <scheme val="minor"/>
      </rPr>
      <t xml:space="preserve">, 
No. of Children (Peak);  
Youth Center:  Open Recreation </t>
    </r>
  </si>
  <si>
    <r>
      <t xml:space="preserve">Dependents - </t>
    </r>
    <r>
      <rPr>
        <u/>
        <sz val="11"/>
        <color theme="1"/>
        <rFont val="Calibri"/>
        <family val="2"/>
        <scheme val="minor"/>
      </rPr>
      <t>9 Yrs - 12 Yrs</t>
    </r>
    <r>
      <rPr>
        <sz val="11"/>
        <color theme="1"/>
        <rFont val="Calibri"/>
        <family val="2"/>
        <scheme val="minor"/>
      </rPr>
      <t xml:space="preserve">, 
Waiting List (Peak No. of Children);  
Youth Center:  Open Recreation </t>
    </r>
  </si>
  <si>
    <t>For use in Youth Center sizing calculations.  Review enrollment data from 12-Month period (use the last-average year/Not COVID-19 numbers) to find peak number waiting for services.  Ensure Waiting List is reflective of the same month as the Enrollment so sizing is not skewed by staffing constraints (e.g., if enrollment drops but waiting list increases, the total reflects the actual requirement). This variance is allowed per DAFMAN, providing a this number is documented.</t>
  </si>
  <si>
    <r>
      <t xml:space="preserve">Dependents - </t>
    </r>
    <r>
      <rPr>
        <u/>
        <sz val="11"/>
        <color theme="1"/>
        <rFont val="Calibri"/>
        <family val="2"/>
        <scheme val="minor"/>
      </rPr>
      <t>13 Yrs - 18 Yrs</t>
    </r>
    <r>
      <rPr>
        <sz val="11"/>
        <color theme="1"/>
        <rFont val="Calibri"/>
        <family val="2"/>
        <scheme val="minor"/>
      </rPr>
      <t xml:space="preserve">, 
No. of Children (Peak);  
Youth Center: Teen Center  </t>
    </r>
  </si>
  <si>
    <r>
      <t xml:space="preserve">Dependents - </t>
    </r>
    <r>
      <rPr>
        <u/>
        <sz val="11"/>
        <color theme="1"/>
        <rFont val="Calibri"/>
        <family val="2"/>
        <scheme val="minor"/>
      </rPr>
      <t>13 Yrs - 18 Yrs</t>
    </r>
    <r>
      <rPr>
        <sz val="11"/>
        <color theme="1"/>
        <rFont val="Calibri"/>
        <family val="2"/>
        <scheme val="minor"/>
      </rPr>
      <t>, 
Waiting List (Peak No. of Children);  
Youth Center: Teen Center</t>
    </r>
  </si>
  <si>
    <t>CATCODE:</t>
  </si>
  <si>
    <t>CATCODE Title:</t>
  </si>
  <si>
    <t>WBDG Reference Link:</t>
  </si>
  <si>
    <t>BLDG(S):</t>
  </si>
  <si>
    <t>Position Description</t>
  </si>
  <si>
    <t>Rank / Position Type</t>
  </si>
  <si>
    <t>Office Type</t>
  </si>
  <si>
    <t>Grade</t>
  </si>
  <si>
    <t>SF Auth / No.</t>
  </si>
  <si>
    <t>No.</t>
  </si>
  <si>
    <t>Total Auth</t>
  </si>
  <si>
    <r>
      <rPr>
        <b/>
        <sz val="12"/>
        <color theme="0"/>
        <rFont val="Calibri"/>
        <family val="2"/>
        <scheme val="minor"/>
      </rPr>
      <t xml:space="preserve">LINK: </t>
    </r>
    <r>
      <rPr>
        <b/>
        <u/>
        <sz val="12"/>
        <color theme="0"/>
        <rFont val="Calibri"/>
        <family val="2"/>
        <scheme val="minor"/>
      </rPr>
      <t>WBDG - AFMAN 32-1084</t>
    </r>
  </si>
  <si>
    <t>Administrative Private Office Space</t>
  </si>
  <si>
    <t>Criteria for these positions is in AFMAN 32-1084, Category Group 61, Administrative Facility Overview</t>
  </si>
  <si>
    <t>Commandant</t>
  </si>
  <si>
    <t>Faculty/Instructor</t>
  </si>
  <si>
    <t>Office Type C (Private)</t>
  </si>
  <si>
    <t>SNCO</t>
  </si>
  <si>
    <t>Commandants of each PME Center: 1-ALS; 1-NCOA; 1-SNCOA</t>
  </si>
  <si>
    <t xml:space="preserve">Subtotal Private Office Space </t>
  </si>
  <si>
    <t>Subtotal</t>
  </si>
  <si>
    <t>Private Office Circulation (28% of Net Organization space)</t>
  </si>
  <si>
    <t>Category Group 61 — Administrative Facilities Overview para 1.4.3</t>
  </si>
  <si>
    <t>Net Private Office Subtotal</t>
  </si>
  <si>
    <t>Administrative Open Office Space</t>
  </si>
  <si>
    <t>Instructors, Staff/Cadre</t>
  </si>
  <si>
    <t>Instructor (Open) Office</t>
  </si>
  <si>
    <t>Office Type F (Open)</t>
  </si>
  <si>
    <t>NCO</t>
  </si>
  <si>
    <t>Non UMD Military; provided rotationally by Wing. See Data Entry Tab, Table 171815.</t>
  </si>
  <si>
    <t xml:space="preserve">Subtotal Open Office Space </t>
  </si>
  <si>
    <t>Open Office Circulation (38 % of Net Organization space)</t>
  </si>
  <si>
    <t xml:space="preserve">Net Open Office Space </t>
  </si>
  <si>
    <t xml:space="preserve">Administrative Special Purpose and Shared Space </t>
  </si>
  <si>
    <t>Administrative Support Space (Staff Only)</t>
  </si>
  <si>
    <t>Category Group 61 — Administrative Facilities Overview para 1.2.3.  Includes circulation in and around office areas and space for working office storage, copiers, working files, printers, scanners, shredders, safes, and facsimile machines. Does not include Part Time Staff.</t>
  </si>
  <si>
    <t>Staff Break Rooms (Kitchen/Vending)</t>
  </si>
  <si>
    <t>Category Group 61 — Administrative Facilities Overview Table 1.3 (3 SF per Full Time Staff- Minimum  50 NSF).  Cadre Break Room. Does not include Part Time Staff.</t>
  </si>
  <si>
    <t>Staff Locker Rooms</t>
  </si>
  <si>
    <t>Per Para. 1.3.6.10. of reference: Cadre Locker Room auth for instructor led PT. Staff count does not include Part Time Staff.</t>
  </si>
  <si>
    <t>Seminar Rooms</t>
  </si>
  <si>
    <t>Per Para. 1.3.1.1 of reference. Classrooms sized per FC-6, Table 6.4.
For sizing details, see Data Entry Tab, Table 171815.</t>
  </si>
  <si>
    <t>Auditorium</t>
  </si>
  <si>
    <t>Per Para. 1.3.1.2 of reference: Student population (48-PN) plus 20% overflow for guests/visitors. 
For sizing details, see Data Entry Tab, Table 171815.</t>
  </si>
  <si>
    <t>Projection/AV Booth w. Storage</t>
  </si>
  <si>
    <t>Per Para. 1.3.2 of reference. For sizing details, see Data Entry Tab, Table 171815.</t>
  </si>
  <si>
    <t>Waiting Room, DV/Guest Speaker</t>
  </si>
  <si>
    <t>Per Para. 1.3.3 of reference.</t>
  </si>
  <si>
    <t xml:space="preserve">Discussion Rooms, Instructor/Student </t>
  </si>
  <si>
    <t>For Instructors to conduct office hours; shared w/ other Instructors. 
For sizing details, see Data Entry Tab, Table 171815.</t>
  </si>
  <si>
    <t>Reception Area, Admin</t>
  </si>
  <si>
    <t>Per Para. 1.3.6.1 of reference. For sizing details, see Data Entry Tab, Table 171815.</t>
  </si>
  <si>
    <t>Student Service Area</t>
  </si>
  <si>
    <t>Per Para. 1.3.6.3 of reference. Minimum size is 100 GSF. For sizing details, see Data Entry Tab, Table 171815.</t>
  </si>
  <si>
    <t>Storage, Comp/Test Analysis</t>
  </si>
  <si>
    <t>Per Para. 1.3.6.8 of reference. For sizing details, see Data Entry Tab, Table 171815.</t>
  </si>
  <si>
    <t>Learning Resource Center</t>
  </si>
  <si>
    <t>Per Para. 1.3.4 of reference. Minimum size is 400 GSF. For sizing details, see Data Entry Tab, Table 171815.</t>
  </si>
  <si>
    <t>Computer Lab</t>
  </si>
  <si>
    <t>Per Para. 1.3.4 of reference. Reference only authorizes at SNCOA. For sizing details, see Data Entry Tab, Table 171815.</t>
  </si>
  <si>
    <t>Conference Room</t>
  </si>
  <si>
    <t>ONLY auth for school with 4(+)-Seminars. Per Para. 1.3.6.9 of reference. Size = student population plus 15% for overflow seating. For sizing details, see Data Entry Tab, Table 171815.</t>
  </si>
  <si>
    <t>Locker Rooms, Student</t>
  </si>
  <si>
    <t>Per Para. 1.3.6.10. of reference. For sizing details, see Data Entry Tab, Table 171815.</t>
  </si>
  <si>
    <t>Heritage Room</t>
  </si>
  <si>
    <t>Per Para. 1.3.5.1 of reference. For sizing details, see Data Entry Tab, Table 171815.</t>
  </si>
  <si>
    <t>Student Lounge</t>
  </si>
  <si>
    <t>Per Para. 1.3.5.2 of reference. For sizing details, see Data Entry Tab, Table 171815.</t>
  </si>
  <si>
    <t xml:space="preserve">Subtotal Administrative Support and Special Purpose Space </t>
  </si>
  <si>
    <t>Administrative Support and Special Purpose Space Circulation (28% of Net Organization space)</t>
  </si>
  <si>
    <t>Not Applicable-Space Provided in GSF</t>
  </si>
  <si>
    <t xml:space="preserve">Net Administrative Support and Special Purpose Space </t>
  </si>
  <si>
    <t>Non-Administrative Special Purpose Space</t>
  </si>
  <si>
    <t>Special Purpose Space - None</t>
  </si>
  <si>
    <t xml:space="preserve">Subtotal Non-Administrative Special Purpose Space </t>
  </si>
  <si>
    <t xml:space="preserve">Non-Administrative Special Purpose Space Circulation (28% of Net Organization space)	</t>
  </si>
  <si>
    <t xml:space="preserve">Net Non-Administrative Special Purpose Space </t>
  </si>
  <si>
    <t>Enlisted Professional Military Education (EPME) Center</t>
  </si>
  <si>
    <t>Enlisted 
PME Center</t>
  </si>
  <si>
    <t>Total Base  Population - E1-E9, Permanent Party</t>
  </si>
  <si>
    <t>Is Airman Leadership School (ALS) Auth?</t>
  </si>
  <si>
    <t>Is NCO Academy
(NCOA) Auth?</t>
  </si>
  <si>
    <t>Is Senior NCO Academy
(SNCOA) Auth?</t>
  </si>
  <si>
    <t>No. of Commandants</t>
  </si>
  <si>
    <t>Gross Area</t>
  </si>
  <si>
    <t>N</t>
  </si>
  <si>
    <t>See Above</t>
  </si>
  <si>
    <t>ALS EPME Facility</t>
  </si>
  <si>
    <t>Professional Military Education (PME) Center 171815</t>
  </si>
  <si>
    <t>No. of Concurrent Flights attending class (PEAK)</t>
  </si>
  <si>
    <t>No. of Assigned Instructors</t>
  </si>
  <si>
    <r>
      <t xml:space="preserve">Computer Lab, No. of Stations - </t>
    </r>
    <r>
      <rPr>
        <b/>
        <sz val="11"/>
        <color rgb="FFFF0000"/>
        <rFont val="Calibri"/>
        <family val="2"/>
        <scheme val="minor"/>
      </rPr>
      <t>SNCOA Only</t>
    </r>
  </si>
  <si>
    <t>Space Allowances for PME Centers</t>
  </si>
  <si>
    <t>Type of Space</t>
  </si>
  <si>
    <t>Airman Leadership
School (ALS)</t>
  </si>
  <si>
    <t>NCO Academy (NCOA)</t>
  </si>
  <si>
    <t>Senior NCO Academy (SNCOA)</t>
  </si>
  <si>
    <t>Not Authorized</t>
  </si>
  <si>
    <t xml:space="preserve"> No. Students per Seminar:</t>
  </si>
  <si>
    <t>Student Enrollment, Total</t>
  </si>
  <si>
    <t>Discussion Rms, Net Area, Instructor/Student</t>
  </si>
  <si>
    <t>ALS</t>
  </si>
  <si>
    <t>NCOA</t>
  </si>
  <si>
    <t>SNCOA</t>
  </si>
  <si>
    <t>SF Authorized per No. Seminars:</t>
  </si>
  <si>
    <r>
      <t xml:space="preserve">Conference Room
</t>
    </r>
    <r>
      <rPr>
        <b/>
        <sz val="11"/>
        <color rgb="FFFF0000"/>
        <rFont val="Calibri"/>
        <family val="2"/>
        <scheme val="minor"/>
      </rPr>
      <t>*min 150 SF</t>
    </r>
  </si>
  <si>
    <t>Seminar Rooms (Classrooms)</t>
  </si>
  <si>
    <t>Learning Resource Center 
(LRC) - 400 SF (Min)</t>
  </si>
  <si>
    <t>Student Services</t>
  </si>
  <si>
    <r>
      <t xml:space="preserve">Locker Rooms / Showers
</t>
    </r>
    <r>
      <rPr>
        <b/>
        <sz val="10"/>
        <color rgb="FFFF0000"/>
        <rFont val="Calibri"/>
        <family val="2"/>
        <scheme val="minor"/>
      </rPr>
      <t>Only applied when base gym is not used for Flight PT</t>
    </r>
  </si>
  <si>
    <t xml:space="preserve"> Does the PME Center host PT at the Base Gym?</t>
  </si>
  <si>
    <t>Student Svcs Area
100 SF (Min)</t>
  </si>
  <si>
    <t>SELECT ONE</t>
  </si>
  <si>
    <t>SF Authorized per No. Students:</t>
  </si>
  <si>
    <t>Auditorium - add 20% overflow (Total No. Enrollment x 1.2)</t>
  </si>
  <si>
    <t>Storage, Projection / AV Booth</t>
  </si>
  <si>
    <t xml:space="preserve">Storage, Comp/Test &amp; Analysis </t>
  </si>
  <si>
    <r>
      <t>Conference Rm - add 15% over-flow (Total No. Staff x 1.15)
[</t>
    </r>
    <r>
      <rPr>
        <u/>
        <sz val="11"/>
        <color theme="1"/>
        <rFont val="Calibri"/>
        <family val="2"/>
        <scheme val="minor"/>
      </rPr>
      <t>ONLY auth if</t>
    </r>
    <r>
      <rPr>
        <sz val="11"/>
        <color theme="1"/>
        <rFont val="Calibri"/>
        <family val="2"/>
        <scheme val="minor"/>
      </rPr>
      <t xml:space="preserve"> No. Seminars &gt; 4]</t>
    </r>
  </si>
  <si>
    <t>Lockers / Showers</t>
  </si>
  <si>
    <t>SF Authorized per No. Instructors:</t>
  </si>
  <si>
    <t xml:space="preserve">Waiting Rm, DV/Guest
Speaker </t>
  </si>
  <si>
    <t>Learning Resource Ctr Net Area (400 SF Min)</t>
  </si>
  <si>
    <t>Discussion Rm - Shared; 100 SF Ea.; for Office Hours; Ratio 3:1 (Instructors-to-Students)</t>
  </si>
  <si>
    <t>33 - Round up to nearest 100 SF/ 
Whole Rm</t>
  </si>
  <si>
    <t>SF Authorized per No. Stations:</t>
  </si>
  <si>
    <t>LRC Computer Lab</t>
  </si>
  <si>
    <t>SF Authorized, 1-time (Fixed-size):</t>
  </si>
  <si>
    <r>
      <t xml:space="preserve">NCOA EPME Facility
</t>
    </r>
    <r>
      <rPr>
        <b/>
        <sz val="12"/>
        <color theme="0"/>
        <rFont val="Calibri"/>
        <family val="2"/>
        <scheme val="minor"/>
      </rPr>
      <t>Only applicable at the following locations:
CONUS:Tyndall, Lackland, Keesler, Sheppard, &amp; Peterson
OCONUS: Hickam, JBER, Kadena, &amp; Kapaun</t>
    </r>
  </si>
  <si>
    <t>Projection (Storage) / AV Booth</t>
  </si>
  <si>
    <t>No. of Instructors</t>
  </si>
  <si>
    <t>Waiting Rm, DV/Guest Speaker</t>
  </si>
  <si>
    <t>Heritage Rm</t>
  </si>
  <si>
    <t>Locker Rooms / Showers</t>
  </si>
  <si>
    <t>Storage, Comp/Test &amp; Analysis</t>
  </si>
  <si>
    <t>Waiting Rm, DV/Guest
Speaker</t>
  </si>
  <si>
    <r>
      <t xml:space="preserve">SNCOA EPME Facility 
</t>
    </r>
    <r>
      <rPr>
        <b/>
        <sz val="12"/>
        <color theme="0"/>
        <rFont val="Calibri"/>
        <family val="2"/>
        <scheme val="minor"/>
      </rPr>
      <t>Only Applicable at Maxwell Gunter</t>
    </r>
  </si>
  <si>
    <t>Computer Lab, No. of Stations</t>
  </si>
  <si>
    <t>Bldg #, Name, and Type of Authorization: Auth = Actual, Bulk, etc.</t>
  </si>
  <si>
    <t>SF Auth</t>
  </si>
  <si>
    <r>
      <rPr>
        <b/>
        <sz val="12"/>
        <color rgb="FFFFFFFF"/>
        <rFont val="Calibri"/>
        <family val="2"/>
        <scheme val="minor"/>
      </rPr>
      <t xml:space="preserve">LINK: </t>
    </r>
    <r>
      <rPr>
        <b/>
        <u/>
        <sz val="12"/>
        <color rgb="FFFFFFFF"/>
        <rFont val="Calibri"/>
        <family val="2"/>
        <scheme val="minor"/>
      </rPr>
      <t>WBDG - DAFMAN 32-1084</t>
    </r>
  </si>
  <si>
    <t>Special Purpose Space</t>
  </si>
  <si>
    <t>Standards are detailed in applicable CATCode or DAFMAN 32-1084 &gt; Facility Class 6 - Administrative &gt; Category Group 61, Administrative and Administration Support Spaces &gt; Administrative Facilities Overview</t>
  </si>
  <si>
    <r>
      <rPr>
        <sz val="11"/>
        <color rgb="FF000000"/>
        <rFont val="Calibri"/>
        <family val="2"/>
        <scheme val="minor"/>
      </rPr>
      <t xml:space="preserve">(Provide Building Number &amp; Name and Type of Authorization: </t>
    </r>
    <r>
      <rPr>
        <b/>
        <sz val="11"/>
        <color rgb="FF000000"/>
        <rFont val="Calibri"/>
        <family val="2"/>
        <scheme val="minor"/>
      </rPr>
      <t>Authorized = Actual or User Justified</t>
    </r>
    <r>
      <rPr>
        <sz val="11"/>
        <color rgb="FF000000"/>
        <rFont val="Calibri"/>
        <family val="2"/>
        <scheme val="minor"/>
      </rPr>
      <t>)</t>
    </r>
  </si>
  <si>
    <t>Non-Administrative Special Purpose Space Circulation Calculation (Factor - 28%; Multiplier - 0.40)</t>
  </si>
  <si>
    <t>Space Totals</t>
  </si>
  <si>
    <t>Total Net Building Area</t>
  </si>
  <si>
    <t>Total Net</t>
  </si>
  <si>
    <t>Net-to-Gross Multiplier (Factor 30%; Multiplier - 0.42)</t>
  </si>
  <si>
    <t xml:space="preserve">Total Gross </t>
  </si>
  <si>
    <t>Typically sized as Authorized=Actual</t>
  </si>
  <si>
    <t>NOTE:  A portion of or stand-alone facility required to store perishable subsistence supplies that are maintained in support of dining halls and activities authorized to make charge 
sales.  This is not a walk-in cooler (Equipment).  This will be actual construction.</t>
  </si>
  <si>
    <t>(Additional entries, as needed)</t>
  </si>
  <si>
    <r>
      <t xml:space="preserve">NOTE:  This storage is for miscellaneous programs that support the base, such as Christmas decorations, bulk record storage, DRMO, etc.  </t>
    </r>
    <r>
      <rPr>
        <b/>
        <u/>
        <sz val="11"/>
        <color rgb="FFC00000"/>
        <rFont val="Calibri"/>
        <family val="2"/>
        <scheme val="minor"/>
      </rPr>
      <t>DO NOT use this for specific program storage, such as Club Storage (unless foodstuffs), FCC Program, MRE Storage, etc.  Those functions should be recorded under the program each supports.</t>
    </r>
  </si>
  <si>
    <t>Typically sized as Authorized=Actual (Criteria Not Developed)</t>
  </si>
  <si>
    <t>NOTE:  storage for non-perishable subsistence supporting dining halls and activities authorized to make charge sales to include MREs</t>
  </si>
  <si>
    <t>Rank / Position Type
(use dropdown menu)</t>
  </si>
  <si>
    <t>Office Type
(auto populates)</t>
  </si>
  <si>
    <t>Grade
(use dropdown menu)</t>
  </si>
  <si>
    <t>SF Auth
(Admin entries auto populate)</t>
  </si>
  <si>
    <r>
      <rPr>
        <b/>
        <sz val="12"/>
        <color theme="0"/>
        <rFont val="Calibri"/>
        <family val="2"/>
        <scheme val="minor"/>
      </rPr>
      <t xml:space="preserve">LINK: </t>
    </r>
    <r>
      <rPr>
        <b/>
        <u/>
        <sz val="12"/>
        <color theme="0"/>
        <rFont val="Calibri"/>
        <family val="2"/>
        <scheme val="minor"/>
      </rPr>
      <t>WBDG - DAFMAN 32-1084</t>
    </r>
  </si>
  <si>
    <t>Standards for these positions are provided in DAFMAN 32-1084 &gt; Facility Class 6 - Administrative &gt; Category Group 61, Administrative and Administration Support Spaces &gt; Administrative Facilities Overview</t>
  </si>
  <si>
    <t>None</t>
  </si>
  <si>
    <t>Private Offices Circulation Calculation (Factor - 28%; Multiplier - 0.40)</t>
  </si>
  <si>
    <t>Category Group (CG) 61, Administrative Facilities Overview para 3.2.2</t>
  </si>
  <si>
    <t>Honor Guard Program Manager</t>
  </si>
  <si>
    <t>Private Office</t>
  </si>
  <si>
    <t>Grades</t>
  </si>
  <si>
    <t>Scheduler</t>
  </si>
  <si>
    <t>Supervisor</t>
  </si>
  <si>
    <t>Trainer</t>
  </si>
  <si>
    <t>(enter Position Description)</t>
  </si>
  <si>
    <t>Staff - Full Time Admin</t>
  </si>
  <si>
    <t>Open Offices Circulation Calculation (Factor - 38%; Multiplier - 0.60)</t>
  </si>
  <si>
    <t>CG 61, Administrative Facilities Overview para 3.2.3</t>
  </si>
  <si>
    <t>Standards are provided in DAFMAN 32-1084 &gt; Facility Class 6 - Administrative &gt; Category Group 61, Administrative and Administration Support Spaces &gt; Administrative Facilities Overview</t>
  </si>
  <si>
    <t>Administrative Support Space</t>
  </si>
  <si>
    <t>CG 61, Administrative Facilities Overview para 3.1.  Multiplier = 8 SF per number (No.) of workspaces; total pulls from Office Space sections above. Includes circulation in and around office areas and space for things such as: administrative supply storage, unit/organization files, safes, copiers, scanners, printers, faxes, shredders, shelter-in-place kits, mail rooms, and lactation support rooms.</t>
  </si>
  <si>
    <t>Meeting Space for Unit (Conference and Team rooms) to be divided as needed</t>
  </si>
  <si>
    <r>
      <t xml:space="preserve">CG 61, Administrative Facilities Overview para 3.3 and Table 6: </t>
    </r>
    <r>
      <rPr>
        <i/>
        <sz val="11"/>
        <color theme="1"/>
        <rFont val="Calibri"/>
        <family val="2"/>
        <scheme val="minor"/>
      </rPr>
      <t>Team &amp; Conference Room (SF) by Unit Size</t>
    </r>
    <r>
      <rPr>
        <sz val="11"/>
        <color theme="1"/>
        <rFont val="Calibri"/>
        <family val="2"/>
        <scheme val="minor"/>
      </rPr>
      <t>. Unit will utilize total SF authorized in determining the number and size of conference and/or team rooms that best meet their needs, without exceeding total.</t>
    </r>
  </si>
  <si>
    <t>Break Rooms (Kitchen/Vending)</t>
  </si>
  <si>
    <t>CG 61, Administrative Facilities Overview Table 4: Typical Administrative Special Purpose Space Authorization Factors. Multiplier = 3 SF per workspace; total pulls from Office Space sections above; Minimum = 50 SF)</t>
  </si>
  <si>
    <t>Task Stations</t>
  </si>
  <si>
    <t>Sized at 1 station/4 assigned guardsmen (not including Manager/Trainer)</t>
  </si>
  <si>
    <t>Admin Special Purpose</t>
  </si>
  <si>
    <r>
      <t>(Populate if needed, by using dropdown menu and adding notes</t>
    </r>
    <r>
      <rPr>
        <sz val="11"/>
        <rFont val="Calibri"/>
        <family val="2"/>
        <scheme val="minor"/>
      </rPr>
      <t>)</t>
    </r>
  </si>
  <si>
    <t>Administrative Support and Special Purpose Space Circulation Calculation (Factor - 28%; Multiplier - 0.40)</t>
  </si>
  <si>
    <t>CG 61, Administrative Facilities Overview para 3.2.4</t>
  </si>
  <si>
    <t>Honor Guard - Storage (Equipment &amp; Uniforms)</t>
  </si>
  <si>
    <r>
      <t xml:space="preserve">Uniform Steamer/Dress Uniforms/etc </t>
    </r>
    <r>
      <rPr>
        <sz val="11"/>
        <color rgb="FFFF0000"/>
        <rFont val="Calibri"/>
        <family val="2"/>
        <scheme val="minor"/>
      </rPr>
      <t>(User Justified)</t>
    </r>
  </si>
  <si>
    <t>Honor Guard - Storage (Training Area)</t>
  </si>
  <si>
    <r>
      <t xml:space="preserve">Casket Lowering Device/Flags/Hurst Simulators/etc </t>
    </r>
    <r>
      <rPr>
        <sz val="11"/>
        <color rgb="FFFF0000"/>
        <rFont val="Calibri"/>
        <family val="2"/>
        <scheme val="minor"/>
      </rPr>
      <t>(User Justified)</t>
    </r>
  </si>
  <si>
    <t>Honor Guard - Locker/Changing Rooms</t>
  </si>
  <si>
    <r>
      <t>1 ea. Male and Female</t>
    </r>
    <r>
      <rPr>
        <sz val="11"/>
        <color rgb="FFFF0000"/>
        <rFont val="Calibri"/>
        <family val="2"/>
        <scheme val="minor"/>
      </rPr>
      <t xml:space="preserve"> (increase as needed)</t>
    </r>
  </si>
  <si>
    <t>Honor Guard - Lockable Storage Armory</t>
  </si>
  <si>
    <r>
      <t xml:space="preserve">20 SF/assigned weapon </t>
    </r>
    <r>
      <rPr>
        <sz val="11"/>
        <color rgb="FFFF0000"/>
        <rFont val="Calibri"/>
        <family val="2"/>
        <scheme val="minor"/>
      </rPr>
      <t>(includes cleaning area and Ammunition Storage)</t>
    </r>
  </si>
  <si>
    <t>Honor Guard - Training Space</t>
  </si>
  <si>
    <r>
      <t xml:space="preserve">100 SF/assigned guardsman </t>
    </r>
    <r>
      <rPr>
        <sz val="11"/>
        <color rgb="FFFF0000"/>
        <rFont val="Calibri"/>
        <family val="2"/>
        <scheme val="minor"/>
      </rPr>
      <t>(Do not count if outdoors)</t>
    </r>
  </si>
  <si>
    <t>Net-to-Gross Multiplier ( Factor 30%; Multiplier - 0.42)</t>
  </si>
  <si>
    <t>CG 61, Administrative Facilities Overview para 3.5</t>
  </si>
  <si>
    <t>Commander: Wing</t>
  </si>
  <si>
    <t>Commander: Group</t>
  </si>
  <si>
    <t>Commander: Squadron</t>
  </si>
  <si>
    <t>First Sergeant</t>
  </si>
  <si>
    <t>Executive Officer</t>
  </si>
  <si>
    <t>Flight Chief</t>
  </si>
  <si>
    <t>Flight Superintendent / SNCOIC</t>
  </si>
  <si>
    <t>Non-Admin Special Purpose Space</t>
  </si>
  <si>
    <t>(Populate if needed, by entering information and adding notes)</t>
  </si>
  <si>
    <r>
      <t xml:space="preserve">(Provide Building Number &amp; Name and Type of Authorization: </t>
    </r>
    <r>
      <rPr>
        <b/>
        <sz val="11"/>
        <color theme="1"/>
        <rFont val="Calibri"/>
        <family val="2"/>
        <scheme val="minor"/>
      </rPr>
      <t>Bulk Authorization</t>
    </r>
    <r>
      <rPr>
        <sz val="11"/>
        <color theme="1"/>
        <rFont val="Calibri"/>
        <family val="2"/>
        <scheme val="minor"/>
      </rPr>
      <t>)</t>
    </r>
  </si>
  <si>
    <r>
      <t xml:space="preserve">CG 61, Administrative Facilities Overview para 3.2.4 </t>
    </r>
    <r>
      <rPr>
        <i/>
        <sz val="11"/>
        <color theme="1"/>
        <rFont val="Calibri"/>
        <family val="2"/>
        <scheme val="minor"/>
      </rPr>
      <t xml:space="preserve">(Important to "zero" this entry out </t>
    </r>
    <r>
      <rPr>
        <i/>
        <u/>
        <sz val="11"/>
        <color theme="1"/>
        <rFont val="Calibri"/>
        <family val="2"/>
        <scheme val="minor"/>
      </rPr>
      <t>if</t>
    </r>
    <r>
      <rPr>
        <i/>
        <sz val="11"/>
        <color theme="1"/>
        <rFont val="Calibri"/>
        <family val="2"/>
        <scheme val="minor"/>
      </rPr>
      <t xml:space="preserve"> Allocation is already in GSF; and add note that "Multiplier is not applicable because allocation is already in GSF")</t>
    </r>
  </si>
  <si>
    <r>
      <t xml:space="preserve">CG 61, Administrative Facilities Overview para 3.5 </t>
    </r>
    <r>
      <rPr>
        <i/>
        <sz val="11"/>
        <color theme="1"/>
        <rFont val="Calibri"/>
        <family val="2"/>
        <scheme val="minor"/>
      </rPr>
      <t xml:space="preserve">(Important to "zero" this entry out </t>
    </r>
    <r>
      <rPr>
        <i/>
        <u/>
        <sz val="11"/>
        <color theme="1"/>
        <rFont val="Calibri"/>
        <family val="2"/>
        <scheme val="minor"/>
      </rPr>
      <t>if</t>
    </r>
    <r>
      <rPr>
        <i/>
        <sz val="11"/>
        <color theme="1"/>
        <rFont val="Calibri"/>
        <family val="2"/>
        <scheme val="minor"/>
      </rPr>
      <t xml:space="preserve"> Allocation is already in GSF; and add note that "Multiplier is not applicable because allocation is already in GSF")</t>
    </r>
  </si>
  <si>
    <t>Dining Facility (DFAC)</t>
  </si>
  <si>
    <t>Total Customer Base - 
E1-E4, TDY, &amp; Confined</t>
  </si>
  <si>
    <t>Remote Location Installation? (Per AFI 65-106, Table 3.1)</t>
  </si>
  <si>
    <t>Population Breakdown by Mission/Ops, E1-E4</t>
  </si>
  <si>
    <t>Service Member Mission/Operation</t>
  </si>
  <si>
    <t>Detached-DFAC
Serving Requirement</t>
  </si>
  <si>
    <t>Air Installations, Support Units - Permanent Party</t>
  </si>
  <si>
    <r>
      <rPr>
        <b/>
        <vertAlign val="superscript"/>
        <sz val="11"/>
        <color theme="1"/>
        <rFont val="Calibri"/>
        <family val="2"/>
        <scheme val="minor"/>
      </rPr>
      <t>1</t>
    </r>
    <r>
      <rPr>
        <b/>
        <sz val="11"/>
        <color theme="1"/>
        <rFont val="Calibri"/>
        <family val="2"/>
        <scheme val="minor"/>
      </rPr>
      <t>Seats Required</t>
    </r>
  </si>
  <si>
    <t>Carry Out Counter Authorized?</t>
  </si>
  <si>
    <t>Confinement - Permanent Party</t>
  </si>
  <si>
    <t>-</t>
  </si>
  <si>
    <t>Pers. Transfer &amp; Overseas Proc. CTRS - Permanent Party</t>
  </si>
  <si>
    <t>Mobilization and Annual Training - Training</t>
  </si>
  <si>
    <t>No. of Times Seats
Used/Turned-Over?</t>
  </si>
  <si>
    <t>PN Enrolled: Basic Training</t>
  </si>
  <si>
    <t>PN Enrolled:Technical Training</t>
  </si>
  <si>
    <t>PN Enrolled: SVC Schools, Recruit Recep. Sta. - Training</t>
  </si>
  <si>
    <t>Total Serving Req :</t>
  </si>
  <si>
    <r>
      <t>Note: 1)</t>
    </r>
    <r>
      <rPr>
        <b/>
        <sz val="12"/>
        <color theme="5"/>
        <rFont val="Calibri"/>
        <family val="2"/>
        <scheme val="minor"/>
      </rPr>
      <t xml:space="preserve"> Total Seats Required is determined by dividing the Serving Requirement, by the total number of times each seat is expected to be turned over in a single meal period.</t>
    </r>
  </si>
  <si>
    <t>Dining Facilities 721215 &amp; 722351</t>
  </si>
  <si>
    <t>Space Allowances for Enlisted Personnel Dining Facilities</t>
  </si>
  <si>
    <t>Serving Requirement Determination</t>
  </si>
  <si>
    <t>No. of Personnel to be Served (E1-E4)</t>
  </si>
  <si>
    <t>Total Gross Area</t>
  </si>
  <si>
    <t>Serving Requirement Factors by Mission &amp; Ops Type</t>
  </si>
  <si>
    <t>Permanent Party Ops Category</t>
  </si>
  <si>
    <t xml:space="preserve">Factor, Serving Req. </t>
  </si>
  <si>
    <t>Remote Locations - Permanent Party</t>
  </si>
  <si>
    <t>Basic and Recruit Training - Training</t>
  </si>
  <si>
    <t>PN Enrolled: Mobilization and Annual Training - Training</t>
  </si>
  <si>
    <t>PN Enrolled: Advanced Individual Training - Training</t>
  </si>
  <si>
    <t>Carry Out Counter Size Authorization</t>
  </si>
  <si>
    <t>Carry Out Counter Area to be Added to DFAC (GSF):</t>
  </si>
  <si>
    <t>Bowling Center Café (when applicable)</t>
  </si>
  <si>
    <t>This automatically pulls the measure SF from bowling center tab</t>
  </si>
  <si>
    <t>NOTE:  Food Service Area where customers order at a central counter and seat themselves (Can sometimes be a contracted service through AAFES)</t>
  </si>
  <si>
    <t>TYPICALLY SIZED AS AUTHORIZED=ACTUAL</t>
  </si>
  <si>
    <t>NOTE:  Must service three or more dining facilities with a combined total of 1500 average weighted rations/day OR 500 frozen foil packs/day</t>
  </si>
  <si>
    <t>Flight Kitchen-Building ####</t>
  </si>
  <si>
    <t>Flight Kitchen</t>
  </si>
  <si>
    <t>Total Flight Meals
Served per Month</t>
  </si>
  <si>
    <t>723388-Flight Kitchen</t>
  </si>
  <si>
    <t>Flight Kitchen 723388</t>
  </si>
  <si>
    <t>Space Allowances for Flight Kitchens</t>
  </si>
  <si>
    <t>Total Flight Meals per Month</t>
  </si>
  <si>
    <t>Prorate: 0.5 SF/Meal</t>
  </si>
  <si>
    <t>FSD Flight Chief</t>
  </si>
  <si>
    <t>Section Chief/Counselor, FSDE</t>
  </si>
  <si>
    <t>Instructors/Counselors, FSDE</t>
  </si>
  <si>
    <t>1-FSDP/DA &amp; 1-FTEC (non-UMD, rotationally sourced every 6-months).</t>
  </si>
  <si>
    <t>University Counselors, FSDE</t>
  </si>
  <si>
    <t>Counted as 1-PN per University, as additive counselor/Staff space is earned in Special Purpose Space. Universities Supported: Emery Riddle, University of Maryland Global Campus, &amp; University of Hawaii.</t>
  </si>
  <si>
    <t>Career Advisor/Counselor, FSDP</t>
  </si>
  <si>
    <t xml:space="preserve">Full Time, FSDE - EDU &amp; Trng </t>
  </si>
  <si>
    <t>Includes 4-PN non-UMD (2-Overhires &amp; 2-CME)</t>
  </si>
  <si>
    <t xml:space="preserve">Part Time, FSDE - EDU &amp; Trng </t>
  </si>
  <si>
    <t>Test Administrator(s) / CCAF</t>
  </si>
  <si>
    <t>Category Group 61 — Administrative Facilities Overview para 1.2.3.  Includes circulation in and around office areas and space for working office storage, copiers, working files, printers, scanners, shredders, safes, and facsimile machines.</t>
  </si>
  <si>
    <t>Category Group 61 — Administrative Facilities Overview Table 1.3 (3 SF per Full Time Staff- Minimum  50 NSF)</t>
  </si>
  <si>
    <t>Waiting Areas</t>
  </si>
  <si>
    <t>Discussion Room (2-4 pn)</t>
  </si>
  <si>
    <t>Shared by FSD staff who need to have private conversations with customers regarding their EDU/Trng and/or Professional Development.</t>
  </si>
  <si>
    <t>Classroom (up to 25)</t>
  </si>
  <si>
    <t>GETN Satellite Training</t>
  </si>
  <si>
    <t xml:space="preserve">FSDE Classroom, Small- General Purpose &amp; University Use </t>
  </si>
  <si>
    <t>Classroom (25-50 typical, up to 75)</t>
  </si>
  <si>
    <t xml:space="preserve">FSDE Classroom, Large - General Purpose &amp; University Use </t>
  </si>
  <si>
    <t xml:space="preserve">FSDE Classroom- General Purpose &amp; University Use </t>
  </si>
  <si>
    <t>Computer Testing Lab - eWAPS Testing</t>
  </si>
  <si>
    <t>Computer Testing Lab - AFOQT Testing</t>
  </si>
  <si>
    <t>Computer Testing Lab - Language/HAZMAT Classification</t>
  </si>
  <si>
    <t xml:space="preserve">National Testing Center </t>
  </si>
  <si>
    <t>TBAS Testing Room</t>
  </si>
  <si>
    <t>Lockers</t>
  </si>
  <si>
    <t xml:space="preserve">FSDE - eWAPS Lockers - 1x provided for each student to store personal effects (bags, coats, keys, etc.) as nothing is permitted inside testing room. </t>
  </si>
  <si>
    <t>Student Lounge / Break Room (includes coffee bar)</t>
  </si>
  <si>
    <t>Student Lounge sized using the number of students in the largest class (typically eWAPS or FTAC) @ 15 SF/PN. Sizing formula includes a utilization factor of 0.75; The standard break room sizing per Ref, Para 2.a.ii (3 SF/PN), was not used here as this model presumes typical admin staff will utilize break rooms at varying times, and all eWAPS/FTAC students break at once.</t>
  </si>
  <si>
    <t xml:space="preserve">FSDP Classroom, Professional Development (16-PN) </t>
  </si>
  <si>
    <r>
      <t xml:space="preserve">FSDP. Computer Lab - Professional Development. </t>
    </r>
    <r>
      <rPr>
        <b/>
        <sz val="11"/>
        <color theme="1"/>
        <rFont val="Calibri"/>
        <family val="2"/>
        <scheme val="minor"/>
      </rPr>
      <t xml:space="preserve">Only authorized if/when not co-located with EDU Center. </t>
    </r>
  </si>
  <si>
    <t>Classroom, FTEC (max 36/Room)</t>
  </si>
  <si>
    <t>FSDP. FTEC Classroom, Primary Instruction. Sized using 30 SF/PN classroom as spacing is increased for testing.</t>
  </si>
  <si>
    <t xml:space="preserve">FSDP. FTEC Classroom, Overflow. Sized at half the total number (peak enrollment); the other half will receive instruction in primary classroom. Sized using 30 SF/PN classroom as spacing is increased for testing. Only authorized if/when not co-located with EDU Center. </t>
  </si>
  <si>
    <t>Administrative Storage</t>
  </si>
  <si>
    <t>FSDE Program Storage:
       - FSDE Promotional &amp; Misc. Program Materials (100 SF)
       - TBAS – Test Basic Aviation Skills, Testing Material 2’ x 3’ (6 SF)</t>
  </si>
  <si>
    <r>
      <t xml:space="preserve">Promo Materials Display area; </t>
    </r>
    <r>
      <rPr>
        <sz val="11"/>
        <color rgb="FFFF0000"/>
        <rFont val="Calibri"/>
        <family val="2"/>
        <scheme val="minor"/>
      </rPr>
      <t>1x</t>
    </r>
    <r>
      <rPr>
        <sz val="11"/>
        <color theme="1"/>
        <rFont val="Calibri"/>
        <family val="2"/>
        <scheme val="minor"/>
      </rPr>
      <t xml:space="preserve"> 2'x3' Table &amp; </t>
    </r>
    <r>
      <rPr>
        <sz val="11"/>
        <color rgb="FFFF0000"/>
        <rFont val="Calibri"/>
        <family val="2"/>
        <scheme val="minor"/>
      </rPr>
      <t>3x</t>
    </r>
    <r>
      <rPr>
        <sz val="11"/>
        <color theme="1"/>
        <rFont val="Calibri"/>
        <family val="2"/>
        <scheme val="minor"/>
      </rPr>
      <t xml:space="preserve"> 1'x2' Racks - located in various spaces throughout EDU Center (waiting, break Rm, etc.).</t>
    </r>
  </si>
  <si>
    <t>Proctor Station, with dedicated printer - Earn only if/when this is not the primary workstation, and if the desk is either not within the testing room (@ a viewing window) or if there is one proctor for multiple tests administered at once. For in-room proctors, they shall be added to the desk count.</t>
  </si>
  <si>
    <t>Unit Specific Area</t>
  </si>
  <si>
    <t xml:space="preserve">5’ x 5’ TBAS Aviation Trainer </t>
  </si>
  <si>
    <t>Sound Booth, Testing 6’ x 5’ - For Language Proficiency, Public Speaking (DANTES), etc; Typically includes proctor window &amp; phone.</t>
  </si>
  <si>
    <r>
      <t>Student Break Area, FTAC/FSDE Combined: 15 SF/</t>
    </r>
    <r>
      <rPr>
        <sz val="11"/>
        <color rgb="FFFF0000"/>
        <rFont val="Calibri"/>
        <family val="2"/>
        <scheme val="minor"/>
      </rPr>
      <t>36</t>
    </r>
    <r>
      <rPr>
        <sz val="11"/>
        <color theme="1"/>
        <rFont val="Calibri"/>
        <family val="2"/>
        <scheme val="minor"/>
      </rPr>
      <t>-Students – authorized per largest class size (eWAPS/FTAC).</t>
    </r>
  </si>
  <si>
    <t>University Office Suite, Small (1 PN Staff)</t>
  </si>
  <si>
    <t>Office Suites, Small [1 Staff, Full Time] - Earned 1x / University of this size
       - Private office (0 SF) – Counselor earn this space in admin
       - 1-PN waiting area (20 SF)
       - 1x Student Kiosk/Admin/Work area [Print/Copy] (20 SF)
       - Course Info/Promo Materials (10 SF)</t>
  </si>
  <si>
    <t>University Office Suite, Medium (2 PN Staff)</t>
  </si>
  <si>
    <r>
      <t xml:space="preserve">Office Suites, Medium [2 Staff, Full Time] - Earned </t>
    </r>
    <r>
      <rPr>
        <u/>
        <sz val="11"/>
        <color theme="1"/>
        <rFont val="Calibri"/>
        <family val="2"/>
        <scheme val="minor"/>
      </rPr>
      <t>1x / University</t>
    </r>
    <r>
      <rPr>
        <sz val="11"/>
        <color theme="1"/>
        <rFont val="Calibri"/>
        <family val="2"/>
        <scheme val="minor"/>
      </rPr>
      <t xml:space="preserve"> of this size
       - Private office (0 SF) – 1x Counselor earn this space in admin
       - Reception desk (36 SF) - 1x Earned for additive Staff/Counselor
       - 2-PN waiting area (40 SF)
       - 1x Student Kiosks (1 @ 10 SF)
       - Course Info/Promo Materials (20 SF)
       - Student Admin/Work area, Print/Copy (20 SF)</t>
    </r>
  </si>
  <si>
    <t>University Office Suite, Large (3+ PN Staff)</t>
  </si>
  <si>
    <t>Office Suites, Large [3+ Staff, Full Time] - Earned 1x / University of this size
       - Private office (0 SF) – 1x Counselors earn this space in admin
       - 2x Reception/Counselor desk (72 SF) - Earned @ 36 SF/Additive Staff
       - 1x Discussion Room, Shared (80SF) - Earned @ 1:2 (1-Rm:2-Counselors)
       - 2-PN waiting area (40SF)
       - 2x Student Kiosks (1 @ 10SF)
       - Course Info/Promo Materials (30SF)
       - Student Admin/Work area, Print/Copy (20SF)</t>
  </si>
  <si>
    <t>Net-to-Gross Multiplier (30% of Net Organization space)</t>
  </si>
  <si>
    <t>Category Group 61 — Administrative Facilities Overview para 1.4.4</t>
  </si>
  <si>
    <t>Post Office - Functional Areas Only</t>
  </si>
  <si>
    <t xml:space="preserve">
Functional Areas</t>
  </si>
  <si>
    <t>Military Population -
OCONUS Incl. Civilians</t>
  </si>
  <si>
    <t>Dependent Population -
OCONUS Incl. Civ. Dependents</t>
  </si>
  <si>
    <t>Unaccompanied Military Population</t>
  </si>
  <si>
    <r>
      <t xml:space="preserve">Customer Base -
CONUS is </t>
    </r>
    <r>
      <rPr>
        <b/>
        <u/>
        <sz val="11"/>
        <color theme="1"/>
        <rFont val="Calibri"/>
        <family val="2"/>
        <scheme val="minor"/>
      </rPr>
      <t>Military Only</t>
    </r>
  </si>
  <si>
    <t>Overseas?</t>
  </si>
  <si>
    <t xml:space="preserve">Central Post Office 
</t>
  </si>
  <si>
    <t>Branch (Aux) Post Office, No. Auth - Geo-Sep Pop.</t>
  </si>
  <si>
    <t>Satellite Post Offices (PO), Operated by FSS Postal - 
Auths are User Justified (UJ) / Auth = Actual (A=A)</t>
  </si>
  <si>
    <t>Postal Service Centers (PSC) Max Receptacles</t>
  </si>
  <si>
    <t>Postal Directory, Undeliverable Mail</t>
  </si>
  <si>
    <t>Load Dock Area - No. Trucks</t>
  </si>
  <si>
    <t>Type of PO</t>
  </si>
  <si>
    <t>PO Area Subtotal, GSF</t>
  </si>
  <si>
    <t>Load Dock Sz, No. Trucks</t>
  </si>
  <si>
    <t>Branch Post Office 
Gross Area</t>
  </si>
  <si>
    <t>Major HQ(s)</t>
  </si>
  <si>
    <t>(ONLY, Geo-Sep. PSC) Total Load Dock Area - No. Trucks</t>
  </si>
  <si>
    <t>Carrier Processing Area, Fam. Hsg. Delivery</t>
  </si>
  <si>
    <t>Loading Docks,
Total Gross Area</t>
  </si>
  <si>
    <t>Subordinate HQ(s)</t>
  </si>
  <si>
    <t>Lg.-Pop Command(s)</t>
  </si>
  <si>
    <t>Mechanical Rooms, Functional Areas, GSF</t>
  </si>
  <si>
    <t>Personnel Ctr.(s)</t>
  </si>
  <si>
    <t>PSC Gross Area</t>
  </si>
  <si>
    <t xml:space="preserve">Self-Svc. Units - Kiosks &amp; Drop boxes in Lobby </t>
  </si>
  <si>
    <t>Customer Stations, Postal Finance Clerks, No.</t>
  </si>
  <si>
    <t>Training Ctr.(s)</t>
  </si>
  <si>
    <t>Non-Resident Schools</t>
  </si>
  <si>
    <t>Gross Functional Area</t>
  </si>
  <si>
    <t>Military Svc. Schools</t>
  </si>
  <si>
    <t>Satellite Post Office 
Gross Area</t>
  </si>
  <si>
    <t>Accountable Mail Storage, Overnight</t>
  </si>
  <si>
    <t>Postal Finance Gross Area</t>
  </si>
  <si>
    <t>Hospital(s)</t>
  </si>
  <si>
    <t>Supply Depot.(s)</t>
  </si>
  <si>
    <t>Post Office  730443</t>
  </si>
  <si>
    <t>Space Allowances for Post Office (PO) Facilities</t>
  </si>
  <si>
    <t>Space Allowances for Postal Finance / Customer Service Areas</t>
  </si>
  <si>
    <t>Total Customer Base</t>
  </si>
  <si>
    <t>Total Central PO GSF</t>
  </si>
  <si>
    <t xml:space="preserve"> Per PSC Box, CONUS GSF</t>
  </si>
  <si>
    <t>Per PSC Box, OCONUS GSF</t>
  </si>
  <si>
    <t>No. Postal Finance Clerks</t>
  </si>
  <si>
    <t>Net Area</t>
  </si>
  <si>
    <t>Space Allowances for Misc. Postal Areas</t>
  </si>
  <si>
    <t>Loading Dock</t>
  </si>
  <si>
    <t>Loading Dock Size per truck (10'x14')</t>
  </si>
  <si>
    <t>Mechanical Rm</t>
  </si>
  <si>
    <t>Branch Post Office Area per location (NSF)</t>
  </si>
  <si>
    <t>Typically Sized as Authorized=Actual</t>
  </si>
  <si>
    <t>Flight CC (Non-G-Series)</t>
  </si>
  <si>
    <t>GS-12</t>
  </si>
  <si>
    <t>Readiness NCO</t>
  </si>
  <si>
    <t>GS-13</t>
  </si>
  <si>
    <t>Counselors</t>
  </si>
  <si>
    <t>GS-14</t>
  </si>
  <si>
    <t>Admin / Receptionist</t>
  </si>
  <si>
    <t xml:space="preserve">Program Specialist,
Misc. Readiness </t>
  </si>
  <si>
    <t>Relocation Program Coordinator/Specialist</t>
  </si>
  <si>
    <t>Per the reference, DoDI 1342.22 – Military &amp; Family Readiness: Section 4.2.m. – EFA (Emergency Family Assistance). This space doubles as the EFAC Command Center, as a securable EFAC Command Center is required additive to the customer service and briefing areas (M&amp;FRC classrooms).</t>
  </si>
  <si>
    <t>Category Group 61, Table 1.4</t>
  </si>
  <si>
    <t xml:space="preserve">These shared interview/discussion rooms are provided for Program Specialists to screen customers, authorized at 1:3 Specialists. </t>
  </si>
  <si>
    <t>Discovery Resource Center/Internet Café</t>
  </si>
  <si>
    <t>Customer Lactation Room provided as both M&amp;FRC &amp; EFAC provide critical services to young families.</t>
  </si>
  <si>
    <t>EFAC Showers required for emergency community use.</t>
  </si>
  <si>
    <t xml:space="preserve">Storage, EFAC &amp; M&amp;FRC Program-Support </t>
  </si>
  <si>
    <t>EFAC Deployment Kits &amp; Program Support Storage</t>
  </si>
  <si>
    <t>EFAC &amp; Teaching Kitchen</t>
  </si>
  <si>
    <t>Emergency meal prep/meal-distribution, as well as teaching kitchen for young Airmen and families as part of the M&amp;FRC mission.</t>
  </si>
  <si>
    <t>Airman's Attic</t>
  </si>
  <si>
    <t>Relocation Loan Closet</t>
  </si>
  <si>
    <t>Relocation Food Pantry</t>
  </si>
  <si>
    <t>Complete as Needed</t>
  </si>
  <si>
    <t>Thrift Shop-740255</t>
  </si>
  <si>
    <t>Military Population 
CONUS</t>
  </si>
  <si>
    <t>Military Population OCONUS (includes civilians)</t>
  </si>
  <si>
    <t xml:space="preserve">Dependent Population </t>
  </si>
  <si>
    <t>Retiree Population</t>
  </si>
  <si>
    <t>Customer Base</t>
  </si>
  <si>
    <t>Overseas?
(Incl. AK &amp; HI)</t>
  </si>
  <si>
    <t>Subtotal Thrift Shop NSF</t>
  </si>
  <si>
    <r>
      <rPr>
        <b/>
        <vertAlign val="superscript"/>
        <sz val="11"/>
        <color theme="1"/>
        <rFont val="Calibri"/>
        <family val="2"/>
        <scheme val="minor"/>
      </rPr>
      <t xml:space="preserve">1 </t>
    </r>
    <r>
      <rPr>
        <b/>
        <sz val="11"/>
        <color theme="1"/>
        <rFont val="Calibri"/>
        <family val="2"/>
        <scheme val="minor"/>
      </rPr>
      <t xml:space="preserve">Living on Base Hsg, 
% Customer Base (Est.) </t>
    </r>
  </si>
  <si>
    <r>
      <rPr>
        <b/>
        <vertAlign val="superscript"/>
        <sz val="11"/>
        <color theme="1"/>
        <rFont val="Calibri"/>
        <family val="2"/>
        <scheme val="minor"/>
      </rPr>
      <t xml:space="preserve">2 </t>
    </r>
    <r>
      <rPr>
        <b/>
        <sz val="11"/>
        <color theme="1"/>
        <rFont val="Calibri"/>
        <family val="2"/>
        <scheme val="minor"/>
      </rPr>
      <t xml:space="preserve">Adjustment Factor </t>
    </r>
  </si>
  <si>
    <t>0-51</t>
  </si>
  <si>
    <r>
      <rPr>
        <b/>
        <u/>
        <sz val="12"/>
        <color theme="5"/>
        <rFont val="Calibri"/>
        <family val="2"/>
        <scheme val="minor"/>
      </rPr>
      <t>Note:</t>
    </r>
    <r>
      <rPr>
        <b/>
        <sz val="12"/>
        <color theme="5"/>
        <rFont val="Calibri"/>
        <family val="2"/>
        <scheme val="minor"/>
      </rPr>
      <t xml:space="preserve"> 1) Enter the % of the total customer base who live in dorms &amp; family housing. As this includes Retirees, the number/% is likely to be a small.</t>
    </r>
  </si>
  <si>
    <r>
      <rPr>
        <b/>
        <u/>
        <sz val="12"/>
        <color theme="5"/>
        <rFont val="Calibri"/>
        <family val="2"/>
        <scheme val="minor"/>
      </rPr>
      <t>Note</t>
    </r>
    <r>
      <rPr>
        <b/>
        <sz val="12"/>
        <color theme="5"/>
        <rFont val="Calibri"/>
        <family val="2"/>
        <scheme val="minor"/>
      </rPr>
      <t>: 2) Adjustment Factor is applied using % Living on Base, per Facility Criteria, Table 1.2.</t>
    </r>
  </si>
  <si>
    <t>Thrift Shop 740255</t>
  </si>
  <si>
    <t>Space Allowances for Thrift Shops</t>
  </si>
  <si>
    <t>Adjustment Factor</t>
  </si>
  <si>
    <t>Population %</t>
  </si>
  <si>
    <t>Adjust. Factor</t>
  </si>
  <si>
    <t>52-75</t>
  </si>
  <si>
    <t>76-90</t>
  </si>
  <si>
    <t>91-100</t>
  </si>
  <si>
    <t>Rod &amp; Gun Club Facilities 740315</t>
  </si>
  <si>
    <t xml:space="preserve">CONUS Military Population </t>
  </si>
  <si>
    <t>OCONUS Population (Include Civilians)</t>
  </si>
  <si>
    <t>Dependent Population</t>
  </si>
  <si>
    <t>Rod &amp; Gun Club 740315</t>
  </si>
  <si>
    <t>Facility Gross Area</t>
  </si>
  <si>
    <t>Recreation Center-Cat A/B</t>
  </si>
  <si>
    <t>Recreation Center Cat C</t>
  </si>
  <si>
    <t>Functions under the Food &amp; Beverage Program &amp; cost-based functions</t>
  </si>
  <si>
    <t>Recreation Center-740316</t>
  </si>
  <si>
    <t>Cat C</t>
  </si>
  <si>
    <t>Cat A-B</t>
  </si>
  <si>
    <t xml:space="preserve">Military Population </t>
  </si>
  <si>
    <r>
      <rPr>
        <b/>
        <vertAlign val="superscript"/>
        <sz val="11"/>
        <color theme="1"/>
        <rFont val="Calibri"/>
        <family val="2"/>
        <scheme val="minor"/>
      </rPr>
      <t>1</t>
    </r>
    <r>
      <rPr>
        <b/>
        <sz val="11"/>
        <color theme="1"/>
        <rFont val="Calibri"/>
        <family val="2"/>
        <scheme val="minor"/>
      </rPr>
      <t xml:space="preserve">Other Rec  Centers </t>
    </r>
    <r>
      <rPr>
        <b/>
        <sz val="10"/>
        <color rgb="FFFF0000"/>
        <rFont val="Calibri"/>
        <family val="2"/>
        <scheme val="minor"/>
      </rPr>
      <t>(ex. USO, Privatized Housing Rec Ctrs)</t>
    </r>
  </si>
  <si>
    <r>
      <rPr>
        <b/>
        <vertAlign val="superscript"/>
        <sz val="11"/>
        <color rgb="FF000000"/>
        <rFont val="Calibri"/>
        <family val="2"/>
      </rPr>
      <t>2</t>
    </r>
    <r>
      <rPr>
        <b/>
        <sz val="11"/>
        <color rgb="FF000000"/>
        <rFont val="Calibri"/>
        <family val="2"/>
      </rPr>
      <t xml:space="preserve"> Food Service Areas in Rec Ctr</t>
    </r>
  </si>
  <si>
    <t>TITLE</t>
  </si>
  <si>
    <t>MEASURED SF</t>
  </si>
  <si>
    <t>OVERSEAS?</t>
  </si>
  <si>
    <r>
      <t>Note: 1)</t>
    </r>
    <r>
      <rPr>
        <b/>
        <sz val="12"/>
        <color theme="5"/>
        <rFont val="Calibri"/>
        <family val="2"/>
        <scheme val="minor"/>
      </rPr>
      <t xml:space="preserve"> Total GSF allocated to other centers </t>
    </r>
    <r>
      <rPr>
        <b/>
        <u/>
        <sz val="12"/>
        <color theme="5"/>
        <rFont val="Calibri"/>
        <family val="2"/>
        <scheme val="minor"/>
      </rPr>
      <t xml:space="preserve">NOT run </t>
    </r>
    <r>
      <rPr>
        <b/>
        <sz val="12"/>
        <color theme="5"/>
        <rFont val="Calibri"/>
        <family val="2"/>
        <scheme val="minor"/>
      </rPr>
      <t>by FSS (e.g., USO, ASYMCA, CES-operated Rec Rooms not in Dorm facilities, etc.).</t>
    </r>
  </si>
  <si>
    <r>
      <t>Note: 2)</t>
    </r>
    <r>
      <rPr>
        <b/>
        <sz val="12"/>
        <color theme="5"/>
        <rFont val="Calibri"/>
        <family val="2"/>
        <scheme val="minor"/>
      </rPr>
      <t xml:space="preserve"> Total GSF allocated to Rec Center Cafés and dedicated catering/storage areas. For sizing, use SAR or validate using Lidar scanning equipment.</t>
    </r>
  </si>
  <si>
    <t>Recreation Center (Community Center) 740316</t>
  </si>
  <si>
    <t>Space Allowances for Community Centers</t>
  </si>
  <si>
    <t>Gross Area Including Mech</t>
  </si>
  <si>
    <t>Aero Club-740317</t>
  </si>
  <si>
    <t>Aero Club</t>
  </si>
  <si>
    <t>Number of Aircraft</t>
  </si>
  <si>
    <t xml:space="preserve">Subtotal Hangar 
</t>
  </si>
  <si>
    <t xml:space="preserve">Subtotal Admin Area </t>
  </si>
  <si>
    <t>Aero Club 740317</t>
  </si>
  <si>
    <t>Space Allowances for Aero Club Facilities</t>
  </si>
  <si>
    <t>Gross Hangar</t>
  </si>
  <si>
    <t>Gross Multipurpose</t>
  </si>
  <si>
    <t>Mechanical Space-Gross Multiplier:  1.1</t>
  </si>
  <si>
    <t>ODR Director</t>
  </si>
  <si>
    <t>Admin/Training Staff</t>
  </si>
  <si>
    <t>Warehouse/Mx Workers</t>
  </si>
  <si>
    <t>Limited Admin</t>
  </si>
  <si>
    <t>Training for ODR Events/Activities</t>
  </si>
  <si>
    <t>Reception Desk</t>
  </si>
  <si>
    <t>Front Desk</t>
  </si>
  <si>
    <t>Kiosk Stations</t>
  </si>
  <si>
    <t>Sign-in Kiosks</t>
  </si>
  <si>
    <t>ODR Center Sales Floor &amp; Cash Generating Activities (CAT C)</t>
  </si>
  <si>
    <t>Only applicable when the ODR Center sells gear and equipment for profit</t>
  </si>
  <si>
    <t>Marina Sales Floor &amp; Cash Generating Activities (CAT C)</t>
  </si>
  <si>
    <t>Only applicable when the Marina Center sells gear and equipment for profit</t>
  </si>
  <si>
    <t>Loan Program Storage (CAT B)</t>
  </si>
  <si>
    <t>User Justified</t>
  </si>
  <si>
    <t>Loan Program Maintenance (CAT B)</t>
  </si>
  <si>
    <t>Repair &amp; Mx for loan program equipment</t>
  </si>
  <si>
    <t>Add as Needed</t>
  </si>
  <si>
    <t>INCLUDE MARINA ADMIN WHEN APPLICABLE</t>
  </si>
  <si>
    <t>Club (Open Mess) Facilities -740615</t>
  </si>
  <si>
    <t>Rank-Restricted Lounge-Manual Selection</t>
  </si>
  <si>
    <t>Consolidated,
Open Mess</t>
  </si>
  <si>
    <t>Airman's Lounge</t>
  </si>
  <si>
    <t xml:space="preserve">Multi
Lounge </t>
  </si>
  <si>
    <t>Enlisted Lounge</t>
  </si>
  <si>
    <t>In Consolidated Club</t>
  </si>
  <si>
    <t>Officer's Lounge</t>
  </si>
  <si>
    <t>Spouse Population</t>
  </si>
  <si>
    <t xml:space="preserve">Separate Lounge Customer Base, Subtotal </t>
  </si>
  <si>
    <t>Single Lounge</t>
  </si>
  <si>
    <t>Consolidated Club Customers, Subtotal</t>
  </si>
  <si>
    <r>
      <rPr>
        <b/>
        <u/>
        <sz val="11"/>
        <color theme="5"/>
        <rFont val="Calibri"/>
        <family val="2"/>
        <scheme val="minor"/>
      </rPr>
      <t>Note:</t>
    </r>
    <r>
      <rPr>
        <b/>
        <sz val="11"/>
        <color theme="5"/>
        <rFont val="Calibri"/>
        <family val="2"/>
        <scheme val="minor"/>
      </rPr>
      <t xml:space="preserve"> If any of the listed populations have a rank-restricted lounge in a facility other than the Consolidated Club, select "Separate Club". If no lounge is allocated or desired, select "None" and space will be provided within Consolidated Club authorization. If any currently have a lounge in the Consolidated Club, select "Consolidated Club".</t>
    </r>
  </si>
  <si>
    <t>Consolidated Open Mess 740615</t>
  </si>
  <si>
    <t>Collocated Lounges</t>
  </si>
  <si>
    <t>Separate Lounge</t>
  </si>
  <si>
    <t>Mechanical Space-Gross Multiplier</t>
  </si>
  <si>
    <t>N/A-Space provided in BULK as GSF</t>
  </si>
  <si>
    <t>Arts &amp; Crafts Center-740664</t>
  </si>
  <si>
    <t>Arts &amp; Crafts Center</t>
  </si>
  <si>
    <t>Military Population</t>
  </si>
  <si>
    <t>Subtotal Arts &amp; Crafts Center NSF</t>
  </si>
  <si>
    <t>Arts &amp; Crafts Center (740664)</t>
  </si>
  <si>
    <t>FORMULAS (DO NOT EDIT)</t>
  </si>
  <si>
    <t>Auto Hobby Shop</t>
  </si>
  <si>
    <t>740665-Auto Hobby Shop</t>
  </si>
  <si>
    <t>Subtotal Auto 
Hobby Shop NSF</t>
  </si>
  <si>
    <t>Auto Hobby Shop (740665)</t>
  </si>
  <si>
    <t>Facility (Net) Area</t>
  </si>
  <si>
    <t>Bowling Center-CAT B</t>
  </si>
  <si>
    <t>Bowling Center-CAT C</t>
  </si>
  <si>
    <t>Bowling Center</t>
  </si>
  <si>
    <t>Total Average Monthly Lodging Customers</t>
  </si>
  <si>
    <t>Bowling Alley CAT A/B</t>
  </si>
  <si>
    <t>Lanes Authorized</t>
  </si>
  <si>
    <t>Lanes Actual</t>
  </si>
  <si>
    <t>Ancillary Area</t>
  </si>
  <si>
    <t>Other CAT C Functions</t>
  </si>
  <si>
    <r>
      <rPr>
        <b/>
        <vertAlign val="superscript"/>
        <sz val="10"/>
        <color rgb="FF000000"/>
        <rFont val="Calibri"/>
        <family val="2"/>
        <scheme val="minor"/>
      </rPr>
      <t>2</t>
    </r>
    <r>
      <rPr>
        <b/>
        <sz val="10"/>
        <color rgb="FF000000"/>
        <rFont val="Calibri"/>
        <family val="2"/>
        <scheme val="minor"/>
      </rPr>
      <t>Café /Food Service</t>
    </r>
    <r>
      <rPr>
        <b/>
        <sz val="10"/>
        <color rgb="FFFF0000"/>
        <rFont val="Calibri"/>
        <family val="2"/>
        <scheme val="minor"/>
      </rPr>
      <t xml:space="preserve"> 722345-Fast Food</t>
    </r>
  </si>
  <si>
    <t>Bowling Alley CAT C</t>
  </si>
  <si>
    <r>
      <t>Total Customer Base</t>
    </r>
    <r>
      <rPr>
        <b/>
        <vertAlign val="superscript"/>
        <sz val="12"/>
        <color theme="0"/>
        <rFont val="Times New Roman"/>
        <family val="1"/>
      </rPr>
      <t>(1)</t>
    </r>
  </si>
  <si>
    <t>No. of Lanes</t>
  </si>
  <si>
    <t>Bowling Area</t>
  </si>
  <si>
    <t>Gross, Total</t>
  </si>
  <si>
    <t>All Locations</t>
  </si>
  <si>
    <r>
      <t>m</t>
    </r>
    <r>
      <rPr>
        <b/>
        <vertAlign val="superscript"/>
        <sz val="12"/>
        <color theme="0"/>
        <rFont val="Times New Roman"/>
        <family val="1"/>
      </rPr>
      <t>2</t>
    </r>
  </si>
  <si>
    <r>
      <t>ft</t>
    </r>
    <r>
      <rPr>
        <b/>
        <vertAlign val="superscript"/>
        <sz val="12"/>
        <color theme="0"/>
        <rFont val="Times New Roman"/>
        <family val="1"/>
      </rPr>
      <t>2</t>
    </r>
  </si>
  <si>
    <t xml:space="preserve">1. Customer base includes 100 percent active-duty military and 50 percent dependent population, OCONUS add 100 percent civilians and 50 percent civilian dependents. </t>
  </si>
  <si>
    <t>2. Space does NOT include fast food service areas</t>
  </si>
  <si>
    <t>Outdoor Recreation Storage</t>
  </si>
  <si>
    <r>
      <rPr>
        <b/>
        <vertAlign val="superscript"/>
        <sz val="14"/>
        <color theme="0"/>
        <rFont val="Calibri"/>
        <family val="2"/>
        <scheme val="minor"/>
      </rPr>
      <t>1</t>
    </r>
    <r>
      <rPr>
        <b/>
        <sz val="14"/>
        <color theme="0"/>
        <rFont val="Calibri"/>
        <family val="2"/>
        <scheme val="minor"/>
      </rPr>
      <t>Outdoor Recreation (ODR) Program-740672</t>
    </r>
  </si>
  <si>
    <t>Marina Subtotal GSF</t>
  </si>
  <si>
    <t xml:space="preserve">Military Population
</t>
  </si>
  <si>
    <t>Marina / Boating
Program Authorized?</t>
  </si>
  <si>
    <t>ODR Program
Total (GSF)</t>
  </si>
  <si>
    <t>Customer Base,
Outdoor Recreation</t>
  </si>
  <si>
    <t>Customer Base,
Marina ODR Program</t>
  </si>
  <si>
    <t>740672-Rental Storage-Marina and ODR</t>
  </si>
  <si>
    <t xml:space="preserve">Note 1. These spaces include the ODR Center and ODR Storage &amp; Issuance facilities, each carrying their own CATCODE. Facility criteria, however, only provides one sizing methodology for both space types - based on base population (Bulk Authorization). </t>
  </si>
  <si>
    <r>
      <t>Note 2</t>
    </r>
    <r>
      <rPr>
        <b/>
        <sz val="11"/>
        <color rgb="FFC0504D"/>
        <rFont val="Calibri"/>
        <family val="2"/>
        <scheme val="minor"/>
      </rPr>
      <t xml:space="preserve">. Space Type: </t>
    </r>
    <r>
      <rPr>
        <b/>
        <i/>
        <u/>
        <sz val="11"/>
        <color rgb="FFC0504D"/>
        <rFont val="Calibri"/>
        <family val="2"/>
        <scheme val="minor"/>
      </rPr>
      <t>ODR Center</t>
    </r>
    <r>
      <rPr>
        <b/>
        <sz val="11"/>
        <color rgb="FFC0504D"/>
        <rFont val="Calibri"/>
        <family val="2"/>
        <scheme val="minor"/>
      </rPr>
      <t xml:space="preserve"> is sized by recording the total area in GSF allocated (A=A). This subtotal will be subtracted from Bulk Auth to determine ODR Storage &amp; Issuance Facility [auth] subtotal. The following statements further define </t>
    </r>
    <r>
      <rPr>
        <b/>
        <i/>
        <sz val="11"/>
        <color rgb="FFC0504D"/>
        <rFont val="Calibri"/>
        <family val="2"/>
        <scheme val="minor"/>
      </rPr>
      <t>ODR Center</t>
    </r>
    <r>
      <rPr>
        <b/>
        <sz val="11"/>
        <color rgb="FFC0504D"/>
        <rFont val="Calibri"/>
        <family val="2"/>
        <scheme val="minor"/>
      </rPr>
      <t xml:space="preserve"> spaces:
     2.a.  This is the main center where rental agreements are processed.
     2.b.  Space includes rental showroom &amp; counter space, classrooms, ODR admin staff spaces, and storage &amp; repair area for rental equipment. 
     2.c.  Space may also include ODR Center used for Marina operations (</t>
    </r>
    <r>
      <rPr>
        <b/>
        <i/>
        <sz val="11"/>
        <color rgb="FFC0504D"/>
        <rFont val="Calibri"/>
        <family val="2"/>
        <scheme val="minor"/>
      </rPr>
      <t>Marina-ODR Center</t>
    </r>
    <r>
      <rPr>
        <b/>
        <sz val="11"/>
        <color rgb="FFC0504D"/>
        <rFont val="Calibri"/>
        <family val="2"/>
        <scheme val="minor"/>
      </rPr>
      <t xml:space="preserve">), and Information Ticket &amp; Travel (ITT) Office.
     2.d.  Allocated facilities may include resale or cash-generating spaces, however, these areas shall be reduced from the A=A sizing and recorded separately, see Note 3.
     2.e.  The Space Type </t>
    </r>
    <r>
      <rPr>
        <b/>
        <i/>
        <u/>
        <sz val="11"/>
        <color rgb="FFC0504D"/>
        <rFont val="Calibri"/>
        <family val="2"/>
        <scheme val="minor"/>
      </rPr>
      <t>Marina-ODR Center</t>
    </r>
    <r>
      <rPr>
        <b/>
        <i/>
        <sz val="11"/>
        <color rgb="FFC0504D"/>
        <rFont val="Calibri"/>
        <family val="2"/>
        <scheme val="minor"/>
      </rPr>
      <t xml:space="preserve"> </t>
    </r>
    <r>
      <rPr>
        <b/>
        <sz val="11"/>
        <color rgb="FFC0504D"/>
        <rFont val="Calibri"/>
        <family val="2"/>
        <scheme val="minor"/>
      </rPr>
      <t xml:space="preserve">follows the same rules as described here, however they include additional CAT C restrictions, see Note 4 for </t>
    </r>
    <r>
      <rPr>
        <b/>
        <i/>
        <u/>
        <sz val="11"/>
        <color rgb="FFC0504D"/>
        <rFont val="Calibri"/>
        <family val="2"/>
        <scheme val="minor"/>
      </rPr>
      <t>CAT C (Marina)</t>
    </r>
    <r>
      <rPr>
        <b/>
        <sz val="11"/>
        <color rgb="FFC0504D"/>
        <rFont val="Calibri"/>
        <family val="2"/>
        <scheme val="minor"/>
      </rPr>
      <t xml:space="preserve"> rules.</t>
    </r>
  </si>
  <si>
    <t>Note 3. Space Type: CAT C (ODR Center) is sized by recording the total area in GSF allocated (A=A). Because these facilities are sustained by program-generated funds, the CAT C areas are not offset, or subtracted from Bulk Authorized ODR Program space. The following statement further defines CAT C (ODR Center) spaces: Total area, in GSF within ODR Center, allocated to cash-generating operations, including: cafés &amp; pro shops (equip. sales: paintball, hiking, diving, etc.). Excludes ITT Office, see Note 2.c.</t>
  </si>
  <si>
    <t>Note 4. Space Type: CAT C (Marina) is sized by recording the total area in GSF allocated (A=A). Follow the same Bulk Auth offset rules as described in Note 2. The following statement further defines CAT C (Marina) spaces: 
     4.a.  When a Marina-ODR Center includes cash-generating operations, the entire facility is deemed CAT C, per AFI 65-106, Table 2.1, T2.1.B.6.h. 
     4.b.  These operations include but may not be limited to: pro shops (fishing, diving, boating, etc.), private boat berthing, resale outlets, snack bars, or restaurants. 
     4.c.  Adjacent CAT C facilities are defined and recorded separately (e.g., pro shops, restaurants, snack shops, etc.)</t>
  </si>
  <si>
    <t>Outdoor Recreation Program - Center 740370 &amp; Storage 740672</t>
  </si>
  <si>
    <t>Space Allowances for Outdoor Recreation Equipment Load/Rental Components</t>
  </si>
  <si>
    <t>Space Allowances for Marina Support Components</t>
  </si>
  <si>
    <t>Base Gym Space</t>
  </si>
  <si>
    <t>Workout Space to include the FAC, Racquet Ball Courts, etc</t>
  </si>
  <si>
    <t>Cat C Space</t>
  </si>
  <si>
    <t>Juice Bar, Massage Therapy, etc.</t>
  </si>
  <si>
    <t>Gymnasium</t>
  </si>
  <si>
    <t>Manual Entry</t>
  </si>
  <si>
    <t>CAT C</t>
  </si>
  <si>
    <t>GYM</t>
  </si>
  <si>
    <t>Authorized Dependent Population - Years 13(+)</t>
  </si>
  <si>
    <r>
      <rPr>
        <b/>
        <vertAlign val="superscript"/>
        <sz val="11"/>
        <color theme="1"/>
        <rFont val="Calibri"/>
        <family val="2"/>
        <scheme val="minor"/>
      </rPr>
      <t>1</t>
    </r>
    <r>
      <rPr>
        <b/>
        <sz val="11"/>
        <color theme="1"/>
        <rFont val="Calibri"/>
        <family val="2"/>
        <scheme val="minor"/>
      </rPr>
      <t>Health / Snack Bar
Concessions, Gym (GSF)</t>
    </r>
  </si>
  <si>
    <t>Note: 1) Total GSF allocated to Health/Snack Bars, Concessions, and the dedicated storage spaces in direct support of these functions.</t>
  </si>
  <si>
    <t>Gymnasium (Fitness Center) 740674</t>
  </si>
  <si>
    <t>Space Allowances for Fitness Centers</t>
  </si>
  <si>
    <t>FC Gross Area</t>
  </si>
  <si>
    <t>Category</t>
  </si>
  <si>
    <t>N/A</t>
  </si>
  <si>
    <t>Small</t>
  </si>
  <si>
    <t>Medium 1</t>
  </si>
  <si>
    <t>Medium 2</t>
  </si>
  <si>
    <t>Medium 3</t>
  </si>
  <si>
    <t>Medium 4</t>
  </si>
  <si>
    <t>Large</t>
  </si>
  <si>
    <t>Mega 1</t>
  </si>
  <si>
    <t>Mega 2</t>
  </si>
  <si>
    <t>Mega 3</t>
  </si>
  <si>
    <t>Mega 4</t>
  </si>
  <si>
    <t>Mega 5</t>
  </si>
  <si>
    <t>Mega 6</t>
  </si>
  <si>
    <t>Mega 7</t>
  </si>
  <si>
    <t>Mega 8</t>
  </si>
  <si>
    <t>Mega 9</t>
  </si>
  <si>
    <t>Mega 10</t>
  </si>
  <si>
    <t>Mega 11</t>
  </si>
  <si>
    <t>Mega 12</t>
  </si>
  <si>
    <t>Mega 13</t>
  </si>
  <si>
    <t>Mega 14</t>
  </si>
  <si>
    <t>Mega 15</t>
  </si>
  <si>
    <t>Mega 16</t>
  </si>
  <si>
    <t>Mega 17</t>
  </si>
  <si>
    <t>Mega 18</t>
  </si>
  <si>
    <t>Mega 19</t>
  </si>
  <si>
    <t>Mega 20</t>
  </si>
  <si>
    <t>Mega 21</t>
  </si>
  <si>
    <t>Mega 22</t>
  </si>
  <si>
    <t>Mega 23</t>
  </si>
  <si>
    <t>Mega 24</t>
  </si>
  <si>
    <t xml:space="preserve">Overseas multiplier    </t>
  </si>
  <si>
    <t>Base Library</t>
  </si>
  <si>
    <t>Branch Library</t>
  </si>
  <si>
    <t>Only authorized when population exceeds 10,000.  Base earns 4000 GSF for every 3,000 customers over 10,000 when needed.</t>
  </si>
  <si>
    <t>Base Library-740675</t>
  </si>
  <si>
    <t>Requires Manual Entry/Selection</t>
  </si>
  <si>
    <t>Library Service Ctr?</t>
  </si>
  <si>
    <r>
      <rPr>
        <vertAlign val="superscript"/>
        <sz val="11"/>
        <color theme="1"/>
        <rFont val="Calibri"/>
        <family val="2"/>
        <scheme val="minor"/>
      </rPr>
      <t>1</t>
    </r>
    <r>
      <rPr>
        <b/>
        <sz val="11"/>
        <color theme="1"/>
        <rFont val="Calibri"/>
        <family val="2"/>
        <scheme val="minor"/>
      </rPr>
      <t>Branch Library</t>
    </r>
  </si>
  <si>
    <t>740675-Base Library</t>
  </si>
  <si>
    <t>Main Library Gross Area</t>
  </si>
  <si>
    <t>Main Library GSF</t>
  </si>
  <si>
    <t>Library Service Ctr GSF</t>
  </si>
  <si>
    <t>Branch Libraries GSF</t>
  </si>
  <si>
    <t>No. of Materials to be Housed, Library Svc Ctr</t>
  </si>
  <si>
    <t>Note 1:  Branch Libraries are only authorized when needed and the Customer base exceeds 10,000.  Sizing is 4000 SF for every 3000 increment over 10,000</t>
  </si>
  <si>
    <t>Base Library 740675</t>
  </si>
  <si>
    <t>Space Allowances for Base Libraries (Main Libraries)</t>
  </si>
  <si>
    <t>Total Gross Including Mech</t>
  </si>
  <si>
    <t>Overseas multiplier</t>
  </si>
  <si>
    <t>Space Allowances for Base Libraries (Library Service Centers)</t>
  </si>
  <si>
    <t>Library Materials to be Housed (Volumes, Audiovisual, Periodicals, Mailing Supplies)</t>
  </si>
  <si>
    <t>Indoor Pool Campus (Not Including Bathouse)</t>
  </si>
  <si>
    <t xml:space="preserve">Base Pool Facilities </t>
  </si>
  <si>
    <t>Indoor Pools, No. Auth</t>
  </si>
  <si>
    <t>Pool Area GSF</t>
  </si>
  <si>
    <t>750811-Swimmer's Bath House</t>
  </si>
  <si>
    <t>Swimming Pool</t>
  </si>
  <si>
    <r>
      <rPr>
        <b/>
        <u/>
        <sz val="12"/>
        <color theme="5"/>
        <rFont val="Calibri"/>
        <family val="2"/>
        <scheme val="minor"/>
      </rPr>
      <t>Note:</t>
    </r>
    <r>
      <rPr>
        <b/>
        <sz val="12"/>
        <color theme="5"/>
        <rFont val="Calibri"/>
        <family val="2"/>
        <scheme val="minor"/>
      </rPr>
      <t xml:space="preserve"> Add (1-Each) 25-meter swimming pool for each increment of [5,000 military population] over 10,000, or (1-Each) 50-meter swimming pool for each increment of [10,000 military population] over 10,000.  Bath Houses should be added for each pool according to respective sizes.</t>
    </r>
  </si>
  <si>
    <t>Pool Facilities  740677/750811/750812</t>
  </si>
  <si>
    <t>Space Allowances for Pools &amp; Bath Houses</t>
  </si>
  <si>
    <t>Total Bath House GSF</t>
  </si>
  <si>
    <t>Total Pools GSF</t>
  </si>
  <si>
    <t>25-M Pools (EA)</t>
  </si>
  <si>
    <t>OR 
50-M Pools (EA)</t>
  </si>
  <si>
    <t>Mechanical Room Multiplier</t>
  </si>
  <si>
    <t>All pool areas include allowance for circulation/support space: Safety Deck &amp; Diving Board</t>
  </si>
  <si>
    <t>Swimmer's Bath House Gross Area: 25-M/50-M</t>
  </si>
  <si>
    <t>&lt;250 Campus: Pool/Bath Hse</t>
  </si>
  <si>
    <t>25-M Pool Gross Area</t>
  </si>
  <si>
    <t>(5576 SF) + .42 Circulation Factor</t>
  </si>
  <si>
    <t>50-M Pool Gross Area</t>
  </si>
  <si>
    <t>(11152 SF) + .42 Circulation Factor</t>
  </si>
  <si>
    <t>Criteria needs to be researched.  Sizing is often required to be prorated based on current sizing criteria of 50,000 SF/10,000 civ</t>
  </si>
  <si>
    <t>NOTE:  Food Service Area where customers are seated and serviced by waitstaff. (Can sometimes be a contracted service through AAFES)</t>
  </si>
  <si>
    <r>
      <t xml:space="preserve">Base Theatre sized as </t>
    </r>
    <r>
      <rPr>
        <b/>
        <sz val="11"/>
        <color rgb="FF000000"/>
        <rFont val="Calibri"/>
        <family val="2"/>
        <scheme val="minor"/>
      </rPr>
      <t>Authorized = Actual or User Justified</t>
    </r>
    <r>
      <rPr>
        <sz val="11"/>
        <color rgb="FF000000"/>
        <rFont val="Calibri"/>
        <family val="2"/>
        <scheme val="minor"/>
      </rPr>
      <t>)</t>
    </r>
  </si>
  <si>
    <t>CRITERIA UNDER REWRITE-SIZE AS AUTHORIZED=ACTUAL</t>
  </si>
  <si>
    <t>ONLY APPLIES TO MAJCOM OR CENTER HEADQUARTERS-DO NOT APPLY TO BASE-LEVEL FUNCTIONS</t>
  </si>
  <si>
    <t>Youth Center Program</t>
  </si>
  <si>
    <t xml:space="preserve">Youth Center </t>
  </si>
  <si>
    <t>Manual Entry section</t>
  </si>
  <si>
    <t>740883-Youth Center</t>
  </si>
  <si>
    <t>School Age Care Enrollment: 6-8 Yrs</t>
  </si>
  <si>
    <r>
      <t>Multipurpose Rm Size</t>
    </r>
    <r>
      <rPr>
        <b/>
        <sz val="11"/>
        <color rgb="FFFF0000"/>
        <rFont val="Calibri"/>
        <family val="2"/>
        <scheme val="minor"/>
      </rPr>
      <t xml:space="preserve"> 
(from customer or walk-thru)</t>
    </r>
  </si>
  <si>
    <r>
      <rPr>
        <b/>
        <sz val="11"/>
        <color rgb="FF000000"/>
        <rFont val="Calibri"/>
        <family val="2"/>
        <scheme val="minor"/>
      </rPr>
      <t xml:space="preserve">Music Rooms
</t>
    </r>
    <r>
      <rPr>
        <b/>
        <sz val="10"/>
        <color rgb="FFFF0000"/>
        <rFont val="Calibri"/>
        <family val="2"/>
        <scheme val="minor"/>
      </rPr>
      <t>(from cust. or walk-thru)</t>
    </r>
  </si>
  <si>
    <r>
      <rPr>
        <b/>
        <vertAlign val="superscript"/>
        <sz val="11"/>
        <color theme="1"/>
        <rFont val="Calibri"/>
        <family val="2"/>
        <scheme val="minor"/>
      </rPr>
      <t>2</t>
    </r>
    <r>
      <rPr>
        <b/>
        <sz val="11"/>
        <color theme="1"/>
        <rFont val="Calibri"/>
        <family val="2"/>
        <scheme val="minor"/>
      </rPr>
      <t xml:space="preserve">General Admin Area
</t>
    </r>
    <r>
      <rPr>
        <b/>
        <sz val="11"/>
        <color rgb="FFFF0000"/>
        <rFont val="Calibri"/>
        <family val="2"/>
        <scheme val="minor"/>
      </rPr>
      <t>(TOTAL enrollments-see note 2)</t>
    </r>
  </si>
  <si>
    <t>Subtotal SAC 
Primary Program</t>
  </si>
  <si>
    <t>Subtotal Admin Space</t>
  </si>
  <si>
    <t xml:space="preserve">None </t>
  </si>
  <si>
    <t>Subtotal Open Recreation 
Primary Program</t>
  </si>
  <si>
    <t>Subtotal General Admin</t>
  </si>
  <si>
    <t>Open Rec Program Enrollment:  9-12 Yrs</t>
  </si>
  <si>
    <r>
      <t xml:space="preserve">Outdoor Activity Areas
</t>
    </r>
    <r>
      <rPr>
        <b/>
        <sz val="11"/>
        <color rgb="FFFF0000"/>
        <rFont val="Calibri"/>
        <family val="2"/>
        <scheme val="minor"/>
      </rPr>
      <t>(from customer or walk-thru)</t>
    </r>
  </si>
  <si>
    <r>
      <rPr>
        <b/>
        <sz val="11"/>
        <color rgb="FF000000"/>
        <rFont val="Calibri"/>
        <family val="2"/>
        <scheme val="minor"/>
      </rPr>
      <t xml:space="preserve">Laundry Room
</t>
    </r>
    <r>
      <rPr>
        <b/>
        <sz val="11"/>
        <color rgb="FFFF0000"/>
        <rFont val="Calibri"/>
        <family val="2"/>
        <scheme val="minor"/>
      </rPr>
      <t>(from cust. or walk-thru)</t>
    </r>
  </si>
  <si>
    <r>
      <t xml:space="preserve">Private Offices
</t>
    </r>
    <r>
      <rPr>
        <b/>
        <sz val="11"/>
        <color rgb="FFFF0000"/>
        <rFont val="Calibri"/>
        <family val="2"/>
        <scheme val="minor"/>
      </rPr>
      <t>(1 office per 47 enrolled)</t>
    </r>
  </si>
  <si>
    <t>Teen Center Program Enrollment: 13-18 Yrs</t>
  </si>
  <si>
    <r>
      <rPr>
        <b/>
        <sz val="11"/>
        <color rgb="FF000000"/>
        <rFont val="Calibri"/>
        <family val="2"/>
      </rPr>
      <t xml:space="preserve">Non-Lobby- Waiting Area
</t>
    </r>
    <r>
      <rPr>
        <b/>
        <sz val="11"/>
        <color rgb="FFFF0000"/>
        <rFont val="Calibri"/>
        <family val="2"/>
      </rPr>
      <t>(from cust. or walk-thru)</t>
    </r>
  </si>
  <si>
    <r>
      <rPr>
        <b/>
        <vertAlign val="superscript"/>
        <sz val="11"/>
        <color theme="1"/>
        <rFont val="Calibri"/>
        <family val="2"/>
        <scheme val="minor"/>
      </rPr>
      <t>1</t>
    </r>
    <r>
      <rPr>
        <b/>
        <sz val="11"/>
        <color theme="1"/>
        <rFont val="Calibri"/>
        <family val="2"/>
        <scheme val="minor"/>
      </rPr>
      <t xml:space="preserve">Kitchen Size
</t>
    </r>
    <r>
      <rPr>
        <b/>
        <sz val="11"/>
        <color rgb="FFFF0000"/>
        <rFont val="Calibri"/>
        <family val="2"/>
        <scheme val="minor"/>
      </rPr>
      <t>(from customer)</t>
    </r>
  </si>
  <si>
    <r>
      <rPr>
        <b/>
        <sz val="10"/>
        <color rgb="FF000000"/>
        <rFont val="Calibri"/>
        <family val="2"/>
        <scheme val="minor"/>
      </rPr>
      <t xml:space="preserve">Staff Workstations
</t>
    </r>
    <r>
      <rPr>
        <b/>
        <sz val="10"/>
        <color rgb="FFFF0000"/>
        <rFont val="Calibri"/>
        <family val="2"/>
        <scheme val="minor"/>
      </rPr>
      <t>(FT Admin not in P.O.)</t>
    </r>
  </si>
  <si>
    <t>Subtotal Teen Center 
Primary Program</t>
  </si>
  <si>
    <t>Subtotal Ancillary Program</t>
  </si>
  <si>
    <t>Note: 1) SMALL kitchen for preparing ad hoc meals for day-to-day patrons; LARGE kitchen is capable of preparing a planned menu for a larger group of people, per UFC 4-740-06, Table 4-6.</t>
  </si>
  <si>
    <t>Note: 2) Area based on program sizes - SMALL: 1-123 enrollments // MEDIUM: 124-216 enrollments // LARGE: 145-324 enrollments // X-LARGE over 324</t>
  </si>
  <si>
    <t>Youth Center (740883)</t>
  </si>
  <si>
    <t>School Age Care Program Size (6Y-8Y)</t>
  </si>
  <si>
    <t>Activity Rooms</t>
  </si>
  <si>
    <t>GSF</t>
  </si>
  <si>
    <r>
      <rPr>
        <u/>
        <vertAlign val="superscript"/>
        <sz val="11"/>
        <color theme="1"/>
        <rFont val="Calibri"/>
        <family val="2"/>
        <scheme val="minor"/>
      </rPr>
      <t>1</t>
    </r>
    <r>
      <rPr>
        <u/>
        <sz val="11"/>
        <color theme="1"/>
        <rFont val="Calibri"/>
        <family val="2"/>
        <scheme val="minor"/>
      </rPr>
      <t>General Admin Area GSF</t>
    </r>
  </si>
  <si>
    <r>
      <rPr>
        <u/>
        <vertAlign val="superscript"/>
        <sz val="11"/>
        <color theme="1"/>
        <rFont val="Calibri"/>
        <family val="2"/>
        <scheme val="minor"/>
      </rPr>
      <t>2</t>
    </r>
    <r>
      <rPr>
        <u/>
        <sz val="11"/>
        <color theme="1"/>
        <rFont val="Calibri"/>
        <family val="2"/>
        <scheme val="minor"/>
      </rPr>
      <t xml:space="preserve">Private Offices, </t>
    </r>
    <r>
      <rPr>
        <u/>
        <vertAlign val="superscript"/>
        <sz val="11"/>
        <color theme="1"/>
        <rFont val="Calibri"/>
        <family val="2"/>
        <scheme val="minor"/>
      </rPr>
      <t>3</t>
    </r>
    <r>
      <rPr>
        <u/>
        <sz val="11"/>
        <color theme="1"/>
        <rFont val="Calibri"/>
        <family val="2"/>
        <scheme val="minor"/>
      </rPr>
      <t>GSF</t>
    </r>
  </si>
  <si>
    <t>Medium</t>
  </si>
  <si>
    <t>Extra-Large</t>
  </si>
  <si>
    <t>Includes lobby, check-in, waiting, and staff support area</t>
  </si>
  <si>
    <r>
      <rPr>
        <u/>
        <vertAlign val="superscript"/>
        <sz val="11"/>
        <color theme="1"/>
        <rFont val="Calibri"/>
        <family val="2"/>
        <scheme val="minor"/>
      </rPr>
      <t>2</t>
    </r>
    <r>
      <rPr>
        <u/>
        <sz val="11"/>
        <color theme="1"/>
        <rFont val="Calibri"/>
        <family val="2"/>
        <scheme val="minor"/>
      </rPr>
      <t xml:space="preserve">Workstations, </t>
    </r>
    <r>
      <rPr>
        <u/>
        <vertAlign val="superscript"/>
        <sz val="11"/>
        <color theme="1"/>
        <rFont val="Calibri"/>
        <family val="2"/>
        <scheme val="minor"/>
      </rPr>
      <t>3</t>
    </r>
    <r>
      <rPr>
        <u/>
        <sz val="11"/>
        <color theme="1"/>
        <rFont val="Calibri"/>
        <family val="2"/>
        <scheme val="minor"/>
      </rPr>
      <t>GSF</t>
    </r>
  </si>
  <si>
    <t>Outdoor Activity Areas</t>
  </si>
  <si>
    <t>No. Provided</t>
  </si>
  <si>
    <t>Open Recreation Program Size (9Y-12Y)</t>
  </si>
  <si>
    <t>Total NSF</t>
  </si>
  <si>
    <t>1-OAA</t>
  </si>
  <si>
    <t>2-OAA</t>
  </si>
  <si>
    <t>3-OAA</t>
  </si>
  <si>
    <t>Waiting -Not in Lobby</t>
  </si>
  <si>
    <t>Teen Program Size (13Y-18Y)</t>
  </si>
  <si>
    <t>Yes</t>
  </si>
  <si>
    <t>Laundry Room Size</t>
  </si>
  <si>
    <r>
      <rPr>
        <vertAlign val="superscript"/>
        <sz val="11"/>
        <color theme="1"/>
        <rFont val="Calibri"/>
        <family val="2"/>
        <scheme val="minor"/>
      </rPr>
      <t xml:space="preserve">Note 2:  </t>
    </r>
    <r>
      <rPr>
        <sz val="11"/>
        <color theme="1"/>
        <rFont val="Calibri"/>
        <family val="2"/>
        <scheme val="minor"/>
      </rPr>
      <t xml:space="preserve">Max no. of Offices/Stations Auth; </t>
    </r>
  </si>
  <si>
    <t xml:space="preserve">If enrollment is (&lt; / =) 47-Children, </t>
  </si>
  <si>
    <t>1-Washer Rm</t>
  </si>
  <si>
    <t>2-Washer Rm</t>
  </si>
  <si>
    <r>
      <rPr>
        <vertAlign val="superscript"/>
        <sz val="11"/>
        <color theme="1"/>
        <rFont val="Calibri"/>
        <family val="2"/>
        <scheme val="minor"/>
      </rPr>
      <t>3</t>
    </r>
    <r>
      <rPr>
        <sz val="11"/>
        <color theme="1"/>
        <rFont val="Calibri"/>
        <family val="2"/>
        <scheme val="minor"/>
      </rPr>
      <t>GSF includes Net Organization space in accordance with DAFMAN CG 61 Criteria [28% for Offices; 38% for cubicles].</t>
    </r>
  </si>
  <si>
    <t>Kitchen Size</t>
  </si>
  <si>
    <t>Multipurpose Room Size</t>
  </si>
  <si>
    <t>Music Rooms, No. Provided</t>
  </si>
  <si>
    <t>Half-court w/o Bleachers</t>
  </si>
  <si>
    <t>1-RM</t>
  </si>
  <si>
    <t>Half-court w/ Bleachers</t>
  </si>
  <si>
    <t>2-RMs</t>
  </si>
  <si>
    <t>Full-court w/ Bleachers</t>
  </si>
  <si>
    <t>3-RMs</t>
  </si>
  <si>
    <t>Child Development Center BULK Space by enrollment</t>
  </si>
  <si>
    <t>Actual CDC Space calculated from tables below</t>
  </si>
  <si>
    <t>FCC Program Coordinator</t>
  </si>
  <si>
    <t>FCC Program Coordinator from UMD</t>
  </si>
  <si>
    <t>FCC Program Training</t>
  </si>
  <si>
    <t>Additive Space for FCC Training and Admin</t>
  </si>
  <si>
    <t>FCC Program Storage/Loan Program</t>
  </si>
  <si>
    <t>Additive Space for FCC Lending Library and Storage</t>
  </si>
  <si>
    <t xml:space="preserve">Child Development Center </t>
  </si>
  <si>
    <t>Child Development Center</t>
  </si>
  <si>
    <t>Infant Enrollment:
6 Wks - 12 Mos (8)</t>
  </si>
  <si>
    <t>Pre-Toddler Enrollment:
12 Mos - 24 Mos (10)</t>
  </si>
  <si>
    <t>Toddler Enrollment:
24 Mos - 36 Mos (14)</t>
  </si>
  <si>
    <t>Preschool Enrollment:
3 Yrs - 5 Yrs (24)</t>
  </si>
  <si>
    <r>
      <t>Total Enrollment:</t>
    </r>
    <r>
      <rPr>
        <b/>
        <vertAlign val="superscript"/>
        <sz val="11"/>
        <color rgb="FF000000"/>
        <rFont val="Calibri"/>
        <family val="2"/>
      </rPr>
      <t xml:space="preserve">
1</t>
    </r>
    <r>
      <rPr>
        <b/>
        <sz val="11"/>
        <color rgb="FF000000"/>
        <rFont val="Calibri"/>
        <family val="2"/>
      </rPr>
      <t>Max 305-Children</t>
    </r>
  </si>
  <si>
    <t>Admin Stations</t>
  </si>
  <si>
    <r>
      <t>Infant Activity Rms,
No. Authorized</t>
    </r>
    <r>
      <rPr>
        <b/>
        <vertAlign val="superscript"/>
        <sz val="11"/>
        <color rgb="FF000000"/>
        <rFont val="Calibri"/>
        <family val="2"/>
      </rPr>
      <t>2</t>
    </r>
  </si>
  <si>
    <r>
      <t>Pre-Toddler Activity Rms,
No. Authorized</t>
    </r>
    <r>
      <rPr>
        <b/>
        <vertAlign val="superscript"/>
        <sz val="11"/>
        <color rgb="FF000000"/>
        <rFont val="Calibri"/>
        <family val="2"/>
      </rPr>
      <t>3</t>
    </r>
  </si>
  <si>
    <r>
      <t>Toddler Activity Rms,
No. Authorized</t>
    </r>
    <r>
      <rPr>
        <b/>
        <vertAlign val="superscript"/>
        <sz val="11"/>
        <color rgb="FF000000"/>
        <rFont val="Calibri"/>
        <family val="2"/>
      </rPr>
      <t>4</t>
    </r>
  </si>
  <si>
    <r>
      <t>Preschool Activity Rms,
No. Authorized</t>
    </r>
    <r>
      <rPr>
        <b/>
        <vertAlign val="superscript"/>
        <sz val="11"/>
        <color rgb="FF000000"/>
        <rFont val="Calibri"/>
        <family val="2"/>
      </rPr>
      <t>5</t>
    </r>
  </si>
  <si>
    <t>Functional Area
Total Net (NSF)</t>
  </si>
  <si>
    <t>Single-Center
Gross Area</t>
  </si>
  <si>
    <t>Subtotal Infant
Activity Rooms NSF</t>
  </si>
  <si>
    <t>Subtotal Pre-Toddler
Activity Rooms NSF</t>
  </si>
  <si>
    <t>Subtotal Toddler
Activity Rooms NSF</t>
  </si>
  <si>
    <t>Subtotal Preschool
Activity Rooms NSF</t>
  </si>
  <si>
    <t>Activity Room Total
Net Area</t>
  </si>
  <si>
    <t>Note 1:  If total enrollment exceeds 305-children, use Addendum Table(s) below IAW UFC 4-70-14, 2-1.1</t>
  </si>
  <si>
    <t>Note 2:  Cannot exceed 5 total activity rooms IAW UFC 4-70-14, 3-3.1</t>
  </si>
  <si>
    <t>Note 3:  Cannot exceed 6 total activity rooms IAW UFC 4-70-14, 3-3.1</t>
  </si>
  <si>
    <t>Note 4:  Cannot exceed 6 total activity rooms IAW UFC 4-70-14, 3-3.1</t>
  </si>
  <si>
    <t>Note 5:  Cannot exceed 5 total activity rooms IAW UFC 4-70-14, 3-3.1</t>
  </si>
  <si>
    <t>Admin Stations,
Program &amp; Center (NSF)</t>
  </si>
  <si>
    <t>Infant Activity Rms,
No. Authorized</t>
  </si>
  <si>
    <t>Pre-Toddler Activity Rms,
No. Authorized</t>
  </si>
  <si>
    <t>Toddler Activity Rms,
No. Authorized</t>
  </si>
  <si>
    <t>Preschool Activity Rms,
No. Authorized</t>
  </si>
  <si>
    <t>USE ONLY WHEN TOTAL ENROLLMENTS EXCEEDS 305 ON FIRST TABLE</t>
  </si>
  <si>
    <t>See above</t>
  </si>
  <si>
    <t>USE ONLY WHEN TOTAL ENROLLMENTS EXCEEDS 305 ON FIRST AND SECOND TABLE</t>
  </si>
  <si>
    <t>Child Development Center (740884)</t>
  </si>
  <si>
    <t>CDC Functional Area Sizing</t>
  </si>
  <si>
    <t>Child Enrollment</t>
  </si>
  <si>
    <t>Facility Size Classification</t>
  </si>
  <si>
    <t>Total Functional Area, Net</t>
  </si>
  <si>
    <t>Provide multiple CDCs</t>
  </si>
  <si>
    <t>CDC Child Activity Room Sizing</t>
  </si>
  <si>
    <t>CDC Admin Station Sizing</t>
  </si>
  <si>
    <t>Age Group</t>
  </si>
  <si>
    <t>Children Per Group</t>
  </si>
  <si>
    <t>Group Activity 
Area, NSF</t>
  </si>
  <si>
    <t>Facility Type</t>
  </si>
  <si>
    <t>Infants</t>
  </si>
  <si>
    <t>*Main CDC</t>
  </si>
  <si>
    <t>Pre-Toddlers</t>
  </si>
  <si>
    <t>Auxiliary CDC(s)</t>
  </si>
  <si>
    <t>Toddlers</t>
  </si>
  <si>
    <r>
      <t xml:space="preserve">*Includes work stations for the </t>
    </r>
    <r>
      <rPr>
        <i/>
        <sz val="11"/>
        <color theme="1"/>
        <rFont val="Calibri"/>
        <family val="2"/>
        <scheme val="minor"/>
      </rPr>
      <t xml:space="preserve">Family Daycare Coordinator </t>
    </r>
    <r>
      <rPr>
        <sz val="11"/>
        <color theme="1"/>
        <rFont val="Calibri"/>
        <family val="2"/>
        <scheme val="minor"/>
      </rPr>
      <t>&amp; center-support pers/functions.</t>
    </r>
  </si>
  <si>
    <t>Preschoolers</t>
  </si>
  <si>
    <t xml:space="preserve">CDC Net-to-Gross Multiplier: </t>
  </si>
  <si>
    <t>Golf Clubhouse</t>
  </si>
  <si>
    <t>Calculated from tables below</t>
  </si>
  <si>
    <t>N/A-Space provided in GSF</t>
  </si>
  <si>
    <t xml:space="preserve">Base Golf Facilities </t>
  </si>
  <si>
    <t>750422-Golf Clubhouse</t>
  </si>
  <si>
    <t>750423-Golf Mx Building</t>
  </si>
  <si>
    <t>Golf Facilities 750422/750423</t>
  </si>
  <si>
    <t>Space Allowances for Golf Facilities</t>
  </si>
  <si>
    <t>Clubhouse Gross Area</t>
  </si>
  <si>
    <t>Maintenance Bldg. Gross Area</t>
  </si>
  <si>
    <t>Golf Maintenance Buildings</t>
  </si>
  <si>
    <t>Claculated from tables below</t>
  </si>
  <si>
    <t>Riding Stables</t>
  </si>
  <si>
    <t>Military Population (OCONUS include DoD Civilians</t>
  </si>
  <si>
    <t>750853 Riding Stables</t>
  </si>
  <si>
    <t>Riding Stables (750583)</t>
  </si>
  <si>
    <t>FAM Camp Support Facilities</t>
  </si>
  <si>
    <t xml:space="preserve">Family Camp Support Facility </t>
  </si>
  <si>
    <t>Number of Sites</t>
  </si>
  <si>
    <t>Support Facility, Family Camp</t>
  </si>
  <si>
    <t>Family Camp Support Facility 750612</t>
  </si>
  <si>
    <t>Space Allowances for Support Building at Family Camp Grounds (FamCamp)</t>
  </si>
  <si>
    <t>Total Number of Camping Vehicles</t>
  </si>
  <si>
    <t>FamCamp Gross Area</t>
  </si>
  <si>
    <t xml:space="preserve">Swimmer's Bathouse-Building </t>
  </si>
  <si>
    <t>UMD provided by HAF/A1 dated &lt;&lt;DD MMM YYYY&gt;&gt;, manning projected &lt;&lt;FYYY, Q#&gt;&gt;</t>
  </si>
  <si>
    <t>UNIT</t>
  </si>
  <si>
    <t>OSC</t>
  </si>
  <si>
    <t>OSC TITLE</t>
  </si>
  <si>
    <t>PSN NBR</t>
  </si>
  <si>
    <t>AFSC</t>
  </si>
  <si>
    <t>AFSC TITLE</t>
  </si>
  <si>
    <t>GRADE</t>
  </si>
  <si>
    <t>RIC</t>
  </si>
  <si>
    <t>Fund FYXX</t>
  </si>
  <si>
    <t>WORKSHEET ASSIGNMENT</t>
  </si>
  <si>
    <t>Notes</t>
  </si>
  <si>
    <t>Space per Support Agreement</t>
  </si>
  <si>
    <t>&lt;&lt;Building number or space type description&gt;&gt;</t>
  </si>
  <si>
    <t>Space allocated per Support Agreement &lt;&lt;##&gt;&gt; dated &lt;&lt;DD MMM YYYY&gt;&gt;, If they state number of personnel within support agreement add them here</t>
  </si>
  <si>
    <t>Total Space Allocated per Support Agreement</t>
  </si>
  <si>
    <t>SF/Pers</t>
  </si>
  <si>
    <t>SF</t>
  </si>
  <si>
    <t>CATCode Long Name</t>
  </si>
  <si>
    <t>CATCode Description</t>
  </si>
  <si>
    <t>Standards/Criteria Reference (if available)</t>
  </si>
  <si>
    <t xml:space="preserve"> </t>
  </si>
  <si>
    <t># PN lower</t>
  </si>
  <si>
    <t>#PN upper</t>
  </si>
  <si>
    <t>Team ft2 
# Seats</t>
  </si>
  <si>
    <t>Total Team Rm</t>
  </si>
  <si>
    <t>Total Confer (with 150 Speaker Area)</t>
  </si>
  <si>
    <t>Total Space NSF</t>
  </si>
  <si>
    <t>Office Type A (Private)</t>
  </si>
  <si>
    <t>Other</t>
  </si>
  <si>
    <t>UJ</t>
  </si>
  <si>
    <t>Runway</t>
  </si>
  <si>
    <t>Paved surface provided for normal aircraft takeoffs and landings. This category includes crosswind, parallel, primary, instrument and instrument type runways.</t>
  </si>
  <si>
    <t>‌http://www.wbdg.org/FFC/AF/AFMAN/111111_Runways.pdf</t>
  </si>
  <si>
    <t>Office Type B (Private)</t>
  </si>
  <si>
    <t>Contractor</t>
  </si>
  <si>
    <t>Overrun, Paved</t>
  </si>
  <si>
    <t xml:space="preserve">An extension of the runway pavement excluding shoulders. Cost includes asphalt surface, base, sub-base, and striping (excluding shoulders). An overrun is an extension of the length of the runway pavement. </t>
  </si>
  <si>
    <t>‌http://www.wbdg.org/FFC/AF/AFMAN/111115_Paved_Overrun.pdf</t>
  </si>
  <si>
    <t>Various</t>
  </si>
  <si>
    <t>Assembly/Auditorium Spaces (50+)</t>
  </si>
  <si>
    <t>Rotary Wing Landing Pad, Unpaved</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</si>
  <si>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</si>
  <si>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</si>
  <si>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Office Type D (Private)</t>
  </si>
  <si>
    <t>Officer</t>
  </si>
  <si>
    <t>Runway, Unpaved</t>
  </si>
  <si>
    <t>The unpaved surface provided for air and space vehicle landing. This category code includes crosswind parallel, primary instrument, and instrument type unpaved runways.</t>
  </si>
  <si>
    <t>‌http://www.wbdg.org/FFC/AF/AFMAN/111411_Runway_Unsurfaced.pdf</t>
  </si>
  <si>
    <t>Office Type E (Open)</t>
  </si>
  <si>
    <t>O-10</t>
  </si>
  <si>
    <t>Tactical Unmanned Aerial Vehicle (UAV) Runway and Launch/Recovery Site</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</si>
  <si>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</si>
  <si>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O-9</t>
  </si>
  <si>
    <t>Rotary Wing Taxiway, Paved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</si>
  <si>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</si>
  <si>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Office Type G (Open)</t>
  </si>
  <si>
    <t>O-8</t>
  </si>
  <si>
    <t xml:space="preserve">                                                  </t>
  </si>
  <si>
    <t>Coffee Bar</t>
  </si>
  <si>
    <t>Taxiway</t>
  </si>
  <si>
    <t>Pavement provided for ground movement of aircraft. They connect the parking and maintenance areas of the airfield with the runways and provide access to the hangars, docks, and various parking areas and pads.</t>
  </si>
  <si>
    <t>‌https://www.wbdg.org/FFC/AF/AFMAN/112211_Taxiway.pdf</t>
  </si>
  <si>
    <t>Office Type H (Open)</t>
  </si>
  <si>
    <t>O-7</t>
  </si>
  <si>
    <t>Collaboration Space  (4-6 pn)</t>
  </si>
  <si>
    <t>Apron</t>
  </si>
  <si>
    <t>Pavement provided for aircraft parking, servicing, and loading. Using Medium load aircraft in Weather Zone A.</t>
  </si>
  <si>
    <t>‌http://www.wbdg.org/FFC/AF/AFMAN/113321_Apron.pdf</t>
  </si>
  <si>
    <t>Office Type I (Open)</t>
  </si>
  <si>
    <t>O-6</t>
  </si>
  <si>
    <t>Collaboration Space to support Telework staff (small meeting/counseling space)</t>
  </si>
  <si>
    <t>Table 7</t>
  </si>
  <si>
    <t>Short Field Takeoff and Landing</t>
  </si>
  <si>
    <t>This facility is used to train crews of cargo aircraft in the conduct of airlift operations.</t>
  </si>
  <si>
    <t>‌http://www.wbdg.org/FFC/AF/AFMAN/116116_Takeoff_and_Landing_Zone.pdf</t>
  </si>
  <si>
    <t>O-5</t>
  </si>
  <si>
    <t>Conference Room (need justification)</t>
  </si>
  <si>
    <t>Aircraft Rinse Facility</t>
  </si>
  <si>
    <t>An aircraft rinse facility provides an unattended taxi-through, treadle operated, freshwater deluge system to rinse aircraft.</t>
  </si>
  <si>
    <t>Private Offices</t>
  </si>
  <si>
    <t>O-4</t>
  </si>
  <si>
    <t>Copy Rooms (per every 50 occupants)</t>
  </si>
  <si>
    <t>Precision Approach Radar Pad</t>
  </si>
  <si>
    <t>PAD, either concrete or pavement, constructed to support PAR equipment on an airfield.</t>
  </si>
  <si>
    <t>https://www.wbdg.org/FFC/AF/AFMAN/116401_Precision_Approach_Radar_Pad.pdf</t>
  </si>
  <si>
    <t>Position (or Equivalent)</t>
  </si>
  <si>
    <t>O-3</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</si>
  <si>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</si>
  <si>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</si>
  <si>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</si>
  <si>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Area Defense Counsel</t>
  </si>
  <si>
    <t>O-2</t>
  </si>
  <si>
    <t>Entry Control Vestibule</t>
  </si>
  <si>
    <t>Shoulder, Paved</t>
  </si>
  <si>
    <t>The shoulders of runways, taxi-ways, etc.</t>
  </si>
  <si>
    <t>‌http://www.wbdg.org/FFC/AF/AFMAN/116642_Paved_Shoulders.pdf</t>
  </si>
  <si>
    <t>Attorney</t>
  </si>
  <si>
    <t>O-1</t>
  </si>
  <si>
    <t>FIELDCOM Commander conference room</t>
  </si>
  <si>
    <t>Arming and Disarming Pads</t>
  </si>
  <si>
    <t>Used for arming aircraft immediately before takeoff and for disarming weapons retained or not expended upon their return.</t>
  </si>
  <si>
    <t>‌http://www.wbdg.org/FFC/AF/AFMAN/116661_Pad_Arm_and_Disarm.pdf</t>
  </si>
  <si>
    <t>Branch Chief</t>
  </si>
  <si>
    <t>Enlisted</t>
  </si>
  <si>
    <t>FIELDCOM Staff Team rooms</t>
  </si>
  <si>
    <t>Pad, Dangerous Cargo, Load/Unload</t>
  </si>
  <si>
    <t>Required where there is a frequent need to load explosives, or other dangerous materials on cargo aircraft and where existing aprons cannot be used without violating quantity distance criteria.</t>
  </si>
  <si>
    <t>‌http://www.wbdg.org/FFC/AF/AFMAN/116662_Pad_Dangerous_Cargo_Load_Unload.pdf</t>
  </si>
  <si>
    <t>Chaplain</t>
  </si>
  <si>
    <t>File Rooms</t>
  </si>
  <si>
    <t>Helicopter Pad</t>
  </si>
  <si>
    <t>Pavement provided for helicopters when there is no other operational apron or pad available in the area.</t>
  </si>
  <si>
    <t>‌http://www.wbdg.org/FFC/AF/AFMAN/116663_Pad_Helicopter.pdf</t>
  </si>
  <si>
    <t>Civilian Equal Opportunity Chief</t>
  </si>
  <si>
    <t>Full D size Plotter</t>
  </si>
  <si>
    <t>Power Check</t>
  </si>
  <si>
    <t>A paved area, 80 by 120 feet used in performing full power checks of jet engines.</t>
  </si>
  <si>
    <t>‌http://www.wbdg.org/FFC/AF/AFMAN/116664_Pad_Power_Check.pdf</t>
  </si>
  <si>
    <t>Civilian Personnel Chief</t>
  </si>
  <si>
    <t>Airman</t>
  </si>
  <si>
    <t>Group CC Conference Room</t>
  </si>
  <si>
    <t>Power Check w/Suppressor</t>
  </si>
  <si>
    <t>The Power Check Pad with suppresser is the prime facility on which operational checks of jet engines are performed. Unsuppressed pads are used as back-up or interim facilities. The suppressessor and associated devices are supplied as items of Government Furnished Equipment (GFE).</t>
  </si>
  <si>
    <t>‌http://www.wbdg.org/FFC/AF/AFMAN/116665_Pad_Power_Check_with_Noise_Suppressor.pdf</t>
  </si>
  <si>
    <t>Commander: Center</t>
  </si>
  <si>
    <t>E-9</t>
  </si>
  <si>
    <t>Interview Room</t>
  </si>
  <si>
    <t>Pad, Warmup, Holding</t>
  </si>
  <si>
    <t>A paved area adjacent to the taxi-way at the end of the runway. It provides a means of bypassing aircraft being held at the runway end for various reasons.</t>
  </si>
  <si>
    <t>‌http://www.wbdg.org/FFC/AF/AFMAN/116666_Pad_Warm_up_Holding.pdf</t>
  </si>
  <si>
    <t>Commander: Center Deputy</t>
  </si>
  <si>
    <t>E-8</t>
  </si>
  <si>
    <t>Pad, Calibration</t>
  </si>
  <si>
    <t>A paved area where aircraft are positioned for the calibration of the magnetic standby compass and the magnetic azimuth detector.</t>
  </si>
  <si>
    <t>‌http://www.wbdg.org/FFC/AF/AFMAN/116667_Pad_Compass_Calibration.pdf</t>
  </si>
  <si>
    <t>Commander: FIELDCOM</t>
  </si>
  <si>
    <t>E-7</t>
  </si>
  <si>
    <t>Lactation Room</t>
  </si>
  <si>
    <t>Pad, Launching</t>
  </si>
  <si>
    <t>Those pads that are used for launching missiles.</t>
  </si>
  <si>
    <t>‌http://www.wbdg.org/FFC/AF/AFMAN/116668_Pad_Launching.pdf</t>
  </si>
  <si>
    <t>Commander: FIELDCOM Deputy</t>
  </si>
  <si>
    <t>E-6</t>
  </si>
  <si>
    <t>Lobby</t>
  </si>
  <si>
    <t>Aircraft Washrack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</si>
  <si>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</si>
  <si>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</si>
  <si>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Commander: Flight (G-Series Orders)</t>
  </si>
  <si>
    <t>E-5</t>
  </si>
  <si>
    <t>Aircraft Arresting System Support</t>
  </si>
  <si>
    <t>These systems consist of engaging devices and energy absorbers, engaging devices are the barrier net, the dis-supported cable or the remotely raised cable, energy absorbing devices are anchor chains, rotary friction brakes or rotary hydraulic unit.</t>
  </si>
  <si>
    <t>‌https://www.wbdg.org/FFC/AF/AFMAN/116922_Aircraft_Arresting_Systems.pdf</t>
  </si>
  <si>
    <t>E-4</t>
  </si>
  <si>
    <t>Mail Distribution Room</t>
  </si>
  <si>
    <t>Firing In Butt</t>
  </si>
  <si>
    <t>Backstops made of earth and wood used as safety areas perpendicular to where aircraft are parked and where hot ammo is downloaded.</t>
  </si>
  <si>
    <t>‌https://www.wbdg.org/FFC/AF/AFMAN/116933_Firing_In_Buttress.pdf</t>
  </si>
  <si>
    <t>Commander: Group Deputy</t>
  </si>
  <si>
    <t>E-3</t>
  </si>
  <si>
    <t>MAJCOM Commander conference room</t>
  </si>
  <si>
    <t>Jet Blast Deflector</t>
  </si>
  <si>
    <t>Concave corrugated metal surface, with or without baffles, fastened and braced to a concrete base to withstand the force of the jet blast which is deflected upward.</t>
  </si>
  <si>
    <t>‌https://www.wbdg.org/FFC/AF/AFMAN/116945_Jet_Blast_Deflector.pdf</t>
  </si>
  <si>
    <t xml:space="preserve">Commander: MAJCOM </t>
  </si>
  <si>
    <t>E-2</t>
  </si>
  <si>
    <t>MAJCOM Staff Team room</t>
  </si>
  <si>
    <t>POL - Petroleum Operations Building</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</si>
  <si>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</si>
  <si>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</si>
  <si>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Commander: MAJCOM Deputy</t>
  </si>
  <si>
    <t>E-1</t>
  </si>
  <si>
    <t>Table 6</t>
  </si>
  <si>
    <t>POL - Aviation Fuel Dispensing (Fixed Pantographs)</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</si>
  <si>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</si>
  <si>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‌http://www.wbdg.org/FFC/AF/AFMAN/121115_Aviation_Fuel_Dispensing_System.pdf</t>
  </si>
  <si>
    <t>Commander: Mission Delta</t>
  </si>
  <si>
    <t>GS</t>
  </si>
  <si>
    <t>Mission Delta Commander Conference room</t>
  </si>
  <si>
    <t>POL - Hydrant Fueling and Defueling System (Pits)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</si>
  <si>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</si>
  <si>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‌http://www.wbdg.org/FFC/AF/AFMAN/121122_Hydrant_Fueling_System.pdf</t>
  </si>
  <si>
    <t>Table 7 - Collaboration Space Based on # staff TW</t>
  </si>
  <si>
    <t>Commander: Mission Delta Deputy</t>
  </si>
  <si>
    <t>SES</t>
  </si>
  <si>
    <t>Mission Delta Team Room</t>
  </si>
  <si>
    <t>Pump House, Petroleum (without Constant Pressure Controls)</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</si>
  <si>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</si>
  <si>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‌https://www.wbdg.org/FFC/AF/AFMAN/121124_Hydrant_Fueling_Building.pdf</t>
  </si>
  <si>
    <t># PN upper</t>
  </si>
  <si>
    <t>Total Space</t>
  </si>
  <si>
    <t xml:space="preserve">Commander: NAF </t>
  </si>
  <si>
    <t>GS-15</t>
  </si>
  <si>
    <t>Portrait Studio (Public Affairs)</t>
  </si>
  <si>
    <t>POL - Marine Fuel Dispensing System</t>
  </si>
  <si>
    <t>A fixed POL retail and wholesale facility for the direct fueling of all maritime conveyances to vessels, to include, ocean going and coastal tankers, carriers, barges, boats, tugs, landing craft, security boats, ships, etc. A marine fueling facility supports both retail and wholesale fueling operations.</t>
  </si>
  <si>
    <t>‌http://www.wbdg.org/FFC/AF/AFMAN/122111_Marine_Fuel_Dispensing_Sys.pdf</t>
  </si>
  <si>
    <t>POL - Vehicle Fueling Station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</si>
  <si>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</si>
  <si>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‌http://www.wbdg.org/FFC/AF/AFMAN/123335_Vehicle_Fueling_Station.pdf</t>
  </si>
  <si>
    <t>Commander: Squadron Deputy</t>
  </si>
  <si>
    <t>Safes, GSA</t>
  </si>
  <si>
    <t xml:space="preserve">Operating Storage Tank, Petroleum, Aviation Gas - Above Ground </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</si>
  <si>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</si>
  <si>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‌http://www.wbdg.org/FFC/AF/AFMAN/124131_Operating_Storage_Aviation_Gas.pdf</t>
  </si>
  <si>
    <t>Shipping/Receiving</t>
  </si>
  <si>
    <t>Operating Storage Tank, Petroleum, Aviation Lubricant - Above Ground</t>
  </si>
  <si>
    <t>For Aviation Lubricants, a fixed above ground POL storage tanks including silver bullets (product saver tanks), holding any number of gallons of Aviation Lubricant. Operating storage tanks provides fuel in support of retail refueling missions. Operating storage tanks are resupplied from bulk fuel / wholesale storage tanks or directly from a commercial supplier. These above ground storage tank includes earthen containment berms with or without liners.  Above ground storage tanks are not included within any other CATCODE.</t>
  </si>
  <si>
    <t>‌http://www.wbdg.org/FFC/AF/AFMAN/124132_Operating_Storage_Aviation_Lubricant.pdf</t>
  </si>
  <si>
    <t>Commander: Wing Deputy</t>
  </si>
  <si>
    <t>GS-11</t>
  </si>
  <si>
    <t>Shower</t>
  </si>
  <si>
    <t xml:space="preserve">Operating Storage Tank, Petroleum, Diesel - Above Ground </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</si>
  <si>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</si>
  <si>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‌http://www.wbdg.org/FFC/AF/AFMAN/124134_Operating_Storage_Diesel.pdf</t>
  </si>
  <si>
    <t xml:space="preserve">Director of Operations </t>
  </si>
  <si>
    <t>GS-10</t>
  </si>
  <si>
    <t>SIPR Room 20 SF per station, 80 SF min</t>
  </si>
  <si>
    <t xml:space="preserve">Operating Storage Tank, Petroleum, Jet Fuel - Above Ground </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</si>
  <si>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</si>
  <si>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‌http://www.wbdg.org/FFC/AF/AFMAN/124135_Operating_Storage_Jet_Fuel.pdf</t>
  </si>
  <si>
    <t>Directorate Chief</t>
  </si>
  <si>
    <t>GS-9</t>
  </si>
  <si>
    <t>Space Delta Commander Conference Room</t>
  </si>
  <si>
    <t xml:space="preserve">Operating Storage Tank, Petroleum, Motor Gas - Above Ground </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</si>
  <si>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</si>
  <si>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‌http://www.wbdg.org/FFC/AF/AFMAN/124137_Operating_Storage_Motor_Gas.pdf</t>
  </si>
  <si>
    <t>Directorate Deputy</t>
  </si>
  <si>
    <t>GS-8</t>
  </si>
  <si>
    <t xml:space="preserve">Space Delta Staff Team Rooms </t>
  </si>
  <si>
    <t>Operating Storage Tank, Solvents - Above Ground</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</si>
  <si>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</si>
  <si>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‌http://www.wbdg.org/FFC/AF/AFMAN/124138_Operating_Storage_Solvents.pdf</t>
  </si>
  <si>
    <t>Division Chief</t>
  </si>
  <si>
    <t>GS-7</t>
  </si>
  <si>
    <t>Special Purpose / Shared Space</t>
  </si>
  <si>
    <t>Operating Storage, Special Fuels - Above Ground</t>
  </si>
  <si>
    <t>Above ground storage tanks that provide an operating and reserve supply of special fuels.</t>
  </si>
  <si>
    <t>‌http://www.wbdg.org/FFC/AF/AFMAN/124139_Operating_Storage_Special_Fuels.pdf</t>
  </si>
  <si>
    <t>Division Deputy</t>
  </si>
  <si>
    <t>GS-6</t>
  </si>
  <si>
    <t>Operating Storage, Rocket Propellent, Hydrazine - Above Ground</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</si>
  <si>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</si>
  <si>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GS-5</t>
  </si>
  <si>
    <t>Team/Meeting/Mini Conference Room (6-10 persons)</t>
  </si>
  <si>
    <t>Operating Storage Tank, Petroleum, Aviation Gas - Underground</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</si>
  <si>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</si>
  <si>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GS-4</t>
  </si>
  <si>
    <t>Operating Storage Tank, Petroleum, Diesel - Underground</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</si>
  <si>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</si>
  <si>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GS-3</t>
  </si>
  <si>
    <t>Video Graphic Arts Studio (Public Affairs)</t>
  </si>
  <si>
    <t>Operating Storage Tank, Petroleum, Jet Fuel - Underground</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</si>
  <si>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</si>
  <si>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Group Command CMSgt</t>
  </si>
  <si>
    <t>GS-2</t>
  </si>
  <si>
    <t>Operating Storage Tank, Petroleum, Motor Gas - Underground</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</si>
  <si>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</si>
  <si>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Military Personnel Chief</t>
  </si>
  <si>
    <t>GS-1</t>
  </si>
  <si>
    <t>Wing CC Conference Room</t>
  </si>
  <si>
    <t>Operating Storage Tank, Solvents - Underground</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</si>
  <si>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</si>
  <si>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NH</t>
  </si>
  <si>
    <t xml:space="preserve">Wing CC Team Rooms (Host Wing) </t>
  </si>
  <si>
    <t>Operating Storage, Special Fuels - Underground</t>
  </si>
  <si>
    <t>Underground storage tanks that provide an operating and reserve supply of special fuels not in the aircraft, marine, or vehicle categories.  Includes heating fuel, lubricants and miscellaneous POLs.</t>
  </si>
  <si>
    <t>Public Affairs Chief</t>
  </si>
  <si>
    <t>NH-01</t>
  </si>
  <si>
    <t xml:space="preserve">Wing Team Rooms (Tenant Wing) </t>
  </si>
  <si>
    <t>Operating Storage, Rocket Propellent, Hydrazine - Underground</t>
  </si>
  <si>
    <t>For Hydrazine (Rocket Propellent), all fixed underground storage tanks including silver bullets (product saver tanks), holding any number of gallons of Rocket Propellents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</si>
  <si>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Safety Chief</t>
  </si>
  <si>
    <t>NH-02</t>
  </si>
  <si>
    <t>Workbench</t>
  </si>
  <si>
    <t>Operating Storage Tank, Petroleum, E-85 Ethanol - Above Ground</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</si>
  <si>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</si>
  <si>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‌http://www.wbdg.org/FFC/AF/AFMAN/124340_Operating_Storage_E_85_Ethanol.pdf</t>
  </si>
  <si>
    <t>Senior Enlisted Advisor</t>
  </si>
  <si>
    <t>NH-03</t>
  </si>
  <si>
    <t>Operating Storage Tank, Petroleum, Bio-Diesel - Above Ground</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</si>
  <si>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</si>
  <si>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‌http://www.wbdg.org/FFC/AF/AFMAN/124341_Operating_Storage_Bio_Diesel.pdf</t>
  </si>
  <si>
    <t>Special Victim Attorney</t>
  </si>
  <si>
    <t>NH-04</t>
  </si>
  <si>
    <t>Operating Storage Tank, Petroleum, Diesel JP-8 - Above Ground</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</si>
  <si>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</si>
  <si>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‌http://www.wbdg.org/FFC/AF/AFMAN/124342_Operating_Storage_Diesel_JP_8.pdf</t>
  </si>
  <si>
    <t>Squadron CEM, SEL or Superintendent</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</si>
  <si>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</si>
  <si>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</si>
  <si>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Staff Judge Advocate</t>
  </si>
  <si>
    <t>GG</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</si>
  <si>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</si>
  <si>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</si>
  <si>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Staff Judge Advocate Deputy</t>
  </si>
  <si>
    <t>GG-15</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</si>
  <si>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</si>
  <si>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</si>
  <si>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Wing Chaplain</t>
  </si>
  <si>
    <t>GG-14</t>
  </si>
  <si>
    <t>Pol - Piping, Petroleum and Gases - Above Ground</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</si>
  <si>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</si>
  <si>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‌http://www.wbdg.org/FFC/AF/AFMAN/125210_POL_Piping_System_within_a_site.pdf</t>
  </si>
  <si>
    <t>Wing Command CMSgt</t>
  </si>
  <si>
    <t>GG-13</t>
  </si>
  <si>
    <t>POL - Piping, Petroleum and Gases - Underground</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</si>
  <si>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</si>
  <si>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Wing Historian</t>
  </si>
  <si>
    <t>GG-12</t>
  </si>
  <si>
    <t>POL - Pipeline, Liquid Fuels and Gases - Underground</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</si>
  <si>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</si>
  <si>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Wing Staff Agency Chief</t>
  </si>
  <si>
    <t>GG-11</t>
  </si>
  <si>
    <t>POL - Pipeline, Liquid Fuels and Gases - Above Ground</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</si>
  <si>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</si>
  <si>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‌http://www.wbdg.org/FFC/AF/AFMAN/125554_Pipeline_Liquid_Fuels.pdf</t>
  </si>
  <si>
    <t>WG-15</t>
  </si>
  <si>
    <t>POL - Pump Station, Liquid Fuel</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</si>
  <si>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</si>
  <si>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‌http://www.wbdg.org/FFC/AF/AFMAN/125977_Pump_Station_Liquid_Fuels.pdf</t>
  </si>
  <si>
    <t>WG-14</t>
  </si>
  <si>
    <t xml:space="preserve">POL - Liquid Fuel Truck Fill Stand, Loading </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</si>
  <si>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</si>
  <si>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‌http://www.wbdg.org/FFC/AF/AFMAN/126925_Liquid_Fuel_Truck_Fill_Stand.pdf</t>
  </si>
  <si>
    <t>Open Offices</t>
  </si>
  <si>
    <t>WG-13</t>
  </si>
  <si>
    <t xml:space="preserve">POL - Liquid Fuel Truck Stand, Unloading </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</si>
  <si>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</si>
  <si>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‌http://www.wbdg.org/FFC/AF/AFMAN/126926_Liquid_Fuel_Stand_Unloading.pdf</t>
  </si>
  <si>
    <t>WG-12</t>
  </si>
  <si>
    <t>Telecommunications Facility</t>
  </si>
  <si>
    <t>This facility supports programming, installing, and maintaining intra-base and inter-base communications. Space is provided for a telephone exchange, computer networks, customer service functions, a main server room, administrative offices, and maintenance functions. Warehouse functions should be classified under catcode 441100, General Purpose Warehouse and SCIF spaces should be classified under catcode 140422, SCIF.</t>
  </si>
  <si>
    <t>‌http://www.wbdg.org/FFC/AF/AFMAN/131111_Telecommunications_Facility.pdf</t>
  </si>
  <si>
    <t>WG-11</t>
  </si>
  <si>
    <t>Military Affiliate Radio System</t>
  </si>
  <si>
    <t>The MARS station is an official, integral part of the telecommunications complex. Missions, functions, and operating methods are outlined in regulatory publications.</t>
  </si>
  <si>
    <t>‌http://www.wbdg.org/FFC/AF/AFMAN/131114_Military_Affiliate_Radio_Sys_MARS_Fac.pdf</t>
  </si>
  <si>
    <t>Contractor (&lt;25% of FTE)</t>
  </si>
  <si>
    <t>WG-10</t>
  </si>
  <si>
    <t>Communications Receiver</t>
  </si>
  <si>
    <t>A facility for the fixed communication receivers only for the air control tower (ATC), air-ground ground controlled approach (GCA) and radar approach control (RAPCON).</t>
  </si>
  <si>
    <t>‌http://www.wbdg.org/FFC/AF/AFMAN/131115_Communications_Receiver_Facility.pdf</t>
  </si>
  <si>
    <t>Contractor (&gt;40hr or FTE)</t>
  </si>
  <si>
    <t>WG-09</t>
  </si>
  <si>
    <t>Communications-Transmitter/Receiver</t>
  </si>
  <si>
    <t>A facility for the combined communication transmitters and receivers for the air control tower (ATC), air-ground ground controlled approach (GCA) and radar approach control (RAPCON).</t>
  </si>
  <si>
    <t>‌http://www.wbdg.org/FFC/AF/AFMAN/131116_Comm_Transmitte_Receiver_Facility.pdf</t>
  </si>
  <si>
    <t>Contractor (25-50% of FTE)</t>
  </si>
  <si>
    <t>WG-08</t>
  </si>
  <si>
    <t>Communications-Transmitter</t>
  </si>
  <si>
    <t>A facility for the communication transmitters only for the air control tower (ATC), air-ground ground controlled approach (GCA) and radar approach control (RAPCON).</t>
  </si>
  <si>
    <t>‌http://www.wbdg.org/FFC/AF/AFMAN/131117_Communications_Transmitter_Facility.pdf</t>
  </si>
  <si>
    <t>Customer Service workspace</t>
  </si>
  <si>
    <t>WG-07</t>
  </si>
  <si>
    <t>Radio Relay Facility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</si>
  <si>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</si>
  <si>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</si>
  <si>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Design Engineers</t>
  </si>
  <si>
    <t>WG-06</t>
  </si>
  <si>
    <t>American Forces Radio and Television Station</t>
  </si>
  <si>
    <t>Radio and television studio set up for the American Armed Forces.</t>
  </si>
  <si>
    <t>‌https://www.wbdg.org/FFC/AF/AFMAN/131119_American_Forces_Radio_and_Television_Station.pdf</t>
  </si>
  <si>
    <t>WG-05</t>
  </si>
  <si>
    <t>Satellite Communications Ground Terminal</t>
  </si>
  <si>
    <t>Communications interface from terrestrial ground or radio systems, or from another satellite terminal in back-to-back configuration, to a remote satellite communications terminal via a space craft relay. Criteria will vary with type of terminal.</t>
  </si>
  <si>
    <t>‌http://www.wbdg.org/FFC/AF/AFMAN/131132_Satellite_Ground_Communications_Ground_Terminal.pdf</t>
  </si>
  <si>
    <t>WG-04</t>
  </si>
  <si>
    <t>Communications,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</si>
  <si>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</si>
  <si>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‌http://www.wbdg.org/FFC/AF/AFMAN/131133_Communications_Scatter.pdf</t>
  </si>
  <si>
    <t>WG-03</t>
  </si>
  <si>
    <t>AIRCOM Relay Center</t>
  </si>
  <si>
    <t>Facility used to transmit or pass messages from one tributary to another automatic, semiautomatic or manual means, or by electrically connecting circuits between tributaries for direct transmission.</t>
  </si>
  <si>
    <t>‌http://www.wbdg.org/FFC/AF/AFMAN/131134_Air_Comm_Relay_Center.pdf</t>
  </si>
  <si>
    <t>JA Staff</t>
  </si>
  <si>
    <t>WG-02</t>
  </si>
  <si>
    <t>Automatic Switching Center</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</si>
  <si>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</si>
  <si>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‌https://www.wbdg.org/FFC/AF/AFMAN/131135_Automatic_Switching_Center.pdf</t>
  </si>
  <si>
    <t>Kiosk Station</t>
  </si>
  <si>
    <t>AIRCOM Receiver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</si>
  <si>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</si>
  <si>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</si>
  <si>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Warrant Officer</t>
  </si>
  <si>
    <t>AIRCOM Transmitter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</si>
  <si>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</si>
  <si>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</si>
  <si>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Multiple Monitors workspace</t>
  </si>
  <si>
    <t>WO-1</t>
  </si>
  <si>
    <t>High Frequency AIRCOM Microwave Relay</t>
  </si>
  <si>
    <t>Communications facility that provides the control link between the transmitter, receiver and relay center.</t>
  </si>
  <si>
    <t>‌https://www.wbdg.org/FFC/AF/AFMAN/131138_High_Freq_AIRCOM_Microwave_Relay_Facility.pdf</t>
  </si>
  <si>
    <t>NCOIC</t>
  </si>
  <si>
    <t>WO-2</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</si>
  <si>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</si>
  <si>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</si>
  <si>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</si>
  <si>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Reservists (&lt;25% of FTE)</t>
  </si>
  <si>
    <t>WO-3</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</si>
  <si>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</si>
  <si>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</si>
  <si>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‌http://www.wbdg.org/FFC/AF/AFMAN/131143_Gap_Filler.pdf</t>
  </si>
  <si>
    <t>Reservists (25-50% of FTE)</t>
  </si>
  <si>
    <t>WO-4</t>
  </si>
  <si>
    <t>Space Operations Facility</t>
  </si>
  <si>
    <t>Facility designed to function as the focal point for the command, control of, and communication with satellites. This typically includes a Space Operations Center, computer room, simulator/emulator, and administrative space. May require an area for technical support, scheduling, orbital analysis, and anomaly resolution. SCIF spaces should be classified under catcode 140422, SCIF. Example mission sets are Space Control Network (SCN) and Global Positioning System (GPS).</t>
  </si>
  <si>
    <t>‌http://www.wbdg.org/FFC/AF/AFMAN/131200_Space_Operations_Facility.pdf</t>
  </si>
  <si>
    <t>Reservists (IMA one per 4 assigned)</t>
  </si>
  <si>
    <t>NJ-02</t>
  </si>
  <si>
    <t>Counterspace Operations</t>
  </si>
  <si>
    <t>Facility for the command and control of both offensive and defensive space control assets. This includes equipment for denying adversary satellite communications, defending national security space systems, monitoring satellite communication signals, and detecting electromagnetic interference. Electromagnetic Warfare Squadrons is an example of a user. SCIF space is under catcode 140422 (SCIF).</t>
  </si>
  <si>
    <t>Section Chief</t>
  </si>
  <si>
    <t>NJ-03</t>
  </si>
  <si>
    <t>Space Launch and Range Operations Facility</t>
  </si>
  <si>
    <t>Facility for the command and control of space launches and the management of the Space Force's Eastern and Western Ranges. This includes both government and commercial customers' administrative space, equipment, and servers. SCIF space is under catcode 140422 (SCIF).</t>
  </si>
  <si>
    <t>Shared Workstation</t>
  </si>
  <si>
    <t>NJ-04</t>
  </si>
  <si>
    <t>SILO Hardened HF Antenna</t>
  </si>
  <si>
    <t>This antenna is housed in a hardened silo. The antenna is raised in an upright position when charges are used to blow the capsule for missile launch.</t>
  </si>
  <si>
    <t>‌http://www.wbdg.org/FFC/AF/AFMAN/132131_Sil_Hardened_HF_Antenna.pdf</t>
  </si>
  <si>
    <t>NK-01</t>
  </si>
  <si>
    <t>Pad, Equipment or Support</t>
  </si>
  <si>
    <t>General purpose concrete pad used to support miscellaneous equipment items such as air conditioners, generators, towers, etc.</t>
  </si>
  <si>
    <t>https://www.wbdg.org/FFC/AF/AFMAN/132133_PAD_Equipment_Support.pdf</t>
  </si>
  <si>
    <t>NK-02</t>
  </si>
  <si>
    <t>Antenna Support Structure</t>
  </si>
  <si>
    <t>This category code identifies towers, tower guys, antenna poles, concrete footings and hardstands supporting communications-electronics equipment.</t>
  </si>
  <si>
    <t>‌http://www.wbdg.org/FFC/AF/AFMAN/132134_Antenna_Support_Structure.pdf</t>
  </si>
  <si>
    <t>Task Station (Drop-In Admin)</t>
  </si>
  <si>
    <t>NK-03</t>
  </si>
  <si>
    <t>Non-Directional Beacon (Building)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</si>
  <si>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</si>
  <si>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</si>
  <si>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Telework / Hoteling Desk</t>
  </si>
  <si>
    <t>AD-00</t>
  </si>
  <si>
    <t>Navigation Building, Air</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</si>
  <si>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</si>
  <si>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WG/GP/SQ Command Support Staff</t>
  </si>
  <si>
    <t>AD-21</t>
  </si>
  <si>
    <t>UHF Direction Finding</t>
  </si>
  <si>
    <t>This code is provided to identify the installation for UHF antennas.</t>
  </si>
  <si>
    <t>‌http://www.wbdg.org/FFC/AF/AFMAN/133314_UHF_Direction_Finding.pdf</t>
  </si>
  <si>
    <t>AD-22</t>
  </si>
  <si>
    <t>Wind Measuring Equipment</t>
  </si>
  <si>
    <t>Navigational aid designed for measuring weather condition.</t>
  </si>
  <si>
    <t>‌http://www.wbdg.org/FFC/AF/AFMAN/134101_Wind_Measuring_Equipment.pdf</t>
  </si>
  <si>
    <t>AD-23</t>
  </si>
  <si>
    <t>Automatic Meteorological Station</t>
  </si>
  <si>
    <t>Weather station designed to measure meteorological events automatically.</t>
  </si>
  <si>
    <t>‌http://www.wbdg.org/FFC/AF/AFMAN/134102_Automatic_Meteorological_Station.pdf</t>
  </si>
  <si>
    <t>AD-24</t>
  </si>
  <si>
    <t>Airfield Signs And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</si>
  <si>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</si>
  <si>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‌http://www.wbdg.org/FFC/AF/AFMAN/134103_Runway_Distance_Markers.pdf</t>
  </si>
  <si>
    <t>AD-25</t>
  </si>
  <si>
    <t>Remote Control Circuits</t>
  </si>
  <si>
    <t>These items provides electrical power and communications control circuits, control devices and associated equipment from the base control tower or radar facility to navigational aids and communications facility.</t>
  </si>
  <si>
    <t>‌http://www.wbdg.org/FFC/AF/AFMAN/134119_Remote_Control_Circuits.pdf</t>
  </si>
  <si>
    <t>AD-26</t>
  </si>
  <si>
    <t>Ground Control Intercept</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</si>
  <si>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</si>
  <si>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‌http://www.wbdg.org/FFC/AF/AFMAN/134335_Ground_Control_Intercept.pdf</t>
  </si>
  <si>
    <t>AD-27</t>
  </si>
  <si>
    <t>Ground Controlled Approach, Fixed</t>
  </si>
  <si>
    <t>This facility  provides surveillance and precision radar approach control at installations without approach control authority.</t>
  </si>
  <si>
    <t>‌http://www.wbdg.org/FFC/AF/AFMAN/134336_Fixed_Radar_Approach_Control_RAPCON_GCA_Fixed_Facility.pdf</t>
  </si>
  <si>
    <t>AD-28</t>
  </si>
  <si>
    <t>Ground Controlled Approach Vault</t>
  </si>
  <si>
    <t>Underground vault that provides transformer power line connection and maintenance area for underground power lines that control the airfield.</t>
  </si>
  <si>
    <t>https://www.wbdg.org/FFC/AF/AFMAN/134338_RAPCON_Vault_GCA_Vault.pdf</t>
  </si>
  <si>
    <t>DO-01</t>
  </si>
  <si>
    <t>Ground Controlled Approach RAPCON Support Building</t>
  </si>
  <si>
    <t>Radar approach control facility with space for crew training/study, rest and duty standby, administration, maintenance shop, test equipment storage, kitchen, and latrine.</t>
  </si>
  <si>
    <t>‌http://www.wbdg.org/FFC/AF/AFMAN/134341_RAPCON_Support_Bldg_GCA_RAPCON_Spt_Bldg.pdf</t>
  </si>
  <si>
    <t>DO-02</t>
  </si>
  <si>
    <t>Instrument Landing System Glide Slope</t>
  </si>
  <si>
    <t>Hard-stand shelters that house standard navigational aid instruments which utilize fixed radio beams that provide aircraft final approach guidance.</t>
  </si>
  <si>
    <t>‌http://www.wbdg.org/FFC/AF/AFMAN/134351_Instrument_Landing_System_ILS.pdf</t>
  </si>
  <si>
    <t>DO-03</t>
  </si>
  <si>
    <t>Instrument Landing System Localizer</t>
  </si>
  <si>
    <t>Hard stand shelters that house standard navigational aid instruments which utilize fixed radio beams that provide aircraft azimuth approach guidance.</t>
  </si>
  <si>
    <t>‌http://www.wbdg.org/FFC/AF/AFMAN/134353_ILS_Localizer.pdf</t>
  </si>
  <si>
    <t>DO-04</t>
  </si>
  <si>
    <t>ILS Marker Beacon</t>
  </si>
  <si>
    <t>The three marker beacons inner, middle and outer are used to provide accurate radio fixes along the approach course.</t>
  </si>
  <si>
    <t>‌http://www.wbdg.org/FFC/AF/AFMAN/134355_ILS_Marker_Beacon.pdf</t>
  </si>
  <si>
    <t>DR-01</t>
  </si>
  <si>
    <t>RADAR Turntable</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</si>
  <si>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</si>
  <si>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</si>
  <si>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DR-02</t>
  </si>
  <si>
    <t>Precision Approach RADAR</t>
  </si>
  <si>
    <t>AN/FPN-16, AN/FPN-62 and AN/GPN-22 units provide precision approach radar (PAR) that is remote from the runway. A transformer vault, ducting, and a foundation turntable or hard-stand and are included as support structures.</t>
  </si>
  <si>
    <t>‌http://www.wbdg.org/FFC/AF/AFMAN/134374_Precision_Approach_Radar.pdf</t>
  </si>
  <si>
    <t>DR-03</t>
  </si>
  <si>
    <t>RADAR Approach Control Center</t>
  </si>
  <si>
    <t>A Radar Approach Control Facility (RAPCON) controls aircraft by using installed radar to provide Air Traffic Control Tower information for aircraft arriving, departing, or transiting the airspace controlled by the facility.</t>
  </si>
  <si>
    <t>‌http://www.wbdg.org/FFC/AF/AFMAN/134375_RAPCON_Center.pdf</t>
  </si>
  <si>
    <t>DR-04</t>
  </si>
  <si>
    <t>Airport Surveillance RADAR</t>
  </si>
  <si>
    <t>Radar system with a 200 nautical mile radar beacon system capability.</t>
  </si>
  <si>
    <t>‌http://www.wbdg.org/FFC/AF/AFMAN/134376_Airport_Surveillance_Radar.pdf</t>
  </si>
  <si>
    <t>DR-05</t>
  </si>
  <si>
    <t>Radio Beacon Facility</t>
  </si>
  <si>
    <t>Facility that houses a low frequency homing beacon for area coverage and terminal approach purposes. The facility is also used for air route support where extreme ranges are not mandatory.</t>
  </si>
  <si>
    <t>‌http://www.wbdg.org/FFC/AF/AFMAN/134442_Radio_Beacon_Facility.pdf</t>
  </si>
  <si>
    <t>DU-02</t>
  </si>
  <si>
    <t>Tactical Air Navigation Station, Fixed</t>
  </si>
  <si>
    <t>This facility supports a short range UHF line-of-sight air navigation system that provides continuous accurate slant-range distance and bearing information. The fixed TACAN station requires a building and tower footing.</t>
  </si>
  <si>
    <t>‌http://www.wbdg.org/FFC/AF/AFMAN/134465_TACAN_Air_Navigation_Station.pdf</t>
  </si>
  <si>
    <t>DU-03</t>
  </si>
  <si>
    <t>Navigational Aid Tower</t>
  </si>
  <si>
    <t>Metal, open latticework towers provided for use radio and radar antennas. The towers come with concrete bases, ladders and platforms/catwalks to permit mounting of antennas and routine maintenance.</t>
  </si>
  <si>
    <t>‌http://www.wbdg.org/FFC/AF/AFMAN/134473_NAVAID_Tower.pdf</t>
  </si>
  <si>
    <t>DU-04</t>
  </si>
  <si>
    <t>Low Power Terminal VHF OMNIRANGE</t>
  </si>
  <si>
    <t>Terminal navigational aid used to inform of air traffic arrival and departure service as a fix to enable control of aircraft by radar or as a letdown facility during conditions of low ceiling or low visibility.</t>
  </si>
  <si>
    <t>‌http://www.wbdg.org/FFC/AF/AFMAN/134482_Fixed_VHF_Omni_Range_Station.pdf</t>
  </si>
  <si>
    <t>DX-03</t>
  </si>
  <si>
    <t>High Power VHR OMNIRANGE</t>
  </si>
  <si>
    <t>Navigational aid with an output of 200 Watts. It is used to provide in route aircraft with course and bearing information. This type facility may be used for both in route and terminal air traffic control service.</t>
  </si>
  <si>
    <t>‌http://www.wbdg.org/FFC/AF/AFMAN/134484_High_Power_VHF_Omni_Range.pdf</t>
  </si>
  <si>
    <t>DX-04</t>
  </si>
  <si>
    <t>TVOR-RACAN,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</si>
  <si>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</si>
  <si>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EE-00</t>
  </si>
  <si>
    <t>Wind Direction Indicator</t>
  </si>
  <si>
    <t>A lighted visual aid that indicates the direction of the wind to enable pilots to select the proper runway for landing. This navigation aid will normally be a lighted cone or a wind sock.</t>
  </si>
  <si>
    <t>‌http://www.wbdg.org/FFC/AF/AFMAN/134678_Wind_Direction_Indicator.pdf</t>
  </si>
  <si>
    <t>EF-00</t>
  </si>
  <si>
    <t>Telephone DUCT Facility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</si>
  <si>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</si>
  <si>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</si>
  <si>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ES-00</t>
  </si>
  <si>
    <t>Telephone Pole Facility</t>
  </si>
  <si>
    <t>Network of wooden poles used to distribute telephone cable throughout a base. Underground cable installation is preferred for security reasons as well as aesthetics.</t>
  </si>
  <si>
    <t>‌http://www.wbdg.org/FFC/AF/AFMAN/135586_Telephone_Pole_Facility.pdf</t>
  </si>
  <si>
    <t>EX-02</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</si>
  <si>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</si>
  <si>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</si>
  <si>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</si>
  <si>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EX-03</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</si>
  <si>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</si>
  <si>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</si>
  <si>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</si>
  <si>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EX-04</t>
  </si>
  <si>
    <t>Obstruction Light</t>
  </si>
  <si>
    <t>Lighting that identifies objects that protrude or penetrate clearance plans.</t>
  </si>
  <si>
    <t>‌http://www.wbdg.org/FFC/AF/AFMAN/136662_Obstruction_Lighting.pdf</t>
  </si>
  <si>
    <t>Lighting, Runway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</si>
  <si>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</si>
  <si>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</si>
  <si>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Special Airfield Lighting</t>
  </si>
  <si>
    <t>Applies to (1) Runway touchdown zone lights, (2) Runway centerline lights (category 2), (3) Visual approach slope indicator systems (VASI, PAPI, PLASI), and (4) Lights for short-field takeoff and landing zones.</t>
  </si>
  <si>
    <t>‌http://www.wbdg.org/FFC/AF/AFMAN/136666_Special_Airfield_Lighting.pdf</t>
  </si>
  <si>
    <t>Taxiway Lighting</t>
  </si>
  <si>
    <t>All lighting provided for regularly used taxi-ways.</t>
  </si>
  <si>
    <t>‌http://www.wbdg.org/FFC/AF/AFMAN/136667_Taxiway_Lighting.pdf</t>
  </si>
  <si>
    <t>Airfield Lighting Vault</t>
  </si>
  <si>
    <t>Above ground facility that houses regulators, controls and other equipment for airfield lighting systems such as approaches, runways, taxi-ways, and specials systems.</t>
  </si>
  <si>
    <t xml:space="preserve">https://www.wbdg.org/FFC/AF/AFMAN/136668_Airfield_Lighting_Vault.pdf </t>
  </si>
  <si>
    <t>Lighthouse</t>
  </si>
  <si>
    <t xml:space="preserve">A lighthouse is a building that houses a navigation beacon that may emit light, sound, radio, radar, or a combination thereof. It may be onshore or offshore. </t>
  </si>
  <si>
    <t>Emergency Operations Center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</si>
  <si>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</si>
  <si>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</si>
  <si>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SCIF</t>
  </si>
  <si>
    <t>A building or functional space accredited under the Intelligence Community Directive (ICD) 705 standard that supports military intelligence, reconnaissance, special operations or active duty combat operations. Functional areas can include an administrative, support and storage space. Because of the special construction and security measures required, restricted area will be accounted for separately from all other parts of a facility.</t>
  </si>
  <si>
    <t>‌https://www.wbdg.org/FFC/AF/AFMAN/140422_SCIF.pdf</t>
  </si>
  <si>
    <t>Secure Communication Server Farm Facility</t>
  </si>
  <si>
    <t>A building or functional space accredited under the Intelligence Community Directive (ICD) 705 standard that supports Server Farms larger than 200 GSF. These operations generally require a secure facility with redundant electrical systems, generator backup power and Uninterruptible Power Supply (UPS) systems in addition to robust mechanical systems to support increased Information Technology (IT) equipment requirements. Because of the special construction and security measures required, restricted area will be accounted for separately from all other parts of a facility.</t>
  </si>
  <si>
    <t>Airfield Fire and Rescue Station</t>
  </si>
  <si>
    <t>A facility for fire and emergency rescue services dedicated for airfield rescue response. It is situated on the flight line to ensure rapid response to aircraft emergencies.</t>
  </si>
  <si>
    <t>‌https://www.wbdg.org/FFC/AF/AFMAN/141101_Airfield_Fire_Rescue_Station.pdf</t>
  </si>
  <si>
    <t>Crash Boat Crew Station</t>
  </si>
  <si>
    <t>A harbor marina radio building used to monitor all marine activities and to store marine equipment.</t>
  </si>
  <si>
    <t>‌https://www.wbdg.org/FFC/AF/AFMAN/141154_Crash_Boat_Crew_Station.pdf</t>
  </si>
  <si>
    <t>Explosive Ordnance Disposal</t>
  </si>
  <si>
    <t>Facility dedicated to disposal of hazardous ordnance. The facility typically includes space for admin., training room, storage for special clothing, workshop and test equipment, etc.</t>
  </si>
  <si>
    <t>‌https://www.wbdg.org/FFC/AF/AFMAN/141165_Explosive_Ordnance_Disposal.pdf</t>
  </si>
  <si>
    <t>Guided Missile Launch Control</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</si>
  <si>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</si>
  <si>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</si>
  <si>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Aircraft Single, Environmental Protection Shelter</t>
  </si>
  <si>
    <t>Overhead structure to protect a single aircraft from inclement weather. See also CC 146601 - Aircraft Sunshelter.</t>
  </si>
  <si>
    <t>‌https://www.wbdg.org/FFC/AF/AFMAN/141181_Aircraft_Shelter.pdf</t>
  </si>
  <si>
    <t>Hardened Aircraft Shelter</t>
  </si>
  <si>
    <t>Hardened structure intended to protect tactical aircraft in a forward basing area. The structure is typically a steel arch covered with a minimum of 18 inches of Portland cement concrete.</t>
  </si>
  <si>
    <t>‌https://www.wbdg.org/FFC/AF/AFMAN/141182_Hardened_Aircraft_Shelters.pdf</t>
  </si>
  <si>
    <t>Alert Hangar, Fighter Aircraft</t>
  </si>
  <si>
    <t>Alert aircraft hangar located for fast takeoff within prescribed limits. The facility typically contains maintenance space and equipment and in some cases, ready crew facilities.</t>
  </si>
  <si>
    <t>‌https://www.wbdg.org/FFC/AF/AFMAN/141183_Alert_Hangar_Fighter_Aircraft.pdf</t>
  </si>
  <si>
    <t>Ready Shelter Facility</t>
  </si>
  <si>
    <t>Facility configured to assure survivability in the event of a minimum warning conventional weapons attack. The structure insures rapid force generation and provides environmental and security protection.</t>
  </si>
  <si>
    <t>https://www.wbdg.org/FFC/AF/AFMAN/141184_Ready_Shelter_Facility.pdf</t>
  </si>
  <si>
    <t>Helicopter Rescue and Recovery Hangar</t>
  </si>
  <si>
    <t>Hangar typically supporting two helicopters designed for rescue and recovery. Shop and personnel support space are also typically part of this facility.</t>
  </si>
  <si>
    <t>‌https://www.wbdg.org/FFC/AF/AFMAN/141185_Helicopter_Rescue_Recovery_Hangar.pdf</t>
  </si>
  <si>
    <t>Aerial Delivery Facility</t>
  </si>
  <si>
    <t>AERIAL Port Detachment Facility designed for parachute packing and maintenance, rigging of supplies for airdrop or extraction, communications equipment maintenance, classroom, admin and storage.</t>
  </si>
  <si>
    <t>‌https://www.wbdg.org/FFC/AF/AFMAN/141232_Aerial_Delivery_Facility.pdf</t>
  </si>
  <si>
    <t>Audiovisual Facility</t>
  </si>
  <si>
    <t>Facility dedicated to the production filming, and presentation of audiovisual material and graphic arts visual aid products used in training, conferences, briefings and similar activities.</t>
  </si>
  <si>
    <t>file:///C:/Users/535642/AppData/Local/Temp/MicrosoftEdgeDownloads/10c87480-ab96-403c-ae2e-7df6629575a4/141383_Audiovisual_Facility.pdf</t>
  </si>
  <si>
    <t>Motion Picture Laboratory</t>
  </si>
  <si>
    <t>Facility designed for motion picture printing, processing, chemical mixing, analysis, negative cutting, positive assembly, film cleaning, and other related film processing operations. The Space requires adequate ventilation, temperature, humidity and dust control.</t>
  </si>
  <si>
    <t>Film Storage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</si>
  <si>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</si>
  <si>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</si>
  <si>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Video Production Center</t>
  </si>
  <si>
    <t>This facility provides the space for a video production mission to support command information, training and education. It includes administration space, a soundproof studio, set construction and storage, scenery storage, television cameras on studio pedestals, video and audio control booth, video and audio equipment, digital media storage, equipment storage, electronic support and test equipment, and other equipment as needed.</t>
  </si>
  <si>
    <t>‌https://www.wbdg.org/FFC/AF/AFMAN/141389_Television_Production_Facility.pdf</t>
  </si>
  <si>
    <t>RADAR Transmitter and Computer Building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</si>
  <si>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</si>
  <si>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‌http://www.wbdg.org/FFC/AF/AFMAN/141391_Radar_Transmitter_and_Computer_Building.pdf</t>
  </si>
  <si>
    <t>RADAR Transmitter Building (BMEWS)</t>
  </si>
  <si>
    <t>Facility designed to house the high-power transmitter and associated equipment critical to system operations.</t>
  </si>
  <si>
    <t>‌https://www.wbdg.org/FFC/AF/AFMAN/141392_Radar_Transmitter_Building_BMEWS.pdf</t>
  </si>
  <si>
    <t>Space Surveillance/Missile Warning</t>
  </si>
  <si>
    <t>This facility supports the administration and the equipment for the global space surveillance and missile defense networks. Such equipment would be that which detects, tracks, identifies, and catalogs man-made objects in space, and provides position information on these objects. Space Warning Squadrons are an example of a user. SCIF space is under catcode 140422 (SCIF).</t>
  </si>
  <si>
    <t>‌https://www.wbdg.org/FFC/AF/AFMAN/141393_Scanner_Building_BMEWS.pdf</t>
  </si>
  <si>
    <t>Underground Complex Operations Building</t>
  </si>
  <si>
    <t>Underground-facility nuclear blast and High Altitude Electromagnetic Pulse (HEMP) protected buildings riding on a steel spring and damper ground shock isolation system.</t>
  </si>
  <si>
    <t>RADOME Tower Building</t>
  </si>
  <si>
    <t>Facility designed to provide search and radar for the joint surveillance system which supports the air defense system of North America.</t>
  </si>
  <si>
    <t>‌https://www.wbdg.org/FFC/AF/AFMAN/141411_Radome_Tower_Building.pdf</t>
  </si>
  <si>
    <t>RADAR Tower Building</t>
  </si>
  <si>
    <t>Facility that houses search and height radars for the joint surveillance system (JSS) which supports the air defense system of North America.</t>
  </si>
  <si>
    <t>‌https://www.wbdg.org/FFC/AF/AFMAN/141421_Radar_Tower_Building.pdf</t>
  </si>
  <si>
    <t>Combat Center Building</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</si>
  <si>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</si>
  <si>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https://www.wbdg.org/FFC/AF/AFMAN/141446_Combat_Center_Building.pdf</t>
  </si>
  <si>
    <t>Direction Center Facility</t>
  </si>
  <si>
    <t>Facility that houses command and control elements for the Joint Surveillance System (JSS). The JSS provides for air sovereignty and air defense of North America.</t>
  </si>
  <si>
    <t>‌https://www.wbdg.org/FFC/AF/AFMAN/141447_Direction_Center_Facility.pdf</t>
  </si>
  <si>
    <t>Range Operations Headquarters</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</si>
  <si>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</si>
  <si>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https://www.wbdg.org/FFC/AF/AFMAN/141449_Range_Operations_Headquarters.pdf</t>
  </si>
  <si>
    <t>Base Operations</t>
  </si>
  <si>
    <t>Facility designed to house the base flight operational functions, and typically includes a waiting room, administration, flight kitchen, snack bar, and support areas.</t>
  </si>
  <si>
    <t>‌https://www.wbdg.org/FFC/AF/AFMAN/141453_Base_Operations_Airfield_Mgt_Weather_etc.pdf</t>
  </si>
  <si>
    <t>Tactical Operations</t>
  </si>
  <si>
    <t>Facility designed for use by flying &amp; non-flying (all) squadrons for tactical operations not found in other Operational Catcodes.  These functions may not necessarily be associated with USSOCOM component units.  Facilities defined under this Catcode provide unique spaces, and functional capabilities not found in other Operational Catcodes.</t>
  </si>
  <si>
    <t>https://www.wbdg.org/FFC/AF/AFMAN/141454_Tactical_Operations.pdf</t>
  </si>
  <si>
    <t>Ordnance Control Point Operations</t>
  </si>
  <si>
    <t>This is required only at installations that expend ordnance material in such large quantities that a control point is necessary and close to the flight line.</t>
  </si>
  <si>
    <t>‌https://www.wbdg.org/FFC/AF/AFMAN/141455_Ordnance_Control_Point.pdf</t>
  </si>
  <si>
    <t>Intelligence, Surveillance and Reconnaissance Squadrons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</si>
  <si>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</si>
  <si>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https://www.wbdg.org/FFC/AF/AFMAN/141456_Intelligence_Surveillance_And_Reconnaissance_Squadrons.pdf</t>
  </si>
  <si>
    <t>Readiness Crew</t>
  </si>
  <si>
    <t>Facility designed for alert crews and aircraft that directly support the national emergency war order and are in continuous ready-to-go status.</t>
  </si>
  <si>
    <t>‌https://www.wbdg.org/FFC/AF/AFMAN/141459_Crew_Readiness.pdf</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</si>
  <si>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</si>
  <si>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</si>
  <si>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</si>
  <si>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 xml:space="preserve">Aircraft Control and Warning Operations DEWLINE </t>
  </si>
  <si>
    <t>This category code identifies those systems that make up atmospheric assessments supporting the tactical warning system for North America.</t>
  </si>
  <si>
    <t>‌https://www.wbdg.org/FFC/AF/AFMAN/141481_Aircraft_Control_and_Warning_Operations_Dewline.pdf</t>
  </si>
  <si>
    <t>Aircraft CONTR and Warning Operations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</si>
  <si>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</si>
  <si>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</si>
  <si>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Weather Rawinsonde Building</t>
  </si>
  <si>
    <t>Facility designed to support activities and equipment involved in taking upper air observations to measure pressure, temperature, humidity, and winds from surface to 100,000 feet.</t>
  </si>
  <si>
    <t>‌https://www.wbdg.org/FFC/AF/AFMAN/141626_Weather_RAWINSONDE_Building.pdf</t>
  </si>
  <si>
    <t>Weather Instrument Building</t>
  </si>
  <si>
    <t>Facility designed to house temperature and humidity instruments at locations which do not have the facility described in category code 149624.</t>
  </si>
  <si>
    <t>‌https://www.wbdg.org/FFC/AF/AFMAN/141627_Weather_Instrument_Building.pdf</t>
  </si>
  <si>
    <t>Surface Weather Observing Facility</t>
  </si>
  <si>
    <t>Weather observation sites not located in either base operations or control tower.</t>
  </si>
  <si>
    <t>‌https://www.wbdg.org/FFC/AF/AFMAN/141629_Surface_Weather_Observing_Facility.pdf</t>
  </si>
  <si>
    <t>Rocketsonde CONTR Building</t>
  </si>
  <si>
    <t>Facility that includes the rocket sonde systems which include an explosive storage radar dome, launch control building, and building support.</t>
  </si>
  <si>
    <t>‌https://www.wbdg.org/FFC/AF/AFMAN/141635_Rocket_Sonde_Container_Building.pdf</t>
  </si>
  <si>
    <t>Weather Wing HQ</t>
  </si>
  <si>
    <t>This facility is for a weather wing, to include all headquarters personnel, their equipment and operation center.  All SCIF space will be captured in Catcode 140422 SCIF.</t>
  </si>
  <si>
    <t>https://www.wbdg.org/FFC/AF/AFMAN/141649_Weather_Wing_HQ.pdf</t>
  </si>
  <si>
    <t>Operational Weather Squadrons</t>
  </si>
  <si>
    <t>This facility provides space for command, 24-hour war fighter reach back operations, planning, and training for Operational Weather Squadrons (OWS).  All SCIF space will be captured in Catcode 140422 SCIF.</t>
  </si>
  <si>
    <t>Combat Weather Squadron</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</si>
  <si>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</si>
  <si>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</si>
  <si>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 xml:space="preserve">This facility has pre-deployment training for weather personnel and extensive weather equipment testing operations.  Additionally, the facility provides support by providing maintenance and logistics support for deployed Air Force weather teams through an operation center. </t>
  </si>
  <si>
    <t>Base Photo Laboratory</t>
  </si>
  <si>
    <t>Facility designed to provide photography and other visual services in support of housekeeping management, information, and operational functions of base organizations, including tenants.</t>
  </si>
  <si>
    <t>‌https://www.wbdg.org/FFC/AF/AFMAN/141743_Base_Photo_Laboratory.pdf</t>
  </si>
  <si>
    <t>Reconnaissance Photo Laboratory</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</si>
  <si>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</si>
  <si>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</si>
  <si>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Photo Processing and Interpretation Facility Support Building</t>
  </si>
  <si>
    <t>Support facility for the WS-430B tactical reconnaissance photographic mission when used for long term operations.</t>
  </si>
  <si>
    <t>‌https://www.wbdg.org/FFC/AF/AFMAN/141747_Photo_Processing_and_Interpretation_Facility_Support_Building.pdf</t>
  </si>
  <si>
    <t>Squadron Operations</t>
  </si>
  <si>
    <t>Squadron operational building with space provided for planning room, briefing room, administration, and critique of combat crews. Life support storage/issue room and building support areas are also included in the function.</t>
  </si>
  <si>
    <t>‌https://www.wbdg.org/FFC/AF/AFMAN/141753_Squadron_Operations.pdf</t>
  </si>
  <si>
    <t>Embedded Software Integration Facility</t>
  </si>
  <si>
    <t>A building that contains communications operations and communication equipment.  Communication equipment located in these facilities is not real property and is not included in this Facility Analysis Category</t>
  </si>
  <si>
    <t>‌http://www.wbdg.org/FFC/AF/AFMAN/141762_Embedded_Software_Integration_Facility.pdf</t>
  </si>
  <si>
    <t>Technical Laboratory</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</si>
  <si>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</si>
  <si>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</si>
  <si>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Integration Support Facility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</si>
  <si>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</si>
  <si>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</si>
  <si>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Depot Quality CONTR Laboratory</t>
  </si>
  <si>
    <t>Facility which is designed to perform five functions. These are chemical analysis material engineering verification, non-destructive inspection, environmental analysis, and form measurement.</t>
  </si>
  <si>
    <t>‌https://www.wbdg.org/FFC/AF/AFMAN/141765_Depo_%20Quality_Control_Laboratory.pdf</t>
  </si>
  <si>
    <t>POL - Technical Laboratory Liquid Fuels Analysis</t>
  </si>
  <si>
    <t>The purpose of this lab is to assure a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</si>
  <si>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</si>
  <si>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Terminal, Air Freight</t>
  </si>
  <si>
    <t>Air terminal designed for the purpose of receiving, sorting/accumulation for conveyable and non-conveyable cargo, pallet buildup and netting, pallet storage, retrograde processing, special cargo processing, packing and crating, administration and miscellaneous.</t>
  </si>
  <si>
    <t>‌https://www.wbdg.org/FFC/AF/AFMAN/141782_Air_Freight_Terminal.pdf</t>
  </si>
  <si>
    <t>Air Freight/Passenger Terminal</t>
  </si>
  <si>
    <t>Facility designed to expedite the flow of air passengers as well as air freight cargo.</t>
  </si>
  <si>
    <t>‌https://www.wbdg.org/FFC/AF/AFMAN/141783_Air_Freight_Passenger_Terminal.pdf</t>
  </si>
  <si>
    <t>Air Passenger Terminal</t>
  </si>
  <si>
    <t>Facility designed to expedite the flow of air passengers arriving and departing by aircraft. Functional space areas include a lounge for dependents, nursery, cafeteria, snack bars, base exchange, baggage lockers and cart storage, outbound lounge and waiting areas.</t>
  </si>
  <si>
    <t>‌https://www.wbdg.org/FFC/AF/AFMAN/141784_Air_Passenger_Terminal.pdf</t>
  </si>
  <si>
    <t>Fleet Service Terminal</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</si>
  <si>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</si>
  <si>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</si>
  <si>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Deploy Process Facility</t>
  </si>
  <si>
    <t>This facility is a deployment processing facility used for the flow of deploying troops.</t>
  </si>
  <si>
    <t>‌https://www.wbdg.org/FFC/AF/AFMAN/141786_Deployment_Processing_Facility.pdf</t>
  </si>
  <si>
    <t>Consolidation/Containerization Point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</si>
  <si>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</si>
  <si>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</si>
  <si>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Material Processing Depot</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</si>
  <si>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</si>
  <si>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</si>
  <si>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Missile Operations Building</t>
  </si>
  <si>
    <t>This facility houses missile operations squadrons, and strategic missile wing deputy for operations personnel that perform administrative, training and briefing functions.</t>
  </si>
  <si>
    <t>‌https://www.wbdg.org/FFC/AF/AFMAN/141911_Missile_Operations_Building.pdf</t>
  </si>
  <si>
    <t>Re-Entry Vehicle Building</t>
  </si>
  <si>
    <t>This facility is used to house re-entry vehicles, penetrations aids, payload mounting platforms, and aerodynamic shrouds are assembled into re-entry system packages for ICBMS.</t>
  </si>
  <si>
    <t>‌https://www.wbdg.org/FFC/AF/AFMAN/141912_Re_Entry_Vehicle_Building.pdf</t>
  </si>
  <si>
    <t>Special Fuel Facility</t>
  </si>
  <si>
    <t>AGENA tank farms used for missile hypergolic.</t>
  </si>
  <si>
    <t>Missile Guidance Facility</t>
  </si>
  <si>
    <t>Missile support facility that has full control of the missile system.</t>
  </si>
  <si>
    <t>‌https://www.wbdg.org/FFC/AF/AFMAN/141914_Missile_Guidance_Facility.pdf</t>
  </si>
  <si>
    <t>Missile Transfer Building</t>
  </si>
  <si>
    <t>Identifies those facilities containing rail lines in which the ICBM is transferred from container vehicle to transporter erector vehicle or vice-versa.</t>
  </si>
  <si>
    <t>‌https://www.wbdg.org/FFC/AF/AFMAN/141915_Missile_Transfer_Building.pdf</t>
  </si>
  <si>
    <t>RED HORSE Facilities</t>
  </si>
  <si>
    <t>Facilities supporting Rapid Engineer Deployable Heavy Operational Repair Squadron Engineer (REDHORSE) mission to include: administration, weapons and equipment maintenance, food service, emergency management, comptroller, contracting, supply, and medical support. For vehicle maintenance use catcode 214425, for warehouse space use catcode 441100.</t>
  </si>
  <si>
    <t>Ship Operations Building</t>
  </si>
  <si>
    <t>A building containing functions that are directly related to ship operations</t>
  </si>
  <si>
    <t>‌https://www.wbdg.org/FFC/AF/AFMAN/143199_Ship_Operations_Building.pdf</t>
  </si>
  <si>
    <t>Rescue Squadron</t>
  </si>
  <si>
    <t>Facilities designated to support Rescue Squadrons engaged in operational rescue missions. The Catcode includes the operations and administration functions. Note: separate Catcodes will be used for 214425 Vehicle Maintenance Facility, 218852 Aircrew Flight Equipment Facility, 213499 Maritime/Dive Facility, 441100 Supply Facility, and171250 Human Performance Optimization Facility. Refer to criteria for a more detailed description.</t>
  </si>
  <si>
    <t>Operational Storage</t>
  </si>
  <si>
    <t>A facility used for the bulk storage of equipment and supplies that are not stored in a warehouse or within the unit's primary catcode space.</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</si>
  <si>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</si>
  <si>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</si>
  <si>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</si>
  <si>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Vehicle Holding-Building</t>
  </si>
  <si>
    <t>This facility is a part of the automotive vehicle maintenance shop with the main purpose of providing a covered area for holding deadlined equipment awaiting repairs. Whenever possible, it should be located near the main repair shops.</t>
  </si>
  <si>
    <t>‌https://www.wbdg.org/FFC/AF/AFMAN/144401_Vehicle_Holding_Building.pdf</t>
  </si>
  <si>
    <t>Dispatch Building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</si>
  <si>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</si>
  <si>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</si>
  <si>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Scale House</t>
  </si>
  <si>
    <t>A building that provides a protective enclosure for the operator of a vehicle/railcar weighing station.</t>
  </si>
  <si>
    <t>‌https://www.wbdg.org/FFC/AF/AFMAN/144422_Scale_House.pdf</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</si>
  <si>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</si>
  <si>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</si>
  <si>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</si>
  <si>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Ready Building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</si>
  <si>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</si>
  <si>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Overhead Protection</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</si>
  <si>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</si>
  <si>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‌https://www.wbdg.org/FFC/AF/AFMAN/145921_Overhead_Protection.pdf</t>
  </si>
  <si>
    <t>Aircraft Sunshelter</t>
  </si>
  <si>
    <t>A covered but open shelter structure that protects aircraft from the sun. The sunshade itself is considered equipment. See also CCN 141181 - Aircraft Single, Environmental Protection Shelter.</t>
  </si>
  <si>
    <t>‌https://www.wbdg.org/FFC/AF/AFMAN/146601_Aircraft_Sunshelter.pdf</t>
  </si>
  <si>
    <t>Space Surveillance Antenna</t>
  </si>
  <si>
    <t>Facilities typically support global space surveillance network, which detects, tracks, identifies, and catalogs man-made objects in space and provides position information on these objects.</t>
  </si>
  <si>
    <t>Explosives Railway Holding Yard</t>
  </si>
  <si>
    <t>A rail yard used for the transfer and/or temporary holding of ammunition and explosive materials.</t>
  </si>
  <si>
    <t>‌https://www.wbdg.org/FFC/AF/AFMAN/422275_Ancillary_Explosives_Fac.pdf</t>
  </si>
  <si>
    <t>Bunker</t>
  </si>
  <si>
    <t>A small (less than 200 SF) above ground pill box type concrete structure that accommodates the storage of rifles, machine guns, anti-tank weapons, etc.</t>
  </si>
  <si>
    <t>‌https://www.wbdg.org/FFC/AF/AFMAN/149411_Bunker.pdf</t>
  </si>
  <si>
    <t>Remote Pilot Aircraft Operations</t>
  </si>
  <si>
    <t>This building is a main control point for all Remotely Piloted Aircraft (RPA) units to include unclassified squadron operations, command and control, communications, planning, briefing, and ground control stations.  All SCIF space will be captured in Catcode 140422 SCIF.</t>
  </si>
  <si>
    <t>‌http://www.wbdg.org/FFC/AF/AFMAN/149511_Pilotless_Aircraft_Guidance_Station.pdf</t>
  </si>
  <si>
    <t>Missile Launch Facility</t>
  </si>
  <si>
    <t>Missile Launch Facility - This is an underground facility containing an ICBM (Minuteman or Peacekeeper) and support equipment necessary to launch the missile.</t>
  </si>
  <si>
    <t>‌https://www.wbdg.org/FFC/AF/AFMAN/149512_Missile_Launch_Facility.pdf</t>
  </si>
  <si>
    <t>Missile Guidance Station</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</si>
  <si>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</si>
  <si>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</si>
  <si>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Wind Measuring Set</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</si>
  <si>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</si>
  <si>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‌http://www.wbdg.org/FFC/AF/AFMAN/149621_Wind_Measuring_Set.pdf</t>
  </si>
  <si>
    <t>Ceilometer Rotating Beacon</t>
  </si>
  <si>
    <t>The ceilometers/rotating beam set continually measures and displays cloud height. It consists of a projector, detector and indicator.</t>
  </si>
  <si>
    <t>‌http://www.wbdg.org/FFC/AF/AFMAN/149622_Ceilometer_Rotating_Beacon.pdf</t>
  </si>
  <si>
    <t>Transmissometer</t>
  </si>
  <si>
    <t>This system measures and records relative light transmissively through the atmosphere along a given path between a projector and detector.</t>
  </si>
  <si>
    <t>‌http://www.wbdg.org/FFC/AF/AFMAN/149623_Transmissometer.pdf</t>
  </si>
  <si>
    <t>Temperature-Dewpoint Measuring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</si>
  <si>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</si>
  <si>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</si>
  <si>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Digital Wind Measuring System</t>
  </si>
  <si>
    <t>This digital system is authorized on each station supporting category II flying operation and replaces the AN/GMQ-11/20 set.</t>
  </si>
  <si>
    <t>‌http://www.wbdg.org/FFC/AF/AFMAN/149625_Digital_Wind_Measuring_System.pdf</t>
  </si>
  <si>
    <t>Lightning Warning Set</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</si>
  <si>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</si>
  <si>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</si>
  <si>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RADAR Meteorological Set, C-Band</t>
  </si>
  <si>
    <t>This facility consists of radar set AN/FPS-77 or FPQ-21, A C-Band search radar that provides range, azimuth and elevation data on precipitation areas within 200 miles of the station.</t>
  </si>
  <si>
    <t>‌http://www.wbdg.org/FFC/AF/AFMAN/149627_Radar_Meteorological_Set.pdf</t>
  </si>
  <si>
    <t>Central Wash Facility</t>
  </si>
  <si>
    <t>A facility for pre-wash mud removal and washing of military and commercial vehicles.  Included are water recirculation, high- and low- pressure cleaning, water containment and drains, and sediment and sludge removal.</t>
  </si>
  <si>
    <t>‌https://www.wbdg.org/FFC/AF/AFMAN/149628_Central_Wash_Facility.pdf</t>
  </si>
  <si>
    <t>Cold Fog Dispersal System</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</si>
  <si>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</si>
  <si>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‌https://www.wbdg.org/FFC/AF/AFMAN/149629_Cold_Fog_Dispersal_System.pdf</t>
  </si>
  <si>
    <t>Missile Shaft Access</t>
  </si>
  <si>
    <t>Elevator shaft access connecting areas between underground missile facilities.</t>
  </si>
  <si>
    <t>‌https://www.wbdg.org/FFC/AF/AFMAN/149711_Missile_Shaft_Access.pdf</t>
  </si>
  <si>
    <t>Tunnel</t>
  </si>
  <si>
    <t>This identifies those areas connecting the elevator shaft to the launch control equipment room and launch control center.</t>
  </si>
  <si>
    <t>‌https://www.wbdg.org/FFC/AF/AFMAN/149811_Tunnel.pdf</t>
  </si>
  <si>
    <t>Operations Support Shed</t>
  </si>
  <si>
    <t>Storage shed or other covered area used for operational support.  Not for weapons cleaning areas.</t>
  </si>
  <si>
    <t>Vehicle Test Track</t>
  </si>
  <si>
    <t>An area for testing and evaluating wheeled and tracked vehicle performance. The track may have banked curves and steep hills.</t>
  </si>
  <si>
    <t>‌https://www.wbdg.org/FFC/AF/AFMAN/149921_Vehicle_Test_Track.pdf</t>
  </si>
  <si>
    <t>Control Tower</t>
  </si>
  <si>
    <t>A control tower is authorized for each installation where it is not provided with the base operations building.</t>
  </si>
  <si>
    <t>‌https://www.wbdg.org/FFC/AF/AFMAN/149962_Air_Traffic_Control_Tower.pdf</t>
  </si>
  <si>
    <t>RADAR Tower</t>
  </si>
  <si>
    <t>This identifies those structures (Towers) used to elevate a radar dome upward into the air for purpose of gathering weather data. The radar dome is not real property.</t>
  </si>
  <si>
    <t>‌https://www.wbdg.org/FFC/AF/AFMAN/149965_Radar_Tower.pdf</t>
  </si>
  <si>
    <t>Observation Tower</t>
  </si>
  <si>
    <t>This identifies those towers used by personnel during a training exercise, observation of troop movement, aircraft, etc.</t>
  </si>
  <si>
    <t>‌https://www.wbdg.org/FFC/AF/AFMAN/149967_Observation_Tower.pdf</t>
  </si>
  <si>
    <t>Special Tower</t>
  </si>
  <si>
    <t>This identifies those towers constructed for special projects that do not fall readily into another category.</t>
  </si>
  <si>
    <t>‌https://www.wbdg.org/FFC/AF/AFMAN/149968_Special_Tower.pdf</t>
  </si>
  <si>
    <t>Cargo Pier</t>
  </si>
  <si>
    <t>This identifies those structures built to extend from land out over water for the purpose of loading or unloading of lading or freight from a ship or boat.</t>
  </si>
  <si>
    <t>‌https://www.wbdg.org/FFC/AF/AFMAN/151153_Cargo_PIer.pdf</t>
  </si>
  <si>
    <t>Liquid Fuel Unloading Pier</t>
  </si>
  <si>
    <t>This facility is at installations where the delivery of petroleum products by ship or barge is feasible and economically advantageous.</t>
  </si>
  <si>
    <t>‌https://www.wbdg.org/FFC/AF/AFMAN/151155_Liquid_Fuel_Unloading_Pier.pdf</t>
  </si>
  <si>
    <t>Wharf</t>
  </si>
  <si>
    <t>This identifies those structures built on the shore or projecting into the water so that vessels may be moored along its side.</t>
  </si>
  <si>
    <t>‌https://www.wbdg.org/FFC/AF/AFMAN/152111_Wharf.pdf</t>
  </si>
  <si>
    <t>Waterfront Improvements</t>
  </si>
  <si>
    <t>Facilities consisting of seawalls, revetments, or any other structural improvements of a waterfront to keep it in a good state of repair.</t>
  </si>
  <si>
    <t>‌https://www.wbdg.org/FFC/AF/AFMAN/154452_Waterfront_Improvements.pdf</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</si>
  <si>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</si>
  <si>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</si>
  <si>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</si>
  <si>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Warehouse, Transit Cargo</t>
  </si>
  <si>
    <t>Structure designed for holding or storing cargo that is in-transit and waiting shipment to other locations. Space is provided for moving equipment and administrative space.</t>
  </si>
  <si>
    <t>‌https://www.wbdg.org/FFC/AF/AFMAN/159353_Warehouse_Transit_Cargo.pdf</t>
  </si>
  <si>
    <t>Offshore Mooring Facility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</si>
  <si>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</si>
  <si>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POL - Liquid Fuel Off-Shore Unloading Facility</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</si>
  <si>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</si>
  <si>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</si>
  <si>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Harbor and Coastal Marine Improvements</t>
  </si>
  <si>
    <t>This facility consists of a concrete revetment wall, lighted beacons, channel markers, and/or moorings.</t>
  </si>
  <si>
    <t>‌https://www.wbdg.org/FFC/AF/AFMAN/164211_Harbor_and_Coastal_Marine_Improvements.pdf</t>
  </si>
  <si>
    <t>Armory</t>
  </si>
  <si>
    <t>Those facilities that are used for secured storage and the issue of all weapons. This catcode may be used when there is full-time staff assigned to the maintenance of weapons.</t>
  </si>
  <si>
    <t>https://www.wbdg.org/FFC/AF/AFMAN/171141_Armory.pdf</t>
  </si>
  <si>
    <t>Academic Lecture Hall</t>
  </si>
  <si>
    <t>This identifies those large classrooms used by educational professors to conduct lectures during cadet classes. It also consists of all visual aid equipment needed to conduct these lectures.</t>
  </si>
  <si>
    <t>‌https://www.wbdg.org/FFC/AF/AFMAN/171152_Academic_Lecture_Hall.pdf</t>
  </si>
  <si>
    <t>Academic Exhibit Facility</t>
  </si>
  <si>
    <t>This facility is used as a museum for the purpose of housing and placing on exhibit equipment of foreign origin that are used as training aids.</t>
  </si>
  <si>
    <t>https://www.wbdg.org/FFC/AF/AFMAN/171155_Academic_Exhibit_Facility.pdf</t>
  </si>
  <si>
    <t>Training Natatorium</t>
  </si>
  <si>
    <t>This is a training facility that contains an indoor pool and bath house, used for swimming training, fitness test preparation and assessment, underwater skills training, and other mission-related purposes.</t>
  </si>
  <si>
    <t>‌https://www.wbdg.org/FFC/AF/AFMAN/171157_Natatorium_and_Physical_Education.pdf</t>
  </si>
  <si>
    <t>Band Center</t>
  </si>
  <si>
    <t>Space for operating and administering a band. Functional space areas include acoustically treated studios, music library, and administrative space with separate offices.</t>
  </si>
  <si>
    <t>‌https://www.wbdg.org/FFC/AF/AFMAN/171158_Band_Center.pdf</t>
  </si>
  <si>
    <t>Flight Training Classroom</t>
  </si>
  <si>
    <t>Facility designed for the purpose of training pilots. Classroom space is separate from those directly associated with category codes 171-212, 171-214, 171-412, 141-753, and 171-213.</t>
  </si>
  <si>
    <t>‌https://www.wbdg.org/FFC/AF/AFMAN/171211_Flight_Training_Classroom.pdf</t>
  </si>
  <si>
    <t>Flight Simulator Training</t>
  </si>
  <si>
    <t>This facility houses aircraft flight simulators and other special training devices. It also includes space for admin and records, classrooms, toilet facilities, trainer maintenance and storage.</t>
  </si>
  <si>
    <t>‌https://www.wbdg.org/FFC/AF/AFMAN/171212_Flight_Simulator_Training.pdf</t>
  </si>
  <si>
    <t>Physiological Training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</si>
  <si>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</si>
  <si>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</si>
  <si>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Human Performance Training Center</t>
  </si>
  <si>
    <t xml:space="preserve">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 </t>
  </si>
  <si>
    <t>https://www.wbdg.org/FFC/AF/AFMAN/171250_Human_Performance_Training_Center.pdf</t>
  </si>
  <si>
    <t>Soldier Fitness Training and Testing Facility</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</si>
  <si>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</si>
  <si>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</si>
  <si>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</si>
  <si>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</si>
  <si>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Celestial and Planetarium Navigational Training</t>
  </si>
  <si>
    <t>This facility is used to conduct presentations of the solar system. Includes an optical device that projects various celestial images and effects, cadet navigational training classes are also conducted along with solar system presentations to visitors.</t>
  </si>
  <si>
    <t>Reserve Forces General Training Support</t>
  </si>
  <si>
    <t>This facility supports various ANG and AF Reserve non-flying units including medical service squadrons, combat logistics support squadrons, and weapons systems security flights.</t>
  </si>
  <si>
    <t>‌https://www.wbdg.org/FFC/AF/AFMAN/171443_Reserve_Forces_General_training_Support.pdf</t>
  </si>
  <si>
    <t>Reserve Forces Operational Training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</si>
  <si>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</si>
  <si>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</si>
  <si>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Reserve Forces Communications &amp; Electronic Training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</si>
  <si>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</si>
  <si>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</si>
  <si>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Reserve Forces Aeromedical Evacuation Training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</si>
  <si>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</si>
  <si>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</si>
  <si>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Reserve Component Medical Training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</si>
  <si>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</si>
  <si>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</si>
  <si>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Range CONTR House</t>
  </si>
  <si>
    <t>This identifies those facilities used for the operation, maintenance and storage function associated with aircraft bombing ranges.</t>
  </si>
  <si>
    <t>https://www.wbdg.org/FFC/AF/AFMAN/171471_Range_Control_House.pdf</t>
  </si>
  <si>
    <t>Range Supply and Equipment Storage</t>
  </si>
  <si>
    <t>This facility provides secure storage space for miscellaneous supplies, tools and equipment used to support small arm ranges and aircraft ranges.</t>
  </si>
  <si>
    <t>https://www.wbdg.org/FFC/AF/AFMAN/171472_Range_Supplies_and_Equipment_Storage.pdf</t>
  </si>
  <si>
    <t>Range Target Storage and Repair</t>
  </si>
  <si>
    <t>Provides space for storage and repair of targets used at small arms and aircraft ranges. Items stored include targets, target construction and repair material, workbenches and tables.</t>
  </si>
  <si>
    <t>https://www.wbdg.org/FFC/AF/AFMAN/171473_Range_Target_Storage_and_Repair.pdf</t>
  </si>
  <si>
    <t>Range, Small Arms, Indoor</t>
  </si>
  <si>
    <t>This facility is for a firing range that is completely indoors. This facility is required at bases that experience adverse weather conditions at least 90 days a year, where the base does not have adequate real estate, or where economic considerations make an outdoor range unfeasible. This facility is in conjunction with catcode 171476, The Combat Arms Training and Maintenance (CATM).</t>
  </si>
  <si>
    <t>https://www.wbdg.org/FFC/AF/AFMAN/171475_Indoor_Small_Arms_Range.pdf</t>
  </si>
  <si>
    <t>Combat Arms Training Maintenance Building</t>
  </si>
  <si>
    <t>This facility supports the combat arms training unit to include administration, classrooms, weapons cleaning, indoor range and storage. The Combat Arms Training and Maintenance (CATM) facility  is the administration support for indoor or outdoor combat arms training ranges.</t>
  </si>
  <si>
    <t>https://www.wbdg.org/FFC/AF/AFMAN/171476_Combat_Arms_Bldg.pdf</t>
  </si>
  <si>
    <t>Training Aids Shop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</si>
  <si>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</si>
  <si>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</si>
  <si>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Field Training Facility</t>
  </si>
  <si>
    <t>This facility is for an AETC detachment to deliver hands-on, maintenance-focused technical training on specific aircraft systems and related aerospace ground equipment directly at operational locations. The training facility includes dedicated spaces and equipment for hydraulics, avionics, fuels, electrical systems, and other essential areas.</t>
  </si>
  <si>
    <t>‌https://www.wbdg.org/FFC/AF/AFMAN/171618_Field_Training_Facility.pdf</t>
  </si>
  <si>
    <t>Runway Supervisory Unit Building</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</si>
  <si>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</si>
  <si>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</si>
  <si>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Runway Control Building</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</si>
  <si>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</si>
  <si>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Technical Training Classroom</t>
  </si>
  <si>
    <t>This facility provides space for technical training AETC courses for mission specific Air Force Specialty Code (AFSC), Space Force (SFSC) and sister service career fields. This space include classrooms space to conduct lectures, simulators, and portable training equipment suitable for table-top demonstration. For administration use catcode 171627.</t>
  </si>
  <si>
    <t>‌https://www.wbdg.org/FFC/AF/AFMAN/171621_Technical_Training_Classroom.pdf</t>
  </si>
  <si>
    <t>Technical Training Laboratory/Shop</t>
  </si>
  <si>
    <t>This facility provides laboratory/shop space for training in subjects such as missile maintenance, electronics, weather, age management, radio and radar systems logistics training and other subjects.</t>
  </si>
  <si>
    <t>High-Bay Technical Training</t>
  </si>
  <si>
    <t>Facilities to support technical training courses that use very large equipment and instructional aids of such large size that standard training room facilities are not feasible. Aircraft, missile silos, missiles, heavy equipment, fire trucks, maintenance simulators, and special mock-ups are just a few of the many items used in training that require high bays rooms or hangars.</t>
  </si>
  <si>
    <t>‌https://www.wbdg.org/FFC/AF/AFMAN/171625_High_Bay_Technical_Training.pdf</t>
  </si>
  <si>
    <t>AETC Technical Training Support</t>
  </si>
  <si>
    <t>Facility space required to directly support technical training AETC courses catcode 171621. Administration, training materials, supplies, staff and student break room are included and any other space not in a classroom.</t>
  </si>
  <si>
    <t>‌https://www.wbdg.org/FFC/AF/AFMAN/171627_Technical_Training_Support.pdf</t>
  </si>
  <si>
    <t>Launch Operations Training Facility</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</si>
  <si>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</si>
  <si>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</si>
  <si>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Target Intelligence Training</t>
  </si>
  <si>
    <t>This is a secure area for operational intelligence personnel for activities such as mission planning, briefings and debriefings, and aircrew training. All SCIF (Sensitive Compartmented Information Facility) spaces use catcode 140422.</t>
  </si>
  <si>
    <t>‌https://www.wbdg.org/FFC/AF/AFMAN/171712_Target_Intelligence_Training.pdf</t>
  </si>
  <si>
    <t>Organizational Classroom</t>
  </si>
  <si>
    <t>A building (or section of a building), that is mainly used for advanced training program instruction not covered under other catcodes.  Classrooms within these facilities may include storage and distribution areas for educational materials, movable walls, table top simulators, learning resource centers and technical libraries.</t>
  </si>
  <si>
    <t>‌https://www.wbdg.org/FFC/AF/AFMAN/171721_Organizational_Classroom.pdf</t>
  </si>
  <si>
    <t>Safety Education Facility</t>
  </si>
  <si>
    <t>Facility designed to support safety education programs that requires specialized equipment and space. Space is provided for classrooms, driver simulators, and other necessary equipment. This differs from catcode 610249, Wing Headquarters, which covers Wing Staff Agency's safety administrative requirements.</t>
  </si>
  <si>
    <t>‌https://www.wbdg.org/FFC/AF/AFMAN/171813_Safety_Education_Facility.pdf</t>
  </si>
  <si>
    <t>Enlisted Professional Military Education Center</t>
  </si>
  <si>
    <t>This facility supports Professional Military Education (PME) courses. PME is a program designed to prepare Air Force and Space Force enlisted personnel for positions of leadership and management.</t>
  </si>
  <si>
    <t>‌https://www.wbdg.org/FFC/AF/AFMAN/171815_NCO_Professional_Military_Education.pdf</t>
  </si>
  <si>
    <t>Recruit Processing</t>
  </si>
  <si>
    <t>These facilities are used for in processing for basic training programs for officers.</t>
  </si>
  <si>
    <t>https://www.wbdg.org/FFC/AF/AFMAN/171822_Recruit_Processing.pdf</t>
  </si>
  <si>
    <t>Basic Military Training</t>
  </si>
  <si>
    <t>Facility designed to support the Airman basic training program. Functional space areas include administrative offices, classrooms, laboratories, and building support areas.</t>
  </si>
  <si>
    <t>‌https://www.wbdg.org/FFC/AF/AFMAN/171833_Basic_Military_Training.pdf</t>
  </si>
  <si>
    <t>Officer Training</t>
  </si>
  <si>
    <t>Facility housing functions related to or in direct support of the officer training program.</t>
  </si>
  <si>
    <t>‌https://www.wbdg.org/FFC/AF/AFMAN/171844_Officer_Training.pdf</t>
  </si>
  <si>
    <t>Air University Professional/Technical Education</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</si>
  <si>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</si>
  <si>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</si>
  <si>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US Air Force Academy Academic Training</t>
  </si>
  <si>
    <t>Educational support facility consisting of classrooms, laboratories, offices and educational functions necessary for training cadets in a university atmosphere.</t>
  </si>
  <si>
    <t>‌https://www.wbdg.org/FFC/AF/AFMAN/171853_US_Air_Force_Academy_%20Academic_Training.pd</t>
  </si>
  <si>
    <t>Aerial Port Facility</t>
  </si>
  <si>
    <t>This facility provides for the training, warehouse, and cargo functions of an aerial port flight and squadron. Used in conjunction with catcode 610124 Squadron Headquarters for administrative functions and 144321, Box/Crate.</t>
  </si>
  <si>
    <t>‌https://www.wbdg.org/FFC/AF/AFMAN/171873_Aerial_Port_Training_Facility.pdf</t>
  </si>
  <si>
    <t>Munitions Load Crew Training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</si>
  <si>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</si>
  <si>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</si>
  <si>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Gas Chamber</t>
  </si>
  <si>
    <t>A building used for training personnel in the use of protective masks and the effects of chemical warfare.</t>
  </si>
  <si>
    <t>‌https://www.wbdg.org/FFC/AF/AFMAN/172321_Gas_Chamber.pdf</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</si>
  <si>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</si>
  <si>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</si>
  <si>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</si>
  <si>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Simulation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</si>
  <si>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</si>
  <si>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</si>
  <si>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Battle Labatory</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</si>
  <si>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</si>
  <si>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</si>
  <si>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Other Covered Training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</si>
  <si>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</si>
  <si>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</si>
  <si>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Observation Tower/Bunker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</si>
  <si>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</si>
  <si>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</si>
  <si>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Land Navigational Course</t>
  </si>
  <si>
    <t>An area located within the training complex principally scheduled and used for mounted and/or dismounted map reading, terrain association, or navigational training.</t>
  </si>
  <si>
    <t>‌https://www.wbdg.org/FFC/AF/AFMAN/174121_Land_Navigational_Course.pdf</t>
  </si>
  <si>
    <t>Field Training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</si>
  <si>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</si>
  <si>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</si>
  <si>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Maneuver/Training Area, Light Forces</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</si>
  <si>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</si>
  <si>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</si>
  <si>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Maneuver/Training Area, Heavy Forces</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</si>
  <si>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</si>
  <si>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</si>
  <si>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Impact Area Non-Dudded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</si>
  <si>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</si>
  <si>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</si>
  <si>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Impact Area Dudded</t>
  </si>
  <si>
    <t>‌https://www.wbdg.org/FFC/AF/AFMAN/174322_Impact_Area_Dudded.pdf</t>
  </si>
  <si>
    <t>Parachute Drop Zone</t>
  </si>
  <si>
    <t>A cleared area suitable for the landing of personnel and/or equipment via parachute drop.</t>
  </si>
  <si>
    <t>‌https://www.wbdg.org/FFC/AF/AFMAN/174499_Parachute_Drop_Zone.pdf</t>
  </si>
  <si>
    <t>Parade/Drill Field</t>
  </si>
  <si>
    <t>An area that provides open space for military ceremonies, outdoor training, conduct of physical tests, and exercises.</t>
  </si>
  <si>
    <t>‌https://www.wbdg.org/FFC/AF/AFMAN/174521_Parade_Drill_Field.pdf</t>
  </si>
  <si>
    <t>Basic 10M-25M Firing Range (ZERO)</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</si>
  <si>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</si>
  <si>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</si>
  <si>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Automated Field Fire (AFF) Range</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</si>
  <si>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</si>
  <si>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</si>
  <si>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Modified Record Fire Range</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</si>
  <si>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</si>
  <si>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Automated Record Fire (ARF) Range</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</si>
  <si>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</si>
  <si>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</si>
  <si>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Night Fire (Small Arms) Range</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</si>
  <si>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</si>
  <si>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</si>
  <si>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Automated Night Fire (Small Arms) Range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</si>
  <si>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</si>
  <si>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</si>
  <si>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Known Distance (KD)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</si>
  <si>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</si>
  <si>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‌https://www.wbdg.org/FFC/AF/AFMAN/175521_Known_Distance_KD_Range.pdf</t>
  </si>
  <si>
    <t>Sniper Field Fire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</si>
  <si>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</si>
  <si>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</si>
  <si>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Automated Sniper Field Fire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</si>
  <si>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</si>
  <si>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</si>
  <si>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Combat Pistol/MP Firearms Qualification Course</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</si>
  <si>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</si>
  <si>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</si>
  <si>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Machine Gun Field Fire Range</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</si>
  <si>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</si>
  <si>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</si>
  <si>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40MM (Grenade) Machine Gun Qualification Range</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</si>
  <si>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</si>
  <si>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https://www.wbdg.org/FFC/AF/AFMAN/176221_40MM_Grenade_Machine_Gun_Qualification_Range.pdf</t>
  </si>
  <si>
    <t>Light Antiarmor Weapons (LAW/AT-4) Range Subcaliber</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</si>
  <si>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</si>
  <si>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</si>
  <si>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Weapons (LAW/AT-4) Range Live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</si>
  <si>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</si>
  <si>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</si>
  <si>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Field Artillery Direct Fire Range</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</si>
  <si>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</si>
  <si>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</si>
  <si>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Tank/Fighting Vehicle Stationary Gunnery Range</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</si>
  <si>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</si>
  <si>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</si>
  <si>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</si>
  <si>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</si>
  <si>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</si>
  <si>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Field Artillery Indirect Fire Range</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</si>
  <si>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</si>
  <si>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</si>
  <si>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Mortar Scaled Range</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</si>
  <si>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</si>
  <si>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</si>
  <si>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Digital Multipurpose Training Range (DMPTR)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</si>
  <si>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</si>
  <si>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</si>
  <si>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Automated Multipurpose Training Range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</si>
  <si>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</si>
  <si>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</si>
  <si>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SCOUT/RECCE Gunnery Complex</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</si>
  <si>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</si>
  <si>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</si>
  <si>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Squad Defense Range</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</si>
  <si>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</si>
  <si>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</si>
  <si>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Infantry Squad Battle Course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</si>
  <si>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</si>
  <si>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https://www.wbdg.org/FFC/AF/AFMAN/177521_Infantry_Squad_Battle_Course.pdf</t>
  </si>
  <si>
    <t>Urban Assault Course</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</si>
  <si>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</si>
  <si>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https://www.wbdg.org/FFC/AF/AFMAN/177621_Urban_Assault_Course.pdf</t>
  </si>
  <si>
    <t>Live Fire Exercise Shoothouse</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</si>
  <si>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</si>
  <si>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https://www.wbdg.org/FFC/AF/AFMAN/177622_Live_Fire_Exercise_Shoothouse.pdf</t>
  </si>
  <si>
    <t>Convoy Live Fire Range/Entry Control Point (CLF/ECP)</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</si>
  <si>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</si>
  <si>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</si>
  <si>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Hand Grenade Familiarization Range (LIVE)</t>
  </si>
  <si>
    <t>A range designed to satisfy the training requirement of throwing live fragmentation grenades. This range familiarizes soldiers with the effects of live fragmentation grenades. No automation is required for this facility. Count each throwing location as one FP. –</t>
  </si>
  <si>
    <t>https://www.wbdg.org/FFC/AF/AFMAN/178121_Hand_Grenade_Familiarization_Range.pdf</t>
  </si>
  <si>
    <t>Engineer Qualification Range</t>
  </si>
  <si>
    <t>A range used to qualify engineer individuals and units on tasks such as sapper, mine warfare, light demolition, and engineer weapon firing.</t>
  </si>
  <si>
    <t>https://www.wbdg.org/FFC/AF/AFMAN/178299_Engineer_Qualification_Range.pdf</t>
  </si>
  <si>
    <t>Light Demolition Range</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</si>
  <si>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</si>
  <si>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</si>
  <si>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Infantry Platoon Battle Course</t>
  </si>
  <si>
    <t xml:space="preserve">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</si>
  <si>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Training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</si>
  <si>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</si>
  <si>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</si>
  <si>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Bayonet Assault Course</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</si>
  <si>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</si>
  <si>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</si>
  <si>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Mine Warfare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</si>
  <si>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</si>
  <si>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</si>
  <si>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Target Detection Range (Nonfiring)</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</si>
  <si>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</si>
  <si>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</si>
  <si>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Floating Bridge Site</t>
  </si>
  <si>
    <t>A cleared river bank area for engineer units to practice fording water obstacles and erection and retrieval of floating bridging equipment.</t>
  </si>
  <si>
    <t>https://www.wbdg.org/FFC/AF/AFMAN/179023_Floating_Bridge_Site.pdf</t>
  </si>
  <si>
    <t>Prisoner Of War Training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</si>
  <si>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</si>
  <si>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</si>
  <si>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Wheeled Vehicle Drivers Course</t>
  </si>
  <si>
    <t>An area for teaching basic driving skills and for practice in four-wheel drive situations, parking, and backing up.</t>
  </si>
  <si>
    <t>https://www.wbdg.org/FFC/AF/AFMAN/179025_Wheeled_Vehicle_Drivers_Course.pdf</t>
  </si>
  <si>
    <t>Combat Trail</t>
  </si>
  <si>
    <t>A training site used for various types of proficiency and sustainment training by rotation through different stations in a round-robin scenario. Types of training can include NBC and common task training. This site is separate from other sites.</t>
  </si>
  <si>
    <t>https://www.wbdg.org/FFC/AF/AFMAN/179026_Combat_Trail.pdf</t>
  </si>
  <si>
    <t>Rappelling Training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</si>
  <si>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</si>
  <si>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</si>
  <si>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</si>
  <si>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</si>
  <si>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</si>
  <si>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POL Training Area</t>
  </si>
  <si>
    <t>A materials handling area for training personnel in the proper handling of petroleum, oils, and lubricants.</t>
  </si>
  <si>
    <t>https://www.wbdg.org/FFC/AF/AFMAN/179029_POL_Training_Area.pdf</t>
  </si>
  <si>
    <t>Diving Tank</t>
  </si>
  <si>
    <t>A water-filled structure for training related to water operations and survival.</t>
  </si>
  <si>
    <t>https://www.wbdg.org/FFC/AF/AFMAN/179050_Diving_Tank.pdf</t>
  </si>
  <si>
    <t>Parachute Swing Training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</si>
  <si>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</si>
  <si>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</si>
  <si>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Aerial Gunnery Range</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</si>
  <si>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</si>
  <si>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</si>
  <si>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Training Aids</t>
  </si>
  <si>
    <t>Facilities designed to support AETC training to include PRIME BEEF ranges/areas, security police readiness obstacle/confidence courses, drill pads, fire training pits, dog training areas, security police training mockups, and other similar facilities/sites.</t>
  </si>
  <si>
    <t>https://www.wbdg.org/FFC/AF/AFMAN/179371_Training_Aids.pdf</t>
  </si>
  <si>
    <t>Small Arms Range System</t>
  </si>
  <si>
    <t>Facility designed to provide small arms marksmanship training with the M-16 rifle and .38 caliber revolvers.</t>
  </si>
  <si>
    <t>https://www.wbdg.org/FFC/AF/AFMAN/179475_Small_Arms_Range_System.pdf</t>
  </si>
  <si>
    <t>Machine Gun Range</t>
  </si>
  <si>
    <t>Facility designed to provide training to personnel designated as specialist and non-specialist machine gunners. Range design differs with the different training missions.</t>
  </si>
  <si>
    <t>https://www.wbdg.org/FFC/AF/AFMAN/179476_Machine_Gun_Range.pdf</t>
  </si>
  <si>
    <t>Grenade Launcher Range</t>
  </si>
  <si>
    <t>This facility is for a standalone grenade launcher range which includes a firing platform, an overhang that provides shooters shade and protection from the elements, and a tower for range control. Usually provides for target distances from 25 to 350 meters. Used in conjunction with CC 171476, The Combat Arms Training and Maintenance (CATM).</t>
  </si>
  <si>
    <t>https://www.wbdg.org/FFC/AF/AFMAN/179477_Grenade_Launcher_Range.pdf</t>
  </si>
  <si>
    <t>Range, Aircraft</t>
  </si>
  <si>
    <t>An open area designed to train air-crews in bombing, firing rockets and missiles, and the use of automatic weapons. The types of ranges include air to air, air to ground, and ground to air.</t>
  </si>
  <si>
    <t>https://www.wbdg.org/FFC/AF/AFMAN/179481_Range_Aircraft.pdf</t>
  </si>
  <si>
    <t>Fireman Training Facility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</si>
  <si>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</si>
  <si>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</si>
  <si>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Enclosed Fire Fighter Trainer Facility</t>
  </si>
  <si>
    <t>An enclosed facility that houses interior and exterior  mockups of areas within a surface ship, submarine, or multistory building for live-fire fighting and rescue training.</t>
  </si>
  <si>
    <t>Combat In Cities Facility</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</si>
  <si>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</si>
  <si>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https://www.wbdg.org/FFC/AF/AFMAN/179621_Combat_in_Cities.pdf</t>
  </si>
  <si>
    <t>Hand Grenade Accuracy Course (Nonfiring)</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</si>
  <si>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</si>
  <si>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https://www.wbdg.org/FFC/AF/AFMAN/179723_Hand_Grenade_Accuracy_Course.pdf</t>
  </si>
  <si>
    <t>Hand Grenade Qualification Course (Nonfiring)</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</si>
  <si>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</si>
  <si>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</si>
  <si>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Infiltration Course</t>
  </si>
  <si>
    <t>A range designed for training individual infiltration and combat movement techniques and then executing them while subject to live fire. No automation is required for this facility.</t>
  </si>
  <si>
    <t>https://www.wbdg.org/FFC/AF/AFMAN/179821_Infiltration_Course_Live_Fire.pdf</t>
  </si>
  <si>
    <t>Confidence Course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</si>
  <si>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</si>
  <si>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https://www.wbdg.org/FFC/AF/AFMAN/179921_Confidence_Course.pdf</t>
  </si>
  <si>
    <t>Leadership Reaction Course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</si>
  <si>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</si>
  <si>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https://www.wbdg.org/FFC/AF/AFMAN/179922_Leadership_Reaction_Course.pdf</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</si>
  <si>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</si>
  <si>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</si>
  <si>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https://www.wbdg.org/FFC/AF/AFMAN/179923_Obstacle_Course.pdf</t>
  </si>
  <si>
    <t>Hangar, Maintenance</t>
  </si>
  <si>
    <t>Maintenance hangars provide space for an aircraft parking bay and support space for heating, plumbing electricity, aircraft weighting, aircraft jacking, latrines, ventilation, compressed air systems, and fire detection and suppression, and are usually insulated.</t>
  </si>
  <si>
    <t>https://www.wbdg.org/FFC/AF/AFMAN/211111_Hangar_Maintenance.pdf</t>
  </si>
  <si>
    <t>Hangar, Maintenance Depot</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</si>
  <si>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</si>
  <si>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</si>
  <si>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Building, Aircraft Weapons Calibration</t>
  </si>
  <si>
    <t>This facility provides space for the performing bore sighting and harmonization on the fire control and reconnaissance equipment.</t>
  </si>
  <si>
    <t>‌https://www.wbdg.org/FFC/AF/AFMAN/211147_Bldg_Aircraft_Weapons_Calibrate.pdf</t>
  </si>
  <si>
    <t>Tactical Unmanned Aerial Vehicle (UAV) Hangar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</si>
  <si>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</si>
  <si>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Shop, Aircraft General Purpose</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</si>
  <si>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</si>
  <si>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</si>
  <si>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Shop, Non-Destructive Inspection</t>
  </si>
  <si>
    <t>Facility designed for field level non-destructive inspection of aircraft components. The facility is typically 18 feet high with reinforced concrete walls supported on continuous footings.</t>
  </si>
  <si>
    <t>‌https://www.wbdg.org/FFC/AF/AFMAN/211153_Shop_Nondestructive_Inspection.pdf</t>
  </si>
  <si>
    <t>Shop, Aircraft Maintenance, Organizational</t>
  </si>
  <si>
    <t>Facility designed for performance of maintenance to aircraft components. Functional space areas include tool kit storage, tool crib, OMS non-powered support equipment, loose equipment storage and administration and lockers.</t>
  </si>
  <si>
    <t>‌https://www.wbdg.org/FFC/AF/AFMAN/211154_Shop_Aircraft_Maint_Organizational.pdf</t>
  </si>
  <si>
    <t>Shop, Jet Engine Inspection and Maintenance</t>
  </si>
  <si>
    <t>This facility is used to perform maintenance on aircraft engines at operational bases for programmed depot level maintenance shops at AFMC logistics centers (space for depot shops are based on assigned program need to each depot).</t>
  </si>
  <si>
    <t>‌https://www.wbdg.org/FFC/AF/AFMAN/211157_Shop_Jet_Engine_Insp_and_Maint.pdf</t>
  </si>
  <si>
    <t>Aircraft Corrosion Control</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</si>
  <si>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</si>
  <si>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https://www.wbdg.org/FFC/AF/AFMAN/211159_Aircraft_Corrosion_Control.pdf</t>
  </si>
  <si>
    <t>Corrosion CONTR Utility Storage</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</si>
  <si>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</si>
  <si>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</si>
  <si>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RADAR Cross Section Turntable Building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</si>
  <si>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</si>
  <si>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Fuel System Maintenance Dock</t>
  </si>
  <si>
    <t>This facility provides for fuel system maintenance and also includes system for mechanical ventilation, fume sensing and alarm, fire extinguishing, and wash down drainage trenches.</t>
  </si>
  <si>
    <t>‌https://www.wbdg.org/FFC/AF/AFMAN/211179_Fuel_System_Maintenance_Dock.pdf</t>
  </si>
  <si>
    <t>Test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</si>
  <si>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</si>
  <si>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</si>
  <si>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Noise Suppressor System ("HUSH HOUSE") and/or Test Stand Pad</t>
  </si>
  <si>
    <t>This facility consists of the reinforces concrete foundation required to support the technical equipment that is designed to test the effectiveness of jet engines.  This facility supports the jet inspection and maintenance shop (Catcode 211157).</t>
  </si>
  <si>
    <t>https://www.wbdg.org/FFC/AF/AFMAN/211193_Noise_Suppressor_System.pdf</t>
  </si>
  <si>
    <t>Shop, Turbine Depot</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</si>
  <si>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</si>
  <si>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</si>
  <si>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Shop, RAM/Air Depot</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</si>
  <si>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</si>
  <si>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</si>
  <si>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Shop, Alternator Drive Overhaul and Test Depot</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</si>
  <si>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</si>
  <si>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</si>
  <si>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Shop, Aircraft and Engine Access Overhaul Depot</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</si>
  <si>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</si>
  <si>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</si>
  <si>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Shop, Engine Test and Storage Depot</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</si>
  <si>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</si>
  <si>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</si>
  <si>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Shop, Instrument Overhaul Depot</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</si>
  <si>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</si>
  <si>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</si>
  <si>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Maintenance Aircraft Spares / Storage</t>
  </si>
  <si>
    <t>Storage facilities for miscellaneous aircraft equipment/parts/goods, etc., will be provided only where it can be individually justified.</t>
  </si>
  <si>
    <t>‌https://www.wbdg.org/FFC/AF/AFMAN/211601_Maintenance_Aircraft_Spares_Storage.pdf</t>
  </si>
  <si>
    <t>Shop, Missile Assembly</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</si>
  <si>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</si>
  <si>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</si>
  <si>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Shop, Tactical Missile, Glide Weapon Maintenance</t>
  </si>
  <si>
    <t>This Facility accommodates missile and guided weapons inspections, Testing, assembly and repair, Test and ground support equipment inspection, calibration, and repair.</t>
  </si>
  <si>
    <t>‌https://www.wbdg.org/FFC/AF/AFMAN/212213_Shop_Tactical_Missile_Glide_Weapon_Maint.pdf</t>
  </si>
  <si>
    <t>Shop, Missile Run-Up</t>
  </si>
  <si>
    <t>This category code identifies those areas where missiles are functionally tested.</t>
  </si>
  <si>
    <t>‌https://www.wbdg.org/FFC/AF/AFMAN/212215_Shop_Missile_Runup.pdf</t>
  </si>
  <si>
    <t>Shop, Missile Service</t>
  </si>
  <si>
    <t>This category code identifies maintenance and service system area supporting air and ground equipment at missile sites.</t>
  </si>
  <si>
    <t>‌https://www.wbdg.org/FFC/AF/AFMAN/212216_Shop_Missile_Service.pdf</t>
  </si>
  <si>
    <t>Shop, Missile Warhead Assembly and Maintenance</t>
  </si>
  <si>
    <t>This category code identifies those areas where missile warheads are assembled or maintained.</t>
  </si>
  <si>
    <t>‌https://www.wbdg.org/FFC/AF/AFMAN/212217_Shop_Missile_Warhead_Assem_and_Maint.pdf</t>
  </si>
  <si>
    <t>Shop, Missile Battery</t>
  </si>
  <si>
    <t>This category code identifies those areas used to service and maintain batteries for launch control facilities (LCF) and Launch Facility (LF) back-up generators.</t>
  </si>
  <si>
    <t>‌https://www.wbdg.org/FFC/AF/AFMAN/212219_Shop_Missile_Battery.pdf</t>
  </si>
  <si>
    <t>Integrated Maintenance Facility</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</si>
  <si>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</si>
  <si>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</si>
  <si>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Shop, Pilotless Aircraft</t>
  </si>
  <si>
    <t>Facility designed to provide maintenance, repair, and inspection of sub-scale drone aircraft. Functional space area includes an office and various shops (engine, electronics, sheet metal and pod shop).</t>
  </si>
  <si>
    <t>‌https://www.wbdg.org/FFC/AF/AFMAN/212252_Shop_Pilotless_Aircraft.pdf</t>
  </si>
  <si>
    <t>Boat Storage</t>
  </si>
  <si>
    <t>This category code identifies those area or waterside locations where boats are stored.</t>
  </si>
  <si>
    <t>‌https://www.wbdg.org/FFC/AF/AFMAN/213332_Boat_Storage.pdf</t>
  </si>
  <si>
    <t>Shop, Marine Maintenance</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</si>
  <si>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</si>
  <si>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</si>
  <si>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Railway</t>
  </si>
  <si>
    <t>This category code identifies those railway tracks that run along the docks and concrete ramps to the water’s edge of a waterfront harbor/marina.</t>
  </si>
  <si>
    <t>‌https://www.wbdg.org/FFC/AF/AFMAN/213436_Marine_Railway.pdf</t>
  </si>
  <si>
    <t>Marine Maintenance Support Facility</t>
  </si>
  <si>
    <t>A facility designed to support ship component maintenance, repair, and inspection activities.</t>
  </si>
  <si>
    <t>‌https://www.wbdg.org/FFC/AF/AFMAN/213499_Marine_Main_Supp_Fac.pdf</t>
  </si>
  <si>
    <t>Ship Services Support Building</t>
  </si>
  <si>
    <t>A ship services support building is used to provide office and shop space in direct support of maintenance and repair work for surface ships and submarines.</t>
  </si>
  <si>
    <t>National Guard Vehicle Maintenance Shop</t>
  </si>
  <si>
    <t xml:space="preserve">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</si>
  <si>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Army Reserve Vehicle Maintenance Shop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</si>
  <si>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</si>
  <si>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Holding Shed</t>
  </si>
  <si>
    <t>This facility is a part of the automotive vehicle maintenance shop with the main purpose of providing a covered area for holding deadlined equipment awaiting repairs.</t>
  </si>
  <si>
    <t>Vehicle Maintenance Shed</t>
  </si>
  <si>
    <t xml:space="preserve">A structure for vehicle maintenance. </t>
  </si>
  <si>
    <t>Vehicle Service Rack</t>
  </si>
  <si>
    <t>This facility is used to service government vehicles only. It should not be confused with the “privately owned vehicle wash rack” which is operated by and in conjunction with the automotive hobby shops.</t>
  </si>
  <si>
    <t>‌https://www.wbdg.org/FFC/AF/AFMAN/214422_Vehicle_Service_Rack.pdf</t>
  </si>
  <si>
    <t>Vehicle Maintenance Shop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</si>
  <si>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</si>
  <si>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</si>
  <si>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Operations Garage</t>
  </si>
  <si>
    <t>Facility designated for the storage of mission-essential vehicles that require garage accommodation. These vehicles must meet specific criteria to justify indoor storage, including those in cold climates, utilized by the Office of Special Investigations (OSI), equipped with bulletproof glass, and/or containing sophisticated apparatus such as missile trackers.</t>
  </si>
  <si>
    <t>https://www.wbdg.org/FFC/AF/AFMAN/214426_Vehicle_Ops_Heated_Parking.pdf</t>
  </si>
  <si>
    <t>Vehicle Operations Parking Shed</t>
  </si>
  <si>
    <t>This facility is a shed-type, unheated parking structure that is provided for certain essential vehicles in areas of heavy snow or abnormality high heat.</t>
  </si>
  <si>
    <t>https://www.wbdg.org/FFC/AF/AFMAN/214428_Vehicle_Ops_Parking_Shed.pdf</t>
  </si>
  <si>
    <t>Refueling Vehicle Hardened Shelters</t>
  </si>
  <si>
    <t>Blast hardened facility constructed of cast in place concrete that gives protection to refueling vehicles in areas where this threat exists.</t>
  </si>
  <si>
    <t>‌https://www.wbdg.org/FFC/AF/AFMAN/214429_Refueling_Vehicle_Hardened_Shelter.pdf</t>
  </si>
  <si>
    <t>Shop, Refueling Vehicle</t>
  </si>
  <si>
    <t>Facility designed to house tank units and hydrant hose trucks that do not require servicing in maintenance shops with other vehicular equipment.</t>
  </si>
  <si>
    <t>https://www.wbdg.org/FFC/AF/AFMAN/214467_Shop_Refueling_Vehicle.pdf</t>
  </si>
  <si>
    <t>Transporter/Erector Test Facility</t>
  </si>
  <si>
    <t>An underground pit system coupled with an above ground control room used to test the integrity of transporter/erector and payload transporter vehicles.</t>
  </si>
  <si>
    <t>https://www.wbdg.org/FFC/AF/AFMAN/214469_Transporter_Erector_Test_Fac.pdf</t>
  </si>
  <si>
    <t>Shop, Weapons and Release Systems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</si>
  <si>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</si>
  <si>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</si>
  <si>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Shop, Aircraft Weapons Overhaul Depot</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</si>
  <si>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</si>
  <si>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</si>
  <si>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Shop, Ordnance Equipment, Depot</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</si>
  <si>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</si>
  <si>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</si>
  <si>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Shop, Cartridge Overhaul Depot</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</si>
  <si>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</si>
  <si>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</si>
  <si>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Shop, Surveillance and Inspection</t>
  </si>
  <si>
    <t>Facility designed specifically for the purpose of initial assembly, checkout, periodic inspection, and maintenance of surety weapons, missiles, and electronoptic and laser bomb guidance kits.</t>
  </si>
  <si>
    <t>‌https://www.wbdg.org/FFC/AF/AFMAN/215582_Shop_Surveillance_and_Inspect.pdf</t>
  </si>
  <si>
    <t>Shop, Conventional Munitions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</si>
  <si>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t>
  </si>
  <si>
    <t>https://www.wbdg.org/FFC/AF/AFMAN/216642_Shop_Conv_Munitions.pdf</t>
  </si>
  <si>
    <t>Collimation Tower</t>
  </si>
  <si>
    <t>Collimation facilities are required at shipyards for electronic and optical alignment of fire control and radar equipment aboard ships.</t>
  </si>
  <si>
    <t>Shop,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</si>
  <si>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</si>
  <si>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</si>
  <si>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ECM Pod Shop and Storage</t>
  </si>
  <si>
    <t>Electronic Countermeasure Facility (ECM) designed to perform organizational and intermediate maintenance and provide secure storage of aircraft ECM Pods and associated equipment.</t>
  </si>
  <si>
    <t>‌https://www.wbdg.org/FFC/AF/AFMAN/217713_ECM_Pod_Shop_and_Storage.pdf</t>
  </si>
  <si>
    <t>Shop, ICBM/Tactical Air CONTR Communications Electronics</t>
  </si>
  <si>
    <t>Facility designed to provide maintenance and service to communications systems supporting missile sites.</t>
  </si>
  <si>
    <t>‌https://www.wbdg.org/FFC/AF/AFMAN/217722_Shop_ICBM_Tactical_Air_Ctrl_Communications_Elect.pdf</t>
  </si>
  <si>
    <t>Shop, Electrical Overhaul and Test Depot</t>
  </si>
  <si>
    <t>Facility designed to provide repair, overhaul and testing of electrical aircraft accessories and components, drive motors, switches, circuit protection devices, and wiring.</t>
  </si>
  <si>
    <t>‌https://www.wbdg.org/FFC/AF/AFMAN/217735_Shop_Electrical_Overhaul_and_Test_Depot.pdf</t>
  </si>
  <si>
    <t>RADOME Overhaul &amp; Test Depot</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</si>
  <si>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</si>
  <si>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</si>
  <si>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Air Force Communications Service Maintenance Facility</t>
  </si>
  <si>
    <t>Facility designed for centralized field repair of communications/electronics equipment.</t>
  </si>
  <si>
    <t>‌https://www.wbdg.org/FFC/AF/AFMAN/217742_AF_Communications_Service_Maint_Fac.pdf</t>
  </si>
  <si>
    <t>Shop, Meteorological Equipment</t>
  </si>
  <si>
    <t>Facility designed for maintaining meteorological equipment used by air weather service detachments.</t>
  </si>
  <si>
    <t>‌https://www.wbdg.org/FFC/AF/AFMAN/217752_Meteorological_Equipment_Shop.pdf</t>
  </si>
  <si>
    <t>Shop, Navigational Aids</t>
  </si>
  <si>
    <t>Facility designed for providing field and periodic maintenance and repair of navigational aids. The main functional space areas include administrative and shop space.</t>
  </si>
  <si>
    <t>‌https://www.wbdg.org/FFC/AF/AFMAN/217762_Shop_Navigational_Aids.pdf</t>
  </si>
  <si>
    <t>Shop, Range Warning System Communications-Electronics</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</si>
  <si>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</si>
  <si>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</si>
  <si>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General Item Repair Shop, DOL/DPW/IMMA/IMMD</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</si>
  <si>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</si>
  <si>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</si>
  <si>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Maintenance Shop, General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</si>
  <si>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</si>
  <si>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Installation SPT Equipment Maintenance Shop</t>
  </si>
  <si>
    <t>A facility designed to house installation support equipment maintenance, repair, and inspection activities.</t>
  </si>
  <si>
    <t>‌https://www.wbdg.org/FFC/AF/AFMAN/218299_Installation_Spt_Equipment_Maint_Shop.pdf</t>
  </si>
  <si>
    <t>Ground Support Equipment Holding Shed</t>
  </si>
  <si>
    <t>The ground support equipment (GSE) holding shed provides protective cover for GSE gear awaiting and undergoing intermediate level maintenance and is an integral part of the GSE shop compound.</t>
  </si>
  <si>
    <t>Aircraft Support Equipment Shop/Storage</t>
  </si>
  <si>
    <t>This facility is used to maintain and hold in readiness powered aircraft support equipment.</t>
  </si>
  <si>
    <t>‌https://www.wbdg.org/FFC/AF/AFMAN/218712_Aircraft_Spt_Equip_Shop_Storage_Fac.pdf</t>
  </si>
  <si>
    <t>Shop, Furniture Repair Overseas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</si>
  <si>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</si>
  <si>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</si>
  <si>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Shop and Shelter for Locomotives</t>
  </si>
  <si>
    <t>This facility will provide space to accommodate one locomotive with work area. This space is for organizational, field and preventive maintenance which must be done under cover.</t>
  </si>
  <si>
    <t>‌https://www.wbdg.org/FFC/AF/AFMAN/218842_Shop_and_Shelter_for_Locomotives.pdf</t>
  </si>
  <si>
    <t>Aircrew Flight Equipment</t>
  </si>
  <si>
    <t>Facility designed for administration, issue, fit, repair, and storage of aircrew flight equipment such as: parachutes, helmets, oxygen equipment, anti-exposure suits, aircrew ocular devices, survival kits, life preservers, rafts, electronic communications, helmet-mounted weapons integration devices, and other mission performance and life-saving equipment. Functional space areas include: administration, workshops, sewing room, parachute inspection and packing, washing and drying tower, and raft inspection and maintenance.</t>
  </si>
  <si>
    <t>‌https://www.wbdg.org/FFC/AF/AFMAN/218852_Shop_Survival_Equipment.pdf</t>
  </si>
  <si>
    <t>Precision Measurement Equipment Lab</t>
  </si>
  <si>
    <t>This facility provides space for field level maintenance and calibration of precision measure equipment for assigned, tenet and on base units.</t>
  </si>
  <si>
    <t>‌https://www.wbdg.org/FFC/AF/AFMAN/218868_Precision_Measurement_Equipment_Laboratory.pdf</t>
  </si>
  <si>
    <t xml:space="preserve">Base Engineer Horizontal Construction Facility </t>
  </si>
  <si>
    <t>Facility designed for maintenance of various pieces of heavy equipment used by the pavements and grounds section of Base Civil Engineering.</t>
  </si>
  <si>
    <t>‌https://www.wbdg.org/FFC/AF/AFMAN/219943_Base_Civil_Eng_Pavements_and_Grounds_Fac.pdf</t>
  </si>
  <si>
    <t>Base Engineer Maintenance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</si>
  <si>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</si>
  <si>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</si>
  <si>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Base Engineer Hospital Maintenance Shop</t>
  </si>
  <si>
    <t>Facility designed for upkeep and maintenance of the base hospital. The facility is usually located either adjacent or inside the hospital building itself.</t>
  </si>
  <si>
    <t>‌https://www.wbdg.org/FFC/AF/AFMAN/219945_Base_Engineer_Hosp_Maint_Shop.pdf</t>
  </si>
  <si>
    <t>Base Engineer Covered Storage Facility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</si>
  <si>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</si>
  <si>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</si>
  <si>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Base Engineer Storage Shed</t>
  </si>
  <si>
    <t>Facility for storing certain items of equipment and supplies needed for installation operations and maintenance which do not require regular warehouse storage yet must be protected from the weather.</t>
  </si>
  <si>
    <t>‌https://www.wbdg.org/FFC/AF/AFMAN/219947_Base_Engineer_Storage_Shed.pdf</t>
  </si>
  <si>
    <t>Production Aircraft</t>
  </si>
  <si>
    <t>Facility designed for manufacture, assembly, test, overhaul, and support of aircraft, aircraft systems, components and support equipment.</t>
  </si>
  <si>
    <t>‌https://www.wbdg.org/FFC/AF/AFMAN/221221_Production_Aircraft.pdf</t>
  </si>
  <si>
    <t>Production Engines</t>
  </si>
  <si>
    <t>Facility designed for manufacture, assembly, test, overhaul, and support of aircraft and air vehicle engines, engine subsystem, components, and support equipment.</t>
  </si>
  <si>
    <t>‌https://www.wbdg.org/FFC/AF/AFMAN/221222_Production_Engines.pdf</t>
  </si>
  <si>
    <t>Production Missiles</t>
  </si>
  <si>
    <t>Facility designed for manufacture, assembly, test, overhaul, and support of missiles, rocket motors, propellants, fuel oxidizers, missile subsystems, components, and support equipment.</t>
  </si>
  <si>
    <t>‌https://www.wbdg.org/FFC/AF/AFMAN/222222_Production_Missiles.pdf</t>
  </si>
  <si>
    <t>Production Armament Explosives</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</si>
  <si>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</si>
  <si>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</si>
  <si>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Production Electronics and Communication Equipment</t>
  </si>
  <si>
    <t>Facility designed for manufacture, assembly, test, overhaul and support of electronics and communications systems, subsystems, components, and support equipment.</t>
  </si>
  <si>
    <t>‌https://www.wbdg.org/FFC/AF/AFMAN/227227_Production_Electronics_and_Comm_Equip.pdf</t>
  </si>
  <si>
    <t>Production Space Systems</t>
  </si>
  <si>
    <t>Facility designed for manufacture, assembly, test, overhaul and support of space systems, subsystems, components, and support equipment.</t>
  </si>
  <si>
    <t>‌https://www.wbdg.org/FFC/AF/AFMAN/227228_Production_Space_Systems.pdf</t>
  </si>
  <si>
    <t>Production Miscellaneous Items and Equipment</t>
  </si>
  <si>
    <t>Facility designed for manufacture, assembly, test, overhaul and support of items and equipment not covered in other production category codes.</t>
  </si>
  <si>
    <t>‌https://www.wbdg.org/FFC/AF/AFMAN/228228_Production_Misc_Items_and_Equipment.pdf</t>
  </si>
  <si>
    <t>Asphalt Plant</t>
  </si>
  <si>
    <t>A batching plant producing asphalt for use in building construction. This facility is normally the property of the Base Civil Engineer.</t>
  </si>
  <si>
    <t>‌https://www.wbdg.org/FFC/AF/AFMAN/229982_Asphalt_Plant.pdf</t>
  </si>
  <si>
    <t>Concrete Plant</t>
  </si>
  <si>
    <t>A batching plant for the production of concrete ready mix for use in building construction. This facility is normally the property of the Base Civil Engineer.</t>
  </si>
  <si>
    <t>‌https://www.wbdg.org/FFC/AF/AFMAN/229984_Concrete_Plant.pdf</t>
  </si>
  <si>
    <t>Oxygen Generating Plant</t>
  </si>
  <si>
    <t>Facility designed for the purpose of producing liquid oxygen for fuels or medical use.</t>
  </si>
  <si>
    <t>‌https://www.wbdg.org/FFC/AF/AFMAN/229986_Oxygen_Generating_Plant.pdf</t>
  </si>
  <si>
    <t>Rock Crusher Plant</t>
  </si>
  <si>
    <t>Facility designed for the purpose of crushing rock.</t>
  </si>
  <si>
    <t>‌https://www.wbdg.org/FFC/AF/AFMAN/229987_Rock_Crushing_Plant.pdf</t>
  </si>
  <si>
    <t>Wildlife Observation Building</t>
  </si>
  <si>
    <t>An enclosed building used to observe and record fish and wildlife activities. The building may include equipment such as fish ladders, a fish hatchery, and so on.</t>
  </si>
  <si>
    <t>Physics, Science Laboratories</t>
  </si>
  <si>
    <t>Facility used to conduct research on atmospheric transmission codes, atmospheric turbulence, and infrared backgrounds of space and the atmosphere.</t>
  </si>
  <si>
    <t>‌https://www.wbdg.org/FFC/AF/AFMAN/310911_Physics_Science_Laboratories.pdf</t>
  </si>
  <si>
    <t>Sonic, Science Laboratories</t>
  </si>
  <si>
    <t>Laboratory designed to test for corrosion potential with chemical reaction. Space is provided for testing and storage of explosives.</t>
  </si>
  <si>
    <t>‌https://www.wbdg.org/FFC/AF/AFMAN/310912_Sonic_Science_Laboratories.pdf</t>
  </si>
  <si>
    <t>Astrophysics Science Laboratories</t>
  </si>
  <si>
    <t>Laboratory designed for testing of physical and chemical constitution of celestial matter in conjunction with cadet studies.</t>
  </si>
  <si>
    <t>‌https://www.wbdg.org/FFC/AF/AFMAN/310913_Astrophysics_Science_Laboratories.pdf</t>
  </si>
  <si>
    <t>Personnel Research, Science Laboratories</t>
  </si>
  <si>
    <t>Facility designed for the research of advanced development programs for manpower, personnel, operational, and technical training, simulation and logistics systems.</t>
  </si>
  <si>
    <t>‌https://www.wbdg.org/FFC/AF/AFMAN/310914_Personnel_Research_Science_Laboratories.pdf</t>
  </si>
  <si>
    <t>Chemistry Science Laboratories</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</si>
  <si>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</si>
  <si>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</si>
  <si>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Ground Electronics Science Laboratories</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</si>
  <si>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</si>
  <si>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</si>
  <si>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Nucleonic, Science Laboratories</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</si>
  <si>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</si>
  <si>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</si>
  <si>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Geophysics Science Laboratories</t>
  </si>
  <si>
    <t>Facility designed for research activities in geodesy and gravity, to include techniques for satellite positioning and orbit determination.</t>
  </si>
  <si>
    <t>‌https://www.wbdg.org/FFC/AF/AFMAN/310919_Geophysics_Science_Laboratories.pdf</t>
  </si>
  <si>
    <t>Medical, Science Laboratories</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</si>
  <si>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</si>
  <si>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</si>
  <si>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Human Engineering Science Laboratories</t>
  </si>
  <si>
    <t>Facility designed for research activities in the field of human engineering.</t>
  </si>
  <si>
    <t>‌https://www.wbdg.org/FFC/AF/AFMAN/310922_Human_Engineering_Science_Laboratories.pdf</t>
  </si>
  <si>
    <t>Solar Science Laboratories</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</si>
  <si>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</si>
  <si>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</si>
  <si>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Radiation, Science Laboratories</t>
  </si>
  <si>
    <t>Facility designed for research activities in the field of radiation hardened electronics. The laboratory is capable of simulating both nuclear and space radiation environments.</t>
  </si>
  <si>
    <t>‌https://www.wbdg.org/FFC/AF/AFMAN/310924_Radiation_Science_Laboratories.pdf</t>
  </si>
  <si>
    <t>Aerospace Environment Science Laboratory</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</si>
  <si>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</si>
  <si>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</si>
  <si>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Dynamics Environment Science Laboratories</t>
  </si>
  <si>
    <t>Facility designed for testing weapons and weapon systems in extreme environmental conditions, simulating extreme heat or cold.</t>
  </si>
  <si>
    <t>‌https://www.wbdg.org/FFC/AF/AFMAN/310926_Dynamics_Environment_Science_Laboratories.pdf</t>
  </si>
  <si>
    <t>Meteorology, Science Laboratories</t>
  </si>
  <si>
    <t>This facility conducts numerical simulation of weather patterns, interactive computer programs for cloud analysis and forecasting and climatic extremes for military equipment.</t>
  </si>
  <si>
    <t>‌https://www.wbdg.org/FFC/AF/AFMAN/310927_Meteorology_Science_Laboratories.pdf</t>
  </si>
  <si>
    <t>Civil Engineering Science Laboratories</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</si>
  <si>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</si>
  <si>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</si>
  <si>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Biological Science Laboratories</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</si>
  <si>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</si>
  <si>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</si>
  <si>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Laser, Science Laboratories</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</si>
  <si>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</si>
  <si>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</si>
  <si>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Avionics, Science Laboratories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</si>
  <si>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</si>
  <si>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</si>
  <si>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Materials, Science Laboratories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</si>
  <si>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</si>
  <si>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</si>
  <si>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Nuclear Engineering Test Building</t>
  </si>
  <si>
    <t>This category code is used at air force industrial plants for the development and testing of surety engines.</t>
  </si>
  <si>
    <t>‌https://www.wbdg.org/FFC/AF/AFMAN/310943_Nuclear_Engineering_Test_Building.pdf</t>
  </si>
  <si>
    <t>Aircraft Dynamic Research Engineering</t>
  </si>
  <si>
    <t>Facility designed for integration research, development and testing of aircraft or space vehicle dynamic characteristics including landing gear.</t>
  </si>
  <si>
    <t>‌https://www.wbdg.org/FFC/AF/AFMAN/311114_Aircraft_Dynamic_Research_Engineering.pdf</t>
  </si>
  <si>
    <t>Aircraft Dynamic Research Test</t>
  </si>
  <si>
    <t>Facility designed for research and test programs pertaining to dynamics.</t>
  </si>
  <si>
    <t>‌https://www.wbdg.org/FFC/AF/AFMAN/311115_Aircraft_Dynamic_Research_Test.pdf</t>
  </si>
  <si>
    <t>Aircraft Research Laboratory</t>
  </si>
  <si>
    <t>Facility designed for research and testing of new aircraft weapon systems.</t>
  </si>
  <si>
    <t>‌https://www.wbdg.org/FFC/AF/AFMAN/311171_Aircraft_Research_Laboratory.pdf</t>
  </si>
  <si>
    <t>Aircraft Research Engineering</t>
  </si>
  <si>
    <t>Special purpose facilities designed to house scientists and engineers when supporting a large research and development program.</t>
  </si>
  <si>
    <t>‌https://www.wbdg.org/FFC/AF/AFMAN/311173_Aircraft_Research_Engineering.pdf</t>
  </si>
  <si>
    <t>Aircraft Research and Testing</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</si>
  <si>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</si>
  <si>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</si>
  <si>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Missile and Space Research laboratories</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</si>
  <si>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</si>
  <si>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</si>
  <si>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Research Engineering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</si>
  <si>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</si>
  <si>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</si>
  <si>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Missile and Space Research Testing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</si>
  <si>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</si>
  <si>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</si>
  <si>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Satellite CONTR Station</t>
  </si>
  <si>
    <t>Special facility designed for the purpose of tracking, communicating with, or guiding satellites in space.</t>
  </si>
  <si>
    <t>‌https://www.wbdg.org/FFC/AF/AFMAN/312941_Satellite_Control_Station.pdf</t>
  </si>
  <si>
    <t>Armament Research Ballistic Laboratory</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</si>
  <si>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</si>
  <si>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</si>
  <si>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Armament Research Engineering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</si>
  <si>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</si>
  <si>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</si>
  <si>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Armament Research Testing</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</si>
  <si>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</si>
  <si>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</si>
  <si>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Weapons Guidance Laboratory</t>
  </si>
  <si>
    <t>Facility designed for research and assembly of various rocket stages for Peacekeeper Missile systems.</t>
  </si>
  <si>
    <t>‌https://www.wbdg.org/FFC/AF/AFMAN/315944_Weapons_Guidance_Laboratory.pdf</t>
  </si>
  <si>
    <t>Ammunition, Explosives, and Toxics Laboratory</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</si>
  <si>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</si>
  <si>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</si>
  <si>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Electronic Research Laboratory</t>
  </si>
  <si>
    <t>Laboratory designed for evaluation of electronic components before and after initial operation and parts replacement or modifications have been effected</t>
  </si>
  <si>
    <t>‌https://www.wbdg.org/FFC/AF/AFMAN/317311_Electronic_Research_Laboratory.pdf</t>
  </si>
  <si>
    <t>Electronic Research and Engineering</t>
  </si>
  <si>
    <t>Facility designed for engineering support of guided weapons development and test activities. Laser, infrared and electro-optics research is also accomplished in this facility.</t>
  </si>
  <si>
    <t>‌https://www.wbdg.org/FFC/AF/AFMAN/317315_Electronic_Research_and_Engineering.pdf</t>
  </si>
  <si>
    <t>Electronic Research and Testing</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</si>
  <si>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</si>
  <si>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</si>
  <si>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Avionics Research Laboratory</t>
  </si>
  <si>
    <t>Facility designed for simulated in-flight testing and evaluation of aircraft avionics.</t>
  </si>
  <si>
    <t>‌https://www.wbdg.org/FFC/AF/AFMAN/317932_Avionics_Research_Laboratory.pdf</t>
  </si>
  <si>
    <t>Propulsion Research Lab-Air Breathing</t>
  </si>
  <si>
    <t>Facility designed for use as an aircraft engine test cell.</t>
  </si>
  <si>
    <t>‌https://www.wbdg.org/FFC/AF/AFMAN/318612_Propulsion_Research_Lab_Air_Breathing.pdf</t>
  </si>
  <si>
    <t>Propulsion Research Lab, Non Air Breathing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</si>
  <si>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</si>
  <si>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</si>
  <si>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Propulsion Research Lab, Electric</t>
  </si>
  <si>
    <t>Facility designed for special research on advanced state-of-the-art thrusters, contamination, lifetime reliability, and performance.</t>
  </si>
  <si>
    <t>‌https://www.wbdg.org/FFC/AF/AFMAN/318615_Propulsion_Research_Laboratory_Electric.pdf</t>
  </si>
  <si>
    <t>Propulsion Research Lab, Fuel and Lubricants</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</si>
  <si>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</si>
  <si>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</si>
  <si>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RDT&amp;E Storage</t>
  </si>
  <si>
    <t>This building is a storage facility for research, development, test, and evaluation equipment and materials directly related to RDAT&amp;E programs.</t>
  </si>
  <si>
    <t>Equipment Research Laboratory</t>
  </si>
  <si>
    <t>Laboratory designed for accomplishing research on various types of aircraft equipment.</t>
  </si>
  <si>
    <t>‌https://www.wbdg.org/FFC/AF/AFMAN/319441_Equipment_Research_Laboratory.pdf</t>
  </si>
  <si>
    <t>Equipment Research Engineering</t>
  </si>
  <si>
    <t>Facility designed for housing engineering activities for system enhancement, and to resolve operational instrumentation problems.</t>
  </si>
  <si>
    <t>‌https://www.wbdg.org/FFC/AF/AFMAN/319442_Equipment_Research_Engineering.pdf</t>
  </si>
  <si>
    <t>Equipment Research Testing</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</si>
  <si>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</si>
  <si>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</si>
  <si>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Material Research Test Laboratory</t>
  </si>
  <si>
    <t>Facility designed for testing of physical properties of non-electronic materials. Air delivered incendiary munitions are also evaluated using this lab.</t>
  </si>
  <si>
    <t>‌https://www.wbdg.org/FFC/AF/AFMAN/319946_Material_Research_Test_Laboratory.pdf</t>
  </si>
  <si>
    <t>Test Track Building</t>
  </si>
  <si>
    <t>Facility designed for sled preparation and storage, testing munitions and munitions components under controlled conditions, and simulating high speeds and impact forces of aircraft delivered munitions.</t>
  </si>
  <si>
    <t>‌https://www.wbdg.org/FFC/AF/AFMAN/319951_Test_Track_Building.pdf</t>
  </si>
  <si>
    <t>Research Equipment Storage</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</si>
  <si>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</si>
  <si>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</si>
  <si>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Prototype Model Construction and Assembly</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</si>
  <si>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</si>
  <si>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</si>
  <si>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Range Building</t>
  </si>
  <si>
    <t>A building that supports research, development, and testing range operations to include observation towers and bunkers. Buildings in this category also include such support as test range telemetry functions, assembly of test targets, test operations and control centers, range communication facilities, and drop zone support activities. Use this category only for buildings (structures with a roof and completely enclosed by walls). The building includes storage and administrative space relating to the function.</t>
  </si>
  <si>
    <t>Missile Instrumentation Station</t>
  </si>
  <si>
    <t>Facility designed for telemetry, tracking, and data acquisition of various operational missile systems. Does not include radar or optical instrumentation nor two-way communications systems.</t>
  </si>
  <si>
    <t>‌https://www.wbdg.org/FFC/AF/AFMAN/371475_Missile_Instrumentation_Station.pdf</t>
  </si>
  <si>
    <t>Missile RADAR Station</t>
  </si>
  <si>
    <t>Facility designed for radar tracking and recording of launched missile systems.</t>
  </si>
  <si>
    <t>‌https://www.wbdg.org/FFC/AF/AFMAN/371484_Missile_Radar_Station.pdf</t>
  </si>
  <si>
    <t>Missile Theodolite Station</t>
  </si>
  <si>
    <t>Facility or group of related facilities designed for optical tracking and recording of launched missile systems.  AFMC is the primary user.</t>
  </si>
  <si>
    <t>‌https://www.wbdg.org/FFC/AF/AFMAN/371485_Missile_Theodolite_Station.pdf</t>
  </si>
  <si>
    <t>Missile Communications Station</t>
  </si>
  <si>
    <t>Facility or group of related facilities designed for two-way voice or telemetry communications and recording of operational missile or satellite systems.  AFMC is the primary user.</t>
  </si>
  <si>
    <t>‌https://www.wbdg.org/FFC/AF/AFMAN/371486_Missile_Communications_Station.pdf</t>
  </si>
  <si>
    <t>Test Range Complex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</si>
  <si>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</si>
  <si>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</si>
  <si>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Aerodynamics Wind Tunnel, Subsonic</t>
  </si>
  <si>
    <t>Facility designed for research, development and testing of aircraft components designed for speeds less than the speed of sound.</t>
  </si>
  <si>
    <t>‌https://www.wbdg.org/FFC/AF/AFMAN/390125_Aerodynamics_Wind_Tunnel_Subsonic.pdf</t>
  </si>
  <si>
    <t>Aerodynamics Wind Tunnel, Supersonic</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</si>
  <si>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</si>
  <si>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</si>
  <si>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Aerodynamics Wind Tunnel, Transonic</t>
  </si>
  <si>
    <t>Facility designed for research, development and testing of aircraft, articles and models at transonic wind velocity to observe air flow and performance.</t>
  </si>
  <si>
    <t>‌https://www.wbdg.org/FFC/AF/AFMAN/390128_Aerodynamics_Wind_Tunnel_Transonic.pdf</t>
  </si>
  <si>
    <t>Aerodynamics Wind Tunnel, Hypersonic</t>
  </si>
  <si>
    <t>Facility designed for research, development and testing of radios and avionics equipment traveling at hypersonic speeds.</t>
  </si>
  <si>
    <t>‌https://www.wbdg.org/FFC/AF/AFMAN/390129_Aerodynamics_Wind_Tunnel_Hypersonic.pdf</t>
  </si>
  <si>
    <t>Missile Silo Test Structure</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</si>
  <si>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mandoor for access, a removable cover but no utilities. Soil on outside of structure can be modified to represent the existing full sized Missile Launch Facilities.</t>
  </si>
  <si>
    <t>Gas Dynamics Wind Tunnel, Supersonic</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</si>
  <si>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</si>
  <si>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</si>
  <si>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Aircraft Research Testing</t>
  </si>
  <si>
    <t>Facility designed for testing and research on various kinds of aircraft.</t>
  </si>
  <si>
    <t>‌https://www.wbdg.org/FFC/AF/AFMAN/390171_Aircraft_Research_Testing.pdf</t>
  </si>
  <si>
    <t>Research Development Test and Evaluation Range</t>
  </si>
  <si>
    <t>RDT&amp;E RANGE A range for research, development, and testing operations. Report the area of the range in acres, including the uprange and downrange to the last line of targets between the range boundaries.</t>
  </si>
  <si>
    <t>‌https://www.wbdg.org/FFC/AF/AFMAN/390222_RDTandE_Range.pdf</t>
  </si>
  <si>
    <t>Armament Research Testing, Structural</t>
  </si>
  <si>
    <t>Underground instrumentation facility designed for static testing of conventional munitions, firearm ammunition, missile warheads, and fuel explosives.</t>
  </si>
  <si>
    <t>‌https://www.wbdg.org/FFC/AF/AFMAN/390224_Armament_Research_Testing_Structural.pdf</t>
  </si>
  <si>
    <t>Electronic Research RADAR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</si>
  <si>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</si>
  <si>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</si>
  <si>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Electronic Research NAVAID</t>
  </si>
  <si>
    <t>Facility designed as a target or tower for mobile laser projects.</t>
  </si>
  <si>
    <t>‌https://www.wbdg.org/FFC/AF/AFMAN/390381_Electronic_Research_Navaid.pdf</t>
  </si>
  <si>
    <t>Missile Launch Test Facility</t>
  </si>
  <si>
    <t>Facility or group of facilities where research, development and launching of drones is accomplished.  AFMC is the primary user.</t>
  </si>
  <si>
    <t>‌https://www.wbdg.org/FFC/AF/AFMAN/39053_Missile_Launch_Test_Facility.pdf</t>
  </si>
  <si>
    <t>Missile Landing Test Facility</t>
  </si>
  <si>
    <t>A stabilized or hard surfaced strip established primarily for the controlled landing of various glide capable missiles.</t>
  </si>
  <si>
    <t>‌https://www.wbdg.org/FFC/AF/AFMAN/390551_Missile_Landing_Test_Facility.pdf</t>
  </si>
  <si>
    <t>Missile Storage, Fuel</t>
  </si>
  <si>
    <t>Facility designed to provide ready storage of propellants (liquid) at rocket test stands and component development stands.</t>
  </si>
  <si>
    <t>‌https://www.wbdg.org/FFC/AF/AFMAN/390562_Missile_Storage_Fuel.pdf</t>
  </si>
  <si>
    <t>Specialized High Speed Test Track</t>
  </si>
  <si>
    <t>Ground based test facility to provide controlled test environment for including aircraft crew-escape systems, rain and particle erosion tests, impact testing, weapons dispense testing, electronic warfare, guidance system testing, and a wide array of aerodynamic tests.</t>
  </si>
  <si>
    <t>Propulsion Engine Testing, Fuel Systems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</si>
  <si>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</si>
  <si>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</si>
  <si>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Propulsion Engine Test Stand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</si>
  <si>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</si>
  <si>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</si>
  <si>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Propulsion Engine Test Cell</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</si>
  <si>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</si>
  <si>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</si>
  <si>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Test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</si>
  <si>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</si>
  <si>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</si>
  <si>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Research Communication Station Complex</t>
  </si>
  <si>
    <t>Facility designed for the purpose of testing, research, and development of communication systems of all kinds.</t>
  </si>
  <si>
    <t>‌https://www.wbdg.org/FFC/AF/AFMAN/390915_Research_Communications_Station_Complex.pdf</t>
  </si>
  <si>
    <t>Demineralized Water Storage</t>
  </si>
  <si>
    <t>Facility designed for the storage and dispensing of demineralized water for aircraft that require water injection as fuel augmentation for increased thrust.  (BL x 42 = GA)</t>
  </si>
  <si>
    <t>https://www.wbdg.org/FFC/AF/AFMAN/411123_Demineralized_Water_Storage.pdf</t>
  </si>
  <si>
    <t>Storage Water/Alcohol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</si>
  <si>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</si>
  <si>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</si>
  <si>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Bulk Storage Tank, Special Liquids - Above Ground</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</si>
  <si>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</si>
  <si>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https://www.wbdg.org/FFC/AF/AFMAN/411128_Special_Liquids_Storage.pdf</t>
  </si>
  <si>
    <t>Bulk Storage Tank, Petroleum, Aviation Gas - Above Ground</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</si>
  <si>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</si>
  <si>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https://www.wbdg.org/FFC/AF/AFMAN/411131_Aviation_Gas_Storage.pdf</t>
  </si>
  <si>
    <t>Bulk Storage Tank, Petroleum, Aviation Lubricants - Above Ground</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</si>
  <si>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</si>
  <si>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https://www.wbdg.org/FFC/AF/AFMAN/411132_Aviation_Lubricant_Storage.pdf</t>
  </si>
  <si>
    <t>Bulk Storage Tank, Petroleum, Diesel - Above Ground</t>
  </si>
  <si>
    <t>For Diesel,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</si>
  <si>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https://www.wbdg.org/FFC/AF/AFMAN/411134_Diesel_Fuel_Storage.pdf</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</si>
  <si>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</si>
  <si>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</si>
  <si>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https://www.wbdg.org/FFC/AF/AFMAN/411135_Jet_Fuel_Storage.pdf</t>
  </si>
  <si>
    <t xml:space="preserve">Bulk Storage Tank, Petroleum, MOGAS - Above Ground </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</si>
  <si>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</si>
  <si>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https://www.wbdg.org/FFC/AF/AFMAN/411137_Storage_MOGAS.pdf</t>
  </si>
  <si>
    <t>Bulk Liquid Storage Tank, Solvents - Above Ground</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</si>
  <si>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</si>
  <si>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https://www.wbdg.org/FFC/AF/AFMAN/411138_Storage_Solvents.pdf</t>
  </si>
  <si>
    <t>Storage Special Fuels - Above Ground</t>
  </si>
  <si>
    <t>Above ground bulk fuel tanks designed for storage of liquid chemicals in bulk.</t>
  </si>
  <si>
    <t>https://www.wbdg.org/FFC/AF/AFMAN/411139_Storage_Special_Fuel.pdf</t>
  </si>
  <si>
    <t>Rocket Propellant, Hydrazine - Above Ground</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</si>
  <si>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</si>
  <si>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</si>
  <si>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</si>
  <si>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</si>
  <si>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POL - 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</si>
  <si>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</si>
  <si>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</si>
  <si>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</si>
  <si>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</si>
  <si>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Bulk Storage Tank, Petroleum, Aviation Gas - Underground</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</si>
  <si>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</si>
  <si>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Aviation Lubricants - Underground</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</si>
  <si>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</si>
  <si>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</si>
  <si>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</si>
  <si>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Jet Fuel - Underground</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</si>
  <si>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</si>
  <si>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 xml:space="preserve">Bulk Storage Tank, Petroleum, MOGAS - Underground </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</si>
  <si>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</si>
  <si>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Liquid Storage Tank, Solvents - Underground</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</si>
  <si>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</si>
  <si>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Special Fuels - Underground</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</si>
  <si>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</si>
  <si>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Large Bulk Liquid Fuel Storage - Underground</t>
  </si>
  <si>
    <t>Underground bulk fuel tanks that are larger than 100,000 barrels in size. This FAC includes the containment structures around the storage tanks such as containment berms, liners, and monitoring wells.</t>
  </si>
  <si>
    <t>Rocket Propellant, Hydrazine - Underground</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</si>
  <si>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</si>
  <si>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</si>
  <si>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This CATCODE is for the storage of ballast and sludge liquids.</t>
  </si>
  <si>
    <t>High Explosive Magazine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</si>
  <si>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</si>
  <si>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Shed</t>
  </si>
  <si>
    <t>A structure for storing ammunition at an installation that provides overhead protection from the elements.</t>
  </si>
  <si>
    <t>Small Arms / Pyrotechnic Magazine</t>
  </si>
  <si>
    <t>A facility used to store Class 1 Division 3 and 4 ammunition; predominantly small arms ammunition and pyrotechnics.</t>
  </si>
  <si>
    <t>Submarine Launched Ballistic Missile Storage Facility</t>
  </si>
  <si>
    <t>This Catcode is primarily for the storage of submarine launched ballistic missiles</t>
  </si>
  <si>
    <t>Storage, Multi-Cubicle Magazine</t>
  </si>
  <si>
    <t>Facility designed to store munitions and explosives where many different rooms are required.</t>
  </si>
  <si>
    <t>https://www.wbdg.org/FFC/AF/AFMAN/422253_Storage_Multi_Cubicle_Magazine.pdf</t>
  </si>
  <si>
    <t>Storage, Rocket Checkout and Assembly</t>
  </si>
  <si>
    <t>Facility designed for on-line storage and maintenance of 2.27 inch rockets and AIM 4 missiles in direct support of the combat mission.</t>
  </si>
  <si>
    <t>https://www.wbdg.org/FFC/AF/AFMAN/422256_Storage_Rocket_Check_Out_and_Assembly.pdf</t>
  </si>
  <si>
    <t>Storage Segregated Magazine</t>
  </si>
  <si>
    <t>Facility designed for storing and segregating small quantities of explosives of different storage compatibility.</t>
  </si>
  <si>
    <t>https://www.wbdg.org/FFC/AF/AFMAN/422257_Storage_Segregated_Magazine.pdf</t>
  </si>
  <si>
    <t>Storage Magazine Above Ground TYPE A, B, &amp; 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</si>
  <si>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</si>
  <si>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</si>
  <si>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Missile Storage Facility</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</si>
  <si>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</si>
  <si>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</si>
  <si>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Storage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</si>
  <si>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</si>
  <si>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</si>
  <si>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Inert Spares Storage</t>
  </si>
  <si>
    <t>Facility designed for storage of inert spares. The facility is constructed in increments of 2500 SF as dictated by storage requirements. Construction is type N, unprotected non combustible.</t>
  </si>
  <si>
    <t>https://www.wbdg.org/FFC/AF/AFMAN/422265_Inert_Spares_Storage.pdf</t>
  </si>
  <si>
    <t>Storage, Module Barricaded</t>
  </si>
  <si>
    <t>Facility designed for storage of large quantities of explosives where minimum land area exists and where steel arch earth covered igloos are not available for use.</t>
  </si>
  <si>
    <t>https://www.wbdg.org/FFC/AF/AFMAN/422271_Storage_Module_Barricaded.pdf</t>
  </si>
  <si>
    <t>Storage Igloo Steel Arch Underpass</t>
  </si>
  <si>
    <t>Protected structures designed for use in austere areas.</t>
  </si>
  <si>
    <t>https://www.wbdg.org/FFC/AF/AFMAN/422273_Storage_Igloo_Steel_Arch.pdf</t>
  </si>
  <si>
    <t>Ancillary Explosives Facility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</si>
  <si>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</si>
  <si>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</si>
  <si>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Open Ammunition Storage</t>
  </si>
  <si>
    <t>Open areas used for the storage of ammunition.</t>
  </si>
  <si>
    <t>https://www.wbdg.org/FFC/AF/AFMAN/425199_Open_Ammunition_Storage.pdf</t>
  </si>
  <si>
    <t>Cold Storage, Base</t>
  </si>
  <si>
    <t>This facility is required to store perishable subsistence supplies that are maintained in support of dining halls (troop issue) and activities authorized to make charge sales. The storage of charge sales commodities requires about 10% of the total storage space.</t>
  </si>
  <si>
    <t>https://www.wbdg.org/FFC/AF/AFMAN/432283_Cold_Storage_Base.pdf</t>
  </si>
  <si>
    <t>General Purpose Warehouse</t>
  </si>
  <si>
    <t>A facility used as an general warehouse.</t>
  </si>
  <si>
    <t>Hazardous Storage Depot</t>
  </si>
  <si>
    <t>Special facility designed for storage of hazardous materials manufactured or produced by the depot function.</t>
  </si>
  <si>
    <t>https://www.wbdg.org/FFC/AF/AFMAN/441257_Hazardous_Storage_Depot.pdf</t>
  </si>
  <si>
    <t>Shed Supplies and Equipment Depot</t>
  </si>
  <si>
    <t>Special facility designed for storage of supplies and equipment solely used by air logistics centers (ALC's).</t>
  </si>
  <si>
    <t>https://www.wbdg.org/FFC/AF/AFMAN/441628_Shed_Supplies_and_Equip_Depot.pdf</t>
  </si>
  <si>
    <t>Warehouse Supplies and Equipment Depot</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</si>
  <si>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</si>
  <si>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</si>
  <si>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Base Hazardous Storage</t>
  </si>
  <si>
    <t>This facility is required to store dangerous materials that cannot be stored in base supply and equipment sheds or warehouses under the guidance provided on storage criteria and safety given in AFI 32-7086.</t>
  </si>
  <si>
    <t>https://www.wbdg.org/FFC/AF/AFMAN/442257_Base_Hazardous_Storage.pdf</t>
  </si>
  <si>
    <t>Liquid Oxygen Storage</t>
  </si>
  <si>
    <t>This category code identifies the cryogenics generating and storage facility with a protective fence enclosure, concrete foundation with Lox compatible sealer in joints, has drive through capability, grounding points and blow-down condensation traps.</t>
  </si>
  <si>
    <t>https://www.wbdg.org/FFC/AF/AFMAN/442258_Liquid_Oxygen_Storage.pdf</t>
  </si>
  <si>
    <t>Controlled Humidity Warehouse</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</si>
  <si>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</si>
  <si>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</si>
  <si>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WRM</t>
  </si>
  <si>
    <t>This category code identifies that space need for bulk medical war readiness materiel pre-positioned at the base.</t>
  </si>
  <si>
    <t>https://www.wbdg.org/FFC/AF/AFMAN/442515_WRM_Medical.pdf</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</si>
  <si>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</si>
  <si>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</si>
  <si>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</si>
  <si>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Base Supply and Equipment Shed</t>
  </si>
  <si>
    <t>20 foot high, covered facility with walls on three sides and designed for storage of equipment and materials that may be stored in open but covered space.</t>
  </si>
  <si>
    <t>https://www.wbdg.org/FFC/AF/AFMAN/442628_Base_Supplies_and_Equip_Shed.pdf</t>
  </si>
  <si>
    <t>Warehouse Supply and Equipment Base</t>
  </si>
  <si>
    <t>This facility is required for bulk and bin storage of materials for which maximum protection from the weather is authorized.</t>
  </si>
  <si>
    <t>https://www.wbdg.org/FFC/AF/AFMAN/442758_Warehouse_Supply_and_Equip_Base.pdf</t>
  </si>
  <si>
    <t>Warehouse, Troop Subsistence</t>
  </si>
  <si>
    <t>This facility is required to store non-perishable subsistence maintain to support dining halls and activities authorized to make charge sales.</t>
  </si>
  <si>
    <t>https://www.wbdg.org/FFC/AF/AFMAN/442765_Warehouse_Troop_Subsistence.pdf</t>
  </si>
  <si>
    <t>Warehouse, Forms and Publications, Base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</si>
  <si>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</si>
  <si>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</si>
  <si>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Housing Supplies and Storage Facility</t>
  </si>
  <si>
    <t>This facility provides storage space to meet four types of requirements that are all related to the operation and occupancy of military family housing, dormitories, and officer quarters.</t>
  </si>
  <si>
    <t>https://www.wbdg.org/FFC/AF/AFMAN/442769_Housing_Supplies_and_Storage_Fac.pdf</t>
  </si>
  <si>
    <t>Open Storage Area</t>
  </si>
  <si>
    <t>This category group consists of non-covered storage areas, paved or otherwise established, for storage of general supply materials.</t>
  </si>
  <si>
    <t>Open Storage, Depot</t>
  </si>
  <si>
    <t>Facility designed for depot storage of materials and equipment not requiring closed storage space. For organizations other than depot, use category code 452-252.</t>
  </si>
  <si>
    <t>https://www.wbdg.org/FFC/AF/AFMAN/451134_Open_Storage_Depot.pdf</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</si>
  <si>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</si>
  <si>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CATCODEs.</t>
  </si>
  <si>
    <t>Open Storage Base Supply</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</si>
  <si>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</si>
  <si>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</si>
  <si>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Base Civil Engineer Open Storage</t>
  </si>
  <si>
    <t>This facility is provided for open storage for base engineer activity such as space for construction materials and portable equipment that can with stand exposure to elements.</t>
  </si>
  <si>
    <t>https://www.wbdg.org/FFC/AF/AFMAN/452255_BCE_Open_Storage.pdf</t>
  </si>
  <si>
    <t>Open Storage, Air Freight/Traffic Management Surface Freight</t>
  </si>
  <si>
    <t>This facility supports and normally a joins the air freight and the traffic management facility.  It consists of a fenced, paved and lighted storage yard.  See AFH 32-1084 for criteria.</t>
  </si>
  <si>
    <t>https://www.wbdg.org/FFC/AF/AFMAN/452258_Open_Storage%20Air_Freight_Traffic_Mgmt.pdf</t>
  </si>
  <si>
    <t>Open Storage, Research and Development</t>
  </si>
  <si>
    <t>Holding or preparation areas used in support of research and development testing of aircraft and/or space vehicles.</t>
  </si>
  <si>
    <t>Composite Medical Facility</t>
  </si>
  <si>
    <t>A single facility which integrates the total functional spaces of a base medical facility. Inpatient and Outpatient care needs are able to be met.</t>
  </si>
  <si>
    <t>https://www.wbdg.org/FFC/AF/AFMAN/510001_Composite_Medical_Facility.pdf</t>
  </si>
  <si>
    <t>Medical Command and Administration</t>
  </si>
  <si>
    <t>Facility designed for command and administration of medical space. Functional space areas include resource management, registrar, medical squadron, reception and information, and conference areas.</t>
  </si>
  <si>
    <t>https://www.wbdg.org/FFC/AF/AFMAN/510125_Medical_Command_&amp;_Administration.pdf</t>
  </si>
  <si>
    <t>Medical/Dental Education and Training</t>
  </si>
  <si>
    <t>This category code identifies work/study area for educational support and includes centralized audio and video, computer terminals, multi-instructional learning capabilities and support space.</t>
  </si>
  <si>
    <t>https://www.wbdg.org/FFC/AF/AFMAN/510126_Medical_Dental_Edu_Trng.pdf</t>
  </si>
  <si>
    <t>Pathology</t>
  </si>
  <si>
    <t>Medical spaces designed for use in accomplishing clinical pathology administration, morgue, autopsy, and support of these functions</t>
  </si>
  <si>
    <t>https://www.wbdg.org/FFC/AF/AFMAN/510143_Pathology.pdf</t>
  </si>
  <si>
    <t>Pharmacy</t>
  </si>
  <si>
    <t>Medical space used for pharmacy drug information service, satellite pharmacy, clinical pharmacy, inpatient and outpatient pharmacy and support space.</t>
  </si>
  <si>
    <t>https://www.wbdg.org/FFC/AF/AFMAN/510147_Pharmacy.pdf</t>
  </si>
  <si>
    <t>Physical Therapy</t>
  </si>
  <si>
    <t>Medical space used for physical rehabilitation. Functional space areas include hydrotherapy, exercise stations, staff therapist offices, and support space.</t>
  </si>
  <si>
    <t>https://www.wbdg.org/FFC/AF/AFMAN/510148_Physical_Therapy.pdf</t>
  </si>
  <si>
    <t>Radiology</t>
  </si>
  <si>
    <t>Medical space used for radiology to include diagnostic, radiation therapy, nuclear medicine, and support space.</t>
  </si>
  <si>
    <t>https://www.wbdg.org/FFC/AF/AFMAN/510149_Radiology.pdf</t>
  </si>
  <si>
    <t>Aerospace Medicine</t>
  </si>
  <si>
    <t>Medical space used for flight medicine, physical evaluation, bioenvironmental engineer, environmental health, hyperbaric medicine, and support space.</t>
  </si>
  <si>
    <t>https://www.wbdg.org/FFC/AF/AFMAN/510175_Aerospace_Medicine.pdf</t>
  </si>
  <si>
    <t>Environmental Health</t>
  </si>
  <si>
    <t>This category code identifies medical space used for environmental health including space for the bioenvironmental engineer and support space.</t>
  </si>
  <si>
    <t>https://www.wbdg.org/FFC/AF/AFMAN/510176_Environmental_Health.pdf</t>
  </si>
  <si>
    <t>Food Service</t>
  </si>
  <si>
    <t>Medical space used for feeding patients and visitors and medical personnel. Space includes dining, kitchen, and support areas.</t>
  </si>
  <si>
    <t>https://www.wbdg.org/FFC/AF/AFMAN/510212_Food_Service.pdf</t>
  </si>
  <si>
    <t>Ambulance Shelter</t>
  </si>
  <si>
    <t>Facility designed for sheltering medical emergency vehicles. The facility ensures the immediate use of these vehicles and may be an open or enclosed structure, depending on climactic conditions.</t>
  </si>
  <si>
    <t>https://www.wbdg.org/FFC/AF/AFMAN/510264_Ambulance_Shelter.pdf</t>
  </si>
  <si>
    <t>Nursing Services</t>
  </si>
  <si>
    <t>This category code identifies medical space used for nursing services including obstetrical, medical/surgical, isolation, cardiac catheterization, pediatric, psychiatric, cardiac care, intensive care and support areas.</t>
  </si>
  <si>
    <t>https://www.wbdg.org/FFC/AF/AFMAN/510275_Nursing_Services.pdf</t>
  </si>
  <si>
    <t>Aeromedical Staging Facility</t>
  </si>
  <si>
    <t>Facility designed for medical nursing units, staging area, baggage room and ambulance/bus shelter space.</t>
  </si>
  <si>
    <t>https://www.wbdg.org/FFC/AF/AFMAN/510278_Aeromedical_Staging.pdf</t>
  </si>
  <si>
    <t>Obstetrical Service</t>
  </si>
  <si>
    <t>Medical space used for obstetrical service to include delivery rooms, labor, recovery, nursery and support areas.</t>
  </si>
  <si>
    <t>https://www.wbdg.org/FFC/AF/AFMAN/510342_Obstetrical_Service.pdf</t>
  </si>
  <si>
    <t>Air Force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</si>
  <si>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</si>
  <si>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</si>
  <si>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Surgical Service</t>
  </si>
  <si>
    <t>Medical space used for surgical services to include operating rooms, anesthesiology, recovery and support areas.</t>
  </si>
  <si>
    <t>Hospital Central Sterilization</t>
  </si>
  <si>
    <t>Medical space used for the sterilization of medical equipment and instruments to include decontamination, sterilization and assembly, processed stores, administration and support areas.</t>
  </si>
  <si>
    <t>https://www.wbdg.org/FFC/AF/AFMAN/510712_Hosp_Central_Sterilization.pdf</t>
  </si>
  <si>
    <t>Patient Welfare</t>
  </si>
  <si>
    <t>Medical space used for the convenience of patients while in the hospital to include: Red Cross, base exchange, chaplain, patient library and lounge.</t>
  </si>
  <si>
    <t>https://www.wbdg.org/FFC/AF/AFMAN/510915_Patient_Welfare.pdf</t>
  </si>
  <si>
    <t>Blood Processing Laboratory</t>
  </si>
  <si>
    <t>This category code identifies a facility which operates specimen collection, blood drawing, blood donor area, recovery, processing, and support space.</t>
  </si>
  <si>
    <t>https://www.wbdg.org/FFC/AF/AFMAN/530155_Blood_Processing_Lab.pdf</t>
  </si>
  <si>
    <t>Drug Abuse Detection Laboratory</t>
  </si>
  <si>
    <t>Medical space designed for use as a radio immunoassay laboratory, gas chronograph, forensic medicine and documentation, technical support services, and building support area.</t>
  </si>
  <si>
    <t>https://www.wbdg.org/FFC/AF/AFMAN/530156_Drug_Abuse_Detection_Lab.pdf</t>
  </si>
  <si>
    <t>Occupational Environmental Health Laboratory</t>
  </si>
  <si>
    <t>This category code identifies space used for data automation, consultant, analytical, technical, radiation services and support space.</t>
  </si>
  <si>
    <t>‌https://www.wbdg.org/FFC/AF/AFMAN/530411_Occup_Envir_Health_Lab.pdf</t>
  </si>
  <si>
    <t>Biosafety Laboratory Level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</si>
  <si>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</si>
  <si>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</si>
  <si>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Clinical Laboratory Epidemiological</t>
  </si>
  <si>
    <t>Medical space used for disease surveillance, medical entomology, epidemiology, and support space.</t>
  </si>
  <si>
    <t>https://www.wbdg.org/FFC/AF/AFMAN/530511_Clinical_Lab_Epidemiological.pdf</t>
  </si>
  <si>
    <t>Materials Services (Medical Logistics)</t>
  </si>
  <si>
    <t>This category code identifies medical space used for material services including administration area, bulk storage, uniform service, linen service, medical equipment repair center, plant management and support areas.</t>
  </si>
  <si>
    <t>https://www.wbdg.org/FFC/AF/AFMAN/530602_Material_Services.pdf</t>
  </si>
  <si>
    <t>Medical Food Inspection</t>
  </si>
  <si>
    <t>This facility supports three major functions which operate semi-autonomously from the parent base medical facility:  food inspection service, public health service, and medical service.</t>
  </si>
  <si>
    <t>https://www.wbdg.org/FFC/AF/AFMAN/530634_Medical_Food_Inspect.pdf</t>
  </si>
  <si>
    <t>Fisher House</t>
  </si>
  <si>
    <t xml:space="preserve">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</si>
  <si>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Area Dental Laboratory</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</si>
  <si>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</si>
  <si>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</si>
  <si>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Dental Clinic</t>
  </si>
  <si>
    <t>Facility designed for dental treatment of all kinds and consists of multiple dental treatment rooms with all necessary ancillary equipment and services. Dental treatment rooms include operating rooms for general and specialized dentistry.</t>
  </si>
  <si>
    <t>https://www.wbdg.org/FFC/AF/AFMAN/540243_Dental_Clinic.pdf</t>
  </si>
  <si>
    <t>Outpatient Ambulatory Care Clinic</t>
  </si>
  <si>
    <t>This facility is required to provide ambulatory care on an outpatient basis.</t>
  </si>
  <si>
    <t>https://www.wbdg.org/FFC/AF/AFMAN/550101_Outpatient_Ambulatory_Care_Clinic.pdf</t>
  </si>
  <si>
    <t>Occupational Health Clinic</t>
  </si>
  <si>
    <t>This facilities consists of medical space for administration, emergency service, mental health, occupational health service and ancillary support areas.</t>
  </si>
  <si>
    <t>https://www.wbdg.org/FFC/AF/AFMAN/550145_Occupational_Health_Clinic.pdf</t>
  </si>
  <si>
    <t>Medical Aid Station</t>
  </si>
  <si>
    <t>Facility with the primary purpose of providing emergency and ambulatory service. Most medical aid stations requirements are found overseas or at remote locations.</t>
  </si>
  <si>
    <t>https://www.wbdg.org/FFC/AF/AFMAN/550147_Medical_Aid_Station.pdf</t>
  </si>
  <si>
    <t>Administrative Office, Misc</t>
  </si>
  <si>
    <t>This facility accommodates administrative areas or functions not covered in other category codes available.</t>
  </si>
  <si>
    <t>https://www.wbdg.org/FFC/AF/AFMAN/6_FC_6_CG_61_Admin_Overview_Apr_2020.pdf</t>
  </si>
  <si>
    <t>Facility usually manned by one or two judge advocates who provide private council to people accused of wrongdoing with regard to the Uniform Code of Military Justice.</t>
  </si>
  <si>
    <t>https://www.wbdg.org/FFC/AF/AFMAN/610111_Area_Defense_Counsel_Office.pdf</t>
  </si>
  <si>
    <t>Law Center</t>
  </si>
  <si>
    <t>Facility designed to provide space for the installation staff judge advocate and a courtroom.</t>
  </si>
  <si>
    <t>https://www.wbdg.org/FFC/AF/AFMAN/610112_Law_Center.pdf</t>
  </si>
  <si>
    <t>Family Housing Management Office</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</si>
  <si>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</si>
  <si>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</si>
  <si>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Vehicle Operations Administration</t>
  </si>
  <si>
    <t>Facility designed for use as the operational center of the base motor pool. Functional space areas include locker room, latrines, driver's ready room, dispatcher, administrative space, and a driver</t>
  </si>
  <si>
    <t>https://www.wbdg.org/FFC/AF/AFMAN/610121_Vehicle_Ops_Fac.pdf</t>
  </si>
  <si>
    <t>Base Supply Administration</t>
  </si>
  <si>
    <t>Facility designed for use as administrative offices that support the base supply organization.</t>
  </si>
  <si>
    <t>https://www.wbdg.org/FFC/AF/AFMAN/610122_Supply_Admin.pdf</t>
  </si>
  <si>
    <t>Air Force Plant Administration Office</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</si>
  <si>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</si>
  <si>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</si>
  <si>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Squadron / Company Headquarters Building</t>
  </si>
  <si>
    <t>A building provided for squadrons administrative functions that do not categorize under other Air Force Catcodes. This is to include Air Force and Navy squadron headquarters and Army company or equivalent headquarters, and all subordinate echelons as space to perform daily administrative and supply activities.</t>
  </si>
  <si>
    <t>https://www.wbdg.org/FFC/AF/AFMAN/610124_Squadron_Company_Headquarters_Bldg.pdf</t>
  </si>
  <si>
    <t>Company Headquarters BLDG - Transient Training</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</si>
  <si>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</si>
  <si>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</si>
  <si>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Base Engineer Administration</t>
  </si>
  <si>
    <t>Facility designed for use as the principal administrative offices of the Base Civil Engineer. Functional space areas include the Squadron Commander's Office suite, squadron administration, programming,</t>
  </si>
  <si>
    <t>https://www.wbdg.org/FFC/AF/AFMAN/610127_Base_Engineer_Admin.pdf</t>
  </si>
  <si>
    <t>Base Personnel Office</t>
  </si>
  <si>
    <t>This facility housing the military and civilian personnel administration and services function and where appropriate the education services function.</t>
  </si>
  <si>
    <t>https://www.wbdg.org/FFC/AF/AFMAN/610128_Base_Personnel_Off.pdf</t>
  </si>
  <si>
    <t>Weapon System Maintenance Management Facility</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</si>
  <si>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</si>
  <si>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https://www.wbdg.org/FFC/AF/AFMAN/610129_Weapons_Sys_Maint_Mgmt_Fac.pdf</t>
  </si>
  <si>
    <t>Traffic Management Facility</t>
  </si>
  <si>
    <t>This facility is required for the administration, shipping, and receiving by rail and truck of military supplies, household goods, personal effects and movement of personnel by air and surface modes of transportation.</t>
  </si>
  <si>
    <t>https://www.wbdg.org/FFC/AF/AFMAN/610142_Traffic_Mgmt.pdf</t>
  </si>
  <si>
    <t>Munitions Maintenance Administration</t>
  </si>
  <si>
    <t>Facility designed for munitions maintenance squadron administrative and control functions.</t>
  </si>
  <si>
    <t>https://www.wbdg.org/FFC/AF/AFMAN/610144_Munition_Maint_Admin.pdf</t>
  </si>
  <si>
    <t>Orderly Room in Dormitory</t>
  </si>
  <si>
    <t>Squadron orderly room space is normally located in the building that serves as the Squadron’s principal place of work.</t>
  </si>
  <si>
    <t>https://www.wbdg.org/FFC/AF/AFMAN/610241_Orderly_Room_in_Dorm.pdf</t>
  </si>
  <si>
    <t>Headquarters, Group</t>
  </si>
  <si>
    <t>This facility houses the administration staff offices for group headquarters, supporting functions such as operational support, air base and support commands, maintenance and supply, communications security, security police, Mission Delta, Space Delta, Integrated Mission Deltas, System Deltas, and various specialized groups.</t>
  </si>
  <si>
    <t>https://www.wbdg.org/FFC/AF/AFMAN/610243_HQ_Group.pdf</t>
  </si>
  <si>
    <t>Wing Headquarters</t>
  </si>
  <si>
    <t>This facility houses staff offices for headquarters of operational wings, air base wings, training wings, Space Base Delta, and Space Launch Delta. It provides administrative and support space, including the wing/delta staff agencies.</t>
  </si>
  <si>
    <t>https://www.wbdg.org/FFC/AF/AFMAN/610249_HQ_Wing.pdf</t>
  </si>
  <si>
    <t>Headquarters Center</t>
  </si>
  <si>
    <t>Facility designed to accommodate the staff offices of various Center organizations (excluding separate operating agency centers) such as:  AFMC Centers, AETC Training Centers, and miscellaneous Centers under USAF and ACC.</t>
  </si>
  <si>
    <t>https://www.wbdg.org/FFC/AF/AFMAN/610281_HQ_Center.pdf</t>
  </si>
  <si>
    <t>Headquarters Air Force/Space Force</t>
  </si>
  <si>
    <t>Facilities occupied by Headquarters staff offices of  Air Force and Space Force, including field extensions. It also applies to the Headquarters of AF Forward Operating Agencies (FOAs) and AF Direct Reporting Units (DRUs).</t>
  </si>
  <si>
    <t>https://www.wbdg.org/FFC/AF/AFMAN/610282_Air_Force_HQ.pdf</t>
  </si>
  <si>
    <t>Headquarters Major Command/Field Command</t>
  </si>
  <si>
    <t>This facility houses administrative offices for the Air Force Major Command (MAJCOM) and Space Force Field Commands (FLDCOM) headquarters, including any field extensions.</t>
  </si>
  <si>
    <t>https://www.wbdg.org/FFC/AF/AFMAN/610284_Major_Command_HQ.pdf</t>
  </si>
  <si>
    <t>Headquarters Numbered Air Force</t>
  </si>
  <si>
    <t>Facility designed to accommodate Numbered Air Force staff offices and their field extensions.</t>
  </si>
  <si>
    <t>https://www.wbdg.org/FFC/AF/AFMAN/610285_Numbered_Air_Force_HQ.pdf</t>
  </si>
  <si>
    <t>Headquarters Named/Numbered Division</t>
  </si>
  <si>
    <t>Facility designed to accommodate various headquarters named and numbered divisions staff offices.</t>
  </si>
  <si>
    <t>https://www.wbdg.org/FFC/AF/AFMAN/610286_HQ_Named_Numbered_Division.pdf</t>
  </si>
  <si>
    <t>Headquarters Specified</t>
  </si>
  <si>
    <t>Facility designed to accommodate staff offices comprising other headquarters designations such as  Joint Combatant Commands and their service components.</t>
  </si>
  <si>
    <t>https://www.wbdg.org/FFC/AF/AFMAN/610287_Specified_HQ.pdf</t>
  </si>
  <si>
    <t>Documentation Staging Facility</t>
  </si>
  <si>
    <t>Facility designed for storage, maintenance, and servicing of non-current official documentation having a retention period of 8 years or less.</t>
  </si>
  <si>
    <t>https://www.wbdg.org/FFC/AF/AFMAN/610311_Document_Staging_Fac.pdf</t>
  </si>
  <si>
    <t>Farm Facility</t>
  </si>
  <si>
    <t>Facility designed to house small animals or birds such as the USAFA mascot (Falcon). Also included are areas for raising and storing grain and other supplies for feeding the animals.</t>
  </si>
  <si>
    <t>‌https://www.wbdg.org/FFC/AF/AFMAN/610332_FARM_Facility.pdf</t>
  </si>
  <si>
    <t>Logistics Facility Depot Operations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</si>
  <si>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</si>
  <si>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</si>
  <si>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Data Processing Installation</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</si>
  <si>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</si>
  <si>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</si>
  <si>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Printing Plant</t>
  </si>
  <si>
    <t>This facility provides base printing support to co-located units/activities for which a memorandum of agreement exists for such support. Plant printing differs from plant reproduction in that higher quality/volume is possible due to the lithographic camera process.</t>
  </si>
  <si>
    <t>https://www.wbdg.org/FFC/AF/AFMAN/610717_Printing_Plant.pdf</t>
  </si>
  <si>
    <t>Plant Reproduction</t>
  </si>
  <si>
    <t>Facility designed to provide duplicating service support and is in some cases a satellite of the printing plant facility. High speed copier duplicators are used for quick turnaround line copy reproduction.</t>
  </si>
  <si>
    <t>https://www.wbdg.org/FFC/AF/AFMAN/610718_Plant_Reproduction.pdf</t>
  </si>
  <si>
    <t>Administrative Building, General Purpose, High-Rise</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</si>
  <si>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</si>
  <si>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Administrative Office, Non Air Force</t>
  </si>
  <si>
    <t>This category code identifies those facilities used for non-Air Force administrative space. This space can be used by, but not limited to the Army or Navy.</t>
  </si>
  <si>
    <t>https://www.wbdg.org/FFC/AF/AFMAN/610811_Admin_Office_Non_AF.pdf</t>
  </si>
  <si>
    <t>Equal Opportunity Facility</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</si>
  <si>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</si>
  <si>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https://www.wbdg.org/FFC/AF/AFMAN/610911_Equal_Opportunity_Facility.pdf</t>
  </si>
  <si>
    <t>Emergency Management</t>
  </si>
  <si>
    <t>Facility for the administration and training installation's populace on chemical, biological, radiological, and nuclear defense, installation incident management, and emergency response operations. The EOC is classified under CC 140421 - Emergency Operations Center.</t>
  </si>
  <si>
    <t>https://www.wbdg.org/FFC/AF/AFMAN/610913_Disaster_Prep_Emerg_Mgmt.pdf</t>
  </si>
  <si>
    <t>Office of Special Investigations</t>
  </si>
  <si>
    <t>Facility designed for secure administrative and support areas which are required for conducting special investigations. This includes the regional and special program detachments.</t>
  </si>
  <si>
    <t>https://www.wbdg.org/FFC/AF/AFMAN/610915_AF_OSI.pdf</t>
  </si>
  <si>
    <t>Victim Counsel (VC)</t>
  </si>
  <si>
    <t>Facility that is manned by a special team to focus on prosecution, supporting sexual assault victims.</t>
  </si>
  <si>
    <t>Administrative Structure,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</si>
  <si>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</si>
  <si>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</si>
  <si>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Billboard</t>
  </si>
  <si>
    <t>This category code identifies permanently constructed boards (outdoors) which are used to post notices and advertisements.</t>
  </si>
  <si>
    <t>https://www.wbdg.org/FFC/AF/AFMAN/690252_Billboard.pdf</t>
  </si>
  <si>
    <t>Flag Pole</t>
  </si>
  <si>
    <t>This category code identifies staffs or poles on which a flag is displayed. This includes the base to which it is mounted.</t>
  </si>
  <si>
    <t>https://www.wbdg.org/FFC/AF/AFMAN/690432_Flag_Pole.pdf</t>
  </si>
  <si>
    <t>Troop Shelter</t>
  </si>
  <si>
    <t>Facility designed for use in forward basing areas to house personnel and equipment items. The facility provides protection from fallout and blasts when covered with a minimum of 18" of concrete or equivalent earth cover.</t>
  </si>
  <si>
    <t>https://www.wbdg.org/FFC/AF/AFMAN/690625_Troop_Shelter.pdf</t>
  </si>
  <si>
    <t>Covered Review Stand</t>
  </si>
  <si>
    <t>This facility is used by reviewing authorities when performing a formal inspection of an organization. This facility is covered to protect the reviewing authority from adverse weather.</t>
  </si>
  <si>
    <t>https://www.wbdg.org/FFC/AF/AFMAN/690792_Covered_Review_Stand.pdf</t>
  </si>
  <si>
    <t>Open Review Stand</t>
  </si>
  <si>
    <t>This facility is used by reviewing authorities when performing a formal inspection of an organization. This facility is not covered.</t>
  </si>
  <si>
    <t>https://www.wbdg.org/FFC/AF/AFMAN/690795_Open_Review_Stand.pdf</t>
  </si>
  <si>
    <t>Kennel, Stray Animal</t>
  </si>
  <si>
    <t>Facility designed for retention and care of stray animals found on base until they can be returned to their owner.</t>
  </si>
  <si>
    <t>https://www.wbdg.org/FFC/AF/AFMAN/690798_Kennel_Stray_Animal.pdf</t>
  </si>
  <si>
    <t>Family Housing Capehart</t>
  </si>
  <si>
    <t>Military Family Housing units acquired under the terms of the Capehart Housing Act of 1955.</t>
  </si>
  <si>
    <t>https://www.wbdg.org/FFC/AF/AFMAN/711111_Family_Housing_Capehart.pdf</t>
  </si>
  <si>
    <t>Family Housing Wherry</t>
  </si>
  <si>
    <t>Military Family Housing units acquired under the terms of the Wherry Housing Act of 1956.</t>
  </si>
  <si>
    <t>https://www.wbdg.org/FFC/AF/AFMAN/711121_Family_Housing_Wherry.pdf</t>
  </si>
  <si>
    <t>Family Housing Lanham</t>
  </si>
  <si>
    <t>Military Family Housing units acquired under the terms of the Lanham Act Legislation.</t>
  </si>
  <si>
    <t>https://www.wbdg.org/FFC/AF/AFMAN/711131_Family_Housing_Lanham.pdf</t>
  </si>
  <si>
    <t>Family Housing Appropriated FY 70 and After</t>
  </si>
  <si>
    <t>Military Family Housing units acquired incidental to land purchases or acquired under direct funding in FY 1970 or after.</t>
  </si>
  <si>
    <t>https://www.wbdg.org/FFC/AF/AFMAN/711142_Family_Housing_Appropriated_FY_70_&amp;_After.pdf</t>
  </si>
  <si>
    <t>Family Housing Appropriated FY 50 - 69</t>
  </si>
  <si>
    <t>Military Family Housing units acquired incidental to land purchases or acquired under direct funding in FY 1950 through FY 1969.</t>
  </si>
  <si>
    <t>https://www.wbdg.org/FFC/AF/AFMAN/711143_Family_Housing_Appropriated_FY_50-69.pdf</t>
  </si>
  <si>
    <t>Family Housing Appropriated Pre FY 1950</t>
  </si>
  <si>
    <t>Military Family Housing units acquired incidental to land purchases or acquired under direct funding appropriated prior to FY 1950.</t>
  </si>
  <si>
    <t>https://www.wbdg.org/FFC/AF/AFMAN/711144_Family_Housing_Appropriated_Pre_FY_1950.pdf</t>
  </si>
  <si>
    <t>Family Housing Surplus Commodity</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</si>
  <si>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</si>
  <si>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</si>
  <si>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Family Housing Deutchmark</t>
  </si>
  <si>
    <t>Military Family Housing units owned by the Government of the Federal Republic of Germany and used by the USAF under International Agreement.</t>
  </si>
  <si>
    <t>https://www.wbdg.org/FFC/AF/AFMAN/711161_Family_Housing_Deutchmark.pdf</t>
  </si>
  <si>
    <t>Family Housing YEN</t>
  </si>
  <si>
    <t>Military Family Housing units owned by the Government of Japan and used by the USAF under International Agreement.</t>
  </si>
  <si>
    <t>https://www.wbdg.org/FFC/AF/AFMAN/711171_Family_Housing_Yen.pdf</t>
  </si>
  <si>
    <t>Family Housing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</si>
  <si>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</si>
  <si>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</si>
  <si>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Family Housing Relocatable</t>
  </si>
  <si>
    <t>Military Family Housing units specifically designed for relocation to a different site. Manufactured housing is defined in 24 CFR 3230 as a transportable dwelling of fixed dimensions.</t>
  </si>
  <si>
    <t>https://www.wbdg.org/FFC/AF/AFMAN/711191_Family_Housing_Relocatable.pdf</t>
  </si>
  <si>
    <t>Family Housing Rental Guarantee</t>
  </si>
  <si>
    <t>This category code identifies those family housing units which guarantee a percentage of full occupancy by military families to the builder or owner.</t>
  </si>
  <si>
    <t>https://www.wbdg.org/FFC/AF/AFMAN/711211_Family_Housing_Rental_Guarantee.pdf</t>
  </si>
  <si>
    <t>Family Housing Leased</t>
  </si>
  <si>
    <t>Military Family Housing units leased by the Air Force from private owners.</t>
  </si>
  <si>
    <t>https://www.wbdg.org/FFC/AF/AFMAN/711221_Family_Housing_Leased.pdf</t>
  </si>
  <si>
    <t>Family Housing USA</t>
  </si>
  <si>
    <t>Prefabricated Military Family Housing units that are re-locatable.</t>
  </si>
  <si>
    <t>https://www.wbdg.org/FFC/AF/AFMAN/711231_Family_Housing_USA.pdf</t>
  </si>
  <si>
    <t>Family Housing Attached Garage</t>
  </si>
  <si>
    <t>This category code identifies those garages attached to military family housing units.</t>
  </si>
  <si>
    <t>https://www.wbdg.org/FFC/AF/AFMAN/711311_Family_Housing_Attached_Garage.pdf</t>
  </si>
  <si>
    <t>Family Housing Attached Carport</t>
  </si>
  <si>
    <t>Carports attached to military family housing units.</t>
  </si>
  <si>
    <t>https://www.wbdg.org/FFC/AF/AFMAN/711312_Family_Housing_Attached_Carport.pdf</t>
  </si>
  <si>
    <t>Family Housing High Rise</t>
  </si>
  <si>
    <t>A building equal to, or greater in height than 7 stories above ground, which contains family housing units/apartments. Associated space may include lobby, multipurpose room, restrooms, elevator banks, utility/control rooms, emergency generators.</t>
  </si>
  <si>
    <t>Mobile Home Court Support Facility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</si>
  <si>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</si>
  <si>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</si>
  <si>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Mobile Home Court Parking Area</t>
  </si>
  <si>
    <t>Mobile home court parking areas constructed with appropriated funds.</t>
  </si>
  <si>
    <t>https://www.wbdg.org/FFC/AF/AFMAN/713366_Mobile_Home_Court_Parking_Area.pdf</t>
  </si>
  <si>
    <t>Family-Housing -Other Detached Facilities</t>
  </si>
  <si>
    <t>Minor detached buildings and facilities directly relating to a particular family dwelling.</t>
  </si>
  <si>
    <t>Garage, Family Housing, Detached</t>
  </si>
  <si>
    <t>Free standing garage adjacent to family housing unit.</t>
  </si>
  <si>
    <t>https://www.wbdg.org/FFC/AF/AFMAN/714431_Garage_Family_Housing_Detatched.pdf</t>
  </si>
  <si>
    <t>Family Housing Detached Carport</t>
  </si>
  <si>
    <t>Free standing carports adjacent to family housing units.</t>
  </si>
  <si>
    <t>https://www.wbdg.org/FFC/AF/AFMAN/714432_Family_Housing_Detatched_Carport.pdf</t>
  </si>
  <si>
    <t>Family Housing Detached Storage</t>
  </si>
  <si>
    <t>Free standing support utility structures for storage of lawn maintenance equipment and personal property.</t>
  </si>
  <si>
    <t>https://www.wbdg.org/FFC/AF/AFMAN/714433_Family_Housing_Detatched_Storage.pdf</t>
  </si>
  <si>
    <t>Air Force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</si>
  <si>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permanent change of station. Other occupants include military patients in local hospitals; visitors of patients in military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 Report the UMO of these buildings with PN equal to bedroom. (Does not apply to FSS-operated lodging facilities).</t>
  </si>
  <si>
    <t>Federal Prison Facility</t>
  </si>
  <si>
    <t>Facility designed to house minimum security inmates. Functional space area includes sleeping quarters, administrative area, visiting area, library, and mail room.</t>
  </si>
  <si>
    <t>https://www.wbdg.org/FFC/AF/AFMAN/721123_Federal_Prison.pdf</t>
  </si>
  <si>
    <t>Transient UPH, Advanced Individual Trainees (AIT), Unaccompanied Housing</t>
  </si>
  <si>
    <t>Unaccompanied Housing for personnel attending MOS producing schools at locations other than Army training centers.</t>
  </si>
  <si>
    <t>https://www.wbdg.org/FFC/AF/AFMAN/721201_Transient_UPH,_Advan_Individual_Trainees.pdf</t>
  </si>
  <si>
    <t>Dining Hall in Airman Dormitory</t>
  </si>
  <si>
    <t>Facility designed for inclusion within a dormitory.  This type facility must be justified by operational needs.</t>
  </si>
  <si>
    <t>https://www.wbdg.org/FFC/AF/AFMAN/721215_Dining_Hall-in_Airmen_Dorm.pdf</t>
  </si>
  <si>
    <t>Dormitory, Recruits</t>
  </si>
  <si>
    <t>This facility is required to house unaccompanied personnel in the enlisted ranks and comparable-grade unaccompanied civilian employees. See AFH 32-1084 for criteria.</t>
  </si>
  <si>
    <t>https://www.wbdg.org/FFC/AF/AFMAN/721311_Dormitory_Recruits.pdf</t>
  </si>
  <si>
    <t>Dormitory Airman Permanent Party/PCS-Student</t>
  </si>
  <si>
    <t>Dormitory Airman Permanent Party/PCS-STUDENT – This facility is required to house unaccompanied personnel in the enlisted ranks and comparable- grade unaccompanied civilian employees.</t>
  </si>
  <si>
    <t>https://www.wbdg.org/FFC/AF/AFMAN/721312_Dorm_Airman_Perm_Party_PCS_Student.pdf</t>
  </si>
  <si>
    <t>Technical Training Student Housing</t>
  </si>
  <si>
    <t>A facility used to house technical training students at Air Force bases where specific dormitories or portions thereof have been for use by technical training students. The number of students that could be housed in each room according to minimum standards established by AFI 32-6005. Unaccompanied Housing Management. Table 3.1, would define the capacity.</t>
  </si>
  <si>
    <t>https://www.wbdg.org/FFC/AF/AFMAN/721313_Technical_Training_Student_Housing.pdf</t>
  </si>
  <si>
    <t>Dormitory, Unaccompanied Noncommissioned Officers (NCO)</t>
  </si>
  <si>
    <t>This facility houses unaccompanied noncommissioned officers (NCO) and comparable- grade civilian employees ineligible for assignment to family housing. See AFH 32-1084 for criteria.</t>
  </si>
  <si>
    <t>https://www.wbdg.org/FFC/AF/AFMAN/721314_Dorm_Unaccompanied_NonCom.pdf</t>
  </si>
  <si>
    <t>Dormitory Visiting Airman Quarters</t>
  </si>
  <si>
    <t>Facility designed for visiting unaccompanied enlisted personnel and civilian equivalents. The standard living unit is similar to category code 721-312.</t>
  </si>
  <si>
    <t>https://www.wbdg.org/FFC/AF/AFMAN/721315_Dormitory_Visiting_Airman_Quarters.pdf</t>
  </si>
  <si>
    <t>Dormitory Unaccompanied - Wounded Warriors</t>
  </si>
  <si>
    <t>This facility is required to house unaccompanied personnel who have been wounded or injured during combat operations.</t>
  </si>
  <si>
    <t>https://www.wbdg.org/FFC/AF/AFMAN/721316_Dorm_Unaccompanied_Wounded_Warrio.pdf</t>
  </si>
  <si>
    <t>Transient UPH, Advanced Individual Trainees (AIT), Barracks</t>
  </si>
  <si>
    <t>Barracks for students attending MOS-producing schools at locations other than Army training centers. Use catcode 72181, Trainee Barracks, at Army training center locations.</t>
  </si>
  <si>
    <t>https://www.wbdg.org/FFC/AF/AFMAN/721321_Transient_UPH_Advance_Indiv_Trainees.pdf</t>
  </si>
  <si>
    <t>Transient UPH, Advanced Skills Trainees (AST)</t>
  </si>
  <si>
    <t>A building that houses personnel attending non-MOS producing schools of instruction at Army training centers and equivalent locations. This includes facilities for housing of students attending additional skills or advanced training such as Basic Noncommissioned Officers' Course, Advanced Noncommissioned Officers' Course, and Senior Noncommissioned Officers' Course.</t>
  </si>
  <si>
    <t>https://www.wbdg.org/FFC/AF/AFMAN/721322_Transient_UPH_Advance_Skill_Trainees.pdf</t>
  </si>
  <si>
    <t>Unaccompanied Personnel Quarters (Mobilization, Exercise, and Disaster Response)</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</si>
  <si>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</si>
  <si>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</si>
  <si>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Fast Food Service</t>
  </si>
  <si>
    <t>Facility designed for fast food service and run by private contractors. Functional space area includes customer service area, food preparation and support, refrigerated storage, and dry storage.</t>
  </si>
  <si>
    <t>https://www.wbdg.org/FFC/AF/AFMAN/722345_Fast_Food_Service_Fac.pdf</t>
  </si>
  <si>
    <t>Airman Dining Halls (Detached)</t>
  </si>
  <si>
    <t>This facility includes:  refrigerated and dry storage space, food preparation and support space, dining room space, washing room, protected, washing-way, and patron toilets.</t>
  </si>
  <si>
    <t>https://www.wbdg.org/FFC/AF/AFMAN/722351_Airmen_Dining_Fac.pdf</t>
  </si>
  <si>
    <t>Officers Dining Halls (Detached)</t>
  </si>
  <si>
    <t>Same type facility as 722-351, except configured to serve the officer contingent. Typically the facility is somewhat smaller to the Airman version, mainly due to population.</t>
  </si>
  <si>
    <t>https://www.wbdg.org/FFC/AF/AFMAN/722356_Officers_Dining_Fac.pdf</t>
  </si>
  <si>
    <t>Garage Automobile</t>
  </si>
  <si>
    <t>Detached garages that are used by unaccompanied personnel when staying at UEPH.</t>
  </si>
  <si>
    <t>Kitchen, Central Preparation</t>
  </si>
  <si>
    <t>Production operation kitchen where food is prepared either partially or completely for use in nearby appropriated fund dining halls or where foil pack meals are prepared for missile site feeding.</t>
  </si>
  <si>
    <t>https://www.wbdg.org/FFC/AF/AFMAN/723385_Kitchen_Central_Prep.pdf</t>
  </si>
  <si>
    <t>Facility designed to provide meal preparation for in-flight meals. Functional space area includes storage area, food preparation area, assembly and issue area and building support area.</t>
  </si>
  <si>
    <t>https://www.wbdg.org/FFC/AF/AFMAN/723388_Flight_Kitchen.pdf</t>
  </si>
  <si>
    <t>Sanitary Latrine</t>
  </si>
  <si>
    <t>Facility which in and of itself, functions as a latrine.</t>
  </si>
  <si>
    <t>https://www.wbdg.org/FFC/AF/AFMAN/723392_Sanitary_Latrine.pdf</t>
  </si>
  <si>
    <t>Carport, UPH</t>
  </si>
  <si>
    <t>A covered structure for parking privately owned vehicles (POVs) in proximity to unaccompanied personnel housing areas.</t>
  </si>
  <si>
    <t>Unaccompanied Housing - Other Detached Buildings</t>
  </si>
  <si>
    <t>Used for minor detached buildings and facilities directly relating to unaccompanied housing functions.</t>
  </si>
  <si>
    <t>Troop Housing - Other Detached Facilities</t>
  </si>
  <si>
    <t>These codes are for inventory purposes only and are to be used for minor detached buildings and facilities directly relating to unaccompanied housing functions.</t>
  </si>
  <si>
    <t>Officer's Quarters</t>
  </si>
  <si>
    <t>This facility houses unaccompanied officer personnel, comparable-grade civilian employees ineligible for assignment to family housing. Room configuration consists of a combination living room/bedroom, private bath and kitchen.</t>
  </si>
  <si>
    <t>https://www.wbdg.org/FFC/AF/AFMAN/723415_Officers_Quarters.pdf</t>
  </si>
  <si>
    <t>Visiting Officer's Quarters</t>
  </si>
  <si>
    <t>Facility designed to house unaccompanied visiting officer personnel or civilian equivalents. Room configuration consists of a combination living room/bedroom, private bath and kitchen.</t>
  </si>
  <si>
    <t>https://www.wbdg.org/FFC/AF/AFMAN/724417_Visiting_Officers_Quarters.pdf</t>
  </si>
  <si>
    <t>Cadet Quarters</t>
  </si>
  <si>
    <t>Facility designed to house cadets who attend either the U.S. Air Force Academy, Officer Training School or Reserve Officer Training School.</t>
  </si>
  <si>
    <t>https://www.wbdg.org/FFC/AF/AFMAN/724433_Cadet_Quarters.pdf</t>
  </si>
  <si>
    <t>Housing - Emergency Building</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</si>
  <si>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</si>
  <si>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Tent Pad</t>
  </si>
  <si>
    <t>A pad structure that serves as a base for a tent that provides temporary housing, showers, dining facilities, and company/battalion administration in emergency or training situations.</t>
  </si>
  <si>
    <t>https://www.wbdg.org/FFC/AF/AFMAN/725121_Tent_Pad.pdf</t>
  </si>
  <si>
    <t>Civilian Camp</t>
  </si>
  <si>
    <t>Those facilities used as dormitories by non-U.S. civilian employees organized in para-military organizations providing labor services, guard duty, transportation and other support.</t>
  </si>
  <si>
    <t>https://www.wbdg.org/FFC/AF/AFMAN/725513_Civilian_Camp.pdf</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</si>
  <si>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</si>
  <si>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</si>
  <si>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</si>
  <si>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Fire Station</t>
  </si>
  <si>
    <t>The facility is designed to accommodate fire protection vehicles, equipment, and personnel from the base fire department. It can support both airfield operations and structural response on base. This facility can be used for just structural response in community areas.  The facility includes truck bays, a radio dispatch area, vehicle maintenance and storage areas, repair and supply support, as well as administrative and training spaces.</t>
  </si>
  <si>
    <t>https://www.wbdg.org/FFC/AF/AFMAN/730142_Fire_Station.pdf</t>
  </si>
  <si>
    <t>Fire Observation Tower and Comm Center</t>
  </si>
  <si>
    <t>Tower and communication center dedicated to fire protection on base in a separate facility from category code 730142.  See AFH 32-1084 for criteria.</t>
  </si>
  <si>
    <t>Fire Hose House</t>
  </si>
  <si>
    <t>Facility designed to provide weather protection for the storage of hoses, nozzles, and associated equipment.</t>
  </si>
  <si>
    <t>https://www.wbdg.org/FFC/AF/AFMAN/730147_Fire_Hose_House.pdf</t>
  </si>
  <si>
    <t>Forestry Guard Station</t>
  </si>
  <si>
    <t>Surveillance station designed to provide protection against forest fires. Each station consists of an observation tower and housing for the assigned forester and family.</t>
  </si>
  <si>
    <t>https://www.wbdg.org/FFC/AF/AFMAN/730151_Forestry_Guard_Station.pdf</t>
  </si>
  <si>
    <t>Bakery</t>
  </si>
  <si>
    <t>Facility designed for support of base dining facilities by performing supplemental baking needs. Functional space area includes food preparation area, latrines, and building support area.</t>
  </si>
  <si>
    <t>https://www.wbdg.org/FFC/AF/AFMAN/730182_Bakery.pdf</t>
  </si>
  <si>
    <t>Kitchen Pastry</t>
  </si>
  <si>
    <t>This facility will comply with AFM 38-209. See AFH 32-1084 for criteria.</t>
  </si>
  <si>
    <t>https://www.wbdg.org//FFC/AF/AFMAN/730186</t>
  </si>
  <si>
    <t>Bus Shelter</t>
  </si>
  <si>
    <t>Facility that provides protection from the elements for those waiting for transportation.</t>
  </si>
  <si>
    <t>https://www.wbdg.org/FFC/AF/AFMAN/730275_Bus_Shelter.pdf</t>
  </si>
  <si>
    <t>Bus Station</t>
  </si>
  <si>
    <t>Stopping place for bus transportation and transfer of freight or passengers. Functional space area includes ticket counter, waiting area, and freight depot.</t>
  </si>
  <si>
    <t>https://www.wbdg.org/FFC/AF/AFMAN/730277_Bus_Station.pdf</t>
  </si>
  <si>
    <t>Education Center</t>
  </si>
  <si>
    <t>This facility provides for the advancement of the academic, technical, and occupational education of military personnel of all grades and ranks in order to enhance their potential to the service.</t>
  </si>
  <si>
    <t>https://www.wbdg.org/FFC/AF/AFMAN/730441_Education_Center.pdf</t>
  </si>
  <si>
    <t>Post Office</t>
  </si>
  <si>
    <t>This facility is necessary for the efficient and normal conduct of business and the welfare of assigned personnel.</t>
  </si>
  <si>
    <t>https://www.wbdg.org/FFC/AF/AFMAN/730443_Central_Post_Office.pdf</t>
  </si>
  <si>
    <t>Laundry-Dry Cleaning, Base</t>
  </si>
  <si>
    <t>Facility designed to provide both laundry and dry cleaning service to Government organizations and individuals.</t>
  </si>
  <si>
    <t>https://www.wbdg.org/FFC/AF/AFMAN/730551_Laundry_Dry_Cleaning_Base.pdf</t>
  </si>
  <si>
    <t>Base Dry Cleaning</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</si>
  <si>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</si>
  <si>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</si>
  <si>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Above Ground Tornado Shelter</t>
  </si>
  <si>
    <t>An enclosed, reinforced facility, generally within or beneath an existing building that provides protection against air attack, fallout, severe storms or other life-threatening events</t>
  </si>
  <si>
    <t>https://www.wbdg.org/FFC/AF/AFMAN/730660_Above_Ground_Tornado_Shelter.pdf</t>
  </si>
  <si>
    <t>Base Laundry</t>
  </si>
  <si>
    <t>This facility provides only laundry and other textile care services to government organizations and individuals. The facility includes space to receive, identify, process, assemble and ship laundry, admin. &amp; personnel support area, equip. maintenance, storage, and a dock area.</t>
  </si>
  <si>
    <t>https://www.wbdg.org/FFC/AF/AFMAN/730711_Base_Laundry.pdf</t>
  </si>
  <si>
    <t>Depot Laundry</t>
  </si>
  <si>
    <t>This facility provides laundry &amp; dry cleaning service on a regional basis. This facility includes space to receives, identify, assemble, and ship laundry, dry cleaning, and other type textile, admin. &amp; personnel support area, equipment maintenance, storage, and a dock area.</t>
  </si>
  <si>
    <t>https://www.wbdg.org/FFC/AF/AFMAN/730713_Depot_Laundry.pdf</t>
  </si>
  <si>
    <t>Clothing Store</t>
  </si>
  <si>
    <t>This facility provides space for customers to select clothing and try it on to insure proper fit and appearance. Space requirements and storage space are given in AFH 32-1084.</t>
  </si>
  <si>
    <t>https://www.wbdg.org/FFC/AF/AFMAN/730717_Clothing_Store.pdf</t>
  </si>
  <si>
    <t>Privately Owned Vehicle Inspection Station</t>
  </si>
  <si>
    <t>A building used for the inspection of POVs that is normally operated by the Logistic Readiness Center. This category also refers to a collocated drivers testing facility. Also report this building with unit of measure operational vehicles (VE). VE is a count of the vehicle inspection capacity of the facility. A single bay is one VE, and a double bay is two VE. Data should be available from the installation safety office or the LRC. If not, conduct a physical survey.</t>
  </si>
  <si>
    <t>Chapel, Base</t>
  </si>
  <si>
    <t>This facility includes narthex, ark, chancel with alter, pulpit, lectern, Sedalia, nave, choir with pews, nave with pews, pew screens, choir and chaplain’s sacristy, refectory, personnel offices, confessionals, blessed sacrament room, and toilets and services rooms.</t>
  </si>
  <si>
    <t>https://www.wbdg.org/FFC/AF/AFMAN/730771_Base_Chapel.pdf</t>
  </si>
  <si>
    <t>Religious Education Facility</t>
  </si>
  <si>
    <t>This religious facility includes classrooms for not less than four departments with semi- permanent partitions and movable partitions, kitchen, storage room, administrative offices, and toilets and services rooms.</t>
  </si>
  <si>
    <t>https://www.wbdg.org/FFC/AF/AFMAN/730772_Religious_Education_Facilities.pdf</t>
  </si>
  <si>
    <t>Chapel Center</t>
  </si>
  <si>
    <t>Religious facility with both chapel and religious education facility attached in order to form a single complex.</t>
  </si>
  <si>
    <t>https://www.wbdg.org/FFC/AF/AFMAN/730773_Chapel_Center.pdf</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</si>
  <si>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</si>
  <si>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</si>
  <si>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</si>
  <si>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School, Dependent Dining Hall</t>
  </si>
  <si>
    <t>Student dining halls are required to support authorized overseas dependent boarding schools.</t>
  </si>
  <si>
    <t>https://www.wbdg.org/FFC/AF/AFMAN/730781_Dependent_Boarding_School_Dining_Hal.pdf</t>
  </si>
  <si>
    <t>School, Dependent Dormitory</t>
  </si>
  <si>
    <t>Student dormitories are required to support authorized overseas dependent boarding schools.</t>
  </si>
  <si>
    <t>https://www.wbdg.org/FFC/AF/AFMAN/730782_Dependent_Boarding_School_Dorm.pdf</t>
  </si>
  <si>
    <t>School, Dependent Detached Support</t>
  </si>
  <si>
    <t>This code applies to three types of school facilities (direct classrooms, dining hall and dormitory, and central school operation).</t>
  </si>
  <si>
    <t>https://www.wbdg.org/FFC/AF/AFMAN/730783_Dependent_School_Detached_Support.pdf</t>
  </si>
  <si>
    <t>Dependent Schools K-12</t>
  </si>
  <si>
    <t>Educational facility designed to accommodate children in K through grade 12.</t>
  </si>
  <si>
    <t>https://www.wbdg.org/FFC/AF/AFMAN/730787_Dependent_Schools_K_12.pdf</t>
  </si>
  <si>
    <t>School, Dependent Nursery</t>
  </si>
  <si>
    <t>Facility designed to accommodate pre-kindergarten children. Since this facility is not part of the DOD overseas school system, the code is generally used to identify existing space used for this purpose.</t>
  </si>
  <si>
    <t>https://www.wbdg.org/FFC/AF/AFMAN/730789_Dependent_Schools_Nursery.pdf</t>
  </si>
  <si>
    <t>Honor Guard</t>
  </si>
  <si>
    <t>This facility is designed to support Honor Guard operations, providing dedicated spaces for administration, drill/practice, uniform storage, changing rooms, weapons storage and clearing, casket storage, wheeled carts, an interment simulator, an urn training podium, armchair storage, and other essential equipment.</t>
  </si>
  <si>
    <t>Correction Facility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</si>
  <si>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</si>
  <si>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https://www.wbdg.org/FFC/AF/AFMAN/730831_Correction_Facility.pdf</t>
  </si>
  <si>
    <t>Visitor CONTR Center</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</si>
  <si>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</si>
  <si>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</si>
  <si>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Security Police Defensive Fighting Position</t>
  </si>
  <si>
    <t>Overwatch facility designed to provide secure defensive positions for security police personnel when required.  Security threat analysis required to determine ballistic protection level.</t>
  </si>
  <si>
    <t>‌https://www.wbdg.org/FFC/AF/AFMAN/730834_Sec_Forces_Defensive_Fighting_Position.pdf</t>
  </si>
  <si>
    <t>Security Police Operations</t>
  </si>
  <si>
    <t>Facility designed for use as the law enforcement center at the installation level. Functional space areas include space for control elements, law enforcement, resource protection functions, base information security.</t>
  </si>
  <si>
    <t>https://www.wbdg.org/FFC/AF/AFMAN/730835_Security_Forces_Operations.pdf</t>
  </si>
  <si>
    <t>Reserve Fire Team Facility</t>
  </si>
  <si>
    <t>Facility designed to accommodate static reaction security force personnel consisting of one or two 4-man teams at locations where surety weapons are located.</t>
  </si>
  <si>
    <t>‌https://www.wbdg.org/FFC/AF/AFMAN/730836_Reserve_Fire_Team_Facility.pdf</t>
  </si>
  <si>
    <t>Security Police Entry Control Building</t>
  </si>
  <si>
    <t>The entry control facility (ECF) is designed to support Security Forces in managing access to and from critical restricted areas within the installation. These areas may include surety weapon storage locations, alert aircraft areas, and other restricted zones deemed essential for critical mission requirements.</t>
  </si>
  <si>
    <t>‌https://www.wbdg.org/FFC/AF/AFMAN/730837_Security_Entry_Control_Building.pdf</t>
  </si>
  <si>
    <t>Master Surveillance and CONTR Facility</t>
  </si>
  <si>
    <t>This facility is required at each site supporting surety weapons. It houses sensor annunciation systems, imaging consoles, and security communication gear.</t>
  </si>
  <si>
    <t>‌https://www.wbdg.org/FFC/AF/AFMAN/730838_Master_Surveillance_Control_Facility.pdf</t>
  </si>
  <si>
    <t>Access Control Facility</t>
  </si>
  <si>
    <t>This facility is required at entrances to Air Force installations to screen personnel requesting access to the installation. At main entrances, it can also function as a visitor control center during non-duty hours.  The Access Control Facility may vary in size from a simple sentry shelter to a building housing a gate guard office, a commercial vehicle inspection building, or a private owner vehicle inspection and search area.</t>
  </si>
  <si>
    <t>https://www.wbdg.org/FFC/AF/AFMAN/730839_Access_Control_Facility.pdf</t>
  </si>
  <si>
    <t>Military Working Dog Kennel</t>
  </si>
  <si>
    <t>Facility designed for the care and upkeep of military working dogs. A beneficial environment is provided for the dogs so they can perform at peak efficiency.</t>
  </si>
  <si>
    <t>‌https://www.wbdg.org/FFC/AF/AFMAN/730841_SF_Kennel_Canine.pdf</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</si>
  <si>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</si>
  <si>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</si>
  <si>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</si>
  <si>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Drug and Alcohol Abuse Counseling Center</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</si>
  <si>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</si>
  <si>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</si>
  <si>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Inclement Weather Shelter, Below Ground</t>
  </si>
  <si>
    <t>Below Ground Shelter used to provide protection from inclement weather.</t>
  </si>
  <si>
    <t>https://www.wbdg.org/FFC/AF/AFMAN/738401_Inclement_Weather_Shelter_Below_Ground.pdf</t>
  </si>
  <si>
    <t>Smoking Shelter</t>
  </si>
  <si>
    <t>A permanently assigned enclosed building or enclosed space that provides protection from the weather for those personnel who choose to smoke.</t>
  </si>
  <si>
    <t>https://www.wbdg.org/FFC/AF/AFMAN/738421_Smoking_Shelter.pdf</t>
  </si>
  <si>
    <t>Miscellaneous Personnel Shelter</t>
  </si>
  <si>
    <t>A facility to protect personnel or equipment from the elements, such as bus stops, smoking shelters, bicycle shelters, rain shelters, and mailbox enclosures.</t>
  </si>
  <si>
    <t>https://www.wbdg.org/FFC/AF/AFMAN/738499_Misc_Personnel_Shelter.pdf</t>
  </si>
  <si>
    <t>Separate Toilet/Shower Building</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</si>
  <si>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</si>
  <si>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https://www.wbdg.org/FFC/AF/AFMAN/738521_Separate_Toilet%20_Shower_Bldg.pdf</t>
  </si>
  <si>
    <t>Enclosed Mall</t>
  </si>
  <si>
    <t>Shopping center under one roof that combines the elements of a community shopping center with the main exchange, exchange outlets, commissary, credit union and bank.</t>
  </si>
  <si>
    <t>https://www.wbdg.org/FFC/AF/AFMAN/740111_Enclosed_Mall.pdf</t>
  </si>
  <si>
    <t>Bank Branch</t>
  </si>
  <si>
    <t>Facility designed to provide banking service to Air Force installation patrons. Functional space areas include all required areas normally found in a banking facility.</t>
  </si>
  <si>
    <t>https://www.wbdg.org/FFC/AF/AFMAN/740153_Bank_Branch.pdf</t>
  </si>
  <si>
    <t>Credit Union</t>
  </si>
  <si>
    <t>Facility designed to provide similar service as the Bank above. However, the facility is private and not under the control of DOD.</t>
  </si>
  <si>
    <t>https://www.wbdg.org/FFC/AF/AFMAN/740155_Credit_Union.pdf</t>
  </si>
  <si>
    <t>Family Support Center</t>
  </si>
  <si>
    <t>This facility is provided for the purpose of providing military members and their family information on passports, voting, legal matters, insurance, retirement, military separation, career counseling, loans and so forth.</t>
  </si>
  <si>
    <t>https://www.wbdg.org/FFC/AF/AFMAN/740253_Airman_and_Family_Readiness_Center.pdf</t>
  </si>
  <si>
    <t>Thrift SHP</t>
  </si>
  <si>
    <t>This facility is a “second hand store” operated on a non-profit basis where military members buy and sell used apparel, used household furniture, and equipment.</t>
  </si>
  <si>
    <t>https://www.wbdg.org/FFC/AF/AFMAN/740255_Thrift_Shop.pdf</t>
  </si>
  <si>
    <t>Store, Book</t>
  </si>
  <si>
    <t>AAFES operated facility that supports the resale of books.</t>
  </si>
  <si>
    <t>Store, Commissary</t>
  </si>
  <si>
    <t>Facility designed to provide Air Force installation patrons with grocery store services. Functional space area includes all required areas normally found in a grocery store.</t>
  </si>
  <si>
    <t>https://www.wbdg.org/FFC/AF/AFMAN/740266_Commissary_Store.pdf</t>
  </si>
  <si>
    <t>Cadet Store</t>
  </si>
  <si>
    <t>This category code identifies the cadet clothing issue, barber/beauty shops and any concession type stores operated by cadet MWR.</t>
  </si>
  <si>
    <t>https://www.wbdg.org/FFC/AF/AFMAN/740267_Cadet_Store.pdf</t>
  </si>
  <si>
    <t>Base Package Store</t>
  </si>
  <si>
    <t>Facility designed to provide Air Force installation patrons with package store service. Functional space areas include a stockroom, a sales area, small office, latrines, and building support area.</t>
  </si>
  <si>
    <t>https://www.wbdg.org/FFC/AF/AFMAN/740269_Base_Package_Store.pdf</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</si>
  <si>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</si>
  <si>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</si>
  <si>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</si>
  <si>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Rod and Gun Club</t>
  </si>
  <si>
    <t>This facility includes land and building space. The building includes space for offices, storage and sales areas, gun and ammunition maintenance, projector area, toilets and lounge. See AFH 32-1084 for criteria.</t>
  </si>
  <si>
    <t>https://www.wbdg.org/FFC/AF/AFMAN/740315_Rod_and_Gun_Club.pdf</t>
  </si>
  <si>
    <t>Recreation/Community Center</t>
  </si>
  <si>
    <t>This facility serves as a recreation/community center to encourage social exchange, an appreciation of other cultures, and the development of new skills. It may include space for fellowship halls, military ceremonies, service clubs, family events or other entertainment activities.</t>
  </si>
  <si>
    <t>https://www.wbdg.org/FFC/AF/AFMAN/740316_Recreation_Center.pdf</t>
  </si>
  <si>
    <t>AERO Club</t>
  </si>
  <si>
    <t>Facility designed to provide aircraft storage space for Air Force installation personnel who fly as a hobby.</t>
  </si>
  <si>
    <t>https://www.wbdg.org/FFC/AF/AFMAN/740317_Aero_Club.pdf</t>
  </si>
  <si>
    <t>Exchange Car Wash</t>
  </si>
  <si>
    <t xml:space="preserve">An Exchange operated car wash may be provided as dictated by the Exchange Service Command. The Exchange normally operates automated, drive-thru car washes. </t>
  </si>
  <si>
    <t>MWR Outdoor Recreation Center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</si>
  <si>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</si>
  <si>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Exchange Amusement Center</t>
  </si>
  <si>
    <t>Facility which combines coin operated games with refreshments and snacks. Functional spaces include game area, food and drink vending machines, a small snack counter, and latrines.</t>
  </si>
  <si>
    <t>https://www.wbdg.org/FFC/AF/AFMAN/740379_Exchange_Amusement_Center.pdf</t>
  </si>
  <si>
    <t>Exchange Cafeteria Snack Bar</t>
  </si>
  <si>
    <t>This category code identifies those cafeteria snack bar facilities that are provided in conjunction with the main exchange, overseas community shopping centers, exchange snack stand, or flightline snack bars. This includes AAFES operated brand name fast food restaurants.</t>
  </si>
  <si>
    <t>https://www.wbdg.org/FFC/AF/AFMAN/740381_Exchange_Food_Court_Snack_Bar.pdf</t>
  </si>
  <si>
    <t>Exchange Branch</t>
  </si>
  <si>
    <t>Facility designed to provide Air Force installation patrons with material goods shopping stores where the military family housing area is located remote from the main base exchange and where the military strength is 2500 or more.</t>
  </si>
  <si>
    <t>https://www.wbdg.org/FFC/AF/AFMAN/740382_Branch_Exchange.pdf</t>
  </si>
  <si>
    <t>Exchange Service Station</t>
  </si>
  <si>
    <t>Facility designed for the sale of oil, gasoline, automotive accessories, minor automotive repairs, lubrication service, tire and battery service, and vehicle safety inspections.</t>
  </si>
  <si>
    <t>https://www.wbdg.org/FFC/AF/AFMAN/740383_Exchange_Service_Station.pdf</t>
  </si>
  <si>
    <t>Exchange Laundry and Drycleaning Plant</t>
  </si>
  <si>
    <t>AAFES operated laundry and dry-cleaning service facility.</t>
  </si>
  <si>
    <t>https://www.wbdg.org/FFC/AF/AFMAN/740384_Exchange_Laundry_and_Dry_Cleaning_Plants.pdf</t>
  </si>
  <si>
    <t>Exchange Maintenance Shop</t>
  </si>
  <si>
    <t>Facility designed as a repair shop for damaged exchange equipment and fixtures.</t>
  </si>
  <si>
    <t>https://www.wbdg.org/FFC/AF/AFMAN/740385_Exchange_Maintenance_Shop.pdf</t>
  </si>
  <si>
    <t>Exchange Administration</t>
  </si>
  <si>
    <t>The main administrative offices of the local base exchange operations.</t>
  </si>
  <si>
    <t>https://www.wbdg.org/FFC/AF/AFMAN/740386_Exchange_Administration.pdf</t>
  </si>
  <si>
    <t>Exchange Retail Warehouse</t>
  </si>
  <si>
    <t>Facility designed for holding and storage of exchange merchandise required in addition to the main exchange store storage capabilities.</t>
  </si>
  <si>
    <t>https://www.wbdg.org/FFC/AF/AFMAN/740397_Central_Exchange_Warehouse.pdf</t>
  </si>
  <si>
    <t>Exchange Sales Store</t>
  </si>
  <si>
    <t>Facility designed as the main exchange retail store on the Air Force installation. Functional space areas include sales area, administrative offices, stock room, and building support area.</t>
  </si>
  <si>
    <t>https://www.wbdg.org/FFC/AF/AFMAN/740388_Exchange_Sales_Store_Main_Exchange.pdf</t>
  </si>
  <si>
    <t>Exchange Service Outlet</t>
  </si>
  <si>
    <t>Special sales and service outlets considered branches of the main base exchange.</t>
  </si>
  <si>
    <t>https://www.wbdg.org/FFC/AF/AFMAN/740389_Exchange_Service_Outlet.pdf</t>
  </si>
  <si>
    <t>Central Exchange Administration</t>
  </si>
  <si>
    <t>Facility designed to provide administrative services for a number of installations within a specified geographical area.</t>
  </si>
  <si>
    <t>https://www.wbdg.org/FFC/AF/AFMAN/740396_Central_Exchange_Administration.pdf</t>
  </si>
  <si>
    <t>Central Exchange Warehouse</t>
  </si>
  <si>
    <t>Regional warehouse that supports a number of installations within a specified geographical area.</t>
  </si>
  <si>
    <t>Central Exchange Support Facility</t>
  </si>
  <si>
    <t>Those facilities or areas such as food processing (i.e. central kitchen) or depots, bakeries, refrigerated storage plants, central repair shops or processing plants that are extensions of the main facilities.</t>
  </si>
  <si>
    <t>https://www.wbdg.org/FFC/AF/AFMAN/740398_Central_Exchange_Support_Facility.pdf</t>
  </si>
  <si>
    <t>Transient Lodging Facility (Appropriated)</t>
  </si>
  <si>
    <t>Facility designed to provide short term temporary housing accommodation for military members, their dependents, relatives, and guests including hospital visitors.</t>
  </si>
  <si>
    <t>https://www.wbdg.org/FFC/AF/AFMAN/740443_Transient_Lodging_Facility.pdf</t>
  </si>
  <si>
    <t>Fitness Room</t>
  </si>
  <si>
    <t>​Fitness rooms are unit specific stand-alone facility space that is separate from a Gymnasium - catcode 740674. Typically with cardio equipment, weight machines, free weights, and/or climbing walls.</t>
  </si>
  <si>
    <t>Transient Lodging Facility (Non-Appropriated)</t>
  </si>
  <si>
    <t>TLF’s are required to provide short term temporary housing accommodation for military members, their dependents, relatives, and guest including hospital visitors.</t>
  </si>
  <si>
    <t>https://www.wbdg.org/FFC/AF/AFMAN/740457_Transient_Lodging_Facility_NA.pdf</t>
  </si>
  <si>
    <t>Transient Lodging Support Building</t>
  </si>
  <si>
    <t>This facility hoses various support functions for TLF’s whenever these functions are not or cannot be incorporated within the main structure. These functions may include administration, lounge, mechanical equipment space or a launderette and custodial room.</t>
  </si>
  <si>
    <t>https://www.wbdg.org/FFC/AF/AFMAN/740459_Transient_Lodging_Support_Facility.pdf</t>
  </si>
  <si>
    <t>Open Mess, Airmen</t>
  </si>
  <si>
    <t>Open mess facility for lower grade enlisted personnel.</t>
  </si>
  <si>
    <t>https://www.wbdg.org/FFC/AF/AFMAN/740612_Open_Mess_Airmen.pdf</t>
  </si>
  <si>
    <t>Consolidated Open Mess</t>
  </si>
  <si>
    <t>Open mess for both officer and enlisted personnel. Where officers and enlisted share all functional area, except having separate bars.</t>
  </si>
  <si>
    <t>https://www.wbdg.org/FFC/AF/AFMAN/740615_Consolidated_Open_Mess.pdf</t>
  </si>
  <si>
    <t>Enlisted Open Mess</t>
  </si>
  <si>
    <t>This facility provides an open mess for non-commissioned officers.</t>
  </si>
  <si>
    <t>https://www.wbdg.org/FFC/AF/AFMAN/740617_Enlisted_Open_Mess.pdf</t>
  </si>
  <si>
    <t>Officer Open Mess</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</si>
  <si>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</si>
  <si>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</si>
  <si>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Master Television Antenna</t>
  </si>
  <si>
    <t>Code antennas used for the reception of television signals. These antennas are normally located in overseas and remote areas where reception is difficult.</t>
  </si>
  <si>
    <t>‌http://www.wbdg.org/FFC/AF/AFMAN/740657_Master_Television_Antenna.pdf</t>
  </si>
  <si>
    <t>Arts and Crafts Center</t>
  </si>
  <si>
    <t>Facility designed for arts and crafts activities such as printing, drawing, sculpture, ceramics, photography, woodworking, modeling, electronics and other hand crafts.</t>
  </si>
  <si>
    <t>https://www.wbdg.org/FFC/AF/AFMAN/740664_Arts_and_Crafts_Center.pdf</t>
  </si>
  <si>
    <t>Hobby Shop Automotive</t>
  </si>
  <si>
    <t>This facility serves to support off-duty activity in the maintenance, repair, modification, and improvement of vehicles on a self –help basis.</t>
  </si>
  <si>
    <t>https://www.wbdg.org/FFC/AF/AFMAN/740665_Hobby_Shop_Automotive.pdf</t>
  </si>
  <si>
    <t>Recreation Site Lodging</t>
  </si>
  <si>
    <t>Camping/recreation area which may be located on or off-base.</t>
  </si>
  <si>
    <t>https://www.wbdg.org/FFC/AF/AFMAN/740666_Recreation_Site_Lodging.pdf</t>
  </si>
  <si>
    <t>Recreation Support Facility</t>
  </si>
  <si>
    <t>Facility designed to provide miscellaneous indoor recreation activities not included in other recreation building categories. This enclosed facility with an entrance serves to support outdoor recreational activities. It includes structures such as scorers' booths, press boxes, concession stands, and field equipment storage buildings, typically situated near sports fields and other outdoor facilities. Additionally, this category encompasses control buildings for ski lifts and associated equipment.</t>
  </si>
  <si>
    <t>https://www.wbdg.org/FFC/AF/AFMAN/740668_Indoor_Miscellaneous_Recreation_Building.pdf</t>
  </si>
  <si>
    <t>Facility designed to provide bowling lane activities for installation military personnel.</t>
  </si>
  <si>
    <t>https://www.wbdg.org/FFC/AF/AFMAN/740671_Bowling_Center.pdf</t>
  </si>
  <si>
    <t>MWR Supply and NAF Central Storage</t>
  </si>
  <si>
    <t>Facility designed for storage and issue of MWR equipment, supplies, and merchandise at both on base and off base recreation sites.</t>
  </si>
  <si>
    <t>https://www.wbdg.org/FFC/AF/AFMAN/740672_MWR_Supply_and_NAF_Central_Storage.pdf</t>
  </si>
  <si>
    <t>This facility may provide space for latrines, showers, dressing rooms, lockers, squash, racquetball, handball, basketball, badminton courts, weight rooms, laundries, offices, and storage it is used for the daily physical training of military personnel.</t>
  </si>
  <si>
    <t>https://www.wbdg.org/FFC/AF/AFMAN/740674_Gymnasium_Fitness_Center.pdf</t>
  </si>
  <si>
    <t>This facility is required for string and issuing books and pamphlets, periodicals newspapers, maps, records, music scores and similar materials for the educational and recreational benefit of the military personnel and their dependents.</t>
  </si>
  <si>
    <t>https://www.wbdg.org/FFC/AF/AFMAN/740675_Base_Library.pdf</t>
  </si>
  <si>
    <t>Swimming Pool, Indoor</t>
  </si>
  <si>
    <t>Enclosed swimming pool designed for year round use by military personnel and their dependents.</t>
  </si>
  <si>
    <t>https://www.wbdg.org/FFC/AF/AFMAN/740677_Indoor_Swimming_Pool.pdf</t>
  </si>
  <si>
    <t>Skating Rink</t>
  </si>
  <si>
    <t>Recreational facility designed for roller or ice skating use by military personnel and their dependents.</t>
  </si>
  <si>
    <t>https://www.wbdg.org/FFC/AF/AFMAN/740678_Indoor_Skating_Rink.pdf</t>
  </si>
  <si>
    <t>Cadet Social Center</t>
  </si>
  <si>
    <t>Facility designed to provide recreation for cadets. Functional space areas include a ballroom, lounge, TV room, game rooms, cafeteria, cadet clubs, theater, and building support areas.</t>
  </si>
  <si>
    <t>https://www.wbdg.org/FFC/AF/AFMAN/740681_Cadet_Social_Center.pdf</t>
  </si>
  <si>
    <t>Red Cross Office</t>
  </si>
  <si>
    <t>Administrative facility designed for use by the local Red Cross director and staff. This space is often included in a headquarters building on the installation where space is available.</t>
  </si>
  <si>
    <t>https://www.wbdg.org/FFC/AF/AFMAN/740717_Red_Cross_Office.pdf</t>
  </si>
  <si>
    <t>Restaurant Fund MWR Facility</t>
  </si>
  <si>
    <t>Space occupied by income producing activities operated by the base restaurant fund that are not food service related i.e. bowling alley, barber and beauty shop and sundry sales.</t>
  </si>
  <si>
    <t>https://www.wbdg.org/FFC/AF/AFMAN/740732_Restaurant_Fund_CWF_Facility.pdf</t>
  </si>
  <si>
    <t>Civilian Fund MWR Building</t>
  </si>
  <si>
    <t>Facility designed to support approved civilian MWR activities such as the golf club-house, gym, recreation centers, hobby shops, and sports equipment rental space.</t>
  </si>
  <si>
    <t>https://www.wbdg.org/FFC/AF/AFMAN/740733_Civilian_Fund_CWF_Facility.pdf</t>
  </si>
  <si>
    <t>Restaurant, Base</t>
  </si>
  <si>
    <t>Facility designed to provide restaurant or cafeteria space. These facilities may include snack bars, vending machines, or other food service related activities.</t>
  </si>
  <si>
    <t>https://www.wbdg.org/FFC/AF/AFMAN/740735_Base_Restaurant.pdf</t>
  </si>
  <si>
    <t>Marina Support Building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</si>
  <si>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</si>
  <si>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Base Auditorium/Theater</t>
  </si>
  <si>
    <t>This facility can be multi-purpose and supports group training, mass briefings, Commander's Calls, military ceremonies, film screenings, and live stage productions. The facility includes restrooms and a lobby area, with optional features such as ticket sales, a concession stand, and dressing rooms.</t>
  </si>
  <si>
    <t>https://www.wbdg.org/FFC/AF/AFMAN/740873_Base_Theater.pdf</t>
  </si>
  <si>
    <t>Conference Center</t>
  </si>
  <si>
    <t>This facility provides shared meeting, event and conferencing spaces for recurring requirements which exceed normal installation meeting space authorizations, and are primarily for large, multi-day events. These special purpose facilities are earned only by large HQ type functions, such as large Centers, MAJCOMs, JCC or other higher headquarters entities with a continuing need for large, multi-day events. The specific required space types in the facility must be justified by the requiring unit based on regular and recurring requirements. For community centers see catcode 740316 - Recreation/Community Center.</t>
  </si>
  <si>
    <t>Youth Center</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</si>
  <si>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</si>
  <si>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</si>
  <si>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This facility accommodates working mothers and serves other family circumstances requiring assistance in child care. The base child care program mostly involves children under 6 years old but includes children 6 to 12.</t>
  </si>
  <si>
    <t>https://www.wbdg.org/FFC/AF/AFMAN/740884_Child_Development_Center.pdf</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</si>
  <si>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</si>
  <si>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</si>
  <si>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https://www.wbdg.org/FFC/AF/AFMAN/744701_Morale_Welfare_Recreation_Pet_Kennel.pdf</t>
  </si>
  <si>
    <t>Athletic Field,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</si>
  <si>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</si>
  <si>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</si>
  <si>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 Football/Soccer</t>
  </si>
  <si>
    <t>Outdoor athletic field designed for junior football and soccer. These areas may be provided for dependents ages 6-19.</t>
  </si>
  <si>
    <t>https://www.wbdg.org/FFC/AF/AFMAN/750175_Athletic_Field_Football_Soccer.pdf</t>
  </si>
  <si>
    <t>Athletic Field, Track</t>
  </si>
  <si>
    <t>Outdoor running track usually sited around a football field. A 400 meter running track is authorized per 1,000 military personnel.</t>
  </si>
  <si>
    <t>https://www.wbdg.org/FFC/AF/AFMAN/750177_Athletic_Field_Track.pdf</t>
  </si>
  <si>
    <t>Athletic Field,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</si>
  <si>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</si>
  <si>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</si>
  <si>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Athletic Field, Standard</t>
  </si>
  <si>
    <t>Facility authorized at installations with a military strength over 10,000. The stands seating capacity cannot exceed one-third of the installation military strength.</t>
  </si>
  <si>
    <t>https://www.wbdg.org/FFC/AF/AFMAN/750179_Athletic_Field_Standard.pdf</t>
  </si>
  <si>
    <t>Stadium</t>
  </si>
  <si>
    <t>Sports arena, usually oval or horseshoe-shaped seats with tiers of seats for spectators. The facility supports such sports as softball, baseball, football, and track events.</t>
  </si>
  <si>
    <t>https://www.wbdg.org/FFC/AF/AFMAN/750211_Stadium.pdf</t>
  </si>
  <si>
    <t>Wading Pool/Splash Pool/Water Park</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</si>
  <si>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</si>
  <si>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Court, Tennis</t>
  </si>
  <si>
    <t>Outdoor hardtop surfaced court designed for the game of tennis.</t>
  </si>
  <si>
    <t>https://www.wbdg.org/FFC/AF/AFMAN/750347_Tennis_Court.pdf</t>
  </si>
  <si>
    <t>Platform Tennis</t>
  </si>
  <si>
    <t>A platform (elevated court) surrounded with A taut fencing which allows play off the walls, as in racquetball and squash.</t>
  </si>
  <si>
    <t>Court, Recreation</t>
  </si>
  <si>
    <t>Any outdoor recreational courts not identified under specific types of courts or under other category codes.</t>
  </si>
  <si>
    <t>https://www.wbdg.org/FFC/AF/AFMAN/750349_Recreational_Court.pdf</t>
  </si>
  <si>
    <t>Recreation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</si>
  <si>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</si>
  <si>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https://www.wbdg.org/FFC/AF/AFMAN/750371_Outdoor_Recreation_Pavilion.pdf</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</si>
  <si>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</si>
  <si>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</si>
  <si>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Equipment Building</t>
  </si>
  <si>
    <t>Facility designed for the storage and maintenance of golf carts and other related equipment.</t>
  </si>
  <si>
    <t>https://www.wbdg.org/FFC/AF/AFMAN/750423_Golf_Equipment_Building.pdf</t>
  </si>
  <si>
    <t>Golf Course, 9 Hole</t>
  </si>
  <si>
    <t>Outdoor recreation facility designed for use as a golf course having 9 holes.</t>
  </si>
  <si>
    <t>https://www.wbdg.org/FFC/AF/AFMAN/750426_9_Hole_Golf_Course.pdf</t>
  </si>
  <si>
    <t>Golf Course, 18 Hole</t>
  </si>
  <si>
    <t>Outdoor recreation facility designed for use as a golf course having the regulation 18 holes.</t>
  </si>
  <si>
    <t>https://www.wbdg.org/FFC/AF/AFMAN/750427_18_Hole_Golf_Course.pdf</t>
  </si>
  <si>
    <t>Golf Driving Range</t>
  </si>
  <si>
    <t>Outdoor recreation facility designed for use as a golf driving range.</t>
  </si>
  <si>
    <t>https://www.wbdg.org/FFC/AF/AFMAN/750429_Golf_Driving_Range.pdf</t>
  </si>
  <si>
    <t>Pitch &amp; Putt Golf Course</t>
  </si>
  <si>
    <t>A smaller version of a regulation golf course, where the distance from tee to hole is normally less than 200 yards.</t>
  </si>
  <si>
    <t>Recreation/Picnic Area</t>
  </si>
  <si>
    <t>This facility includes parks or picnic areas.</t>
  </si>
  <si>
    <t>Outdoor Recreation Track/Course</t>
  </si>
  <si>
    <t>An outdoor exercise course or trail structure designed and equipped to accommodate miscellaneous outdoor recreation, such as fitness trails, walking, jogging, bike, parcours (an outdoor exercise course with obstacles), skateparks, dog parks or other outdoor courses not covered under another catcode.</t>
  </si>
  <si>
    <t>https://www.wbdg.org/FFC/AF/AFMAN/750581_Miscellaneous_Outdoor_Recreational_Facility.pdf</t>
  </si>
  <si>
    <t>Civilian Outdoor Recreation Facility</t>
  </si>
  <si>
    <t>Those land and site improvements used for outdoor recreation and financed by the Civilian Welfare Fund.</t>
  </si>
  <si>
    <t>https://www.wbdg.org/FFC/AF/AFMAN/750582_Civilian_Welfare_Fund_Outdoor_Facility.pdf</t>
  </si>
  <si>
    <t>Facility used for boarding horses. Space includes single or double stalls, treatment stalls, quarantine area, operator's quarters, hay storage area, grain room, tack room, tack lockers, sweat pad and blanket drying area.</t>
  </si>
  <si>
    <t>https://www.wbdg.org/FFC/AF/AFMAN/750583_Riding_Stables.pdf</t>
  </si>
  <si>
    <t>Marina/Boat Ramp</t>
  </si>
  <si>
    <t>A waterfront facility operated by MWR that provides rental boats, a boat launch, and other waterfront amenities.</t>
  </si>
  <si>
    <t>Family Camping Area</t>
  </si>
  <si>
    <t>Camping area located on or near Air Force installations which support camping recreational activities for transient as well as local military personnel and their dependents.</t>
  </si>
  <si>
    <t>https://www.wbdg.org/FFC/AF/AFMAN/750611_Family_Camp_Grounds.pdf</t>
  </si>
  <si>
    <t>Family Camping Support Facility</t>
  </si>
  <si>
    <t>Support building that includes toilets, lavatories, showers, service sink, and a washing machine. Size is 500 for 24 camping vehicles.</t>
  </si>
  <si>
    <t>https://www.wbdg.org/FFC/AF/AFMAN/750612_Family_Camping_Support_Facility.pdf</t>
  </si>
  <si>
    <t>Privately Owned Vehicle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</si>
  <si>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</si>
  <si>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</si>
  <si>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Swimmers Bath House</t>
  </si>
  <si>
    <t>Facility designed for use as a swimmers bath house with necessary showers and lockers for protection of belongings.</t>
  </si>
  <si>
    <t>https://www.wbdg.org/FFC/AF/AFMAN/750811_Swimmers_Bath_House.pdf</t>
  </si>
  <si>
    <t>Swimming Pool, Outdoor</t>
  </si>
  <si>
    <t>Outdoor swimming pools are intended for the recreational use of installation personnel and for water training.</t>
  </si>
  <si>
    <t>https://www.wbdg.org/FFC/AF/AFMAN/750812_Consolidated_Swimming_Pool.pdf</t>
  </si>
  <si>
    <t>Swimming Pool Water Treatment</t>
  </si>
  <si>
    <t>Separate water treatment facilities that support swimming pools and normally included as part of swimming pools or bath houses.</t>
  </si>
  <si>
    <t>https://www.wbdg.org/FFC/AF/AFMAN/750819_Swimming_Pool_Water_Treatment.pdf</t>
  </si>
  <si>
    <t>Theater, Outdoor</t>
  </si>
  <si>
    <t>Facility designed to provide space as an outdoor theater.</t>
  </si>
  <si>
    <t>https://www.wbdg.org/FFC/AF/AFMAN/750835_Outdoor_Theater.pdf</t>
  </si>
  <si>
    <t>Playground, General Purpose</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</si>
  <si>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</si>
  <si>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Recreational Pier/Platform</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</si>
  <si>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</si>
  <si>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</si>
  <si>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This CCN is used for stand-alone recreational pier facilities (e.g. fishing piers) where there is no existing Marina.</t>
  </si>
  <si>
    <t>Museum Building</t>
  </si>
  <si>
    <t>Facility designed as a special museum and located on an Air Force installation.</t>
  </si>
  <si>
    <t>https://www.wbdg.org/FFC/AF/AFMAN/760111_Museum_Building.pdf</t>
  </si>
  <si>
    <t>Heritage Center Facility</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</si>
  <si>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</si>
  <si>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Pet Cemetery</t>
  </si>
  <si>
    <t>A pet burial ground located on a Government-owned installation. Count the entire cemetery as 1 EA.</t>
  </si>
  <si>
    <t>Columbarium</t>
  </si>
  <si>
    <t>A structure for the placement and storage of cinerary urns.  Columbaria can be either integrated into an interior or boundary wall, or part of a mausoleum or another building.</t>
  </si>
  <si>
    <t>Cemetery</t>
  </si>
  <si>
    <t>Those areas set aside for burial of the dead.</t>
  </si>
  <si>
    <t>https://www.wbdg.org/FFC/AF/AFMAN/760511_Cemetery.pdf</t>
  </si>
  <si>
    <t>Monuments/Memorials</t>
  </si>
  <si>
    <t>Those structures designated as monuments or memorials and located on Air Force installations.</t>
  </si>
  <si>
    <t>https://www.wbdg.org/FFC/AF/AFMAN/760512_Monuments_Memorials.pdf</t>
  </si>
  <si>
    <t>Electric Power Generation Non-Plant (Electric Power, Photovoltaic)</t>
  </si>
  <si>
    <t>Facility designed to generate its own electricity, hot water, chilled water, steam to satisfy heating, ventilating and air conditioning and domestic hot water requirements to operate Wilford Hall USA Medical Center (WHMC).</t>
  </si>
  <si>
    <t>Total Energy Plant Building</t>
  </si>
  <si>
    <t>https://www.wbdg.org/FFC/AF/AFMAN/811144_Total_Energy_Plant_Building.pdf</t>
  </si>
  <si>
    <t>Electric Power Generation Plant (Electric Power, Photovoltaic)</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</si>
  <si>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</si>
  <si>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https://www.wbdg.org/FFC/AF/AFMAN/811145_Electric_Power_Generation_Plant.pdf</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</si>
  <si>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</si>
  <si>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</si>
  <si>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Emergency Electric Power Generation Plant</t>
  </si>
  <si>
    <t>This facility may be authorized in accordance with AFI 32-1061 to provide emergency standby power to specified essential facilities such as hospitals and airfield lighting, including visual aids, navigation, communications, and critical command facilities.</t>
  </si>
  <si>
    <t>https://www.wbdg.org/FFC/AF/AFMAN/811147_Emergency_Electric_Power_Generator_Plant.pdf</t>
  </si>
  <si>
    <t>Electric Power Station Building</t>
  </si>
  <si>
    <t>Facility designed for use as an electric power station.</t>
  </si>
  <si>
    <t>https://www.wbdg.org/FFC/AF/AFMAN/811149_Electric_Power_Station_Building.pdf</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</si>
  <si>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</si>
  <si>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</si>
  <si>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</si>
  <si>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 xml:space="preserve">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</si>
  <si>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Primary Distribution Line Overhead</t>
  </si>
  <si>
    <t>Utility components of the base electrical distribution system.  The equipment includes poles, guys, cross arms, insulators, hardware, transformers, lightning arresters, fuses, line switches and other related equipment</t>
  </si>
  <si>
    <t>https://www.wbdg.org/FFC/AF/AFMAN/812223_Primary_Overhead_Distribution_Line.pdf</t>
  </si>
  <si>
    <t>Secondary Distribution Line Overhead</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</si>
  <si>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</si>
  <si>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</si>
  <si>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Primary Distribution Line Underground</t>
  </si>
  <si>
    <t>Utility components of the base electrical system.  UG distribution primary line consists of ducts, manholes, vaults, cables, potheads, transformers, switches, protective devices and associated equipment.</t>
  </si>
  <si>
    <t>https://www.wbdg.org/FFC/AF/AFMAN/812225_Primary_Distribution_Line_Underground.pdf</t>
  </si>
  <si>
    <t>Secondary Distribution Line Underground</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</si>
  <si>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</si>
  <si>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</si>
  <si>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Electric Vehicle Charge Facility (EVCF) Level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</si>
  <si>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</si>
  <si>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Electric Vehicle Charge Facility (EVCF) Level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</si>
  <si>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</si>
  <si>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Electric Vehicle Charge Facility (EVCF) Level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</si>
  <si>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</si>
  <si>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Exterior Area Lighting</t>
  </si>
  <si>
    <t>Exterior lighting designed to provide visible space for parking lots, streets, aircraft parking apron aircraft alert areas, and security lighting for such areas as a weapons storage area, etc.</t>
  </si>
  <si>
    <t>https://www.wbdg.org/FFC/AF/AFMAN/812926_Exterior_Area_Lighting.pdf</t>
  </si>
  <si>
    <t>Traffic Lights</t>
  </si>
  <si>
    <t>Electronically operated signal lights used to direct or control traffic.</t>
  </si>
  <si>
    <t>Electric Switching Station</t>
  </si>
  <si>
    <t>This category code identifies those facilities that have no transformers and used for routing or rerouting high voltage feeders. All air or oil switches in the installation primary distribution lines (600-1500 volts) should be charged to the distribution system.</t>
  </si>
  <si>
    <t>https://www.wbdg.org/FFC/AF/AFMAN/813228_Electric_Switching_Station.pdf</t>
  </si>
  <si>
    <t>Electric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</si>
  <si>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</si>
  <si>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</si>
  <si>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Transformer Station 500KV or Less</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</si>
  <si>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</si>
  <si>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Transformer Station Greater Than 501KV</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</si>
  <si>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</si>
  <si>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Lightning Protection System,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</si>
  <si>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</si>
  <si>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Coal Yard</t>
  </si>
  <si>
    <t>Area designated for the storage and handling of coal.</t>
  </si>
  <si>
    <t>https://www.wbdg.org/FFC/AF/AFMAN/821111_Coal_Yard.pdf</t>
  </si>
  <si>
    <t>Heating Fuel Oil Storage</t>
  </si>
  <si>
    <t>Underground tanks used to store diesel fuel for use in operation of central heating plants.</t>
  </si>
  <si>
    <t>‌http://www.wbdg.org/FFC/AF/AFMAN/821112_Heating_Fuel_Oil_Storage.pdf</t>
  </si>
  <si>
    <t>Heating from Central Plant</t>
  </si>
  <si>
    <t>Facilities that receive heat from a central plant and distribute it to one or more buildings.  Mechanical rooms may be part of the facility or standalone.</t>
  </si>
  <si>
    <t>https://www.wbdg.org/FFC/AF/AFMAN/821113_Heating_Central_Plant.pdf</t>
  </si>
  <si>
    <t>Heating Plant</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</si>
  <si>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</si>
  <si>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</si>
  <si>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Heating Facility Building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</si>
  <si>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</si>
  <si>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</si>
  <si>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Steam Plant Industrial</t>
  </si>
  <si>
    <t>Industrial plant that produces steam for other than heating purposes.</t>
  </si>
  <si>
    <t>https://www.wbdg.org/FFC/AF/AFMAN/821155_Steam_Plant_Industrial.pdf</t>
  </si>
  <si>
    <t>Steam Facility Building</t>
  </si>
  <si>
    <t xml:space="preserve">This facility contains a heating plant that provides steam service to two or more facilities. </t>
  </si>
  <si>
    <t>‌https://www.wbdg.org/FFC/AF/AFMAN/821156_Steam_Facility_Building.pdf</t>
  </si>
  <si>
    <t>Heating Plant, Geothermal (Environmental)</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</si>
  <si>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</si>
  <si>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Hot Water Mains</t>
  </si>
  <si>
    <t>Hot water supply and return lines used in an exterior heat distribution system to heat buildings on a base wide centralized heat system.</t>
  </si>
  <si>
    <t>https://www.wbdg.org/FFC/AF/AFMAN/822245_Hot_Water_Mains.pdf</t>
  </si>
  <si>
    <t>Hot Water Pump Station</t>
  </si>
  <si>
    <t>Facility designed to provide support by boosting the output accomplished by the main heat plant pumps.</t>
  </si>
  <si>
    <t>https://www.wbdg.org/FFC/AF/AFMAN/822248_Hot_Water_Pump_Station.pdf</t>
  </si>
  <si>
    <t>Steam Heating Mains</t>
  </si>
  <si>
    <t>Steam supply and condensate return lines used in an exterior heat distribution system used to heat buildings from a central plant.</t>
  </si>
  <si>
    <t>https://www.wbdg.org/FFC/AF/AFMAN/822265_Steam_Heating_Mains.pdf</t>
  </si>
  <si>
    <t>Condensate Return Pump Station</t>
  </si>
  <si>
    <t>Facility designed for returning condensate caused by steam heat from the building to the central steam heat plants.</t>
  </si>
  <si>
    <t>https://www.wbdg.org/FFC/AF/AFMAN/822268_Condensate_Return_Pump_Station.pdf</t>
  </si>
  <si>
    <t>Heat Gas Source</t>
  </si>
  <si>
    <t>A plant for the production of gas to be used directly in heat production.</t>
  </si>
  <si>
    <t>https://www.wbdg.org/FFC/AF/AFMAN/823111_Heat_Gas_Source.pdf</t>
  </si>
  <si>
    <t>Gas Compressor Building</t>
  </si>
  <si>
    <t>Facility that contains compressors and associated equipment used to pressurize natural gas for heating.</t>
  </si>
  <si>
    <t>https://www.wbdg.org/FFC/AF/AFMAN/823243_Gas_Compressor.pdf</t>
  </si>
  <si>
    <t>Gas Storage</t>
  </si>
  <si>
    <t>Any tank or other facility used to store gas as a heating fuel.</t>
  </si>
  <si>
    <t>https://www.wbdg.org/FFC/AF/AFMAN/823244_Gas_Storage.pdf</t>
  </si>
  <si>
    <t>Gas Vaporizer Building</t>
  </si>
  <si>
    <t>Those facilities and equipment used to vaporize any gas used as a facility heating fuel.</t>
  </si>
  <si>
    <t>https://www.wbdg.org/FFC/AF/AFMAN/823248_Gas_Vaporizer.pdf</t>
  </si>
  <si>
    <t>Gas Meter Facility</t>
  </si>
  <si>
    <t>Facility designed to house gas metering equipment used to measure the flow rate, pressure, temperature, etc. of any gas used for heating fuel.</t>
  </si>
  <si>
    <t>https://www.wbdg.org/FFC/AF/AFMAN/824462_Gas_Meter_Facility.pdf</t>
  </si>
  <si>
    <t>Gas Mains</t>
  </si>
  <si>
    <t>Gas supply piping that runs from the central heat plant to the facilities requiring heat.</t>
  </si>
  <si>
    <t>https://www.wbdg.org/FFC/AF/AFMAN/824464_Gas_Mains.pdf</t>
  </si>
  <si>
    <t>Gas Odorizer Facility</t>
  </si>
  <si>
    <t>Facility that contains the necessary equipment required to odorize gas fuel for leak detection purposes.</t>
  </si>
  <si>
    <t>https://www.wbdg.org/FFC/AF/AFMAN/824466_Gas_Odorizer_Facility.pdf</t>
  </si>
  <si>
    <t>Gas Valve Facility</t>
  </si>
  <si>
    <t>Facility that contains valves and other equipment necessary to regulate heating gas flow and/or pressure.</t>
  </si>
  <si>
    <t>https://www.wbdg.org/FFC/AF/AFMAN/824468_Gas_Valve_Facility.pdf</t>
  </si>
  <si>
    <t>Air Conditioning/Refrigeration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</si>
  <si>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</si>
  <si>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Air Conditioning Plant Over 100 Tons</t>
  </si>
  <si>
    <t>Central air conditioning plant that houses refrigeration equipment with capacities the meet or exceed 100 tons.</t>
  </si>
  <si>
    <t>https://www.wbdg.org/FFC/AF/AFMAN/826123_Air_Conditioning_Plant_Over_100_Tons.pdf</t>
  </si>
  <si>
    <t>Chilled Water Exterior Distribution Line</t>
  </si>
  <si>
    <t>Exterior chilled water distribution piping that runs from the central air conditioning plant to the facilities requiring air conditioning.</t>
  </si>
  <si>
    <t>https://www.wbdg.org/FFC/AF/AFMAN/827111_Chilled_Water_Exterior_Distribution_Line.pdf</t>
  </si>
  <si>
    <t>Industrial Waste Treatment and Disposal</t>
  </si>
  <si>
    <t>Facility designed for treating and disposing of industrial waste generated by corrosion control, plating, maintenance, photo processing, etc.</t>
  </si>
  <si>
    <t>https://www.wbdg.org/FFC/AF/AFMAN/831155_Industrial_Waste_Treatment_and_Disposal_Facility.pdf</t>
  </si>
  <si>
    <t>Industrial Waste Fuel Spill Collection</t>
  </si>
  <si>
    <t xml:space="preserve">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</si>
  <si>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https://www.wbdg.org/FFC/AF/AFMAN/831157_Industrial_Waste_Fuel_Spill_Collection.pdf</t>
  </si>
  <si>
    <t>Sewage Treatment and Disposal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</si>
  <si>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</si>
  <si>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</si>
  <si>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Waste Treatment Building</t>
  </si>
  <si>
    <t>Facility specifically designed for the treatment of wastewater.</t>
  </si>
  <si>
    <t>https://www.wbdg.org/FFC/AF/AFMAN/831168_Waste_Treatment_Building.pdf</t>
  </si>
  <si>
    <t>Sewage Septic Tank</t>
  </si>
  <si>
    <t>Septic tank facility to include drain tile and piping that serves individual facilities that generate domestic wastewater.</t>
  </si>
  <si>
    <t>https://www.wbdg.org/FFC/AF/AFMAN/831169_Sewage_Septic_Tank.pdf</t>
  </si>
  <si>
    <t>Radioactive Waste Burial Site</t>
  </si>
  <si>
    <t>Locations or sites where radioactive materials or wastes are buried.</t>
  </si>
  <si>
    <t>https://www.wbdg.org/FFC/AF/AFMAN/831171_Radioactive_Waste_Burial_Site.pdf</t>
  </si>
  <si>
    <t>Radioactive Waste Disposal</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</si>
  <si>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</si>
  <si>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</si>
  <si>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Demolition and Burn Facility</t>
  </si>
  <si>
    <t>An open range used to dispose of unserviceable air munitions, incendiaries, or chemical material by burning or otherwise crushing to reduce volume for disposal.</t>
  </si>
  <si>
    <t>https://www.wbdg.org/FFC/AF/AFMAN/831173_Demolition_and_Burn_Facility.pdf</t>
  </si>
  <si>
    <t>Hazardous Waste Storage &amp; Transfer Facility</t>
  </si>
  <si>
    <t>A storage facility for the containment and shipment of hazardous wastes.  Can be short term or long term.</t>
  </si>
  <si>
    <t>Septic Lagoons - Ponds</t>
  </si>
  <si>
    <t>Lagoon septic systems consist of one or more lagoons/ponds designed to receive, hold and treat wastewater.</t>
  </si>
  <si>
    <t>Industrial Waste Main</t>
  </si>
  <si>
    <t>Sewage collection mains serving the industrial waste water treatment and disposal system.</t>
  </si>
  <si>
    <t>https://www.wbdg.org/FFC/AF/AFMAN/832255_Industrial_Waste_Main.pdf</t>
  </si>
  <si>
    <t>Sanitary Sewage Main</t>
  </si>
  <si>
    <t>Sewage collection mains serving the sanitary (domestic) wastewater treatment and disposal system.</t>
  </si>
  <si>
    <t>https://www.wbdg.org/FFC/AF/AFMAN/832266_Sanitary_Sewage_Mains.pdf</t>
  </si>
  <si>
    <t>Sanitary Sewage Pump Station</t>
  </si>
  <si>
    <t>Facility designed for the transfer of sewage to treatment stations. Equipment includes pits, pumping equipment, controls, and various structures.</t>
  </si>
  <si>
    <t>https://www.wbdg.org/FFC/AF/AFMAN/832267_Sanitary_Sewage_Pump_Station.pdf</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</si>
  <si>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</si>
  <si>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</si>
  <si>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Incinerator Facility</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</si>
  <si>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</si>
  <si>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</si>
  <si>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</si>
  <si>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Solid Waste Disposal Facility</t>
  </si>
  <si>
    <t>Facility designed for the disposal of solid waste and does not include hazardous waste.</t>
  </si>
  <si>
    <t>https://www.wbdg.org/FFC/AF/AFMAN/833354_Solid_Waste_Disposal_Facility.pdf</t>
  </si>
  <si>
    <t>Solid Waste Repository</t>
  </si>
  <si>
    <t>Container designed for the storage and eventual transfer of solid waste. Hazardous materials are prohibited from this type disposal.</t>
  </si>
  <si>
    <t>https://www.wbdg.org/FFC/AF/AFMAN/833356_Solid_Waste_Repository.pdf</t>
  </si>
  <si>
    <t>Garbage Container Washrack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</si>
  <si>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</si>
  <si>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</si>
  <si>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Solid Waste Disposal Landfill</t>
  </si>
  <si>
    <t>Sanitary landfill for the disposal of non-hazardous solid waste.</t>
  </si>
  <si>
    <t>Hazardous/Waste Disposal Landfill</t>
  </si>
  <si>
    <t>This category code identifies those landfills that are used for the disposal of hazardous/waste as defined by 40 CFR 261. Standards for permitted hazardous permitted hazardous/waste landfills are given in 40 CFR 264, Subpart N—Landfills.</t>
  </si>
  <si>
    <t>https://www.wbdg.org/FFC/AF/AFMAN/833361_Hazardous_Waste_Disposal_Landfill.pdf</t>
  </si>
  <si>
    <t>Water Supply Mains</t>
  </si>
  <si>
    <t>Pipes or conduits that supply water from the potable water source or treatment plant to the Water Distribution Line. Typically, this category includes pipelines, and valves.</t>
  </si>
  <si>
    <t>https://www.wbdg.org/FFC/AF/AFMAN/841161_Water_Supply_Mains.pdf</t>
  </si>
  <si>
    <t>Commercial Water Supply</t>
  </si>
  <si>
    <t>Facility owned and operated by entities other than the Federal Government. The water is supplied for use by the Air Force.</t>
  </si>
  <si>
    <t>https://www.wbdg.org/FFC/AF/AFMAN/841162_Commercial_Water_Supply.pdf</t>
  </si>
  <si>
    <t>Surface Water Supply</t>
  </si>
  <si>
    <t>DELETION PROPOSED IN FY 11 RPCS ***USE CODE 841425***</t>
  </si>
  <si>
    <t>https://www.wbdg.org/FFC/AF/AFMAN/841163_Surface_Water_Supply.pdf</t>
  </si>
  <si>
    <t>Water Supply Treatment Facility</t>
  </si>
  <si>
    <t>Domestic water treatment components other than buildings and mains. Equipment includes settling basins, filters, chemical feeders, etc.</t>
  </si>
  <si>
    <t>https://www.wbdg.org/FFC/AF/AFMAN/841165_Water_Supply_Treatment_Facility.pdf</t>
  </si>
  <si>
    <t>Water Well</t>
  </si>
  <si>
    <t xml:space="preserve">Water production wells that supply domestic or industrial water. This includes pumping equipment, casing, and controls. </t>
  </si>
  <si>
    <t>https://www.wbdg.org/FFC/AF/AFMAN/841166_Water_Well.pdf</t>
  </si>
  <si>
    <t>Water Supply Building</t>
  </si>
  <si>
    <t>Facility designed to house water supply treatment, storage, and distribution components within the water supply system</t>
  </si>
  <si>
    <t>https://www.wbdg.org/FFC/AF/AFMAN/841169_Water_Supply_Building.pdf</t>
  </si>
  <si>
    <t>Water Storage Dam</t>
  </si>
  <si>
    <t>Facility designed to impound surface water for domestic, industrial, or recreational purposes. The dam is usually used in conjunction with a water storage reservoir.</t>
  </si>
  <si>
    <t>https://www.wbdg.org/FFC/AF/AFMAN/841423_Water_Storage_Dam.pdf</t>
  </si>
  <si>
    <t>Water Storage Reservoir</t>
  </si>
  <si>
    <t>Surface water impoundment area or basin constructed for this purpose. The facility is used to store water for domestic, industrial, or recreational purposes.</t>
  </si>
  <si>
    <t>https://www.wbdg.org/FFC/AF/AFMAN/841425_Water_Storage_Reservoir.pdf</t>
  </si>
  <si>
    <t>Storm Water Pond</t>
  </si>
  <si>
    <t>Storm water ponds are constructed to collect stormwater runoff to safeguard water quality by collecting and treating stormwater runoff and to protect against flooding.</t>
  </si>
  <si>
    <t>Water Tank Storage</t>
  </si>
  <si>
    <t>Water storage tanks, either elevated or ground level, used to store water for either domestic or industrial requirements.</t>
  </si>
  <si>
    <t>https://www.wbdg.org/FFC/AF/AFMAN/841427_Water_Tank_Storage.pdf</t>
  </si>
  <si>
    <t>Water Distribution Line, Potable</t>
  </si>
  <si>
    <t>All pipes that convey potable water from the Water Supply Mains to the end user. Lateral/Service lines.</t>
  </si>
  <si>
    <t>https://www.wbdg.org/FFC/AF/AFMAN/842245_Water_Distribution_Line_Potable.pdf</t>
  </si>
  <si>
    <t>Water Pump Station</t>
  </si>
  <si>
    <t>Station with a water pump that transfers either domestic or industrial water.</t>
  </si>
  <si>
    <t>https://www.wbdg.org/FFC/AF/AFMAN/842249_Water_Pump_Station_Potable.pdf</t>
  </si>
  <si>
    <t>Fire Protection Water</t>
  </si>
  <si>
    <t>This Category Code is for equipment that pumps water from underground sources to the fire protection system. The primary unit of measure is well capacity in gallons per minute (GM)</t>
  </si>
  <si>
    <t>Reservoirs - Fire Protection Water</t>
  </si>
  <si>
    <t>This Category Code is for a reservoir that has a capacity greater than or equal to one million gallons and typically provides a sufficient quantity of water in reserve to insure an uninterrupted flow for fire protection.</t>
  </si>
  <si>
    <t>Fire Protection Water Mains</t>
  </si>
  <si>
    <t>Water mains used exclusively to provide water from fire protection water storage and or pump stations to fire protection systems and/or fire hydrants.</t>
  </si>
  <si>
    <t>https://www.wbdg.org/FFC/AF/AFMAN/843314_Fire_Protection_Water_Mains.pdf</t>
  </si>
  <si>
    <t>Water Fire Pumping Station</t>
  </si>
  <si>
    <t>Pumping stations that provide large volumes of water for fire protection. These systems are normally used in deluge systems which automatically call for large amounts of water when a fire occurs.</t>
  </si>
  <si>
    <t>Fire Protection Water Storage</t>
  </si>
  <si>
    <t>Water storage tanks used exclusively for supplying potable or non-potable water to fire protection systems.</t>
  </si>
  <si>
    <t>https://www.wbdg.org/FFC/AF/AFMAN/843319_Fire_Protection_Water_Storage.pdf</t>
  </si>
  <si>
    <t>Water Supply Storage, Non-Potable</t>
  </si>
  <si>
    <t>Facility designed for storing non potable water.</t>
  </si>
  <si>
    <t>https://www.wbdg.org/FFC/AF/AFMAN/844367_Water_Supply_Storage_Non_Potable.pdf</t>
  </si>
  <si>
    <t>Water Supply Non-Potable</t>
  </si>
  <si>
    <t>Water supply system which does not meet potable water standards. Some examples of this type system are irrigation systems or fire protection systems.</t>
  </si>
  <si>
    <t>https://www.wbdg.org/FFC/AF/AFMAN/844368_Water_Supply_Non_Potable.pdf</t>
  </si>
  <si>
    <t>Swales</t>
  </si>
  <si>
    <t>A stormwater management structure that provides routing and damming of stormwater to achieve needed water filtration and reduce stormwater discharge rates, e.g., Dry swale, Wet swale.</t>
  </si>
  <si>
    <t>Permeable Surface</t>
  </si>
  <si>
    <t>A stormwater management structure where runoff passes through the pavement surface and subbase layers, infiltrating into the soils below, e.g., Permeable Pavers, Pervious Concrete, Porous Asphalt, Reinforced Turf, Reinforced Gravel.</t>
  </si>
  <si>
    <t>Storm Water Harvesting</t>
  </si>
  <si>
    <t>Stormwater management structures that collect, store, treat, and repurpose stormwater runoff for irrigation, HVAC make-up, and non-potable indoor plumbing uses e.g., Stormwater Vaults.</t>
  </si>
  <si>
    <t>Storm Water Treatment Structure</t>
  </si>
  <si>
    <t>A stormwater control structure that uses chambers, gradations or other built in feature(s) in combination with filter media to remove sediment and other pollutants from stormwater before entering the stormsewer system. This would include manufactured filter structures like jellyfish filters, hydrodynamic separators, etc.</t>
  </si>
  <si>
    <t>Water Supply Non-Potable Building</t>
  </si>
  <si>
    <t>Facilities used to house non-potable water systems, components, or equipment.</t>
  </si>
  <si>
    <t>Water Supply Main Non-Potable</t>
  </si>
  <si>
    <t>Water supply mains used in a non-potable water system.</t>
  </si>
  <si>
    <t>Road Bridge</t>
  </si>
  <si>
    <t xml:space="preserve">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  </t>
  </si>
  <si>
    <t>https://www.wbdg.org/FFC/AF/AFMAN/851142_Road_Bridge.pdf</t>
  </si>
  <si>
    <t>Curbs and Gutters</t>
  </si>
  <si>
    <t>Concrete structures used to line streets and parking lots to aid in collection and control of surface storm water runoff.</t>
  </si>
  <si>
    <t>https://www.wbdg.org/FFC/AF/AFMAN/851143_Curbs_and_Gutters_and_Street_Inlets.pdf</t>
  </si>
  <si>
    <t>Driveway</t>
  </si>
  <si>
    <t>Private roads leading from a street or other thoroughfare to a building, house, or garage. Normally a hard surfaced road. The surface is usually concrete or asphalt.</t>
  </si>
  <si>
    <t>https://www.wbdg.org/FFC/AF/AFMAN/851145_Driveway.pdf</t>
  </si>
  <si>
    <t>Road</t>
  </si>
  <si>
    <t>Structures designed to carry vehicle traffic. Volume and composition of traffic determines the design of roads and streets. Normally a hard surfaced road. The surface is usually concrete or asphalt.  Curbs and Gutters are captured under catcode 851143.</t>
  </si>
  <si>
    <t>https://www.wbdg.org/FFC/AF/AFMAN/851147_Road_Street.pdf</t>
  </si>
  <si>
    <t>Road Unsurfaced</t>
  </si>
  <si>
    <t>An unsurfaced (unpaved) structure designed to carry vehicle traffic. Volume and composition of traffic determines the design of roads. The surface is usually gravel.</t>
  </si>
  <si>
    <t>https://www.wbdg.org/FFC/AF/AFMAN/851201_Road_Unsurfaced.pdf</t>
  </si>
  <si>
    <t>Vehicular Tunnel</t>
  </si>
  <si>
    <t>A surfaced area for the permanent organizational parking and/or temporary holding of vehicles and equipment awaiting deployment. This FAC is not intended for surfaced parking areas designated for individual vehicle parking spots identified under FAC 8521.</t>
  </si>
  <si>
    <t>Vehicle Parking Surfaced</t>
  </si>
  <si>
    <t>A designated paved parking area for privately owned vehicles, situated near administrative or commercial areas. It provides individual parking spaces for both staff and customers, it may include a few spots allocated for government vehicles.</t>
  </si>
  <si>
    <t>https://www.wbdg.org/FFC/AF/AFMAN/852201_Vehicle_Parking_Surfaced.pdf</t>
  </si>
  <si>
    <t>Pedestrian Tunnel</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</si>
  <si>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</si>
  <si>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Vehicle Parking Operations</t>
  </si>
  <si>
    <t>A paved parking surface authorized specifically for government vehicles and equipment.</t>
  </si>
  <si>
    <t>https://www.wbdg.org/FFC/AF/AFMAN/852261_Vehicle_Parking_Operations.pdf</t>
  </si>
  <si>
    <t>Vehicle Parking Non Organizational</t>
  </si>
  <si>
    <t>A paved parking area used for event parking, overflow parking, deployment activities, and or air shows. Parking spaces based on special traffic analysis that would authorize additional parking on an installation.</t>
  </si>
  <si>
    <t>https://www.wbdg.org/FFC/AF/AFMAN/852262_Non_Organizational_Vehicle_Parking.pdf</t>
  </si>
  <si>
    <t>Vehicle Parking Unsurfaced</t>
  </si>
  <si>
    <t>A designated unsurfaced parking area to be used for parking privately owned or government vehicles.</t>
  </si>
  <si>
    <t>Vehicle/Equipment Parking Research and Development</t>
  </si>
  <si>
    <t>Parking areas used for miscellaneous research and development vehicles and support equipment.</t>
  </si>
  <si>
    <t>https://www.wbdg.org/FFC/AF/AFMAN/852267_Vehicle_Equipment_Parking_Research_Development.pdf</t>
  </si>
  <si>
    <t>Vehicle Parking Refueling</t>
  </si>
  <si>
    <t>Pad or other impervious surface with containment for refuelers, tanker truck, hose carts, pantographs, etc., to park when not in service.  Catcode includes the containment area, vault, isolation valve, storm piping, culverts, etc.</t>
  </si>
  <si>
    <t>‌http://www.wbdg.org/FFC/AF/AFMAN/852269_Refueler_Vehicle_Parking.pdf</t>
  </si>
  <si>
    <t>Private Vehicle Parking Compound</t>
  </si>
  <si>
    <t>A fenced storage yard with a paved surface and floodlighting. The primary use is for storage or long term parking of privately owned vehicles, recreation equipment, recreation trailers and abandoned or impounded vehicles.</t>
  </si>
  <si>
    <t>https://www.wbdg.org/FFC/AF/AFMAN/852271_Private_Vehicle_Parking_Compound.pdf</t>
  </si>
  <si>
    <t>Aircraft Support Equipment Storage Yard</t>
  </si>
  <si>
    <t>Facility designed for the storage of powered and non-powered support equipment that service various repaired aircraft.</t>
  </si>
  <si>
    <t>‌http://www.wbdg.org/FFC/AF/AFMAN/852273_Aircraft_Support_Equipment_AGE_Storage_Yard.pdf</t>
  </si>
  <si>
    <t>Walkway Bridge</t>
  </si>
  <si>
    <t>Spanning structure that permits pedestrian traffic over river, chasm, road, etc.</t>
  </si>
  <si>
    <t>https://www.wbdg.org/FFC/AF/AFMAN/852282_Walkway_Bridge.pdf</t>
  </si>
  <si>
    <t>Covered Walkway</t>
  </si>
  <si>
    <t>Covered walkways that are authorized for pedestrian traffic.</t>
  </si>
  <si>
    <t>https://www.wbdg.org/FFC/AF/AFMAN/852287_Covered_Walkway.pdf</t>
  </si>
  <si>
    <t>Sidewalk</t>
  </si>
  <si>
    <t>Hard surfaced walkways that enable more efficient means of pedestrian traffic.</t>
  </si>
  <si>
    <t>https://www.wbdg.org/FFC/AF/AFMAN/852289_Sidewalk.pdf</t>
  </si>
  <si>
    <t>Vehicle Staging Area, Surfaced/Unsurfaced</t>
  </si>
  <si>
    <t>https://www.wbdg.org/FFC/AF/AFMAN/852301_Vehicle_Staging_Area_Surfaced_Unsurfaced.pdf</t>
  </si>
  <si>
    <t>Miscellaneous Open Storage or Laydown Area</t>
  </si>
  <si>
    <t>An open storage areas other than those used for general supply operations (category code 452252),  Base Civil Engineer Open Storage (452255), or Open Storage, Air Freight/Traffic Management Surface Freight (452258).</t>
  </si>
  <si>
    <t>Vehicle Parking Garage/Structure</t>
  </si>
  <si>
    <t>A garage/structure for parking private and/or government owned vehicles and equipment in individual parking spots/locations. Facility may be above-ground or underground.</t>
  </si>
  <si>
    <t>https://www.wbdg.org/FFC/AF/AFMAN/853101_Vehicle_Parking_Garage.pdf</t>
  </si>
  <si>
    <t>Railroad Bridge</t>
  </si>
  <si>
    <t>Spanning structure that permits the passage of locomotives over rivers, chasms, road, etc.</t>
  </si>
  <si>
    <t>https://www.wbdg.org/FFC/AF/AFMAN/860612_Railroad_Bridge.pdf</t>
  </si>
  <si>
    <t>Railroad Shelter Personnel</t>
  </si>
  <si>
    <t>Facility designed to provide shelter from the elements while waiting for a train.</t>
  </si>
  <si>
    <t>https://www.wbdg.org/FFC/AF/AFMAN/860616_Railroad_Shelter_Personnel.pdf</t>
  </si>
  <si>
    <t>Railroad Trackage</t>
  </si>
  <si>
    <t>Steel rails and creosoted wood cross ties that permit the movement of locomotives.</t>
  </si>
  <si>
    <t>https://www.wbdg.org/FFC/AF/AFMAN/860617_Railroad_Trackage.pdf</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</si>
  <si>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</si>
  <si>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</si>
  <si>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Storm Water Pumping Station</t>
  </si>
  <si>
    <t>Pump station facility used for moving storm water runoff from one elevation/location to another.</t>
  </si>
  <si>
    <t>Storm Drainage Disposal</t>
  </si>
  <si>
    <t>Components of the storm drainage system to include piping, channels, catch basins, culverts, manholes, etc.</t>
  </si>
  <si>
    <t>https://www.wbdg.org/FFC/AF/AFMAN/871183_Storm_Drainage_Disposal.pdf</t>
  </si>
  <si>
    <t>Storm Drainage Pumping Station</t>
  </si>
  <si>
    <t>Pumping equipment, controls, and structures used for occasions when storm water must be moved.</t>
  </si>
  <si>
    <t>https://www.wbdg.org/FFC/AF/AFMAN/871185_Storm_Drainage_Pumping_Station.pdf</t>
  </si>
  <si>
    <t>Retaining Wall</t>
  </si>
  <si>
    <t>Exterior wall structure designed for resisting lateral pressure from a mass of earth or forces other than wind.</t>
  </si>
  <si>
    <t>https://www.wbdg.org/FFC/AF/AFMAN/871187_Retaining_Wall.pdf</t>
  </si>
  <si>
    <t>Dike / Dam</t>
  </si>
  <si>
    <t>No criteria are currently available for this Category Code. Requirements must be individually justified.</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</si>
  <si>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</si>
  <si>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</si>
  <si>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Fence Boundary</t>
  </si>
  <si>
    <t>The legal and physical demarcation of an installation's boundary, usually defined by a fence.</t>
  </si>
  <si>
    <t>https://www.wbdg.org/FFC/AF/AFMAN/872245_Boundary_Fence.pdf</t>
  </si>
  <si>
    <t>Fence Security/Vehicle Barriers</t>
  </si>
  <si>
    <t>Structure designed for protection of restricted or controlled areas or any area where threat of terrorism is imminent or likely.</t>
  </si>
  <si>
    <t>https://www.wbdg.org/FFC/AF/AFMAN/872247_Security_Fence_Vehicle_Security_Barriers.pdf</t>
  </si>
  <si>
    <t>Fence Interior</t>
  </si>
  <si>
    <t>Fences that promote personnel or traffic safety, operating efficiency, or environmental protection. This structure is not for security or boundary demarcation.</t>
  </si>
  <si>
    <t>https://www.wbdg.org/FFC/AF/AFMAN/872248_Interior_Fence.pdf</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</si>
  <si>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</si>
  <si>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</si>
  <si>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</si>
  <si>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</si>
  <si>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Security Guard Tower</t>
  </si>
  <si>
    <t>Security guard towers provide 360-degree observation and a direct line of fire for response at critical locations. These towers are typically manned by a single individual when security plans dictate the need for enhanced surveillance and response capabilities.</t>
  </si>
  <si>
    <t>‌https://www.wbdg.org/FFC/AF/AFMAN/872845_Security_Guard_Tower.pdf</t>
  </si>
  <si>
    <t>Revetment Pre-Engineered</t>
  </si>
  <si>
    <t>Facility designed to provide blast protection from explosions in adjacent areas. The bin type revetments come in heights of 12 and 16 feet. Steel walls are filled with earth after the sections are erected.</t>
  </si>
  <si>
    <t>‌https://www.wbdg.org/FFC/AF/AFMAN/872911_Revetment_Pre_Engineered.pdf</t>
  </si>
  <si>
    <t>Navigation Revetment</t>
  </si>
  <si>
    <t>A facility of erosion-resistant material placed parallel to the shoreline and directly on an existing slope, embankment, or dike to protect the area from waves and strong currents and to control the meandering of a waterway.</t>
  </si>
  <si>
    <t>Flood Control Structure</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</si>
  <si>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</si>
  <si>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Levee/Floodwall</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</si>
  <si>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</si>
  <si>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Air Conditioning Central Plant</t>
  </si>
  <si>
    <t>Separate facility that contains refrigeration equipment required to cool two or more different facilities.</t>
  </si>
  <si>
    <t>https://www.wbdg.org/FFC/AF/AFMAN/890123_Air_Conditioning_Central_Plant.pdf</t>
  </si>
  <si>
    <t>Solar Collection System</t>
  </si>
  <si>
    <t>Bank of solar collectors that supply energy to power heating and cooling systems and to supplement hot water systems. Components include the collectors, piping, valves, controls, and gauges.</t>
  </si>
  <si>
    <t>https://www.wbdg.org/FFC/AF/AFMAN/890127_Solar_Collection_System.pdf</t>
  </si>
  <si>
    <t>Compressed Air Plant</t>
  </si>
  <si>
    <t>Plant designed for the purpose of providing compressed air to various users. The plant includes a compressor, tanks, and associated equipment.</t>
  </si>
  <si>
    <t>https://www.wbdg.org/FFC/AF/AFMAN/890134_Compressed_Air_Plant.pdf</t>
  </si>
  <si>
    <t>Compressed Air Plant Building</t>
  </si>
  <si>
    <t>Compressed air facility that provides service to two or more buildings by way of a compressed air distribution system.</t>
  </si>
  <si>
    <t>https://www.wbdg.org/FFC/AF/AFMAN/890136_Compressed_Air_Plant_Building.pdf</t>
  </si>
  <si>
    <t>Compressed Air Distribution</t>
  </si>
  <si>
    <t>Those compressed air supply lines that provide air to various buildings that are on a base wide air system.</t>
  </si>
  <si>
    <t>https://www.wbdg.org/FFC/AF/AFMAN/890144_Compressed_Air_Distribution.pdf</t>
  </si>
  <si>
    <t>Tramway Aerial</t>
  </si>
  <si>
    <t>A transportation system that hauls passengers and freight in vehicles suspended from a cable and supported by a series of towers.</t>
  </si>
  <si>
    <t>‌https://www.wbdg.org/FFC/AF/AFMAN/890151_Tramway_Aerial.pdf</t>
  </si>
  <si>
    <t>Loading and Unloading Area</t>
  </si>
  <si>
    <t>Those areas normally at ground level where miscellaneous materials may be loaded or unloaded as the requirement may be.</t>
  </si>
  <si>
    <t>https://www.wbdg.org/FFC/AF/AFMAN/890152_Loading_Unloading_Area.pdf</t>
  </si>
  <si>
    <t>Gantry/Bridge Crane</t>
  </si>
  <si>
    <t>Those framework structures and cranes used to hoist, lower, or move heavy equipment, missiles, munitions, cargo, coal, gravel, etc. to and from vehicles or from area to area.</t>
  </si>
  <si>
    <t>‌https://www.wbdg.org/FFC/AF/AFMAN/890154_Gantry_Bridge_Crane.pdf</t>
  </si>
  <si>
    <t>Load/Unloading Pit</t>
  </si>
  <si>
    <t>Those areas used to load or unload materials such as gravel or coal into or from vehicles. The pit is usually below grade.</t>
  </si>
  <si>
    <t>https://www.wbdg.org/FFC/AF/AFMAN/890156_Load_Unloading_Pit.pdf</t>
  </si>
  <si>
    <t>Load/Unloading Platform</t>
  </si>
  <si>
    <t>Those areas, typically a raised floor or dock, used to upload or download equipment, cargo, crates, coal, gravel, etc.</t>
  </si>
  <si>
    <t>https://www.wbdg.org/FFC/AF/AFMAN/890158_Load_Unloading_Platform.pdf</t>
  </si>
  <si>
    <t>Miscellaneous Storage Tank - Above Ground</t>
  </si>
  <si>
    <t>Above ground tanks used to store waste petroleum products or other type of liquid that is not considered hazardous waste and is not covered under other categories.</t>
  </si>
  <si>
    <t>https://www.wbdg.org/FFC/AF/AFMAN/890171_Misc_Storage_Tank.pdf</t>
  </si>
  <si>
    <t>Miscellaneous Storage Tank - Underground</t>
  </si>
  <si>
    <t>Underground tanks used to store waste petroleum products or other type of liquid that is not considered hazardous waste and is not covered under other categories.</t>
  </si>
  <si>
    <t>Utility Line Ducts</t>
  </si>
  <si>
    <t>Underground concrete encased ducts used for installation of electrical, telephone cable, optical communication lines, steam or hot water lines, etc.</t>
  </si>
  <si>
    <t>https://www.wbdg.org/FFC/AF/AFMAN/890181_Utility_Line_Ducts.pdf</t>
  </si>
  <si>
    <t>Utility Door</t>
  </si>
  <si>
    <t>A walk-through tunnel where maintenance can be performed on various utility lines that run underground.</t>
  </si>
  <si>
    <t>https://www.wbdg.org/FFC/AF/AFMAN/890185_Utilidor.pdf</t>
  </si>
  <si>
    <t>Utility Vault</t>
  </si>
  <si>
    <t>An enclosed structure, generally made of concrete that contains utility equipment, connections, or lines.</t>
  </si>
  <si>
    <t>https://www.wbdg.org/FFC/AF/AFMAN/890187_Utility_Vault.pdf</t>
  </si>
  <si>
    <t>Weight Scale</t>
  </si>
  <si>
    <t>Ground level installed scales used to weigh Government or commercial vehicles to determine the weight of the vehicle or its contents.</t>
  </si>
  <si>
    <t>https://www.wbdg.org/FFC/AF/AFMAN/890197_Weight_Scale.pdf</t>
  </si>
  <si>
    <t>Refuse and Garbage Building</t>
  </si>
  <si>
    <t>A building that houses the equipment and support functions associated with the collection, processing, and disposal of refuse and garbage. This category should be used in conjunction with the structures in the 833-series, Refuse and Garbage.</t>
  </si>
  <si>
    <t>Shredder Facility</t>
  </si>
  <si>
    <t>A building that houses the equipment and support functions associated with the shredding of material prior to its final disposition.</t>
  </si>
  <si>
    <t>Combined Sewage and Industrial Waste Treatment Building</t>
  </si>
  <si>
    <t>A structure to monitor and test environmental conditions.</t>
  </si>
  <si>
    <t>Building Housing Miscellaneous Utility Plant</t>
  </si>
  <si>
    <t>A tower that provides air-conditioning/cooling through circulation of atmospheric air that cools warm water, generally by direct contact (evaporation). Associated equipment normally includes pumps, valves, spray nozzles, and controls.</t>
  </si>
  <si>
    <t>Monitoring Wells</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</si>
  <si>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</si>
  <si>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Decorative Fountain/Pond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</si>
  <si>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</si>
  <si>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Environmental Test Facility</t>
  </si>
  <si>
    <t>A structure to monitor and test environmental conditions. Report each test facility as 1 EA, regardless of the number of sensors.</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</si>
  <si>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</si>
  <si>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 (use 89120, Plant Utilities Building).</t>
  </si>
  <si>
    <t>Pollutant Catch Basin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</si>
  <si>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</si>
  <si>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Land Donation, Private</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</si>
  <si>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</si>
  <si>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 Donation State and Local Government</t>
  </si>
  <si>
    <t>Those lands where fee title has transferred from the state or local government and put under the custody and accountability of the Air Force without any consideration.</t>
  </si>
  <si>
    <t>Land Fee Condemnation</t>
  </si>
  <si>
    <t>Those lands in the CONUS, its territories or possessions, where fee title has been put under the custody and accountability of the Air Force through the power of Eminent Domain.</t>
  </si>
  <si>
    <t>Land</t>
  </si>
  <si>
    <t>Lands in the continental United States, its territories and possessions.</t>
  </si>
  <si>
    <t>Land, Public Domain</t>
  </si>
  <si>
    <t>Those lands in the CONUS that were withdrawn from public domain through a Public Land Order by the Air Force and put under the custody and accountability of the Air Force.</t>
  </si>
  <si>
    <t>Land, License, General Use</t>
  </si>
  <si>
    <t>Those lands where the Air Force has the privilege to use or pass over (for survey, exploration, etc.) real property at the sufferance of the owner. This excludes lands acquired by withdrawal from public domain or public lands in U.S. territories and possessions.</t>
  </si>
  <si>
    <t>Land, Permit, General Use</t>
  </si>
  <si>
    <t>Those lands under the custody and accountability of the Air Force, but are being used by other agencies. This excludes those lands withdrawn from public domain or public land in U.S. Territories, or possessions.</t>
  </si>
  <si>
    <t>Land, Public, Executive Order</t>
  </si>
  <si>
    <t>Those lands in U.S. Territories and possessions that were put under the custody and accountability of the Air Force by Executive Order.</t>
  </si>
  <si>
    <t>Land, Air Rights</t>
  </si>
  <si>
    <t>Air rights are the property interest in the "space" above the earth's surface.</t>
  </si>
  <si>
    <t>Land, Water Rights</t>
  </si>
  <si>
    <t>A group of rights designed to protect the use and enjoyment of water that travels in streams, rivers, lakes, and ponds, gathers on the surface of the earth, or collects underground.</t>
  </si>
  <si>
    <t>Land, Easement Right of Way, Temporary</t>
  </si>
  <si>
    <t>This category code identifies those lands where the Air Force has the right to pass over the land of another for a specific purpose, such as the construction of roads, installing pipe line and telephone poles, etc. This is a temporary easement and is for a specific time period.</t>
  </si>
  <si>
    <t>Land, Readiness &amp; Environmental Protection Integration Program (REPI)</t>
  </si>
  <si>
    <t>Non-possessory interest in land for combating encroachment that can limit or restrict military training, testing, and operations.</t>
  </si>
  <si>
    <t>Land, Restrictions</t>
  </si>
  <si>
    <t>All other restriction rights not captured elsewhere.</t>
  </si>
  <si>
    <t>Land, Easement Right of Way, Perpetual</t>
  </si>
  <si>
    <t>This category code identifies those lands where the Air Force has perpetual right to pass the land of another for a specific purpose, such as the construction of road, installing a pipeline, installing a telephone pole, etc.</t>
  </si>
  <si>
    <t>Land, Lease, State and Local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</si>
  <si>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</si>
  <si>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</si>
  <si>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This category code identifies those lands under the custody and accountability of the Air Force that have been leased with the right of recapture.</t>
  </si>
  <si>
    <t>Land, Lease, Private Enterprise</t>
  </si>
  <si>
    <t>This category code identifies those lands under the custody and accountability of Air Force that have been leased from private enterprises.</t>
  </si>
  <si>
    <t>Land, Lease and Supplement</t>
  </si>
  <si>
    <t>This category code identifies those lands under the custody and accountability of the Air Force that have been leased from individuals.</t>
  </si>
  <si>
    <t>Land, In-Lease Mineral</t>
  </si>
  <si>
    <t>This category code identifies those lands under the custody and accountability of the Air Force that have been made available under a lease for the purpose of mineral exploration and extraction.</t>
  </si>
  <si>
    <t>Land, In-Lease Other</t>
  </si>
  <si>
    <t>This category code identifies all other in-leases not identified under any other category codes.</t>
  </si>
  <si>
    <t>Foreign Land Lease Under 99 Years</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</si>
  <si>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</si>
  <si>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Foreign Land Lease 99 Years</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</si>
  <si>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</si>
  <si>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Foreign Land Agreement Base Rights</t>
  </si>
  <si>
    <t>This category code identifies those lands in a foreign country that are under the custody and accountability of the Air Force by a base rights agreement.</t>
  </si>
  <si>
    <t>Foreign Land Requisitioned</t>
  </si>
  <si>
    <t>This category code identifies those lands in a foreign land that are under the custody and accountability of the Air Force by requisitions.</t>
  </si>
  <si>
    <t>Foreign Land Miscellaneous</t>
  </si>
  <si>
    <t>This Category code identifies those lands in a foreign country that were put under the custody and accountability of the Air Force by another agreement (example a reciprocal aid agreement) other than by a lease, a base rights agreement or by requisition.</t>
  </si>
  <si>
    <t>CATCode Short Name</t>
  </si>
  <si>
    <t>RPA Type: Linear Structure (LS), Structure (S), Bldg (B) &amp; Land (L)</t>
  </si>
  <si>
    <t>Additional Information</t>
  </si>
  <si>
    <t>Facility Analysis Category (FAC) Code</t>
  </si>
  <si>
    <t>FAC Title</t>
  </si>
  <si>
    <t>FAC Unit of Measure Accountability (UMA)</t>
  </si>
  <si>
    <t>FAC Unit of Measure Operational (UMO)</t>
  </si>
  <si>
    <t>Replacement Unit Cost (RUC)</t>
  </si>
  <si>
    <t>Sustainment (SUC)</t>
  </si>
  <si>
    <t>Sustainment Model</t>
  </si>
  <si>
    <t>Upper Limit</t>
  </si>
  <si>
    <t>Reset Value</t>
  </si>
  <si>
    <t>Aggregate</t>
  </si>
  <si>
    <t>Alpha Suffix</t>
  </si>
  <si>
    <t>Army CATCodes</t>
  </si>
  <si>
    <t>Navy CATCodes</t>
  </si>
  <si>
    <t>RUNWAY</t>
  </si>
  <si>
    <t>LS</t>
  </si>
  <si>
    <t>Paved surface provided for normal aircraft takeoffs and landings. This category includes crosswind, parallel, primary, instrument and instrument type runways. Runway lighting is not included, but is captured under Facility Analysis Category 1361.</t>
  </si>
  <si>
    <t>The runway is the paved surface provided for normal aircraft landings and takeoffs. For short field operations, a special paved strip is provided, CATCode 116116. For normal helicopter operations, a square pad is provided, CATCode 116663. In addition to the actual paving of the runway, CATCode 116663 includes grading and drainage of the runway, runway shoulders, lateral safety zones, and clear zone (See AFMAN 32-1013). (IAW AFH 32-1084). For inventory purposes, include only the paved runway. 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</si>
  <si>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Fixed-Wing Runway, Surfaced</t>
  </si>
  <si>
    <t>SY</t>
  </si>
  <si>
    <t>LF</t>
  </si>
  <si>
    <t>‌$179.01</t>
  </si>
  <si>
    <t>‌$2.16</t>
  </si>
  <si>
    <t>No</t>
  </si>
  <si>
    <t>RWS</t>
  </si>
  <si>
    <t>11110, 11125</t>
  </si>
  <si>
    <t>OVERRUN, PAVED</t>
  </si>
  <si>
    <t>An extension of the runway pavement excluding shoulders. Cost includes asphalt surface, base, sub-base, and striping (excluding shoulders). An overrun is an extension of the length of the runway pavement.</t>
  </si>
  <si>
    <t>The runway overrun is the portion of the overrun area that is an extension of the runway pavement (excluding shoulders).</t>
  </si>
  <si>
    <t>Runway Overrun Area, Surfaced</t>
  </si>
  <si>
    <t>‌$120.29</t>
  </si>
  <si>
    <t>‌$1.83</t>
  </si>
  <si>
    <t>OVR</t>
  </si>
  <si>
    <t>ROTARY WING LANDING PAD, UNPAVED</t>
  </si>
  <si>
    <t>Miscellaneous Airfield Pavement, Unsurfaced</t>
  </si>
  <si>
    <t>RUNWAY, UNPAVED</t>
  </si>
  <si>
    <t>Unpaved runways can have grass or dirt surfaces.</t>
  </si>
  <si>
    <t>Runway, Unsurfaced</t>
  </si>
  <si>
    <t>‌$34.70</t>
  </si>
  <si>
    <t>‌$1.61</t>
  </si>
  <si>
    <t>RWUS</t>
  </si>
  <si>
    <t>11111, 11121</t>
  </si>
  <si>
    <t>TACTICAL UNMANNED AERIAL VEHICLE (UAV) RUNWAY AND LAUNCH/ RECOVERY SITE</t>
  </si>
  <si>
    <t>UAV LAUNCH</t>
  </si>
  <si>
    <t>S</t>
  </si>
  <si>
    <t>Unmanned Aerial Vehicle (UAV) Runway and Launch/Recovery Site</t>
  </si>
  <si>
    <t>‌$1.06</t>
  </si>
  <si>
    <t>UAVR</t>
  </si>
  <si>
    <t>null</t>
  </si>
  <si>
    <t>ROTARY WING TAXIWAY, PAVED</t>
  </si>
  <si>
    <t>Rotary-Wing Taxiway, Surfaced</t>
  </si>
  <si>
    <t>TAXIWAY</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</si>
  <si>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</si>
  <si>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Taxiway, Surfaced</t>
  </si>
  <si>
    <t>‌$109.48</t>
  </si>
  <si>
    <t>TWS</t>
  </si>
  <si>
    <t>APRON</t>
  </si>
  <si>
    <t>The area includes parking lanes, taxi lanes, exits, and entrances. The apron is the area of airfield where aircraft are parked, unloaded or loaded, refueled, or boarded. Although the use of the apron is covered by regulations, such as lighting on vehicles, it is typically more accessible to users than the runway or taxiway.</t>
  </si>
  <si>
    <t>Aircraft Apron, Surfaced</t>
  </si>
  <si>
    <t>‌$131.58</t>
  </si>
  <si>
    <t>APS</t>
  </si>
  <si>
    <t>11310, 11320, 11330, 11340, 11350, 11380</t>
  </si>
  <si>
    <t>11320, 11340</t>
  </si>
  <si>
    <t>SHORT FIELD TAKEOFF AND LANDING ZONE</t>
  </si>
  <si>
    <t>SHFLD TO &amp; LDG ZON</t>
  </si>
  <si>
    <t>The facility is used to train crews of cargo aircraft to conduct airlift operations in the type of airfield environment found at forward operating locations.</t>
  </si>
  <si>
    <t>PRECISION APPROACH RADAR PAD</t>
  </si>
  <si>
    <t>PAR</t>
  </si>
  <si>
    <t>Miscellaneous Airfield Pavement, Surfaced</t>
  </si>
  <si>
    <t>‌$121.49</t>
  </si>
  <si>
    <t>PARM</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</si>
  <si>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</si>
  <si>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</si>
  <si>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FRAP</t>
  </si>
  <si>
    <t>SHOULDER, PAVED</t>
  </si>
  <si>
    <t>SHLDR, PAVED</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</si>
  <si>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 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</si>
  <si>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Aircraft Pavement Shoulder</t>
  </si>
  <si>
    <t>‌$88.35</t>
  </si>
  <si>
    <t>SDS</t>
  </si>
  <si>
    <t>ARMING AND DISARMING PADS</t>
  </si>
  <si>
    <t>PAD, ARM &amp; DISARM</t>
  </si>
  <si>
    <t>ADPD</t>
  </si>
  <si>
    <t>PAD, DANGEROUS CARGO, LOAD/UNLOAD</t>
  </si>
  <si>
    <t>PAD, DANGRS CARGO</t>
  </si>
  <si>
    <t>Hazardous cargo pads are paved areas for loading and unloading explosives and other hazardous cargo from aircraft. Hazardous cargo pads are required at facilities where the existing aprons cannot be used for loading and unloading hazardous cargo.</t>
  </si>
  <si>
    <t>DCPD</t>
  </si>
  <si>
    <t>HELICOPTER PAD</t>
  </si>
  <si>
    <t>PAD, HELICOPTER</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</si>
  <si>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 For inventory purposes, include only the paved pad area.</t>
  </si>
  <si>
    <t>Rotary-Wing Landing Area, Surfaced</t>
  </si>
  <si>
    <t>‌$99.37</t>
  </si>
  <si>
    <t>HEPD</t>
  </si>
  <si>
    <t>11120, 11130</t>
  </si>
  <si>
    <t>POWER CHECK</t>
  </si>
  <si>
    <t>PAD, POWER CHK</t>
  </si>
  <si>
    <t>A power check pad is an outdoor testing facility designed for in-frame or out-of-frame testing of jet engines. They generally use a thickened concrete slab with tie-down fittings and a blast diverter/deflector.</t>
  </si>
  <si>
    <t>PC</t>
  </si>
  <si>
    <t>POWER CHECK W/ NOISE SUPPRESSOR</t>
  </si>
  <si>
    <t>PAD, PWR CHK W/SPR</t>
  </si>
  <si>
    <t>The Power Check Pad with suppresser is the prime facility on which operational checks of jet engines are performed. Unsuppressed pads are used as back-up or interim facilities. The suppresser and associated devices are supplied as items of Government Furnished Equipment (GFE).</t>
  </si>
  <si>
    <t>The metal building is equipment; the pad is the concrete that the building protects.</t>
  </si>
  <si>
    <t>PCS</t>
  </si>
  <si>
    <t>PAD, WARMUP, HOLDING</t>
  </si>
  <si>
    <t>PAD, WRMUP HLDG</t>
  </si>
  <si>
    <t>PWU</t>
  </si>
  <si>
    <t>PAD, COMPASS CALIBRATION</t>
  </si>
  <si>
    <t>PAD, CALIBRATION</t>
  </si>
  <si>
    <t>Compass Calibration Pad, Surfaced</t>
  </si>
  <si>
    <t>PCB</t>
  </si>
  <si>
    <t>PAD, LAUNCHING</t>
  </si>
  <si>
    <t>PAD, LCH</t>
  </si>
  <si>
    <t>A paved surface designed for the erection and launching of a guided missile. The surface is usually concrete. (Gantry – use CATCode 890154)</t>
  </si>
  <si>
    <t>Missile Launching Pad, Surfaced</t>
  </si>
  <si>
    <t>‌$205.96</t>
  </si>
  <si>
    <t>PLG</t>
  </si>
  <si>
    <t>AIRCRAFT WASHRACK PAD</t>
  </si>
  <si>
    <t>PAD, ACFT WASH RK</t>
  </si>
  <si>
    <t>Aircraft Washing Pad, Surfaced</t>
  </si>
  <si>
    <t>ARK</t>
  </si>
  <si>
    <t>AIRCRAFT ARRESTING SYSTEM SUPPORT</t>
  </si>
  <si>
    <t>ACFT AREST SYS</t>
  </si>
  <si>
    <t>Also known as: barriers.</t>
  </si>
  <si>
    <t>Aircraft Arresting System</t>
  </si>
  <si>
    <t>EA</t>
  </si>
  <si>
    <t>‌$1110594.23</t>
  </si>
  <si>
    <t>‌$6882.49</t>
  </si>
  <si>
    <t>AAS</t>
  </si>
  <si>
    <t>FIRING IN BUTT</t>
  </si>
  <si>
    <t>BUTT, FIRING-IN</t>
  </si>
  <si>
    <t>Aircraft Firing-In Butt</t>
  </si>
  <si>
    <t>‌$596890.59</t>
  </si>
  <si>
    <t>‌$40109.87</t>
  </si>
  <si>
    <t>FIB</t>
  </si>
  <si>
    <t>JET BLAST DEFLECTOR</t>
  </si>
  <si>
    <t>DEFLECTOR, BLAST</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</si>
  <si>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</si>
  <si>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Aircraft Blast Deflector</t>
  </si>
  <si>
    <t>‌$2091027.33</t>
  </si>
  <si>
    <t>‌$659.18</t>
  </si>
  <si>
    <t>JBD</t>
  </si>
  <si>
    <t>PETROLEUM OPERATIONS BUILDING</t>
  </si>
  <si>
    <t>PETROL OPS BLDG</t>
  </si>
  <si>
    <t>B</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</si>
  <si>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</si>
  <si>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Miscellaneous Operations Support Building</t>
  </si>
  <si>
    <t>‌$374.00</t>
  </si>
  <si>
    <t>‌$3.93</t>
  </si>
  <si>
    <t>POB</t>
  </si>
  <si>
    <t>AVIATION FUEL DISPENSING</t>
  </si>
  <si>
    <t>AVFUEL DISPEN</t>
  </si>
  <si>
    <t>"Hoseless" pantograph fuel dispensing arms installed as an integral part of type 3, 4, and 5 aircraft fueling system.</t>
  </si>
  <si>
    <t>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t>
  </si>
  <si>
    <t>Aircraft Direct Fueling Facility</t>
  </si>
  <si>
    <t>OL</t>
  </si>
  <si>
    <t>GM</t>
  </si>
  <si>
    <t>‌$383064.79</t>
  </si>
  <si>
    <t>‌$3347.58</t>
  </si>
  <si>
    <t>AVD</t>
  </si>
  <si>
    <t>12110, 12120</t>
  </si>
  <si>
    <t>HYDRANT FUELING SYSTEM</t>
  </si>
  <si>
    <t>HYDR FL, SYS</t>
  </si>
  <si>
    <t>Provides all necessary equipment and controls to deliver clean, dry fuel to fueling points in the aircraft parking apron. It includes operational storage tanks when required but not bulk storage.</t>
  </si>
  <si>
    <t>A facility for the direct fueling of aircraft or for the filling of aircraft fuel tanker trucks. These facilities do not include associated fuel storage that is captured under Facility Analysis Category (FAC) 1241.</t>
  </si>
  <si>
    <t>HFS</t>
  </si>
  <si>
    <t>PUMP HOUSE, PETROLEUM (WITHOUT CONSTANT PRESSURE CONTROLS)</t>
  </si>
  <si>
    <t>HYDR FL, BLDG</t>
  </si>
  <si>
    <t>Pump-houses or pump shelters for fuel transfer pumps and associated equipment.</t>
  </si>
  <si>
    <t>A building containing equipment and functions that directly support operational activities not included in other Facility Analysis Categories.</t>
  </si>
  <si>
    <t>HFB</t>
  </si>
  <si>
    <t>MARINE FUEL DISPENSING SYSTEM</t>
  </si>
  <si>
    <t>MAR FL DISPEN SYS</t>
  </si>
  <si>
    <t>Fuel received by barge or tanker requires an unloading pier with mooring facilities, hose connections derricks for handling hose, hose storage racks, pipelines, and fire protection equipment (under certain conditions a submerged sea unloading line is provided).</t>
  </si>
  <si>
    <t>A facility for the direct fueling of ships. These facilities do not include associated fuel storage that is captured under Facility Analysis Category 1241.</t>
  </si>
  <si>
    <t>Marine Fueling Facility</t>
  </si>
  <si>
    <t>‌$911505.99</t>
  </si>
  <si>
    <t>‌$831.43</t>
  </si>
  <si>
    <t>MFD</t>
  </si>
  <si>
    <t>VEHICLE FUELING STATION</t>
  </si>
  <si>
    <t>VEH FL STN</t>
  </si>
  <si>
    <t>Commercial type fueling or which service Government Owned motor vehicles. One dispensing unit is provided for each type of fuel. The BCE is allowed separate stations when located over 1 mile from the motor pool.</t>
  </si>
  <si>
    <t>A facility for the direct fueling of land vehicles or for the filling of fuel tanker trucks. These facilities do not include associated fuel storage that is captured under Facility Analysis Category 1241.</t>
  </si>
  <si>
    <t>Vehicle Fueling Facility</t>
  </si>
  <si>
    <t>‌$202434.68</t>
  </si>
  <si>
    <t>‌$5722.85</t>
  </si>
  <si>
    <t>VFS</t>
  </si>
  <si>
    <t>12311, 12322, 12333</t>
  </si>
  <si>
    <t>OPERATING STORAGE, AVIATION GAS - ABOVE GROUND</t>
  </si>
  <si>
    <t>OPG STOR AG, AVGAS</t>
  </si>
  <si>
    <t>Above ground storage tanks that provide an operating and reserve supply of aviation fuel.</t>
  </si>
  <si>
    <t>Operating fuel tanks are typically in the range of 5,000 gallons to 420,000 gallons (420,000 gallons is equal to 10,000 barrels).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</si>
  <si>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Aircraft Operating Fuel Storage</t>
  </si>
  <si>
    <t>GA</t>
  </si>
  <si>
    <t>‌$5.78</t>
  </si>
  <si>
    <t>OSAVG</t>
  </si>
  <si>
    <t>12410, 12411, 12412</t>
  </si>
  <si>
    <t>OPERATING STORAGE, AVIGATION LUBRICANT</t>
  </si>
  <si>
    <t>OPG STOR, AVLUBE</t>
  </si>
  <si>
    <t>Storage tanks that provide an operating and reserve supply of aviation lubricant.</t>
  </si>
  <si>
    <t>OSAL</t>
  </si>
  <si>
    <t>OPERATING STORAGE, DIESEL - ABOVE GROUND</t>
  </si>
  <si>
    <t>OPG STOR AG, DIESEL</t>
  </si>
  <si>
    <t>Above ground storage tanks that provide an operating and reserve supply of diesel fuel.</t>
  </si>
  <si>
    <t>Operating fuel tanks are typically in the range of 5,000 gallons to 420,000 gallons (420,000 gallons is equal to 10,000 barrels). For monitoring wells use CATCode 892921.</t>
  </si>
  <si>
    <t>Vehicle Operating Fuel Storage</t>
  </si>
  <si>
    <t>‌$4.13</t>
  </si>
  <si>
    <t>‌$1.00</t>
  </si>
  <si>
    <t>OPSD</t>
  </si>
  <si>
    <t>12480, 12481</t>
  </si>
  <si>
    <t>OPERATING STORAGE, JET FUEL - ABOVE GROUND</t>
  </si>
  <si>
    <t>OPG STOR AG, JET FL</t>
  </si>
  <si>
    <t>Above Ground storage tanks that provide an operating and reserve supply of jet fuel.</t>
  </si>
  <si>
    <t>OSJF</t>
  </si>
  <si>
    <t>OPERATING STORAGE, MOTOR GAS - ABOVE GROUND</t>
  </si>
  <si>
    <t>OPG STOR AG, MOGAS</t>
  </si>
  <si>
    <t>Above ground storage tanks that provide an operating and reserve supply of motor gas.</t>
  </si>
  <si>
    <t>OSMG</t>
  </si>
  <si>
    <t>12450, 12451</t>
  </si>
  <si>
    <t>OPERATING STORAGE, SOLVENTS - ABOVE GROUND</t>
  </si>
  <si>
    <t>OPG STOR AG, SOLVENTS</t>
  </si>
  <si>
    <t>Above ground storage tanks that provide an operating and reserve supply of solvents.</t>
  </si>
  <si>
    <t>Other Operating Fuel Storage</t>
  </si>
  <si>
    <t>‌$2.99</t>
  </si>
  <si>
    <t>‌$1.94</t>
  </si>
  <si>
    <t>OSSO</t>
  </si>
  <si>
    <t>OPERATING STORAGE, SPECIAL FUELS - ABOVE GROUND</t>
  </si>
  <si>
    <t>OPG STOR AG, SP FL</t>
  </si>
  <si>
    <t>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</si>
  <si>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OSSR</t>
  </si>
  <si>
    <t>OPERATING STORAGE, AVIATION GAS - UNDERGROUND</t>
  </si>
  <si>
    <t>OPG STOR UG, AVGAS</t>
  </si>
  <si>
    <t>​Underground storage tanks that provide an operating and reserve supply of aviation fuel.</t>
  </si>
  <si>
    <t>OSUA</t>
  </si>
  <si>
    <t>OPERATING STORAGE, DIESEL - UNDERGROUND</t>
  </si>
  <si>
    <t>OPG STOR UG, DIESEL</t>
  </si>
  <si>
    <t>​Underground storage tanks that provide an operating and reserve supply of diesel fuel.</t>
  </si>
  <si>
    <t>OSDU</t>
  </si>
  <si>
    <t>OPERATING STORAGE, JET FUEL - UNDERGROUND</t>
  </si>
  <si>
    <t>OPG STOR UG, JET FL</t>
  </si>
  <si>
    <t>Underground storage tanks that provide an operating and reserve supply of jet fuel.​</t>
  </si>
  <si>
    <t>OSUJ</t>
  </si>
  <si>
    <t>OPERATING STORAGE, MOTOR GAS - UNDERGROUND</t>
  </si>
  <si>
    <t>OPG STOR UG, MOGAS</t>
  </si>
  <si>
    <t>​Underground storage tanks that provide an operating and reserve supply of motor gas.</t>
  </si>
  <si>
    <t>OSUM</t>
  </si>
  <si>
    <t>OPERATING STORAGE, SOLVENTS - UNDERGROUND</t>
  </si>
  <si>
    <t>OPG STOR UG, SOLVENTS</t>
  </si>
  <si>
    <t>Underground storage tanks that provide an operating and reserve supply of solvents.​</t>
  </si>
  <si>
    <t>OSSU</t>
  </si>
  <si>
    <t>OPERATING STORAGE, SPECIAL FUELS - UNDERGROUND</t>
  </si>
  <si>
    <t>OPG STOR UG, SP FL</t>
  </si>
  <si>
    <t>​Underground storage tanks that provide an operating and reserve supply of special fuels not in the aircraft, marine, or vehicle categories. Includes heating fuel, lubricants and miscellaneous POLs.</t>
  </si>
  <si>
    <t>OSSFU</t>
  </si>
  <si>
    <t>OPERATING STORAGE, ROCKET PROPELLENT, HYDRAZINE - UNDERGROUND</t>
  </si>
  <si>
    <t>For Hydrazine (Rocket Propellent), all fixed underground storage tanks including silver bullets (product saver tanks), holding any number of gallons of Rocket Propellents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</si>
  <si>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OPERATING STORAGE E-85 ETHANOL - ABOVE GROUND</t>
  </si>
  <si>
    <t>OPG STOR AG, E-85 ETHANOL</t>
  </si>
  <si>
    <t>Above ground storage tanks that provide an operating and reserve supply of E-85 Ethanol.</t>
  </si>
  <si>
    <t>OSE</t>
  </si>
  <si>
    <t>OPERATING STORAGE BIO-DIESEL - ABOVE GROUND</t>
  </si>
  <si>
    <t>OPG STOR AG, BIO-DIESEL</t>
  </si>
  <si>
    <t>Above ground storage tanks that provide an operating and reserve supply of Biodiesel.</t>
  </si>
  <si>
    <t>OSBD</t>
  </si>
  <si>
    <t>12454, 12455</t>
  </si>
  <si>
    <t>OPERATING STORAGE DIESEL JP-8 - ABOVE GROUND</t>
  </si>
  <si>
    <t>OPG STOR AG, DIESEL JP-8</t>
  </si>
  <si>
    <t>Above ground storage tanks that provide an operating and reserve supply of fuel for vehicles. Operating fuel tanks are typically in the range of 5,000 gallons to 420,000 gallons (420,000 gallons is equal to 10,000 barrels).</t>
  </si>
  <si>
    <t>OSJP8</t>
  </si>
  <si>
    <t>OPERATING STORAGE E-85 ETHANOL - UNDERGROUND</t>
  </si>
  <si>
    <t>OPG STOR UG, E-85 ETHANOL</t>
  </si>
  <si>
    <t>Underground storage tanks that provide an operating and reserve supply of E-85 Ethanol.​</t>
  </si>
  <si>
    <t>OSUE</t>
  </si>
  <si>
    <t>OPERATING STORAGE BIO-DIESEL - UNDERGROUND</t>
  </si>
  <si>
    <t>OPG STOR UG, BIO-DIESEL</t>
  </si>
  <si>
    <t>Underground storage tanks that provide an operating and reserve supply of Biodiesel.​</t>
  </si>
  <si>
    <t>OSBU</t>
  </si>
  <si>
    <t>OPERATING STORAGE DIESEL / JP-8 - UNDERGROUND</t>
  </si>
  <si>
    <t>OPG STOR UG, DIESEL JP-8</t>
  </si>
  <si>
    <t>​Underground storage tanks that provide an operating and reserve supply of fuel for vehicles.</t>
  </si>
  <si>
    <t>OSDJ</t>
  </si>
  <si>
    <t>PIPING, PETROLEUM - ABOVE GROUND</t>
  </si>
  <si>
    <t>PIPING AG, POL</t>
  </si>
  <si>
    <t>Above ground piping from operating fuel tanks to airfield fueling systems.</t>
  </si>
  <si>
    <t>POL Piping</t>
  </si>
  <si>
    <t>‌$174.31</t>
  </si>
  <si>
    <t>‌$9.46</t>
  </si>
  <si>
    <t>PLP</t>
  </si>
  <si>
    <t>PIPING, PETROLEUM - UNDERGROUND</t>
  </si>
  <si>
    <t>PIPING UG, POL</t>
  </si>
  <si>
    <t>​Underground piping within a site connecting operating fuel tanks to airfield fueling systems.</t>
  </si>
  <si>
    <t>PPU</t>
  </si>
  <si>
    <t>PIPELINE, LIQUID FUELS - UNDERGROUND</t>
  </si>
  <si>
    <t>PIPELINE UG, LF</t>
  </si>
  <si>
    <t>​Underground fuel pipelines are provided for each different grade of fuel, between two different sites.</t>
  </si>
  <si>
    <t>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</si>
  <si>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POL Pipeline</t>
  </si>
  <si>
    <t>‌$384.86</t>
  </si>
  <si>
    <t>PLFU</t>
  </si>
  <si>
    <t>PIPELINE, LIQUID FUELS - ABOVE GROUND</t>
  </si>
  <si>
    <t>PIPELINE AG, LF</t>
  </si>
  <si>
    <t>Above ground fuel pipelines are provided for each different grade of fuel, except for cross country pipelines and offshore unloading lines.</t>
  </si>
  <si>
    <t>PLF</t>
  </si>
  <si>
    <t>12510, 12520</t>
  </si>
  <si>
    <t>PUMP STATION, LIQUID FUEL</t>
  </si>
  <si>
    <t>PMP STN, LF</t>
  </si>
  <si>
    <t>Pumping systems that issue and transfer fuel in and out of storage tanks.</t>
  </si>
  <si>
    <t>A facility that consists of POL pumps and related pumping equipment. This does not include the building housing the pumping equipment, which is covered under FAC 1444 (Miscellaneous Operations Support Building).</t>
  </si>
  <si>
    <t>POL Pump Station</t>
  </si>
  <si>
    <t>‌$1203.34</t>
  </si>
  <si>
    <t>‌$15.61</t>
  </si>
  <si>
    <t>PSLF</t>
  </si>
  <si>
    <t>LIQUID FUEL TRUCK FILL STAND</t>
  </si>
  <si>
    <t>LF FIL STD, TRK</t>
  </si>
  <si>
    <t>Truck fill stands are provided where bulk petroleum products are stored and dispensed. They are required as a means of unloading fuel from fueling vehicles into fuel storage tanks.</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</si>
  <si>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 if the pumps are not located in a separate building (such as FAC 1262 POL Pump Station).</t>
  </si>
  <si>
    <t>Liquid Fuel Loading/Unloading Facility</t>
  </si>
  <si>
    <t>‌$98727.03</t>
  </si>
  <si>
    <t>‌$5955.89</t>
  </si>
  <si>
    <t>LFFS</t>
  </si>
  <si>
    <t>LIQUID FUEL STAND, UNLOADING</t>
  </si>
  <si>
    <t>LF STD UNLOAD</t>
  </si>
  <si>
    <t>Truck unloading stands/headers are provided where bulk petroleum products are stored and dispensed. The fuel loading facilities are required as a means of unloading fuel from fueling vehicles into fuel storage tanks.</t>
  </si>
  <si>
    <t>LFSU</t>
  </si>
  <si>
    <t>FIRE CRASH/RESCUE STATION</t>
  </si>
  <si>
    <t>FR CRASH/RESC STN</t>
  </si>
  <si>
    <t>Fire And Rescue Station - Provides emergency crash/rescue operations on the airfield. The facility is located on the flight-line for quick response to aircraft emergencies. Space is provided for truck bays, radio dispatch area; maintenance and apparatus, which includes fire protection vehicle storage, maintenance, repair and supply support; administration and training; and the general residential and "living" areas.</t>
  </si>
  <si>
    <t>SF = SQ FT/ST = Stalls</t>
  </si>
  <si>
    <t>‌https://www.wbdg.org/FFC/AF/AFMAN/130142_Fire_Crash_Rescue_Station.pdf</t>
  </si>
  <si>
    <t>Airfield Fire And Rescue Station</t>
  </si>
  <si>
    <t>‌$366.00</t>
  </si>
  <si>
    <t>‌$3.71</t>
  </si>
  <si>
    <t>FCRS</t>
  </si>
  <si>
    <t>TELECOMMUNICATIONS FACILITY</t>
  </si>
  <si>
    <t>COMM FCLTY</t>
  </si>
  <si>
    <t>Typically a one story centrally located facility set up for intra-base and inter-base communications. Space is included for base telephone exchange, autodin function, administrative offices, and maintenance functions.</t>
  </si>
  <si>
    <t>AUTODIN = Automatic Digital Network (System) or ADNS</t>
  </si>
  <si>
    <t>Communications Building</t>
  </si>
  <si>
    <t>‌$701.00</t>
  </si>
  <si>
    <t>‌$7.40</t>
  </si>
  <si>
    <t>TELE</t>
  </si>
  <si>
    <t>13115, 13120, 13175</t>
  </si>
  <si>
    <t>13115, 13117, 13140</t>
  </si>
  <si>
    <t>MILITARY AFFILIATE RADIO SYSTEM</t>
  </si>
  <si>
    <t>RAD, MARS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</si>
  <si>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</si>
  <si>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RAD</t>
  </si>
  <si>
    <t>COMMUNICATIONS RECEIVER</t>
  </si>
  <si>
    <t>COMM, RCVR</t>
  </si>
  <si>
    <t>All fixed transmitters for the control tower, air-ground GCA and RAPCON facilities are installed at one location and the associated receiver equipment should be installed with them if possible.</t>
  </si>
  <si>
    <t>COM</t>
  </si>
  <si>
    <t>COMMUNICATIONS-TRANSMITTER/RECEIVER</t>
  </si>
  <si>
    <t>COMM, TMTR RCVR</t>
  </si>
  <si>
    <t>GCA = Ground Controlled Approach; RAPCON = Radar Approach Control</t>
  </si>
  <si>
    <t>CTR</t>
  </si>
  <si>
    <t>13115, 13117, 13120</t>
  </si>
  <si>
    <t>COMMUNICATIONS TRANSMITTER</t>
  </si>
  <si>
    <t>All fixed transmitters for the control tower, air-ground, GCA and RAPCON facilities are installed at one location and the associated receiver equipment should be installed with them if practical.</t>
  </si>
  <si>
    <t>CTT</t>
  </si>
  <si>
    <t>RADIO RELAY FACILITY</t>
  </si>
  <si>
    <t>RAD RELAY FCLTY</t>
  </si>
  <si>
    <t>RRF</t>
  </si>
  <si>
    <t>AMERICAN FORCES RADIO AND TELEVISION STATION</t>
  </si>
  <si>
    <t>AFR&amp;T STN</t>
  </si>
  <si>
    <t>Photo/TV Production Building</t>
  </si>
  <si>
    <t>‌$291.54</t>
  </si>
  <si>
    <t>‌$5.61</t>
  </si>
  <si>
    <t>AFR</t>
  </si>
  <si>
    <t>SATELLITE COMMUNICATIONS GROUND TERMINAL</t>
  </si>
  <si>
    <t>SAT COMM GND TRML</t>
  </si>
  <si>
    <t>The concrete “ring” that supports the “bubble” is real property; the “bubble” is equipment and protects the satellite dish inside.</t>
  </si>
  <si>
    <t>Satellite Communications Building</t>
  </si>
  <si>
    <t>‌$377.00</t>
  </si>
  <si>
    <t>‌$13.97</t>
  </si>
  <si>
    <t>SCGT</t>
  </si>
  <si>
    <t>COMMUNICATIONS, SCATTER</t>
  </si>
  <si>
    <t>COMM, SCATTER</t>
  </si>
  <si>
    <t>Ultra-high frequency (UHF) is the ITU designation for radio frequencies in the range between 300 MHz and 3 GHz, also known as the decimetre band as the wavelengths range from one to ten decimetres.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</si>
  <si>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CSCT</t>
  </si>
  <si>
    <t>AIRCOM RELAY CENTER</t>
  </si>
  <si>
    <t>AIRCOM REL CEN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</si>
  <si>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t>
  </si>
  <si>
    <t>ARYC</t>
  </si>
  <si>
    <t>AUTOMATIC SWITCHING CENTER</t>
  </si>
  <si>
    <t>AUTO SWITCHING CEN</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</si>
  <si>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ASCs= AUTODIN Switching Centers</t>
  </si>
  <si>
    <t>ASC</t>
  </si>
  <si>
    <t>AIRCOM RECEIVER</t>
  </si>
  <si>
    <t>AIRCOM RCVR</t>
  </si>
  <si>
    <t>ACR</t>
  </si>
  <si>
    <t>AIRCOM TRANSMITTER</t>
  </si>
  <si>
    <t>AIRCOM TMTR</t>
  </si>
  <si>
    <t>ACT</t>
  </si>
  <si>
    <t>HIGH FREQUENCY AIRCOM MICROWAVE RELAY</t>
  </si>
  <si>
    <t>HF AIRCOM MICROW R</t>
  </si>
  <si>
    <t>HFAR</t>
  </si>
  <si>
    <t>AIRCOM RADIO RELAY</t>
  </si>
  <si>
    <t>ACRR</t>
  </si>
  <si>
    <t>GAP FILLER</t>
  </si>
  <si>
    <t>A radar used to supplement the coverage of the principal radar in areas where coverage is inadequate.</t>
  </si>
  <si>
    <t>GAP</t>
  </si>
  <si>
    <t>SPACE OPERATIONS FACILITY</t>
  </si>
  <si>
    <t>SPACE OPS FACILITY</t>
  </si>
  <si>
    <t>Focal point for command, control of and mission communications with satellites. Typically includes a Space Operations Center, computer room, simulator/emulator, admin and training, and a conference room. Protection level (PL) is normally level one or level two. May require an area for tech support, scheduling, orbital analysis, anomaly resolution, and a SCIF.</t>
  </si>
  <si>
    <t>In United States military, security and intelligence parlance, a Sensitive Compartmented Information Facility (SCIF; pronounced "skiff") is an enclosed area within a building that is used to process Sensitive Compartmented Information (SCI) types of classified information.</t>
  </si>
  <si>
    <t>SOF</t>
  </si>
  <si>
    <t>SILO HARDENED HF ANTENNA</t>
  </si>
  <si>
    <t>SILO, HD ANT HF</t>
  </si>
  <si>
    <t>Communications Facility</t>
  </si>
  <si>
    <t>‌$62194.55</t>
  </si>
  <si>
    <t>‌$581.77</t>
  </si>
  <si>
    <t>SIAT</t>
  </si>
  <si>
    <t>PAD, EQUIPMENT OR SUPPORT</t>
  </si>
  <si>
    <t>PAD EQUIP</t>
  </si>
  <si>
    <t>This category code may be used for all equipment. Not limited to just communication equipment.</t>
  </si>
  <si>
    <t>Miscellaneous Paved Area</t>
  </si>
  <si>
    <t>‌$31.16</t>
  </si>
  <si>
    <t>‌$1.43</t>
  </si>
  <si>
    <t>PAD</t>
  </si>
  <si>
    <t>85235, 85240, 85241</t>
  </si>
  <si>
    <t>ANTENNA SUPPORT STRUCTURE</t>
  </si>
  <si>
    <t>ANT SPT STRU</t>
  </si>
  <si>
    <t>ANT</t>
  </si>
  <si>
    <t>NON-DIRECTIONAL BEACON (BUILDING)</t>
  </si>
  <si>
    <t>NON-DIR BEACON BLDG</t>
  </si>
  <si>
    <t>Aircraft Navigation Building</t>
  </si>
  <si>
    <t>‌$8.60</t>
  </si>
  <si>
    <t>BEA</t>
  </si>
  <si>
    <t>NAVIGATION BUILDING, AIR</t>
  </si>
  <si>
    <t>AIR NAV BLDG</t>
  </si>
  <si>
    <t>‌$8.41</t>
  </si>
  <si>
    <t>NVBA</t>
  </si>
  <si>
    <t>UHF DIRECTION FINDING</t>
  </si>
  <si>
    <t>DIR FINDING, UHF</t>
  </si>
  <si>
    <t>Ultra-high frequency (UHF) is the ITU designation for radio frequencies in the range between 300 MHz and 3 GHz, also known as the decimeter band as the wavelengths range from one to ten decimeters.</t>
  </si>
  <si>
    <t>UHF</t>
  </si>
  <si>
    <t>WIND MEASURING EQUIPMENT</t>
  </si>
  <si>
    <t>Aircraft Navigation Facility</t>
  </si>
  <si>
    <t>‌$10089.29</t>
  </si>
  <si>
    <t>‌$148.60</t>
  </si>
  <si>
    <t>WIN</t>
  </si>
  <si>
    <t>AUTOMATIC METEROLOGICAL STATION</t>
  </si>
  <si>
    <t>AUTO METERO STN</t>
  </si>
  <si>
    <t>METE</t>
  </si>
  <si>
    <t>RUNWAY DISTANCE MARKERS</t>
  </si>
  <si>
    <t>RUNWAY DIST MARKERS</t>
  </si>
  <si>
    <t>Markers on runways to indicate the remaining distance on a runway. Usually in large numerals indicating hundreds or thousands of feet remaining to the end of the runway.</t>
  </si>
  <si>
    <t>Use this category code for all airfield signage.</t>
  </si>
  <si>
    <t>RWDM</t>
  </si>
  <si>
    <t>REMOTE CONTROL CIRCUITS</t>
  </si>
  <si>
    <t>REMOTE CON CIR</t>
  </si>
  <si>
    <t>It includes power and communication circuits, ducts, manholes, transformers, control and protective devices, and associated equipment.</t>
  </si>
  <si>
    <t>RCC</t>
  </si>
  <si>
    <t>GROUND CONTROL INTERCEPT</t>
  </si>
  <si>
    <t>GCI</t>
  </si>
  <si>
    <t>Ground-Controlled Interception (GCI) an air defense tactic whereby one or more radar stations or other observational stations are linked to a command communications center which guides interceptor aircraft to an airborne target.</t>
  </si>
  <si>
    <t>GROUND CONTROLLED APPROACH, FIXED</t>
  </si>
  <si>
    <t>GCA FIXED</t>
  </si>
  <si>
    <t>A one story building typically 2,884 square feet in area, that provides surveillance and precision radar approach control at installations without approach control authority. The facility replaces semi-mobile GCA's and includes the organic support space described under CATCode 134-342.</t>
  </si>
  <si>
    <t>GCAF</t>
  </si>
  <si>
    <t>GROUND CONTROLLED APPROACH VAULT</t>
  </si>
  <si>
    <t>GCA VAULT</t>
  </si>
  <si>
    <t>Utility Vaults</t>
  </si>
  <si>
    <t>‌$26298.92</t>
  </si>
  <si>
    <t>‌$153.36</t>
  </si>
  <si>
    <t>GCAV</t>
  </si>
  <si>
    <t>GROUND CONTROLLED APPROACH RAPCON SUPPORT BUILDING</t>
  </si>
  <si>
    <t>GCA/RAPCON SPT BLD</t>
  </si>
  <si>
    <t>RAPCON = Radar Approach Control</t>
  </si>
  <si>
    <t>GCAR</t>
  </si>
  <si>
    <t>INSTRUMENT LANDING SYSTEM GLIDE SLOPE</t>
  </si>
  <si>
    <t>ILS GLIDE SLOPE</t>
  </si>
  <si>
    <t>ILS</t>
  </si>
  <si>
    <t>INSTRUMENT LANDING SYSTEM LOCALIZER</t>
  </si>
  <si>
    <t>ILS LOCALIZER</t>
  </si>
  <si>
    <t>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</si>
  <si>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ILSL</t>
  </si>
  <si>
    <t>ILS MARKER BEACON</t>
  </si>
  <si>
    <t>A marker beacon is a particular type of VHF radio beacon used in aviation, usually in conjunction with an instrument landing system (ILS), to give pilots a means to determine position along an established route to a destination such as a runway.</t>
  </si>
  <si>
    <t>ILSB</t>
  </si>
  <si>
    <t>RADAR TURNTABLE</t>
  </si>
  <si>
    <t>TURNTABLE, RDR</t>
  </si>
  <si>
    <t>RRTT</t>
  </si>
  <si>
    <t>PRECISION APPROACH RADAR</t>
  </si>
  <si>
    <t>The Precision Approach Radar (PAR) pad is a paved hardstand provided to support the PAR equipment in operating position. The hardstand must be a minimum of 146 square meters (12.1 meters by 12.1 meters) (178 SY (40 feet by 40 feet)). At installations where PAR approaches are provided to more than one runway by a single PAR unit, a turntable is provided to allow PAR service to more than one runway.</t>
  </si>
  <si>
    <t>RADAR APPROACH CONTR CENTER</t>
  </si>
  <si>
    <t>RAPCON CEN</t>
  </si>
  <si>
    <t>A one story facility typically containing 6,034 SF, with expansion capability to two stories to meet follow-on equipment requirements. A second story of 3,500 is typically required for a vertical expansion.</t>
  </si>
  <si>
    <t>A terminal air traffic control facility using radar and non-radar capabilities to provide approach control services to aircraft arriving, departing, and transiting airspace controlled by the facility.</t>
  </si>
  <si>
    <t>RACC</t>
  </si>
  <si>
    <t>AIRPORT SURVEILLANCE RADAR</t>
  </si>
  <si>
    <t>ASR</t>
  </si>
  <si>
    <t>RADIO BEACON FACILITY</t>
  </si>
  <si>
    <t>RAD BEACON FCLTY</t>
  </si>
  <si>
    <t>RBEA</t>
  </si>
  <si>
    <t>TACTICAL AIR NAVIGATION STATION, FIXED</t>
  </si>
  <si>
    <t>TACAN STN, FIX</t>
  </si>
  <si>
    <t>A tactical air navigation system, commonly referred to by the acronym TACAN, is a navigation system used by military aircraft. It provides the user with bearing and distance (slant-range) to a ground or ship-borne station.</t>
  </si>
  <si>
    <t>TANF</t>
  </si>
  <si>
    <t>13455, 13456</t>
  </si>
  <si>
    <t>NAVIGATIONAL AID TOWER</t>
  </si>
  <si>
    <t>TWR, NAVAID</t>
  </si>
  <si>
    <t>NAT</t>
  </si>
  <si>
    <t>LOW POWER TERMINAL VHF OMNIRANGE</t>
  </si>
  <si>
    <t>LOW POWER TVOR</t>
  </si>
  <si>
    <t>VHF Omni Directional Radio Range (VOR) is a type of short-range radio navigation system for aircraft. It enables aircraft with a receiving unit to determine their position and stay on course by receiving radio signals transmitted by a network of fixed ground radio beacons.</t>
  </si>
  <si>
    <t>LPTO</t>
  </si>
  <si>
    <t>HIGH POWER VHF OMNIRANGE</t>
  </si>
  <si>
    <t>HI PWR VHR OMNI RG</t>
  </si>
  <si>
    <t>Navigational aid with an output of 200 Watts. It is used to provide en route aircraft with course and bearing information. This type facility may be used for both en route and terminal air traffic control service.</t>
  </si>
  <si>
    <t>HPTO</t>
  </si>
  <si>
    <t>TVOR-RACAN, FIXED</t>
  </si>
  <si>
    <t>VORTAC FIXED</t>
  </si>
  <si>
    <t>TVOR</t>
  </si>
  <si>
    <t>WIND DIRECTION INDICATOR</t>
  </si>
  <si>
    <t>WIND DIR INDCTR</t>
  </si>
  <si>
    <t>WDI</t>
  </si>
  <si>
    <t>TELEPHONE DUCT FACILITY</t>
  </si>
  <si>
    <t>TEL DUCT FCLTY</t>
  </si>
  <si>
    <t>Communications Lines</t>
  </si>
  <si>
    <t>MI</t>
  </si>
  <si>
    <t>‌$91414.88</t>
  </si>
  <si>
    <t>‌</t>
  </si>
  <si>
    <t>TDF</t>
  </si>
  <si>
    <t>TELEPHONE POLE FACILITY</t>
  </si>
  <si>
    <t>TEL POLE FCLTY</t>
  </si>
  <si>
    <t>TPF</t>
  </si>
  <si>
    <t>LIGHT, BEACON</t>
  </si>
  <si>
    <t>Airfield Lighting</t>
  </si>
  <si>
    <t>‌$12465.07</t>
  </si>
  <si>
    <t>‌$108.78</t>
  </si>
  <si>
    <t>LTBE</t>
  </si>
  <si>
    <t>LIGHT, APPROACH</t>
  </si>
  <si>
    <t>Airfield Pavement Lighting</t>
  </si>
  <si>
    <t>‌$389.19</t>
  </si>
  <si>
    <t>‌$8.03</t>
  </si>
  <si>
    <t>LTAP</t>
  </si>
  <si>
    <t>OBSTRUCTION LIGHT</t>
  </si>
  <si>
    <t>LIGHT, OBST</t>
  </si>
  <si>
    <t>Usually found on buildings near an active runway or on towers/antennas. Can be either single or double lights.</t>
  </si>
  <si>
    <t>OBSL</t>
  </si>
  <si>
    <t>LIGHTING, RUNWAY</t>
  </si>
  <si>
    <t>LIGHT, RNWY</t>
  </si>
  <si>
    <t>LTRW</t>
  </si>
  <si>
    <t>SPECIAL AIRFIELD LIGHTING</t>
  </si>
  <si>
    <t>LIGHT, AFLD SP</t>
  </si>
  <si>
    <t>Applies to (1) runway touchdown zone lights, (2) runway centerline lights (category 2), (3) Visual Approach Slope Indicator Systems, Precision Approach Path Indicators, and Pulse Light Approach Slope Indicators (VASI, PAPI, PLASI), and (4) lights for short-field takeoff and landing zones.</t>
  </si>
  <si>
    <t>VASI is a system of lights on the side of an airport runway threshold that provides visual descent guidance information during approach. These lights may be visible from up to 5.0 mi. during the day and up to 20 mi. or more at night. PAPI consists of four sets of lights in a line perpendicular to the runway, usually mounted to the left side of the runway. These have a similar purpose to basic visual approach slope indicators, but the additional lights serve to show the pilot how far off the glide slope the aircraft is. PLASI is a ground-installed, self-contained device which visually provides vertical glide path information including correct position and direction, as well as degree of deviation and rate of change of deviation from the correct glide path.</t>
  </si>
  <si>
    <t>SAFL</t>
  </si>
  <si>
    <t>TAXIWAY LIGHTING</t>
  </si>
  <si>
    <t>LIGHT, TWY</t>
  </si>
  <si>
    <t>TWLT</t>
  </si>
  <si>
    <t>AIRFIELD LIGHTING VAULT</t>
  </si>
  <si>
    <t>AIRFLD LIGHT VAULT</t>
  </si>
  <si>
    <t>The beginning of the airfield lighting system is the airfield lighting vault. The primary power feeder enters the vault and supplies power to all of the major components. These components, in turn, control and operate the airfield lights. The vault houses the high-voltage power cables, the current regulators, the relay cabinets, and the control panels.</t>
  </si>
  <si>
    <t>https://www.wbdg.org/FFC/AF/AFMAN/136668_Airfield_Lighting_Vault.pdf</t>
  </si>
  <si>
    <t>AFLV</t>
  </si>
  <si>
    <t>LIGHTHOUSE</t>
  </si>
  <si>
    <t>New FY22</t>
  </si>
  <si>
    <t>A lighthouse is a building that houses a navigation beacon that may emit light, sound, radio, radar, or a combination thereof. It may be onshore or offshore.</t>
  </si>
  <si>
    <t>Ship Navigation Building</t>
  </si>
  <si>
    <t>EMERGENCY OPERATIONS CENTER</t>
  </si>
  <si>
    <t>EMERG OPS CNTR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</si>
  <si>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</si>
  <si>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Emergency Operations Center / Restricted Area</t>
  </si>
  <si>
    <t>‌$581.41</t>
  </si>
  <si>
    <t>‌$5.80</t>
  </si>
  <si>
    <t>EOC</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</si>
  <si>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</si>
  <si>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</si>
  <si>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Secure Operational, Storage, and Information Technology Building</t>
  </si>
  <si>
    <t>n/a</t>
  </si>
  <si>
    <t>AIRFIELD FIRE AND RESCUE STATION</t>
  </si>
  <si>
    <t>AFLD FIRE AND RESC STN</t>
  </si>
  <si>
    <t>A fire and rescue station which supports airfield operations.</t>
  </si>
  <si>
    <t>AFRS</t>
  </si>
  <si>
    <t>14120, 14125</t>
  </si>
  <si>
    <t>CRASH BOAT CREW STATION</t>
  </si>
  <si>
    <t>CRSH BT CRW STN</t>
  </si>
  <si>
    <t>CBCS</t>
  </si>
  <si>
    <t>EXPLOSIVE ORDNANCE DISPOSAL</t>
  </si>
  <si>
    <t>EOD</t>
  </si>
  <si>
    <t>14320, 14322</t>
  </si>
  <si>
    <t>GUIDED MISSILE LAUNCH CONTROL</t>
  </si>
  <si>
    <t>GM LCH CON</t>
  </si>
  <si>
    <t>Ballistic Missile Control Facility</t>
  </si>
  <si>
    <t>‌$518.13</t>
  </si>
  <si>
    <t>‌$21.67</t>
  </si>
  <si>
    <t>GMLC</t>
  </si>
  <si>
    <t>AIRCRAFT SHELTER</t>
  </si>
  <si>
    <t>ACFT SHLTR</t>
  </si>
  <si>
    <t>Structure intended to protect fighter interceptor aircraft or tactical aircraft with an alert commitment. Each shelter will house one aircraft.</t>
  </si>
  <si>
    <t>Aircraft Shelter</t>
  </si>
  <si>
    <t>‌$292.21</t>
  </si>
  <si>
    <t>ACST</t>
  </si>
  <si>
    <t>HARDENED AIRCRAFT SHELTER</t>
  </si>
  <si>
    <t>HD ACFT SHLTR</t>
  </si>
  <si>
    <t>A hardened aircraft shelters (HAS) or protective aircraft shelter (PAS) is a reinforced hangar to house and protect military aircraft from enemy attack. Cost considerations and building practicalities limit their use to fighter size aircraft.</t>
  </si>
  <si>
    <t>Aircraft Shelter, Hardened</t>
  </si>
  <si>
    <t>‌$438.74</t>
  </si>
  <si>
    <t>‌$1.27</t>
  </si>
  <si>
    <t>HACS</t>
  </si>
  <si>
    <t>ALERT HANGAR, FIGHTER AIRCRAFT</t>
  </si>
  <si>
    <t>HG, ALERT</t>
  </si>
  <si>
    <t>Aircraft Maintenance Hangar</t>
  </si>
  <si>
    <t>‌$283.00</t>
  </si>
  <si>
    <t>‌$3.54</t>
  </si>
  <si>
    <t>AHFA</t>
  </si>
  <si>
    <t>READY SHELTER FACILITY</t>
  </si>
  <si>
    <t>READY SHLTR FAC</t>
  </si>
  <si>
    <t>Also known as an: Air Raid/Fallout Shelter. Also see: CATCode 690625 TROOP SHELTER</t>
  </si>
  <si>
    <t>Air Raid/Fallout/Storm Shelter</t>
  </si>
  <si>
    <t>‌$305.22</t>
  </si>
  <si>
    <t>‌$3.75</t>
  </si>
  <si>
    <t>RSF</t>
  </si>
  <si>
    <t>HELICOPTER RESCUE AND RECOVERY HANGAR</t>
  </si>
  <si>
    <t>HELI,RESC/RECOVY</t>
  </si>
  <si>
    <t>HRRH</t>
  </si>
  <si>
    <t>AERIAL DELIVERY FACILITY</t>
  </si>
  <si>
    <t>AERIAL DLVR FCLTY</t>
  </si>
  <si>
    <t>Aerial port detachment facility designed for parachute packing and maintenance, rigging of supplies for airdrop or extraction, communications equipment maintenance, classroom, admin., and storage.</t>
  </si>
  <si>
    <t>Parachute And Dingy Maintenance Shop</t>
  </si>
  <si>
    <t>‌$252.73</t>
  </si>
  <si>
    <t>‌$5.95</t>
  </si>
  <si>
    <t>ADF</t>
  </si>
  <si>
    <t>AUDIOVISUAL FACILITY</t>
  </si>
  <si>
    <t>AUDIO-VISUAL FCLTY</t>
  </si>
  <si>
    <t>AVF</t>
  </si>
  <si>
    <t>MOTION PICTURE LABORATORY</t>
  </si>
  <si>
    <t>MOTION PIC LAB</t>
  </si>
  <si>
    <t>MPL</t>
  </si>
  <si>
    <t>FILM STORAGE VAULT</t>
  </si>
  <si>
    <t>FILM STOR VAULT</t>
  </si>
  <si>
    <t>FSV</t>
  </si>
  <si>
    <t>TELEVISION PRODUCTION FACILITY</t>
  </si>
  <si>
    <t>TV PROD FCLTY</t>
  </si>
  <si>
    <t>Facility designed for the purpose of television production capability for televised training, education, and managerial purposes.</t>
  </si>
  <si>
    <t>TPFY</t>
  </si>
  <si>
    <t>RADAR TRANSMITTER AND COMPUTER BUILDING</t>
  </si>
  <si>
    <t>RDR TMTR COMP BLDG</t>
  </si>
  <si>
    <t>BMEWS = Ballistic Missile Early Warning System</t>
  </si>
  <si>
    <t>RTCP</t>
  </si>
  <si>
    <t>RADAR TRANSMITTER BUILDING (BMEWS)</t>
  </si>
  <si>
    <t>RDR TMTR BLDG</t>
  </si>
  <si>
    <t>BMEWS = Ballistic Missile Early Warning System Among this equipment is the transmitter high-voltage power supply, filter capacitors, computers and missile impact predictor set.</t>
  </si>
  <si>
    <t>Air Defense Operations Building</t>
  </si>
  <si>
    <t>‌$255.16</t>
  </si>
  <si>
    <t>‌$5.06</t>
  </si>
  <si>
    <t>BMEW</t>
  </si>
  <si>
    <t>SCANNER BUILDING (BMEWS)</t>
  </si>
  <si>
    <t>SCANNER BLDG</t>
  </si>
  <si>
    <t>Facility designed to house critical R-F energy radar feed horns and associated scanner switch rotary wave-guide couplings for each radar system reflector.</t>
  </si>
  <si>
    <t>SCAN</t>
  </si>
  <si>
    <t>UNDERGROUND COMPLEX OPERATIONS BUILDING</t>
  </si>
  <si>
    <t>RADOME TOWER BUILDING</t>
  </si>
  <si>
    <t>RADOME TWR BLDG</t>
  </si>
  <si>
    <t>RADM</t>
  </si>
  <si>
    <t>RADAR TOWER BUILDING</t>
  </si>
  <si>
    <t>RDR TWR BLDG</t>
  </si>
  <si>
    <t>RDTW</t>
  </si>
  <si>
    <t>COMBAT CENTER BUILDING</t>
  </si>
  <si>
    <t>CC FCLTY</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</si>
  <si>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</si>
  <si>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CCTB</t>
  </si>
  <si>
    <t>DIRECTION CENTER FACILITY</t>
  </si>
  <si>
    <t>DIR CEN FCLTY</t>
  </si>
  <si>
    <t>DCF</t>
  </si>
  <si>
    <t>RANGE OPERATIONS HEADQUARTERS</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</si>
  <si>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</si>
  <si>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DCCF</t>
  </si>
  <si>
    <t>BASE OPERATIONS</t>
  </si>
  <si>
    <t>OPS, BSE</t>
  </si>
  <si>
    <t>Aviation Operations Building</t>
  </si>
  <si>
    <t>‌$4.07</t>
  </si>
  <si>
    <t>BO</t>
  </si>
  <si>
    <t>TACTICAL OPERATIONS</t>
  </si>
  <si>
    <t>OPS, SP</t>
  </si>
  <si>
    <t>Facility designed for use by flying &amp; non-flying (all) squadrons for tactical operations not found in other Operational Catcodes. These functions may not necessarily be associated with USSOCOM component units. Facilities defined under this Catcode provide unique spaces, and functional capabilities not found in other Operational Catcodes.</t>
  </si>
  <si>
    <t>SO</t>
  </si>
  <si>
    <t>ORDNANCE CONTROL POINT OPERATIONS</t>
  </si>
  <si>
    <t>OPS, ORD CON PT</t>
  </si>
  <si>
    <t>This is required only at installations that expend ordnance material in such large quantities that a control point is needed to close the flight line.</t>
  </si>
  <si>
    <t>OCPO</t>
  </si>
  <si>
    <t>INTELLIGENCE, SURVEILLANCE AND RECONNAISSANCE SQUADRONS</t>
  </si>
  <si>
    <t>OPS AFSS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</si>
  <si>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</si>
  <si>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For CATCode 141456, a description change has been requested to make this an Air Intelligence Support Center: Used to store and disseminate classified material for mission planning, pilot training, and briefings in support of attack aircraft operations.</t>
  </si>
  <si>
    <t>AFSO</t>
  </si>
  <si>
    <t>READINESS CREW</t>
  </si>
  <si>
    <t>READINESS, CRW</t>
  </si>
  <si>
    <t>Pilot living quarters while on duty. Has kitchen and sleeping quarters.</t>
  </si>
  <si>
    <t>RC</t>
  </si>
  <si>
    <t>14110, 14112</t>
  </si>
  <si>
    <t>USAF COMMAND POST</t>
  </si>
  <si>
    <t>CDPT</t>
  </si>
  <si>
    <t>AIRCRAFT CONTROL AND WARNING OPERATIONS DEWLINE</t>
  </si>
  <si>
    <t>ACW OPS DEWLINE</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</si>
  <si>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</si>
  <si>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ACWO</t>
  </si>
  <si>
    <t>AIRCRAFT CONTR AND WARNING OPERATIONS BLDG</t>
  </si>
  <si>
    <t>ACW OPS BLDG</t>
  </si>
  <si>
    <t>ACWB</t>
  </si>
  <si>
    <t>WEATHER RAWINSONDE BUILDING</t>
  </si>
  <si>
    <t>WEA RAWINSONDE</t>
  </si>
  <si>
    <t>A rawinsonde is a battery-powered telemetry instrument package carried into the atmosphere usually by a weather balloon that measures various atmospheric parameters and transmits them by radio to a ground receiver.</t>
  </si>
  <si>
    <t>WRAW</t>
  </si>
  <si>
    <t>WEATHER INSTRUMENT BUILDING</t>
  </si>
  <si>
    <t>SHLTR, WEA INSTM</t>
  </si>
  <si>
    <t>Facility designed to house temperature and humidity instruments at locations which do not have the facility described in CATCode 149-624.</t>
  </si>
  <si>
    <t>WIB</t>
  </si>
  <si>
    <t>SURFACE WEATHER OBSERVING FACILITY</t>
  </si>
  <si>
    <t>SURF WEA OBS FCLTY</t>
  </si>
  <si>
    <t>SWOF</t>
  </si>
  <si>
    <t>ROCKETSONDE CONTR BUILDING</t>
  </si>
  <si>
    <t>R/SONDE CON BLDG</t>
  </si>
  <si>
    <t>A rocketsonde is a telemeter for gathering data on the atmosphere at very high altitudes carried aloft by rocket and returned to earth by parachute.</t>
  </si>
  <si>
    <t>RCB</t>
  </si>
  <si>
    <t>WEATHER WING HQ</t>
  </si>
  <si>
    <t>AF GLOBAL WEA CEN</t>
  </si>
  <si>
    <t>This facility is for a weather wing, to include all headquarters personnel, their equipment and operation center. All SCIF space will be captured in Catcode 140422 SCIF.</t>
  </si>
  <si>
    <t>AFGW</t>
  </si>
  <si>
    <t>OPERATIONAL WEATHER SQUADRONS</t>
  </si>
  <si>
    <t>This facility provides space for command, 24-hour war fighter reach back operations, planning, and training for Operational Weather Squadrons (OWS). All SCIF space will be captured in Catcode 140422 SCIF.</t>
  </si>
  <si>
    <t>COMBAT WEATHER SQUADRON</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</si>
  <si>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</si>
  <si>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</si>
  <si>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This facility has pre-deployment training for weather personnel and extensive weather equipment testing operations. Additionally, the facility provides support by providing maintenance and logistics support for deployed Air Force weather teams through an operation center.</t>
  </si>
  <si>
    <t>BASE PHOTO LABORATORY</t>
  </si>
  <si>
    <t>PHOTO LABE, BSE</t>
  </si>
  <si>
    <t>BPL</t>
  </si>
  <si>
    <t>RECONNAISSANCE PHOTO LABORATORY</t>
  </si>
  <si>
    <t>PHOTO LAB, RECON</t>
  </si>
  <si>
    <t>RPL</t>
  </si>
  <si>
    <t>PHOTO PROCESSING AND INTERPRETATION FACILITY SUPPORT BUILDING</t>
  </si>
  <si>
    <t>WS-430B SPT BLDG</t>
  </si>
  <si>
    <t>PPIF</t>
  </si>
  <si>
    <t>SQUADRON OPERATIONS</t>
  </si>
  <si>
    <t>SQ OPS</t>
  </si>
  <si>
    <t>SQOP</t>
  </si>
  <si>
    <t>EMBEDDED SOFTWARE INTEGRATION FACILITY</t>
  </si>
  <si>
    <t>ESI FACILITY</t>
  </si>
  <si>
    <t>A building that contains communications operations and communication equipment. Communication equipment located in these facilities is not real property and is not included in this Facility Analysis Category (FAC) code.</t>
  </si>
  <si>
    <t>EMSI</t>
  </si>
  <si>
    <t>TECHNICAL LABORATORY</t>
  </si>
  <si>
    <t>TECH LAB</t>
  </si>
  <si>
    <t>Operations Support Lab</t>
  </si>
  <si>
    <t>‌$330.56</t>
  </si>
  <si>
    <t>‌$4.34</t>
  </si>
  <si>
    <t>TELB</t>
  </si>
  <si>
    <t>INTEGRATION SUPPORT FACILITY</t>
  </si>
  <si>
    <t>INTEGR SPT FCLTY</t>
  </si>
  <si>
    <t>ITSF</t>
  </si>
  <si>
    <t>DEPOT QUALITY CONTR LABORATORY</t>
  </si>
  <si>
    <t>LAB, Q/C DEP</t>
  </si>
  <si>
    <t>Facility which is designed to perform five functions. These are chemical analysis, material engineering verification, non-destructive inspection, environmental analysis, and form measurement.</t>
  </si>
  <si>
    <t>DQCL</t>
  </si>
  <si>
    <t>POL - TECHNICAL LABORATORY LIQUID FUELS ANALYSIS</t>
  </si>
  <si>
    <t>TECH LAB LF ANA</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</si>
  <si>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</si>
  <si>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TLLFA</t>
  </si>
  <si>
    <t>TERMINAL, AIR FREIGHT</t>
  </si>
  <si>
    <t>TRML, AIR FRT</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</si>
  <si>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 In addition to people, airports move cargo around the clock.</t>
  </si>
  <si>
    <t>TAFT</t>
  </si>
  <si>
    <t>AIR FREIGHT/PASSENGER TERMINAL</t>
  </si>
  <si>
    <t>TRML, AIR F/P</t>
  </si>
  <si>
    <t>AFPT</t>
  </si>
  <si>
    <t>14111, 14112</t>
  </si>
  <si>
    <t>AIR PASSENGER TERMINAL</t>
  </si>
  <si>
    <t>TRML, AIR PSGR</t>
  </si>
  <si>
    <t>A building at an airport where passengers board and disembark from aircraft.</t>
  </si>
  <si>
    <t>APT</t>
  </si>
  <si>
    <t>FLEET SERVICE TERMINAL</t>
  </si>
  <si>
    <t>TRML, FLEET SVC</t>
  </si>
  <si>
    <t>FST</t>
  </si>
  <si>
    <t>DEPLOY PROCESS FACILITY</t>
  </si>
  <si>
    <t>DEPLOY PROCESS FAC</t>
  </si>
  <si>
    <t>DPT</t>
  </si>
  <si>
    <t>CONSOLIDATION/CONTAINERIZATION POINT</t>
  </si>
  <si>
    <t>CNSOL/CNT PT</t>
  </si>
  <si>
    <t>Operations Supply Building</t>
  </si>
  <si>
    <t>‌$114.07</t>
  </si>
  <si>
    <t>‌$3.26</t>
  </si>
  <si>
    <t>CCP</t>
  </si>
  <si>
    <t>MATERIAL PROCESSING DEPOT</t>
  </si>
  <si>
    <t>MAT PROCESS DEP</t>
  </si>
  <si>
    <t>This facility houses all of the automated material handling systems associated with the centralized processing of materiel in support of Air Logistics Center Supply and Transportation mission.</t>
  </si>
  <si>
    <t>Covered Storage Building, Depot</t>
  </si>
  <si>
    <t>‌$220.36</t>
  </si>
  <si>
    <t>‌$2.08</t>
  </si>
  <si>
    <t>MPD</t>
  </si>
  <si>
    <t>MISSILE OPERATIONS BUILDING</t>
  </si>
  <si>
    <t>MSL OPS BLDG</t>
  </si>
  <si>
    <t>MOB</t>
  </si>
  <si>
    <t>RE-ENTRY VEHICLE BUILDING</t>
  </si>
  <si>
    <t>RENTRY VEH BLDG</t>
  </si>
  <si>
    <t>‌$7.43</t>
  </si>
  <si>
    <t>REVB</t>
  </si>
  <si>
    <t>SPECIAL FUEL FACILITY</t>
  </si>
  <si>
    <t>SP FL FCLTY</t>
  </si>
  <si>
    <t>‌$61.97</t>
  </si>
  <si>
    <t>‌$0.98</t>
  </si>
  <si>
    <t>SPFF</t>
  </si>
  <si>
    <t>MISSILE GUIDANCE FACILITY</t>
  </si>
  <si>
    <t>MSL GDNC FCLTY</t>
  </si>
  <si>
    <t>‌$7.45</t>
  </si>
  <si>
    <t>MGF</t>
  </si>
  <si>
    <t>MISSILE TRANSFER BUILDING</t>
  </si>
  <si>
    <t>MSL TSFR BLDG</t>
  </si>
  <si>
    <t>MTB</t>
  </si>
  <si>
    <t>SHIP OPERATIONS BUILDING</t>
  </si>
  <si>
    <t>SHIP OPS BLDG</t>
  </si>
  <si>
    <t>‌$284.26</t>
  </si>
  <si>
    <t>‌$4.06</t>
  </si>
  <si>
    <t>SOB</t>
  </si>
  <si>
    <t>OPERATIONAL STORAGE</t>
  </si>
  <si>
    <t>STOR, OPS</t>
  </si>
  <si>
    <t>​A facility used for bulk storage of major end items and operational material supporting multiple Departments/Divisions within a Command. It is under the control of the Logistics And Supply Department.</t>
  </si>
  <si>
    <t>OPS</t>
  </si>
  <si>
    <t>BOX/CRATE SHOP</t>
  </si>
  <si>
    <t>A building used for the application of exterior shipping containers on material being out-processed. The boxes and crates used in this application are also produced in this facility. This CATCode should be used for stand-alone facilities or to delineate functional areas within warehouses.</t>
  </si>
  <si>
    <t>BCSP</t>
  </si>
  <si>
    <t>VEHICLE HOLDING BUILDING</t>
  </si>
  <si>
    <t>VEH HOLDING SHED</t>
  </si>
  <si>
    <t>VHDB</t>
  </si>
  <si>
    <t>21440, 14311</t>
  </si>
  <si>
    <t>DISPATCH BUILDING</t>
  </si>
  <si>
    <t>DISPATCH BLDG</t>
  </si>
  <si>
    <t>DSHB</t>
  </si>
  <si>
    <t>SCALE HOUSE</t>
  </si>
  <si>
    <t>SF/each. Also see: CATCode 890197 WEIGHT SCALE.</t>
  </si>
  <si>
    <t>SCLE</t>
  </si>
  <si>
    <t>SAFETY BUILDING</t>
  </si>
  <si>
    <t>STYB</t>
  </si>
  <si>
    <t>READY BUILDING</t>
  </si>
  <si>
    <t>READY BLDG</t>
  </si>
  <si>
    <t>Security Force Building</t>
  </si>
  <si>
    <t>‌$242.50</t>
  </si>
  <si>
    <t>‌$4.36</t>
  </si>
  <si>
    <t>RDYB</t>
  </si>
  <si>
    <t>OVERHEAD PROTECTION</t>
  </si>
  <si>
    <t>OVERHEAD PROTEC</t>
  </si>
  <si>
    <t>This CATCode does not include the concrete flooring (equipment pad) which should be captured separately. Other examples are: Pump Stations, Hydrant Systems, Hydrant Buildings, Gas Stations/Dispensers, Truck Loading Facilities, Truck Offloading Facilities, Transformers, Electrical Switching Stations, R11/Refueler Parking, and Covered Walkways.</t>
  </si>
  <si>
    <t>Overhead Cover</t>
  </si>
  <si>
    <t>‌$128.43</t>
  </si>
  <si>
    <t>‌$0.58</t>
  </si>
  <si>
    <t>OHP</t>
  </si>
  <si>
    <t>12316, 12317</t>
  </si>
  <si>
    <t>AIRCRAFT SUNSHELTER</t>
  </si>
  <si>
    <t>ACFT SUN SHELT</t>
  </si>
  <si>
    <t>A covered but open shelter structure that protects aircraft from the sun. The sunshade .. The sunshade itself is considered equipment.</t>
  </si>
  <si>
    <t>ACSS</t>
  </si>
  <si>
    <t>SPACE SURVEILLANCE ANTENNA</t>
  </si>
  <si>
    <t>ANTENNA, SPACE</t>
  </si>
  <si>
    <t>Missile Defense Facility</t>
  </si>
  <si>
    <t>‌$10682.00</t>
  </si>
  <si>
    <t>SSAT</t>
  </si>
  <si>
    <t>ANCILLARY EXPLOSIVES FACILITY</t>
  </si>
  <si>
    <t>ANCLY EXPLO FCLTY</t>
  </si>
  <si>
    <t>Explosives Holding/Transfer Facility</t>
  </si>
  <si>
    <t>‌$45118.33</t>
  </si>
  <si>
    <t>‌$113.82</t>
  </si>
  <si>
    <t>AEF</t>
  </si>
  <si>
    <t>BUNKER</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</si>
  <si>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</si>
  <si>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Miscellaneous Operations Support Facility</t>
  </si>
  <si>
    <t>‌$355768.31</t>
  </si>
  <si>
    <t>‌$204.93</t>
  </si>
  <si>
    <t>BNKR</t>
  </si>
  <si>
    <t>REMOTE PILOT AIRCRAFT OPERATIONS</t>
  </si>
  <si>
    <t>GDNC STN, P/ACFT</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</si>
  <si>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</si>
  <si>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Also see CATCode: 212252 SHOP, PILOTLESS AIRCRAFT</t>
  </si>
  <si>
    <t>PLAG</t>
  </si>
  <si>
    <t>MISSILE LAUNCH FACILITY</t>
  </si>
  <si>
    <t>MSL LCH FCLTY</t>
  </si>
  <si>
    <t>A missile launch facility, also known as an underground missile silo or launch facility (LF), is a vertical cylindrical structure constructed underground, for the storage and launching of intercontinental ballistic missiles (ICBMs). The structures typically have the missile some distance below grade, protected by a large "blast door" on top. They are usually connected, physically and/or electronically, to a missile launch control center.</t>
  </si>
  <si>
    <t>Strategic Missile Launch Facility</t>
  </si>
  <si>
    <t>‌$6415783.35</t>
  </si>
  <si>
    <t>‌$54953.16</t>
  </si>
  <si>
    <t>MLF</t>
  </si>
  <si>
    <t>MISSILE GUIDANCE STATION</t>
  </si>
  <si>
    <t>GDNC STN MSL</t>
  </si>
  <si>
    <t>MGS</t>
  </si>
  <si>
    <t>AIRCRAFT GUIDANCE STATION</t>
  </si>
  <si>
    <t>GDNC STN, ACFT</t>
  </si>
  <si>
    <t>A station used for the guiding of aircraft.</t>
  </si>
  <si>
    <t>‌http://www.wbdg.org/FFC/AF/AFMAN/149516_Aircraft_Guidance_Station.pdf</t>
  </si>
  <si>
    <t>AGST</t>
  </si>
  <si>
    <t>WIND MEASURING SET</t>
  </si>
  <si>
    <t>WD MEA SET ANGMQ20</t>
  </si>
  <si>
    <t>This system consists of a transmitter, indicator and recorder. The system can accommodate up to 10 indicators or recorders. The transmitter is sited where it will best measure winds representative of the touchdown area and is mounted on a mast 13 feet or more above ground.</t>
  </si>
  <si>
    <t>ANGMQ-20 is a specific model of a wind speed measuring set containing the major components of: a transmitter, wind direction and speed; support; amplifier assembly; indicator; recorder; selector switch, converter; and indicator case.</t>
  </si>
  <si>
    <t>WMST</t>
  </si>
  <si>
    <t>CEILOMETER ROTATING BEACON</t>
  </si>
  <si>
    <t>CEILOMETER ANGMQ13</t>
  </si>
  <si>
    <t>Ceilometer, device for measuring the height of cloud bases and overall cloud thickness. The device works day or night by shining an intense beam of light (often produced by an infrared or ultraviolet transmitter or a laser), modulated at an audio frequency, at overhead clouds. Reflections of this light from the base of the clouds are detected by a photocell in the receiver of the ceilometer. There are two basic types of ceilometers: the scanning receiver and the rotating transmitter.</t>
  </si>
  <si>
    <t>CRTB</t>
  </si>
  <si>
    <t>TRANSMISSOMETER</t>
  </si>
  <si>
    <t>TRANSMSTR ANGMQ10</t>
  </si>
  <si>
    <t>This system measures and records relative light transmissivity through the atmosphere along a given path between a projector and detector.</t>
  </si>
  <si>
    <t>Transmissometers are referred to as telephotometers, transmittance meters, or hazemeters. A transmissometer is an instrument for measuring the extinction coefficient of the atmosphere, and for the determination of visual range.</t>
  </si>
  <si>
    <t>TRNS</t>
  </si>
  <si>
    <t>TEMPERATURE-DEWPOINT MEASURING SET</t>
  </si>
  <si>
    <t>TEM/HUM MEA SET</t>
  </si>
  <si>
    <t>TEMP</t>
  </si>
  <si>
    <t>DIGITAL WIND MEASURING SYSTEM</t>
  </si>
  <si>
    <t>DIG WIND MEA SYS</t>
  </si>
  <si>
    <t>DWMS</t>
  </si>
  <si>
    <t>LIGHTNING WARNING SET</t>
  </si>
  <si>
    <t>LGT WAR SET ANGMH7</t>
  </si>
  <si>
    <t>LWRN</t>
  </si>
  <si>
    <t>RADAR METEOROLOGICAL SET, C-BAND</t>
  </si>
  <si>
    <t>RDR MET SET C-BAND</t>
  </si>
  <si>
    <t>RCBD</t>
  </si>
  <si>
    <t>CENTRAL WASH FACILITY</t>
  </si>
  <si>
    <t>CENT WASH FAC</t>
  </si>
  <si>
    <t>A facility for pre-wash mud removal and washing of military and commercial vehicles. Included are water recirculation, high- and low- pressure cleaning, water containment and drains, and sediment and sludge removal.</t>
  </si>
  <si>
    <t>Tactical Vehicle Wash Facility</t>
  </si>
  <si>
    <t>‌$311.80</t>
  </si>
  <si>
    <t>‌$1.77</t>
  </si>
  <si>
    <t>CWSF</t>
  </si>
  <si>
    <t>COLD FOG DISPERSAL SYSTEM</t>
  </si>
  <si>
    <t>COLD FOG DSPAL SYS</t>
  </si>
  <si>
    <t>Fog Investigation and Dispersal Operation (FIDO), which was sometimes referred to as "Fog Intense Dispersal Operation" or "Fog, Intense Dispersal Of", was a system used for dispersing fog and dense smog ("pea soup fog") from an airfield so that aircraft could land safely.</t>
  </si>
  <si>
    <t>Aircraft Support Facility</t>
  </si>
  <si>
    <t>‌$24677.96</t>
  </si>
  <si>
    <t>‌$11224.76</t>
  </si>
  <si>
    <t>CFDS</t>
  </si>
  <si>
    <t>MISSILE SHAFT ACCESS</t>
  </si>
  <si>
    <t>MSL SHAFT, ACCES</t>
  </si>
  <si>
    <t>Missile Access Shaft</t>
  </si>
  <si>
    <t>‌$116528.02</t>
  </si>
  <si>
    <t>‌$1676.05</t>
  </si>
  <si>
    <t>MSAC</t>
  </si>
  <si>
    <t>TUNNEL</t>
  </si>
  <si>
    <t>Missile Access Tunnel</t>
  </si>
  <si>
    <t>‌$968.33</t>
  </si>
  <si>
    <t>‌$13.93</t>
  </si>
  <si>
    <t>TUNN</t>
  </si>
  <si>
    <t>OPERATIONS SUPPORT SHED</t>
  </si>
  <si>
    <t>SHED, OPS</t>
  </si>
  <si>
    <t>​Storage shed or other covered area used for operational support. Not for weapons cleaning areas.</t>
  </si>
  <si>
    <t>Covered Storage Shed, Installation</t>
  </si>
  <si>
    <t>‌$70.67</t>
  </si>
  <si>
    <t>‌$1.25</t>
  </si>
  <si>
    <t>VEHICLE TEST TRACK</t>
  </si>
  <si>
    <t>VEH TEST TRACK</t>
  </si>
  <si>
    <t>VTST</t>
  </si>
  <si>
    <t>CONTROL TOWER</t>
  </si>
  <si>
    <t>TWR, CON</t>
  </si>
  <si>
    <t>Air Control Tower</t>
  </si>
  <si>
    <t>‌$771.00</t>
  </si>
  <si>
    <t>CT</t>
  </si>
  <si>
    <t>RADAR TOWER</t>
  </si>
  <si>
    <t>TWR, RDR</t>
  </si>
  <si>
    <t>RT</t>
  </si>
  <si>
    <t>OBSERVATION TOWER</t>
  </si>
  <si>
    <t>TWR, OBS</t>
  </si>
  <si>
    <t>An observation tower is a structure used to view events from a long distance and to create a full 360 degree range of vision. They are usually at least 20 meters (65.6 feet) tall and made from stone, iron, and wood.</t>
  </si>
  <si>
    <t>‌$566649.52</t>
  </si>
  <si>
    <t>‌$779.02</t>
  </si>
  <si>
    <t>OT</t>
  </si>
  <si>
    <t>17935, 87220</t>
  </si>
  <si>
    <t>SPECIAL TOWER</t>
  </si>
  <si>
    <t>TWR, SP</t>
  </si>
  <si>
    <t>ST</t>
  </si>
  <si>
    <t>CARGO PIER</t>
  </si>
  <si>
    <t>PIER, CARGO</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</si>
  <si>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(approx. 1 mile). In American English, a pier may be synonymous with dock.</t>
  </si>
  <si>
    <t>Pier</t>
  </si>
  <si>
    <t>FB</t>
  </si>
  <si>
    <t>‌$3466.39</t>
  </si>
  <si>
    <t>‌$20.66</t>
  </si>
  <si>
    <t>CP</t>
  </si>
  <si>
    <t>LIQUID FUEL UNLOADING PIER</t>
  </si>
  <si>
    <t>PIER, LF UNLOAD</t>
  </si>
  <si>
    <t>LFUP</t>
  </si>
  <si>
    <t>WHARF</t>
  </si>
  <si>
    <t>‌$15.10</t>
  </si>
  <si>
    <t>WATERFRONT IMPROVEMENTS</t>
  </si>
  <si>
    <t>WTR FRONT IMPR</t>
  </si>
  <si>
    <t>Shore Erosion Prevention Facility</t>
  </si>
  <si>
    <t>‌$385.87</t>
  </si>
  <si>
    <t>‌$12.09</t>
  </si>
  <si>
    <t>WFI</t>
  </si>
  <si>
    <t>15410, 15420, 15430, 15432</t>
  </si>
  <si>
    <t>15410, 15430</t>
  </si>
  <si>
    <t>SMALL CRAFT BERTHING</t>
  </si>
  <si>
    <t>Small craft berthing consists of either a pier or wharf providing an area for small craft (less than 66 feet in length) to berth. This may include lighterage vessels, tug boats, fire boats, and other small craft.</t>
  </si>
  <si>
    <t>‌$2182.54</t>
  </si>
  <si>
    <t>‌$17.77</t>
  </si>
  <si>
    <t>SCB</t>
  </si>
  <si>
    <t>WAREHOUSE, TRANSIT CARGO</t>
  </si>
  <si>
    <t>WHSE, T/CARGO</t>
  </si>
  <si>
    <t>WTC</t>
  </si>
  <si>
    <t>15610, 15620</t>
  </si>
  <si>
    <t>OFFSHORE MOORING FACILITY</t>
  </si>
  <si>
    <t>LIQUID FUEL OFF-SHORE UNLOADING FACILITY</t>
  </si>
  <si>
    <t>LF O/SHORE UNLOAD</t>
  </si>
  <si>
    <t>This facility is used to load/unload POL fuel from ships that cannot approach the shore. The facility consists of reels with hydraulic drives and power units, jib cranes with motorized hoist, stripping pumps, cart/track, hose supports, hoses, winches, solid separators and waste fuel tanks.</t>
  </si>
  <si>
    <t>‌$13155.04</t>
  </si>
  <si>
    <t>‌$1078.72</t>
  </si>
  <si>
    <t>OSUF</t>
  </si>
  <si>
    <t>16310, 16320, 16330</t>
  </si>
  <si>
    <t>HARBOR AND COASTAL MARINE IMPROVEMENTS</t>
  </si>
  <si>
    <t>HAR MAR IMPR</t>
  </si>
  <si>
    <t>Harbor Marine Improvements</t>
  </si>
  <si>
    <t>‌$279.06</t>
  </si>
  <si>
    <t>‌$12.00</t>
  </si>
  <si>
    <t>HCMI</t>
  </si>
  <si>
    <t>16410, 16420, 16440, 16450</t>
  </si>
  <si>
    <t>16410, 16420</t>
  </si>
  <si>
    <t>ARMORY</t>
  </si>
  <si>
    <t>This identifies those facilities that are used for secured storage and the issue of all weapons.</t>
  </si>
  <si>
    <t>Small Arms Storage, Installation</t>
  </si>
  <si>
    <t>‌$266.40</t>
  </si>
  <si>
    <t>‌$3.36</t>
  </si>
  <si>
    <t>ARMY</t>
  </si>
  <si>
    <t>ACADEMIC LECTURE HALL</t>
  </si>
  <si>
    <t>ACAD LECT HALL</t>
  </si>
  <si>
    <t>Lecture Hall (or Lecture Theater/Theatre)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t>
  </si>
  <si>
    <t>General Purpose Instruction Building</t>
  </si>
  <si>
    <t>‌$353.00</t>
  </si>
  <si>
    <t>‌$5.39</t>
  </si>
  <si>
    <t>ACLH</t>
  </si>
  <si>
    <t>ACADEMIC EXHIBIT FACILITY</t>
  </si>
  <si>
    <t>ACAD EXHBT FCLTY</t>
  </si>
  <si>
    <t>Museum</t>
  </si>
  <si>
    <t>‌$122.05</t>
  </si>
  <si>
    <t>‌$4.18</t>
  </si>
  <si>
    <t>ACEF</t>
  </si>
  <si>
    <t>NATATORIUM AND PHYSICAL EDUCATION</t>
  </si>
  <si>
    <t>NATORM PHYS ED</t>
  </si>
  <si>
    <t>Sports facility which may include: swimming pools, basketball courts, ice rinks, indoor football fields, weight and exercise rooms, indoor track, whirlpool, saunas, indoor rifle and pistol range and racquetball courts.</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</si>
  <si>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sports.</t>
  </si>
  <si>
    <t>Physical Education Building</t>
  </si>
  <si>
    <t>‌$245.10</t>
  </si>
  <si>
    <t>‌$2.86</t>
  </si>
  <si>
    <t>NAPE</t>
  </si>
  <si>
    <t>BAND CENTER</t>
  </si>
  <si>
    <t>Band Training Facility</t>
  </si>
  <si>
    <t>‌$237.47</t>
  </si>
  <si>
    <t>‌$5.96</t>
  </si>
  <si>
    <t>BAND</t>
  </si>
  <si>
    <t>FLIGHT TRAINING CLASSROOM</t>
  </si>
  <si>
    <t>FLY TNG CLASSROOM</t>
  </si>
  <si>
    <t>Facility designed for the purpose of training pilots. Classroom space is separate from those directly associated with CATCodes: 171212, 171214, 171412, 141753, and 171213.</t>
  </si>
  <si>
    <t>FTCR</t>
  </si>
  <si>
    <t>FLIGHT SIMULATOR TRAINING</t>
  </si>
  <si>
    <t>FLT SIMLTR TNG</t>
  </si>
  <si>
    <t>Flight Simulator Facility</t>
  </si>
  <si>
    <t>‌$385.00</t>
  </si>
  <si>
    <t>‌$6.50</t>
  </si>
  <si>
    <t>FSTR</t>
  </si>
  <si>
    <t>PHYSIOLOGICAL TRAINING</t>
  </si>
  <si>
    <t>PHYSL TNG</t>
  </si>
  <si>
    <t>Physiological Training Facility</t>
  </si>
  <si>
    <t>‌$4.30</t>
  </si>
  <si>
    <t>PHLT</t>
  </si>
  <si>
    <t>HUMAN PERFORMANCE TRAINING CENTER</t>
  </si>
  <si>
    <t>HUMAN CTR</t>
  </si>
  <si>
    <t>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t>
  </si>
  <si>
    <t>‌$2.97</t>
  </si>
  <si>
    <t>HPTC</t>
  </si>
  <si>
    <t>SOLDIER FITNESS TRAINING AND TESTING FACILITY</t>
  </si>
  <si>
    <t>TECHNICAL AND PROFESSIONAL LIBRARY</t>
  </si>
  <si>
    <t>LIB, TECH &amp; PROF</t>
  </si>
  <si>
    <t>General Administrative Building</t>
  </si>
  <si>
    <t>‌$286.79</t>
  </si>
  <si>
    <t>‌$4.23</t>
  </si>
  <si>
    <t>TPLY</t>
  </si>
  <si>
    <t>CELESTIAL AND PLANETARIUM NAVIGATIONAL TRAINING</t>
  </si>
  <si>
    <t>NAV TNG CEL/PLANT</t>
  </si>
  <si>
    <t>Applied Instruction Building</t>
  </si>
  <si>
    <t>‌$4.56</t>
  </si>
  <si>
    <t>CPNT</t>
  </si>
  <si>
    <t>RESERVE FORCES GENERAL TRAINING SUPPORT</t>
  </si>
  <si>
    <t>RES FORCES G/TNG S</t>
  </si>
  <si>
    <t>Reserve Training Facility</t>
  </si>
  <si>
    <t>‌$287.00</t>
  </si>
  <si>
    <t>RFTS</t>
  </si>
  <si>
    <t>17140, 17141</t>
  </si>
  <si>
    <t>RESERVE FORCES OPERATIONAL TRAINING</t>
  </si>
  <si>
    <t>RES FORCES OPL TNG</t>
  </si>
  <si>
    <t>RESO</t>
  </si>
  <si>
    <t>RESERVE FORCES COMMUNICATIONS &amp; ELECTRONIC TRAINING</t>
  </si>
  <si>
    <t>RES FORCES C-E TNG</t>
  </si>
  <si>
    <t>RESC</t>
  </si>
  <si>
    <t>RESERVE FORCES AEROMEDICAL EVACUATION TRAINING</t>
  </si>
  <si>
    <t>RES FORCES A-E TNG</t>
  </si>
  <si>
    <t>RESA</t>
  </si>
  <si>
    <t>RESERVE COMPONENT MEDICAL TRAINING</t>
  </si>
  <si>
    <t>RES COMP MED TNG</t>
  </si>
  <si>
    <t>RESM</t>
  </si>
  <si>
    <t>RANGE CONTR HOUSE</t>
  </si>
  <si>
    <t>RG CON HSE</t>
  </si>
  <si>
    <t>Range Support Building</t>
  </si>
  <si>
    <t>‌$409.23</t>
  </si>
  <si>
    <t>‌$3.37</t>
  </si>
  <si>
    <t>RCNH</t>
  </si>
  <si>
    <t>RANGE SUPPLY AND EQUIPMENT STORAGE</t>
  </si>
  <si>
    <t>RG SUP &amp; EQUP STOR</t>
  </si>
  <si>
    <t>RSES</t>
  </si>
  <si>
    <t>RANGE TARGET STORAGE AND REPAIR</t>
  </si>
  <si>
    <t>RG TGT STOR &amp; PR</t>
  </si>
  <si>
    <t>RTSR</t>
  </si>
  <si>
    <t>RANGE, SMALL ARMS, INDOOR</t>
  </si>
  <si>
    <t>RG SM ARM INDOR</t>
  </si>
  <si>
    <t>This facility is required at bases that experience adverse weather conditions on at least 90 days a year or where economic considerations clearly favor construction of an indoor over an outdoor range.</t>
  </si>
  <si>
    <t>Combat Arms Training and Maintenance (CATM), or simply Combat Arms, are United States Air Force Security Forces personnel who train base populace on the use of small arms, oversee, maintain and repair all small arms in the U.S. Air Force inventory.</t>
  </si>
  <si>
    <t>Indoor Firing Range and Supporting Facility</t>
  </si>
  <si>
    <t>‌$315.00</t>
  </si>
  <si>
    <t>‌$5.34</t>
  </si>
  <si>
    <t>RSAI</t>
  </si>
  <si>
    <t>COMBAT ARMS TRAINING MAINTENANCE BUILDING</t>
  </si>
  <si>
    <t>CATM BLDG</t>
  </si>
  <si>
    <t>This facility supports a small arms marksmanship training unit. It is used in conjunction with a small arms range system.</t>
  </si>
  <si>
    <t>Combat Arms Training and Maintenance (CATM), or simply Combat Arms are United States Air Force Security Forces personnel who train base populace on the use of small arms, oversee, maintain and repair all small arms in the U.S. Air Force inventory.</t>
  </si>
  <si>
    <t>CATM</t>
  </si>
  <si>
    <t>TRAINING AIDS SHOP</t>
  </si>
  <si>
    <t>TNG AID SHP</t>
  </si>
  <si>
    <t>Training Aids Support Building</t>
  </si>
  <si>
    <t>‌$237.41</t>
  </si>
  <si>
    <t>‌$2.27</t>
  </si>
  <si>
    <t>TGAS</t>
  </si>
  <si>
    <t>FIELD TRAINING FACILITY</t>
  </si>
  <si>
    <t>FLD TNG FCLTY</t>
  </si>
  <si>
    <t>An AETC detachment capable of providing on-site specialized technical instruction to personnel at the base where a support system is located. The FTD may be located at a base on a temporary or permanent basis.</t>
  </si>
  <si>
    <t>FTD = Field Training Detachment</t>
  </si>
  <si>
    <t>FTF</t>
  </si>
  <si>
    <t>RUNWAY SUPERVISORY UNIT BUILDING</t>
  </si>
  <si>
    <t>RSU</t>
  </si>
  <si>
    <t>RWSU</t>
  </si>
  <si>
    <t>RUNWAY CONTROL STRUCTURE BUILDING</t>
  </si>
  <si>
    <t>RUNWAY CON STRUCT</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</si>
  <si>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</si>
  <si>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RWCS</t>
  </si>
  <si>
    <t>TECHNICAL TRAINING CLASSROOM</t>
  </si>
  <si>
    <t>TECH TNG CLASSROOM</t>
  </si>
  <si>
    <t>The facility provides classrooms required by Technical Training Programs described in AFH 32-1084. The programs are conducted at AETC technical training centers and at selected bases at other commands.</t>
  </si>
  <si>
    <t>TTCR</t>
  </si>
  <si>
    <t>TECHNICAL TRAINING LABORATORY/SHOP</t>
  </si>
  <si>
    <t>TECH TNG LAB/SHP</t>
  </si>
  <si>
    <t>TTLS</t>
  </si>
  <si>
    <t>17131, 17132, 17133, 17135, 17136, 17137, 17138</t>
  </si>
  <si>
    <t>HIGH-BAY TECHNICAL TRAINING</t>
  </si>
  <si>
    <t>HIGH-BAY TECH TNG</t>
  </si>
  <si>
    <t>This facility provides high-bay space such as converted hangars, needed for programs discussed in paragraph 7-5, AFH 32-1084. Facility houses large scale equipment &amp; instructional aids such as aircraft, missile silos, missiles, fire trucks, simulators &amp; special mock-ups. See AFH 32-1084 for criteria.</t>
  </si>
  <si>
    <t>HBTT</t>
  </si>
  <si>
    <t>AETC TECHNICAL TRAINING SUPPORT</t>
  </si>
  <si>
    <t>ATC TECH TNG SPT</t>
  </si>
  <si>
    <t>This facility provides support to AETC Technical Training for instruction that does not fall within the definitions of CATCodes 171-162, 171-623 or 171-625. Includes space for admin, break room, storage, and other typical training areas.</t>
  </si>
  <si>
    <t>AETC</t>
  </si>
  <si>
    <t>LAUNCH OPERATIONS TRAINING FACILITY</t>
  </si>
  <si>
    <t>LCH OPS TNG FAC</t>
  </si>
  <si>
    <t>LOTF</t>
  </si>
  <si>
    <t>TARGET INTELLIGENCE TRAINING</t>
  </si>
  <si>
    <t>TGT INTEL TNG</t>
  </si>
  <si>
    <t>Identifies space for training aircrews in the technique of target I.D. and sound bombing procedures. Includes crew study rooms, classrooms, reference library, storage for up to top secret info, administration and instruction offices.</t>
  </si>
  <si>
    <t>TITG</t>
  </si>
  <si>
    <t>ORGANIZATIONAL CLASSROOM</t>
  </si>
  <si>
    <t>ORG CLASSROOM</t>
  </si>
  <si>
    <t>A building (or portions thereof) that provides space to conduct indoor classroom instruction at organizational level. Such training facilities are used exclusively for organizational training activities. Classrooms may include storage and issue areas for educational materials, movable partition walls, stage, and projection room. Classroom areas within a battalion headquarters building, trainee barracks, and so on, as well as stand-alone buildings serving this purpose, should be accounted for using this category code. Learning resource centers and military occupational specialty (MOS) libraries are often considered part of the organizational classroom space.</t>
  </si>
  <si>
    <t>‌$313.00</t>
  </si>
  <si>
    <t>‌$4.59</t>
  </si>
  <si>
    <t>ORGC</t>
  </si>
  <si>
    <t>SAFETY EDUCATION FACILITY</t>
  </si>
  <si>
    <t>SAFETY ED FCLTY</t>
  </si>
  <si>
    <t>This facility is required to support safety education programs operated under AFJI 16-103. Provides space for classrooms, projection booth, and administrative space and may include space for drivers training in lieu of space under CATCode 610-121.</t>
  </si>
  <si>
    <t>SEFY</t>
  </si>
  <si>
    <t>ENLISTED PROFESSIONAL MILITARY EDUCATION CENTER</t>
  </si>
  <si>
    <t>NCO PROF ED CEN</t>
  </si>
  <si>
    <t>This facility supports professional military education courses, PME is a five-phased program designed to prepare AF enlisted personnel for positions of leadership and management. AF allows for command preference in the nature of facilities provided.</t>
  </si>
  <si>
    <t>NCOE</t>
  </si>
  <si>
    <t>RECRUIT PROCESSING</t>
  </si>
  <si>
    <t>RECRT PROCESSING</t>
  </si>
  <si>
    <t>RECP</t>
  </si>
  <si>
    <t>BASIC MILITARY TRAINING</t>
  </si>
  <si>
    <t>BMT (ATC)</t>
  </si>
  <si>
    <t>BASI</t>
  </si>
  <si>
    <t>OFFICER TRAINING</t>
  </si>
  <si>
    <t>OFF TNG (ATC)</t>
  </si>
  <si>
    <t>OTC</t>
  </si>
  <si>
    <t>AIR UNIVERSITY PROFESSIONAL/TECHNICAL EDUCATION</t>
  </si>
  <si>
    <t>AU PROF/TECH ED</t>
  </si>
  <si>
    <t>AUPT</t>
  </si>
  <si>
    <t>US AIR FORCE ACADEMY ACADEMIC TRAINING</t>
  </si>
  <si>
    <t>USAFA ACADEMIC TNG</t>
  </si>
  <si>
    <t>USAFA is the primary user.</t>
  </si>
  <si>
    <t>ACAD</t>
  </si>
  <si>
    <t>AERIAL PORT TRAINING FACILITY</t>
  </si>
  <si>
    <t>A/PORT TNG FCLTY</t>
  </si>
  <si>
    <t>This facility provides for the administrative, training, and cargo functions of an aerial port flight and aerial port squadron. For example, an aerial port flight with C-123 and C-130 aircraft requires 9,702 SF.</t>
  </si>
  <si>
    <t>APTF</t>
  </si>
  <si>
    <t>MUNITIONS LOAD CREW TRAINING</t>
  </si>
  <si>
    <t>MUN LOAD CREW TNG</t>
  </si>
  <si>
    <t>MLCW</t>
  </si>
  <si>
    <t>GAS CHAMBER</t>
  </si>
  <si>
    <t>Gas Training Facility</t>
  </si>
  <si>
    <t>‌$307.39</t>
  </si>
  <si>
    <t>GAS</t>
  </si>
  <si>
    <t>General Purpose Simulator Facility</t>
  </si>
  <si>
    <t>‌$5.16</t>
  </si>
  <si>
    <t>SIMN</t>
  </si>
  <si>
    <t>SIMULATION CENTER</t>
  </si>
  <si>
    <t>SIM CENTER</t>
  </si>
  <si>
    <t>SIM</t>
  </si>
  <si>
    <t>BATTLE LABATORY</t>
  </si>
  <si>
    <t>BATTLE LAB</t>
  </si>
  <si>
    <t>BATT</t>
  </si>
  <si>
    <t>OTHER COVERED TRAINING AREA</t>
  </si>
  <si>
    <t>OTH COV TRAIN AREA</t>
  </si>
  <si>
    <t>Training Support Structure</t>
  </si>
  <si>
    <t>‌$129.51</t>
  </si>
  <si>
    <t>‌$0.31</t>
  </si>
  <si>
    <t>OCTA</t>
  </si>
  <si>
    <t>OBSERVATION TOWER/BUNKER</t>
  </si>
  <si>
    <t>OBSER BUNKER</t>
  </si>
  <si>
    <t>OBTW</t>
  </si>
  <si>
    <t>LAND NAVIGATIONAL COURSE</t>
  </si>
  <si>
    <t>LAND NAV COURSE</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</si>
  <si>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</si>
  <si>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Maneuver/Training Land, Light Forces</t>
  </si>
  <si>
    <t>AC</t>
  </si>
  <si>
    <t>‌$1.73</t>
  </si>
  <si>
    <t>LNAV</t>
  </si>
  <si>
    <t>FIELD TRAINING AREA</t>
  </si>
  <si>
    <t>FIELD TNG AREA</t>
  </si>
  <si>
    <t>FDTA</t>
  </si>
  <si>
    <t>MANEUVER/TRAINING AREA, LIGHT FORCES</t>
  </si>
  <si>
    <t>MAN/TRN AREA LT</t>
  </si>
  <si>
    <t>MALT</t>
  </si>
  <si>
    <t>17410, 17411</t>
  </si>
  <si>
    <t>MANEUVER/TRAINING AREA, HEAVY FORCES</t>
  </si>
  <si>
    <t>MAN/TRN AREA HV</t>
  </si>
  <si>
    <t>Maneuver/Training Land, Heavy Forces</t>
  </si>
  <si>
    <t>‌$2.46</t>
  </si>
  <si>
    <t>MAHV</t>
  </si>
  <si>
    <t>IMPACT AREA NON-DUDDED</t>
  </si>
  <si>
    <t>IMPACT NON-DUD</t>
  </si>
  <si>
    <t>Weapons Impact Area</t>
  </si>
  <si>
    <t>IMPT</t>
  </si>
  <si>
    <t>IMPACT AREA DUDDED</t>
  </si>
  <si>
    <t>IMPACT AREA DUD</t>
  </si>
  <si>
    <t>IADD</t>
  </si>
  <si>
    <t>PARACHUTE DROP ZONE</t>
  </si>
  <si>
    <t>DROP</t>
  </si>
  <si>
    <t>PARADE/DRILL FIELD</t>
  </si>
  <si>
    <t>PARADE/DRIL FLD</t>
  </si>
  <si>
    <t>Parade and Drill Field</t>
  </si>
  <si>
    <t>‌$44411.58</t>
  </si>
  <si>
    <t>‌$68.59</t>
  </si>
  <si>
    <t>DRILL</t>
  </si>
  <si>
    <t>BASIC 10M-25M FIRING RANGE (ZERO)</t>
  </si>
  <si>
    <t>BASIC 10/25M RG</t>
  </si>
  <si>
    <t>Zero Range</t>
  </si>
  <si>
    <t>FP</t>
  </si>
  <si>
    <t>‌$5858.60</t>
  </si>
  <si>
    <t>‌$62.21</t>
  </si>
  <si>
    <t>BFRZ</t>
  </si>
  <si>
    <t>AUTOMATED FIELD FIRE (AFF) RANGE</t>
  </si>
  <si>
    <t>AUTO FD FIRE RG</t>
  </si>
  <si>
    <t>Field Fire Range</t>
  </si>
  <si>
    <t>‌$60872.20</t>
  </si>
  <si>
    <t>‌$243.07</t>
  </si>
  <si>
    <t>AFFR</t>
  </si>
  <si>
    <t>MODIFIED RECORD FIRE RANGE</t>
  </si>
  <si>
    <t>MOD REC FIR RG</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</si>
  <si>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</si>
  <si>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Record Fire Range</t>
  </si>
  <si>
    <t>‌$94898.62</t>
  </si>
  <si>
    <t>‌$387.38</t>
  </si>
  <si>
    <t>MRFR</t>
  </si>
  <si>
    <t>AUTOMATED RECORD FIRE (ARF) RANGE</t>
  </si>
  <si>
    <t>AUTO REC FIR RG</t>
  </si>
  <si>
    <t>ARFR</t>
  </si>
  <si>
    <t>NIGHT FIRE (SMALL ARMS) RANGE</t>
  </si>
  <si>
    <t>NIGHT FIRE RNG</t>
  </si>
  <si>
    <t>Night Fire Range</t>
  </si>
  <si>
    <t>‌$6204.28</t>
  </si>
  <si>
    <t>‌$85.72</t>
  </si>
  <si>
    <t>NFR</t>
  </si>
  <si>
    <t>AUTOMATED NIGHT FIRE (SMALL ARMS) RANGE</t>
  </si>
  <si>
    <t>AUTO NIGHT FIRE</t>
  </si>
  <si>
    <t>ANFR</t>
  </si>
  <si>
    <t>KNOWN DISTANCE (KD) RANGE</t>
  </si>
  <si>
    <t>KD RANGE</t>
  </si>
  <si>
    <t>Known Distance (KD) Range is a 60-point, firing range with stationary targets at 25 meters (approx. 27 yards) from the firing line. This range has a control tower, warm-up building, public address system, latrine, and target-storage shed.</t>
  </si>
  <si>
    <t>Known Distance Range</t>
  </si>
  <si>
    <t>‌$11735.54</t>
  </si>
  <si>
    <t>‌$180.34</t>
  </si>
  <si>
    <t>KDR</t>
  </si>
  <si>
    <t>SNIPER FIELD FIRE RANGE</t>
  </si>
  <si>
    <t>SNIPER RANGE</t>
  </si>
  <si>
    <t>Sniper Range</t>
  </si>
  <si>
    <t>‌$175357.58</t>
  </si>
  <si>
    <t>‌$775.95</t>
  </si>
  <si>
    <t>SFFR</t>
  </si>
  <si>
    <t>17811, 17812, 17829</t>
  </si>
  <si>
    <t>AUTOMATED SNIPER FIELD FIRE RANGE</t>
  </si>
  <si>
    <t>AUTO SNIPER RNG</t>
  </si>
  <si>
    <t>ASFF</t>
  </si>
  <si>
    <t>COMBAT PISTOL/MP FIREARMS QUALIFICATION COURSE</t>
  </si>
  <si>
    <t>CBT PISTOL CRS</t>
  </si>
  <si>
    <t>Pistol Range</t>
  </si>
  <si>
    <t>‌$33364.72</t>
  </si>
  <si>
    <t>‌$172.65</t>
  </si>
  <si>
    <t>CPQC</t>
  </si>
  <si>
    <t>17571, 17572</t>
  </si>
  <si>
    <t>MACHINE GUN FIELD FIRE RANGE</t>
  </si>
  <si>
    <t>MG FLD FIRE RG</t>
  </si>
  <si>
    <t>Machinegun Range</t>
  </si>
  <si>
    <t>‌$119993.33</t>
  </si>
  <si>
    <t>‌$580.34</t>
  </si>
  <si>
    <t>MGFF</t>
  </si>
  <si>
    <t>40MM (GRENADE) MACHINE GUN QUALIFICATION RANGE</t>
  </si>
  <si>
    <t>40MM GR MG QUAL</t>
  </si>
  <si>
    <t>Also see CATCodes: 178121 HAND GRENADE FAMILIARIZATION RANGE (LIVE), 179723 HAND GRENADE ACCURACY COURSE (NONFIRING), 179477 GRENADE LAUNCHER RANGE, and 179724 HAND GRENADE QUALIFICATION COURSE (NONFIRING)</t>
  </si>
  <si>
    <t>Grenade Machinegun Range</t>
  </si>
  <si>
    <t>LN</t>
  </si>
  <si>
    <t>‌$2124.79</t>
  </si>
  <si>
    <t>‌$874.54</t>
  </si>
  <si>
    <t>MGQR</t>
  </si>
  <si>
    <t>LIGHT ANTIARMOR WEAPONS (LAW/AT-4) RANGE SUBCALIBER</t>
  </si>
  <si>
    <t>LAW RNG SUBCAL</t>
  </si>
  <si>
    <t>Light Antiarmor Weapon Range</t>
  </si>
  <si>
    <t>‌$602067.07</t>
  </si>
  <si>
    <t>‌$855.28</t>
  </si>
  <si>
    <t>LAWR</t>
  </si>
  <si>
    <t>LIGHT ANTIARMOR WEAPONS (LAW/AT-4) RANGE LIVE</t>
  </si>
  <si>
    <t>LAW RANGE</t>
  </si>
  <si>
    <t>LAWL</t>
  </si>
  <si>
    <t>FIELD ARTILLERY DIRECT FIRE RANGE</t>
  </si>
  <si>
    <t>FA DIRECT RNG</t>
  </si>
  <si>
    <t>Artillery Direct Fire Range</t>
  </si>
  <si>
    <t>‌$995904.98</t>
  </si>
  <si>
    <t>‌$2056.97</t>
  </si>
  <si>
    <t>FADF</t>
  </si>
  <si>
    <t>TANK/FIGHTING VEHICLE STATIONARY GUNNERY RANGE</t>
  </si>
  <si>
    <t>STN GUNNERY RNG</t>
  </si>
  <si>
    <t>Tank Stationary Gunnery Range</t>
  </si>
  <si>
    <t>‌$8214616.65</t>
  </si>
  <si>
    <t>‌$26715.73</t>
  </si>
  <si>
    <t>TFVG</t>
  </si>
  <si>
    <t>MORTAR RANGE</t>
  </si>
  <si>
    <t>Indirect Fire Range</t>
  </si>
  <si>
    <t>MOTR</t>
  </si>
  <si>
    <t>FIELD ARTILLERY INDIRECT FIRE RANGE</t>
  </si>
  <si>
    <t>FA INDIRECT RNG</t>
  </si>
  <si>
    <t>FAIR</t>
  </si>
  <si>
    <t>MORTAR SCALED RANGE</t>
  </si>
  <si>
    <t>MORT SCALED RNG</t>
  </si>
  <si>
    <t>Scaled Indirect Fire Range</t>
  </si>
  <si>
    <t>‌$11990.25</t>
  </si>
  <si>
    <t>‌$177.89</t>
  </si>
  <si>
    <t>MSR</t>
  </si>
  <si>
    <t>DIGITAL MULTIPURPOSE TRAINING RANGE (DMPTR)</t>
  </si>
  <si>
    <t>DIGITAL MPTR</t>
  </si>
  <si>
    <t>Armor Vehicle Crew Training Range</t>
  </si>
  <si>
    <t>‌$4759261.48</t>
  </si>
  <si>
    <t>‌$31698.33</t>
  </si>
  <si>
    <t>DMTR</t>
  </si>
  <si>
    <t>AUTOMATED MULTIPURPOSE TRAINING RANGE (MPTR)</t>
  </si>
  <si>
    <t>AUTOMATED MPTR</t>
  </si>
  <si>
    <t>AMTR</t>
  </si>
  <si>
    <t>SCOUT/RECCE GUNNERY COMPLEX</t>
  </si>
  <si>
    <t>SCOUT RECCE GUN</t>
  </si>
  <si>
    <t>Armor Vehicle Unit Training Range</t>
  </si>
  <si>
    <t>‌$27480894.46</t>
  </si>
  <si>
    <t>‌$55201.73</t>
  </si>
  <si>
    <t>SCUT</t>
  </si>
  <si>
    <t>17721, 17722</t>
  </si>
  <si>
    <t>SQUAD DEFENSE RANGE</t>
  </si>
  <si>
    <t>SQD DEF RNG</t>
  </si>
  <si>
    <t>The ISBC-W is a multipurpose Infantry Squad Battle Course designed to enable an Infantry Squad to practice battle drills in multiple Live Fire, Multiple Integrated Laser Engagement System (MILES), and Force-on-Force scenarios.</t>
  </si>
  <si>
    <t>‌$246766.80</t>
  </si>
  <si>
    <t>‌$2140.61</t>
  </si>
  <si>
    <t>SDR</t>
  </si>
  <si>
    <t>INFANTRY SQUAD BATTLE COURSE</t>
  </si>
  <si>
    <t>INF SQ BTL CSE</t>
  </si>
  <si>
    <t>Also see: CATCode 179621 COMBAT IN CITIES FACILITY and 177622 LIVE FIRE SHOOTHOUSE.</t>
  </si>
  <si>
    <t>Infantry Battle Course</t>
  </si>
  <si>
    <t>‌$2749441.05</t>
  </si>
  <si>
    <t>‌$8252.80</t>
  </si>
  <si>
    <t>ISBC</t>
  </si>
  <si>
    <t>URBAN ASSAULT COURSE</t>
  </si>
  <si>
    <t>URBAN ASLT CRS</t>
  </si>
  <si>
    <t>Urban Combat Training Range</t>
  </si>
  <si>
    <t>‌$949732.64</t>
  </si>
  <si>
    <t>‌$6560.11</t>
  </si>
  <si>
    <t>UBAC</t>
  </si>
  <si>
    <t>LIVE FIRE EXERCISE SHOOTHOUSE</t>
  </si>
  <si>
    <t>LIVE FIRE SHOOT</t>
  </si>
  <si>
    <t>Also see: CATCode 177621 URBAN ASSAULT COURSE and 179621 COMBAT IN CITIES</t>
  </si>
  <si>
    <t>LFES</t>
  </si>
  <si>
    <t>CONVOY LIVE FIRE RANGE/ENTRY CONTROL POINT (CLF/ECP)</t>
  </si>
  <si>
    <t>CONVOY LIVE FIRE RANGE</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</si>
  <si>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</si>
  <si>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Convoy Live Fire Range</t>
  </si>
  <si>
    <t>‌$614385.12</t>
  </si>
  <si>
    <t>‌$7786.41</t>
  </si>
  <si>
    <t>CLF</t>
  </si>
  <si>
    <t>HAND GRENADE FAMILIARIZATION RANGE (LIVE)</t>
  </si>
  <si>
    <t>LIV HAND GR RNG</t>
  </si>
  <si>
    <t>A range designed to satisfy the training requirement of throwing live fragmentation grenades. This range familiarizes soldiers with the effects of live fragmentation grenades. No automation is required for this facility. Count each throwing location as one FP.</t>
  </si>
  <si>
    <t>Also see CATCodes: 179723 HAND GRENADE ACCURACY COURSE (NONFIRING), 179477 GRENADE LAUNCHER RANGE, 176221 40MM (GRENADE) MACHINE GUN QUALIFICATION RANGE, and 179724 HAND GRENADE QUALIFICATION COURSE (NONFIRING)</t>
  </si>
  <si>
    <t>Live Hand Grenade Range</t>
  </si>
  <si>
    <t>‌$30537.61</t>
  </si>
  <si>
    <t>‌$167.87</t>
  </si>
  <si>
    <t>HGFR</t>
  </si>
  <si>
    <t>ENGINEER QUALIFICATION RANGE</t>
  </si>
  <si>
    <t>ENGR QUALIFICATION RNG</t>
  </si>
  <si>
    <t>‌$348439.60</t>
  </si>
  <si>
    <t>‌$1333.56</t>
  </si>
  <si>
    <t>EQR</t>
  </si>
  <si>
    <t>17888, 17889</t>
  </si>
  <si>
    <t>17820, 17821</t>
  </si>
  <si>
    <t>LIGHT DEMOLITION RANGE</t>
  </si>
  <si>
    <t>LT DEMO RNG</t>
  </si>
  <si>
    <t>Light Demolition and Flame Training Range</t>
  </si>
  <si>
    <t>‌$68243.52</t>
  </si>
  <si>
    <t>‌$3567.27</t>
  </si>
  <si>
    <t>LDR</t>
  </si>
  <si>
    <t>INFANTRY PLATOON BATTLE COURSE</t>
  </si>
  <si>
    <t>INF PLT BTL CSE</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</si>
  <si>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t>
  </si>
  <si>
    <t>IPBC</t>
  </si>
  <si>
    <t>TRAINING MOCK-UPS</t>
  </si>
  <si>
    <t>TNG MOCK-UPS</t>
  </si>
  <si>
    <t>Ground Combat Training Structure</t>
  </si>
  <si>
    <t>‌$140890.57</t>
  </si>
  <si>
    <t>‌$828.91</t>
  </si>
  <si>
    <t>TMUP</t>
  </si>
  <si>
    <t>17958, 17959, 17962</t>
  </si>
  <si>
    <t>BAYONET ASSAULT COURSE</t>
  </si>
  <si>
    <t>BAYNET ASLT CRS</t>
  </si>
  <si>
    <t>BAC</t>
  </si>
  <si>
    <t>MINE WARFARE AREA</t>
  </si>
  <si>
    <t>MINE WR AREA</t>
  </si>
  <si>
    <t>MWA</t>
  </si>
  <si>
    <t>TARGET DETECTION RANGE (NONFIRING)</t>
  </si>
  <si>
    <t>TGT DETEC RG NF</t>
  </si>
  <si>
    <t>Miscellaneous Training Facility</t>
  </si>
  <si>
    <t>‌$140590.57</t>
  </si>
  <si>
    <t>TDNF</t>
  </si>
  <si>
    <t>FLOATING BRIDGE SITE</t>
  </si>
  <si>
    <t>FLOAT BRDG SITE</t>
  </si>
  <si>
    <t>A pontoon bridge or floating bridge or bridge of boats is a bridge that floats on water and in which barge- or boat-like pontoons support the bridge deck and its dynamic loads.</t>
  </si>
  <si>
    <t>FTBS</t>
  </si>
  <si>
    <t>PRISONER OF WAR TRAINING AREA</t>
  </si>
  <si>
    <t>POW TNG AREA</t>
  </si>
  <si>
    <t>POWT</t>
  </si>
  <si>
    <t>WHEELED VEHICLE DRIVERS COURSE</t>
  </si>
  <si>
    <t>WH VEH DV CSE</t>
  </si>
  <si>
    <t>WVDC</t>
  </si>
  <si>
    <t>COMBAT TRAIL</t>
  </si>
  <si>
    <t>The Army calls this "Military Stakes".</t>
  </si>
  <si>
    <t>CTTL</t>
  </si>
  <si>
    <t>RAPPELLING TRAINING AREA</t>
  </si>
  <si>
    <t>RAPPEL TRN AREA</t>
  </si>
  <si>
    <t>MEDIUM/HEAVY EQUIPMENT TRAINING AREA</t>
  </si>
  <si>
    <t>MED/HV EQUIP TR</t>
  </si>
  <si>
    <t>MHET</t>
  </si>
  <si>
    <t>POL TRAINING AREA</t>
  </si>
  <si>
    <t>POL TRAIN AREA</t>
  </si>
  <si>
    <t>POLT</t>
  </si>
  <si>
    <t>DIVING TANK</t>
  </si>
  <si>
    <t>Training Pool and Tank</t>
  </si>
  <si>
    <t>‌$2425369.43</t>
  </si>
  <si>
    <t>‌$13501.59</t>
  </si>
  <si>
    <t>DTK</t>
  </si>
  <si>
    <t>PARACHUTE SWING TRAINING</t>
  </si>
  <si>
    <t>PRCHT SWING TNG AERIAL GUNY RG</t>
  </si>
  <si>
    <t>PST</t>
  </si>
  <si>
    <t>AERIAL GUNNERY RANGE</t>
  </si>
  <si>
    <t>AERIAL GUNY RG</t>
  </si>
  <si>
    <t>Attack Helicopter Weapons Range</t>
  </si>
  <si>
    <t>‌$2586237.96</t>
  </si>
  <si>
    <t>‌$23756.25</t>
  </si>
  <si>
    <t>AGR</t>
  </si>
  <si>
    <t>TRAINING AIDS</t>
  </si>
  <si>
    <t>TNG AID</t>
  </si>
  <si>
    <t>Also see CATCodes: 179923 OBSTACLE COURSE and 179511 FIRE TRAINING FACILITY.</t>
  </si>
  <si>
    <t>‌$99505.63</t>
  </si>
  <si>
    <t>‌$2157.45</t>
  </si>
  <si>
    <t>TA</t>
  </si>
  <si>
    <t>MULTI</t>
  </si>
  <si>
    <t>SMALL ARMS RANGE SYSTEM</t>
  </si>
  <si>
    <t>RG, SM ARMS SYS</t>
  </si>
  <si>
    <t>General Purpose Small Arms Range</t>
  </si>
  <si>
    <t>‌$67755.45</t>
  </si>
  <si>
    <t>‌$363.84</t>
  </si>
  <si>
    <t>SARS</t>
  </si>
  <si>
    <t>17502, 17940</t>
  </si>
  <si>
    <t>MACHINE GUN RANGE</t>
  </si>
  <si>
    <t>MGR</t>
  </si>
  <si>
    <t>17823, 17831, 17832, 17833</t>
  </si>
  <si>
    <t>17580, 17582</t>
  </si>
  <si>
    <t>GRENADE LAUNCHER RANGE</t>
  </si>
  <si>
    <t>GRENADE GUN RANGE</t>
  </si>
  <si>
    <t>An open area typically with four firing positions that contains an impact and roll out area usually 450m by 60m in size.</t>
  </si>
  <si>
    <t>Also see CATCodes: 178121 HAND GRENADE FAMILIARIZATION RANGE (LIVE), 179723 HAND GRENADE ACCURACY COURSE (NONFIRING), 176221 40MM (GRENADE) MACHINE GUN QUALIFICATION RANGE, and 179724 HAND GRENADE QUALIFICATION COURSE (NONFIRING)</t>
  </si>
  <si>
    <t>‌$5097.58</t>
  </si>
  <si>
    <t>‌$130.42</t>
  </si>
  <si>
    <t>GLR</t>
  </si>
  <si>
    <t>RANGE, AIRCRAFT</t>
  </si>
  <si>
    <t>RG, ACFT</t>
  </si>
  <si>
    <t>Also known as: Bombing Ranges.</t>
  </si>
  <si>
    <t>Aircraft Weapons Range</t>
  </si>
  <si>
    <t>RACT</t>
  </si>
  <si>
    <t>FIREMAN TRAINING FACILITY</t>
  </si>
  <si>
    <t>FIREMAN TNG FCLTY</t>
  </si>
  <si>
    <t>Unenclosed Fire Fighter Trainer Facility</t>
  </si>
  <si>
    <t>‌$1680246.98</t>
  </si>
  <si>
    <t>‌$1907.56</t>
  </si>
  <si>
    <t>FMTF</t>
  </si>
  <si>
    <t>ENCLOSED FIRE FIGHTER TRAINER FACILITY</t>
  </si>
  <si>
    <t>FIRE TRN, ENC</t>
  </si>
  <si>
    <t>An enclosed facility that houses interior and exterior mockups of areas within a surface ship, submarine, or multistory building for live-fire fighting and rescue training.</t>
  </si>
  <si>
    <t>EFFF</t>
  </si>
  <si>
    <t>COMBAT IN CITIES FACILITY</t>
  </si>
  <si>
    <t>CBT IN CITY FAC</t>
  </si>
  <si>
    <t>Also see CATCodes: 177621 URBAN ASSAULT COURSE and 177622 LIVE FIRE EXERCISE SHOOT HOUSE.</t>
  </si>
  <si>
    <t>Urban Combat Training Area, Non-Fire</t>
  </si>
  <si>
    <t>‌$184.44</t>
  </si>
  <si>
    <t>‌$0.59</t>
  </si>
  <si>
    <t>CICF</t>
  </si>
  <si>
    <t>HAND GRENADE ACCURACY COURSE (NONFIRING)</t>
  </si>
  <si>
    <t>HAND GR ACC NF</t>
  </si>
  <si>
    <t>Also see CATCodes: 178121 HAND GRENADE FAMILIARIZATION RANGE (LIVE), 179723 HAND GRENADE ACCURACY COURSE (NONFIRING), 179477 GRENADE LAUNCHER RANGE, and 176221 40MM (GRENADE) MACHINE GUN QUALIFICATION RANGE.</t>
  </si>
  <si>
    <t>Hand Grenade Range, Non-Firing</t>
  </si>
  <si>
    <t>‌$5383.68</t>
  </si>
  <si>
    <t>‌$160.09</t>
  </si>
  <si>
    <t>HGAC</t>
  </si>
  <si>
    <t>HAND GRENADE QUALIFICATION COURSE (NONFIRING)</t>
  </si>
  <si>
    <t>HAND GR QUAL NF</t>
  </si>
  <si>
    <t>HGQC</t>
  </si>
  <si>
    <t>INFILTRATION COURSE</t>
  </si>
  <si>
    <t>INFILTRAT CSE</t>
  </si>
  <si>
    <t>Infiltration Course, Live Fire</t>
  </si>
  <si>
    <t>‌$123264.93</t>
  </si>
  <si>
    <t>‌$547.07</t>
  </si>
  <si>
    <t>IFC</t>
  </si>
  <si>
    <t>CONFIDENCE COURSE</t>
  </si>
  <si>
    <t>CONFIDENCE CSE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</si>
  <si>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</si>
  <si>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Also see CATCodes: 179923 OBSTACLE COURSE and 179922 LEADERSHIP REACTION COURSE.</t>
  </si>
  <si>
    <t>CONFIDENCE/OBSTACLE COURSE</t>
  </si>
  <si>
    <t>CNFC</t>
  </si>
  <si>
    <t>LEADERSHIP REACTION COURSE</t>
  </si>
  <si>
    <t>LEADERSHIP RCRS</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</si>
  <si>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</si>
  <si>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Also see: CATCode 179921 CONFIDENCE COURSE and 179923 OBSTACLE COURSE)</t>
  </si>
  <si>
    <t>LRAC</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</si>
  <si>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</si>
  <si>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</si>
  <si>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Also see: CATCode 179921 CONFIDENCE COURSE AND 179922 LEADERSHIP REACTION COURSE</t>
  </si>
  <si>
    <t>OBSC</t>
  </si>
  <si>
    <t>HANGAR, MAINTENANCE</t>
  </si>
  <si>
    <t>HG, MAINT</t>
  </si>
  <si>
    <t>HAMA</t>
  </si>
  <si>
    <t>21104, 21105, 31105</t>
  </si>
  <si>
    <t>HANGAR, MAINTENANCE DEPOT</t>
  </si>
  <si>
    <t>HG, MAINT DEP</t>
  </si>
  <si>
    <t>Aircraft Maintenance Hangar, Depot</t>
  </si>
  <si>
    <t>‌$261.00</t>
  </si>
  <si>
    <t>‌$1.87</t>
  </si>
  <si>
    <t>HADT</t>
  </si>
  <si>
    <t>BUILDING, AIRCRAFT WEAPONS CALIBRATION</t>
  </si>
  <si>
    <t>SHLTR A/W CALBR</t>
  </si>
  <si>
    <t>Aircraft Maintenance Shop</t>
  </si>
  <si>
    <t>‌$180.69</t>
  </si>
  <si>
    <t>‌$3.88</t>
  </si>
  <si>
    <t>ACWC</t>
  </si>
  <si>
    <t>TACTICAL UNMANNED AERIAL VEHICLE (UAV) HANGAR</t>
  </si>
  <si>
    <t>UAV HANGR</t>
  </si>
  <si>
    <t>TUAV</t>
  </si>
  <si>
    <t>SHOP, AIRCRAFT GENERAL PURPOSE</t>
  </si>
  <si>
    <t>SHP ACFT GEN PURP</t>
  </si>
  <si>
    <t>AGP</t>
  </si>
  <si>
    <t>21106, 21108, 21115, 21121</t>
  </si>
  <si>
    <t>SHOP, NON-DESTRUCTIVE INSPECTION</t>
  </si>
  <si>
    <t>SHP NON-DESTR INSP</t>
  </si>
  <si>
    <t>NDIN</t>
  </si>
  <si>
    <t>SHOP, AIRCRAFT MAINTENANCE, ORGANIZATIONAL</t>
  </si>
  <si>
    <t>SHP A/M ORGL</t>
  </si>
  <si>
    <t>OMS = Organizational Maintenance Shop</t>
  </si>
  <si>
    <t>ACMO</t>
  </si>
  <si>
    <t>SHOP, JET ENGINE INSPECTION AND MAINTENANCE</t>
  </si>
  <si>
    <t>SHP JET ENG I/MNT</t>
  </si>
  <si>
    <t>AFMC = AF Materiel Command</t>
  </si>
  <si>
    <t>Aircraft Maintenance Shop, Depot</t>
  </si>
  <si>
    <t>‌$293.45</t>
  </si>
  <si>
    <t>‌$2.79</t>
  </si>
  <si>
    <t>JEIM</t>
  </si>
  <si>
    <t>21120, 21125, 21126, 21127, 21130</t>
  </si>
  <si>
    <t>AIRCRAFT CORROSION CONTROL</t>
  </si>
  <si>
    <t>ACFT COR CON</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</si>
  <si>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t>
  </si>
  <si>
    <t>Aircraft Corrosion Control Hangar</t>
  </si>
  <si>
    <t>‌$439.67</t>
  </si>
  <si>
    <t>ACCC</t>
  </si>
  <si>
    <t>CORROSION CONTR UTILITY STORAGE</t>
  </si>
  <si>
    <t>COR CON UTIL STOR</t>
  </si>
  <si>
    <t>Hazardous Materials Storage, Installation</t>
  </si>
  <si>
    <t>CF</t>
  </si>
  <si>
    <t>‌$234.64</t>
  </si>
  <si>
    <t>‌$4.97</t>
  </si>
  <si>
    <t>CCUS</t>
  </si>
  <si>
    <t>RADAR CROSS SECTION TURNTABLE BUILDING</t>
  </si>
  <si>
    <t>RADAR TURNTBL BLDG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</si>
  <si>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</si>
  <si>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Aircraft RDT&amp;E Facility</t>
  </si>
  <si>
    <t>‌$7.11</t>
  </si>
  <si>
    <t>RCST</t>
  </si>
  <si>
    <t>LARGE AIRCRAFT MAINTENANCE DOCK</t>
  </si>
  <si>
    <t>MAINT DOCK, L/A</t>
  </si>
  <si>
    <t>This facility provides protected space for the maintenance of large aircraft. They contain installed utility systems (heat, plumbing, electric, and compressed air).</t>
  </si>
  <si>
    <t>‌https://www.wbdg.org/FFC/AF/AFMAN/211173_Large_Aircraft_Maintenance_Dock.pdf</t>
  </si>
  <si>
    <t>LAMD</t>
  </si>
  <si>
    <t>MEDIUM AIRCRAFT MAINTENANCE DOCK</t>
  </si>
  <si>
    <t>MAINT DOC, M/A</t>
  </si>
  <si>
    <t>This facility provides protected space for the maintenance of medium size aircraft. They contain installed utility systems (heat, plumbing, electric, and compressed air).</t>
  </si>
  <si>
    <t>‌https://www.wbdg.org/FFC/AF/AFMAN/211175_Medium_Aircraft_Maintenance_Dock.pdf</t>
  </si>
  <si>
    <t>MAMD</t>
  </si>
  <si>
    <t>SMALL AIRCRAFT MAINTENANCE DOCK</t>
  </si>
  <si>
    <t>MAINT DOCK, S/A</t>
  </si>
  <si>
    <t>This facility provides protected space for the maintenance of small aircraft. They contain installed utility systems (heat, plumbing, electric, and compressed air).</t>
  </si>
  <si>
    <t>‌https://www.wbdg.org/FFC/AF/AFMAN/211177_Small_Aircraft_Maintenance_Dock.pdf</t>
  </si>
  <si>
    <t>SMMD</t>
  </si>
  <si>
    <t>FUEL SYSTEM MAINTENANCE DOCK</t>
  </si>
  <si>
    <t>MAINT DOCK, FL SYS</t>
  </si>
  <si>
    <t>FSMD</t>
  </si>
  <si>
    <t>TEST CELL</t>
  </si>
  <si>
    <t>TST CELL</t>
  </si>
  <si>
    <t>Aircraft Engine Test Building</t>
  </si>
  <si>
    <t>‌$282.30</t>
  </si>
  <si>
    <t>‌$4.58</t>
  </si>
  <si>
    <t>TEST</t>
  </si>
  <si>
    <t>NOISE SUPPRESSOR SYSTEM ("HUSH HOUSE") AND/OR TEST STAND PAD</t>
  </si>
  <si>
    <t>TST STD</t>
  </si>
  <si>
    <t>This facility consists of the reinforces concrete foundation required to support the technical equipment that is designed to test the effectiveness of jet engines. This facility supports the jet inspection and maintenance shop (Catcode 211157).</t>
  </si>
  <si>
    <t>Aircraft Engine Test Facility</t>
  </si>
  <si>
    <t>‌$3191391.13</t>
  </si>
  <si>
    <t>‌$22343.87</t>
  </si>
  <si>
    <t>STAN</t>
  </si>
  <si>
    <t>21181, 21183</t>
  </si>
  <si>
    <t>SHOP, TURBINE DEPOT</t>
  </si>
  <si>
    <t>SHP TURBINE DEP</t>
  </si>
  <si>
    <t>TUBD</t>
  </si>
  <si>
    <t>SHOP, RAM/AIR DEPOT</t>
  </si>
  <si>
    <t>SHP RAM AIR DEP</t>
  </si>
  <si>
    <t>RAMD</t>
  </si>
  <si>
    <t>SHOP, ALTERNATOR DRIVE OVERHAUL AND TEST DEPOT</t>
  </si>
  <si>
    <t>SHP ALTNR DRIVE/D</t>
  </si>
  <si>
    <t>ADOT</t>
  </si>
  <si>
    <t>SHOP, AIRCRAFT AND ENGINE ACCESS OVERHAUL DEPOT</t>
  </si>
  <si>
    <t>SHP ACFT &amp; ENG DEP</t>
  </si>
  <si>
    <t>AEAO</t>
  </si>
  <si>
    <t>SHOP, ENGINE TEST AND STORAGE DEPOT</t>
  </si>
  <si>
    <t>SHP ENG TST&amp;STOR/D</t>
  </si>
  <si>
    <t>ETSD</t>
  </si>
  <si>
    <t>SHOP, INSTRUMENT OVERHAUL DEPOT</t>
  </si>
  <si>
    <t>SHP INSTM OVHL DEP</t>
  </si>
  <si>
    <t>IOHD</t>
  </si>
  <si>
    <t>MAINTENANCE AIRCRAFT SPARES / STORAGE</t>
  </si>
  <si>
    <t>MAINT AC SPAR/STG</t>
  </si>
  <si>
    <t>AMSS</t>
  </si>
  <si>
    <t>SHOP, MISSILE ASSEMBLY</t>
  </si>
  <si>
    <t>SHP MSL ASMB</t>
  </si>
  <si>
    <t>Missile Maintenance/Assembly Building</t>
  </si>
  <si>
    <t>‌$219.35</t>
  </si>
  <si>
    <t>‌$3.72</t>
  </si>
  <si>
    <t>MISA</t>
  </si>
  <si>
    <t>SHOP, TACTICAL MISSILE, GLIDE WEAPON MAINTENANCE</t>
  </si>
  <si>
    <t>SHP TAC MSL G/W</t>
  </si>
  <si>
    <t>This Facility accommodates missile and guided weapons inspections, testing, assembly and repair, test and ground support equipment inspection, calibration, and repair.</t>
  </si>
  <si>
    <t>TMGW</t>
  </si>
  <si>
    <t>21210, 21230</t>
  </si>
  <si>
    <t>SHOP, MISSILE RUN-UP</t>
  </si>
  <si>
    <t>SHP MSL RUN/UP</t>
  </si>
  <si>
    <t>MSRU</t>
  </si>
  <si>
    <t>SHOP, MISSILE SERVICE</t>
  </si>
  <si>
    <t>SHP MSL SVC</t>
  </si>
  <si>
    <t>MISV</t>
  </si>
  <si>
    <t>SHOP, MISSILE WARHEAD ASSEMBLY AND MAINTENANCE</t>
  </si>
  <si>
    <t>SHP MSL WH ASMB</t>
  </si>
  <si>
    <t>Missile/Launcher Maintenance Support Facility</t>
  </si>
  <si>
    <t>‌$217.77</t>
  </si>
  <si>
    <t>‌$4.33</t>
  </si>
  <si>
    <t>MIWH</t>
  </si>
  <si>
    <t>SHOP, MISSILE BATTERY</t>
  </si>
  <si>
    <t>SHP MSL BATTERY</t>
  </si>
  <si>
    <t>This category code identifies those areas used to service and maintain batteries for Launch Control Facilities (LCF) and Launch Facility (LF) back-up generators.</t>
  </si>
  <si>
    <t>MIBT</t>
  </si>
  <si>
    <t>INTEGRATED MAINTENANCE FACILITY</t>
  </si>
  <si>
    <t>INTCRTD MAINT FAC</t>
  </si>
  <si>
    <t>IMF</t>
  </si>
  <si>
    <t>SHOP, PILOTLESS AIRCRAFT</t>
  </si>
  <si>
    <t>SHP P/ACFT</t>
  </si>
  <si>
    <t>Also see: CATCode 149511 PILOTLESS AIRCRAFT GUIDANCE STATION.</t>
  </si>
  <si>
    <t>PLTA</t>
  </si>
  <si>
    <t>BOAT STORAGE</t>
  </si>
  <si>
    <t>BT STOR</t>
  </si>
  <si>
    <t>Small Craft Building</t>
  </si>
  <si>
    <t>‌$34.71</t>
  </si>
  <si>
    <t>‌$1.75</t>
  </si>
  <si>
    <t>BOAT</t>
  </si>
  <si>
    <t>SHOP, MARINE MAINTENANCE</t>
  </si>
  <si>
    <t>MAR MAINT SHP</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</si>
  <si>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</si>
  <si>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Marine Maintenance Shop</t>
  </si>
  <si>
    <t>‌$300.49</t>
  </si>
  <si>
    <t>‌$2.67</t>
  </si>
  <si>
    <t>MARM</t>
  </si>
  <si>
    <t>21330, 21341, 21349, 21351, 21356, 21358, 21361</t>
  </si>
  <si>
    <t>MARINE RAILWAY</t>
  </si>
  <si>
    <t>MAR RAILWAY</t>
  </si>
  <si>
    <t>‌$14661.60</t>
  </si>
  <si>
    <t>‌$736.83</t>
  </si>
  <si>
    <t>MRRW</t>
  </si>
  <si>
    <t>MARINE MAINTENANCE SUPPORT FACILITY</t>
  </si>
  <si>
    <t>MARINE MAINT SPT FAC</t>
  </si>
  <si>
    <t>‌$195.12</t>
  </si>
  <si>
    <t>MMSF</t>
  </si>
  <si>
    <t>21367, 21368, 21370, 21375, 21540, 21373, 21374</t>
  </si>
  <si>
    <t>SHIP SERVICES SUPPORT BUILDING</t>
  </si>
  <si>
    <t>SHP SUP BLD</t>
  </si>
  <si>
    <t>SSSB</t>
  </si>
  <si>
    <t>NATIONAL GUARD VEHICLE MAINTENANCE SHOP</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</si>
  <si>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t>
  </si>
  <si>
    <t>Vehicle Maintenance Shop, National Guard</t>
  </si>
  <si>
    <t>ARMY RESERVE VEHICLE MAINTENANCE SHOP</t>
  </si>
  <si>
    <t>Vehicle Maintenance Shop, Reserve</t>
  </si>
  <si>
    <t>VEHICLE HOLDING SHED</t>
  </si>
  <si>
    <t>Installation Support Equipment Maintenance Shed</t>
  </si>
  <si>
    <t>VEHICLE MAINTENANCE SHED</t>
  </si>
  <si>
    <t>A structure for vehicle maintenance.</t>
  </si>
  <si>
    <t>VEHICLE SERVICE RACK</t>
  </si>
  <si>
    <t>VEH SVC RACK</t>
  </si>
  <si>
    <t>This facility is used to service government vehicles only. It should not be confused with the “privately owned vehicle wash rack” which is operated by and injunction with the automotive hobby shops.</t>
  </si>
  <si>
    <t>Vehicle Maintenance Facility</t>
  </si>
  <si>
    <t>‌$153329.06</t>
  </si>
  <si>
    <t>‌$2629.10</t>
  </si>
  <si>
    <t>VSR</t>
  </si>
  <si>
    <t>21455, 21456</t>
  </si>
  <si>
    <t>VEHICLE MAINTENANCE SHOP</t>
  </si>
  <si>
    <t>VEH MAIN SHP</t>
  </si>
  <si>
    <t>‌$303.00</t>
  </si>
  <si>
    <t>‌$4.79</t>
  </si>
  <si>
    <t>VMSP</t>
  </si>
  <si>
    <t>21410, 21420, 21451, 21453</t>
  </si>
  <si>
    <t>VEHICLE OPERATIONS HEATED PARKING</t>
  </si>
  <si>
    <t>VEH OPS HEAT PKNG</t>
  </si>
  <si>
    <t>This facility is provided for certain assigned vehicles at installations located in cold climates.</t>
  </si>
  <si>
    <t>Essentially, this is a heated parking garage.</t>
  </si>
  <si>
    <t>Vehicle Storage, Covered</t>
  </si>
  <si>
    <t>‌$90.26</t>
  </si>
  <si>
    <t>‌$0.89</t>
  </si>
  <si>
    <t>VOHP</t>
  </si>
  <si>
    <t>VEHICLE OPERATIONS PARKING SHED</t>
  </si>
  <si>
    <t>VEH OPS PKNG SHED</t>
  </si>
  <si>
    <t>Also see: CATCode 145921 OVERHEAD PROTECTION.</t>
  </si>
  <si>
    <t>VOPS</t>
  </si>
  <si>
    <t>REFUELING VEHICLE HARDENED SHELTERS</t>
  </si>
  <si>
    <t>VEH REEL HDN SHLTR</t>
  </si>
  <si>
    <t>RVHS</t>
  </si>
  <si>
    <t>SHOP, REFUELING VEHICLE</t>
  </si>
  <si>
    <t>SHP, REFL VEH</t>
  </si>
  <si>
    <t>REFV</t>
  </si>
  <si>
    <t>TRANSPORTER/ERECTOR TEST FACILITY</t>
  </si>
  <si>
    <t>T/ERCTR TST FCLTY</t>
  </si>
  <si>
    <t>Launch Vehicle Test Facility</t>
  </si>
  <si>
    <t>‌$20632469.53</t>
  </si>
  <si>
    <t>‌$7105.80</t>
  </si>
  <si>
    <t>TPER</t>
  </si>
  <si>
    <t>SHOP, WEAPONS AND RELEASE SYSTEMS</t>
  </si>
  <si>
    <t>SHP, WPN &amp; RLSE SYS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</si>
  <si>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</si>
  <si>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Weapon Maintenance Shop</t>
  </si>
  <si>
    <t>‌$3.23</t>
  </si>
  <si>
    <t>WRS</t>
  </si>
  <si>
    <t>SHOP, AIRCRAFT WEAPONS OVERHAUL DEPOT</t>
  </si>
  <si>
    <t>SHP, A/WPN/O/DEP</t>
  </si>
  <si>
    <t>This facility provides space for depot overhaul of aircraft weapons system and equipment that includes but not limited to: guns, bomb racks, weapons pylons ejection racks, etc. Space is provided for storage, tools, restrooms and other valid support functions.</t>
  </si>
  <si>
    <t>Weapon Maintenance Shop, Depot</t>
  </si>
  <si>
    <t>‌$211.84</t>
  </si>
  <si>
    <t>SPAW</t>
  </si>
  <si>
    <t>SHOP, ORDNANCE EQUIPMENT, DEPOT</t>
  </si>
  <si>
    <t>SHP, ORD EQUIP/D</t>
  </si>
  <si>
    <t>ORED</t>
  </si>
  <si>
    <t>SHOP, CARTRIDGE OVERHAUL DEPOT</t>
  </si>
  <si>
    <t>SHP, CTRGE/O/DEP</t>
  </si>
  <si>
    <t>CTOD</t>
  </si>
  <si>
    <t>SHOP, SURVEILLANCE AND INSPECTION</t>
  </si>
  <si>
    <t>SHP, SRVLL INSP</t>
  </si>
  <si>
    <t>Special Weapon Maintenance Shop</t>
  </si>
  <si>
    <t>‌$3.57</t>
  </si>
  <si>
    <t>SUIN</t>
  </si>
  <si>
    <t>SHOP, CONVENTIONAL MUNITIONS</t>
  </si>
  <si>
    <t>SHP CONVL MUN</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</si>
  <si>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t>
  </si>
  <si>
    <t>Ammunition Maintenance Shop, Depot</t>
  </si>
  <si>
    <t>‌$220.39</t>
  </si>
  <si>
    <t>‌$5.42</t>
  </si>
  <si>
    <t>COMU</t>
  </si>
  <si>
    <t>21610,21612, 21620, 21622, 21630, 21640, 21642, 21650</t>
  </si>
  <si>
    <t>21610, 21620, 21630</t>
  </si>
  <si>
    <t>COLLIMATION TOWER</t>
  </si>
  <si>
    <t>Electronic and Communication Maintenance Facility</t>
  </si>
  <si>
    <t>SHOP, AVIONICS</t>
  </si>
  <si>
    <t>SHP AVIONICS</t>
  </si>
  <si>
    <t>Electronic and Communication Maintenance Shop</t>
  </si>
  <si>
    <t>‌$167.02</t>
  </si>
  <si>
    <t>AVIO</t>
  </si>
  <si>
    <t>ECM POD SHOP AND STORAGE</t>
  </si>
  <si>
    <t>ECM POD SHP &amp; STOR</t>
  </si>
  <si>
    <t>ECM</t>
  </si>
  <si>
    <t>SHOP, ICBM/TACTICAL AIR CONTR COMMUNICATIONS ELECTRONICS</t>
  </si>
  <si>
    <t>SHP, ICBM/TAC C-E</t>
  </si>
  <si>
    <t>ICBM</t>
  </si>
  <si>
    <t>SHOP, ELECTRICAL OVERHAUL AND TEST DEPOT</t>
  </si>
  <si>
    <t>SHP, ELCT O&amp;T/D</t>
  </si>
  <si>
    <t>Electronic and Communication Maintenance Shop, Depot</t>
  </si>
  <si>
    <t>‌$3.33</t>
  </si>
  <si>
    <t>ELOH</t>
  </si>
  <si>
    <t>RADOME OVERHAUL &amp; TEST DEPOT</t>
  </si>
  <si>
    <t>SHP, RADOM O&amp;T/D</t>
  </si>
  <si>
    <t>RAOH</t>
  </si>
  <si>
    <t>AIR FORCE COMMUNICATIONS SERVICE MAINTENANCE FACILITY</t>
  </si>
  <si>
    <t>AFCS MAINT FCLTY</t>
  </si>
  <si>
    <t>CMSM</t>
  </si>
  <si>
    <t>21710, 21777</t>
  </si>
  <si>
    <t>SHOP, METEOROLOGICAL EQUIPMENT</t>
  </si>
  <si>
    <t>SHP MET EQUIP</t>
  </si>
  <si>
    <t>MEEQ</t>
  </si>
  <si>
    <t>SHOP, NAVIGATIONAL AIDS</t>
  </si>
  <si>
    <t>SHP NAVAID</t>
  </si>
  <si>
    <t>NAVA</t>
  </si>
  <si>
    <t>SHOP, RANGE WARNING SYSTEM COMMUNICATIONS-ELECTRONICS</t>
  </si>
  <si>
    <t>SHP, RG/WNG SYS CE</t>
  </si>
  <si>
    <t>RGWS</t>
  </si>
  <si>
    <t>GENERAL ITEM REPAIR SHOP, DOL/DPW/IMMA/IMMD</t>
  </si>
  <si>
    <t>GEN ITM REP DOL</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</si>
  <si>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 (CATCode 218123).</t>
  </si>
  <si>
    <t>Installation Support Vehicle Maintenance Shop</t>
  </si>
  <si>
    <t>‌$4.43</t>
  </si>
  <si>
    <t>GIRS</t>
  </si>
  <si>
    <t>MAINTENANCE SHOP, GENERAL PURPOSE</t>
  </si>
  <si>
    <t>MNT GEN PURPOSE</t>
  </si>
  <si>
    <t>GPMS</t>
  </si>
  <si>
    <t>INSTALLATION SPT EQUIPMENT MAINTENANCE SHOP</t>
  </si>
  <si>
    <t>INSTL SPT EQP MAINT SHOP</t>
  </si>
  <si>
    <t>Installation Support Equipment Maintenance Shop</t>
  </si>
  <si>
    <t>‌$4.26</t>
  </si>
  <si>
    <t>ISEM</t>
  </si>
  <si>
    <t>GROUND SUPPORT EQUIPMENT HOLDING SHED</t>
  </si>
  <si>
    <t>AIRCRAFT SUPPORT EQUIPMENT SHOP/STORAGE FACILITY</t>
  </si>
  <si>
    <t>SHP A/SE STOR FCLT</t>
  </si>
  <si>
    <t>ASES</t>
  </si>
  <si>
    <t>SHOP, FURNITURE REPAIR OVERSEAS</t>
  </si>
  <si>
    <t>SHP,FUR RPR O/S</t>
  </si>
  <si>
    <t>Facility Engineer Maintenance Shop</t>
  </si>
  <si>
    <t>‌$134.93</t>
  </si>
  <si>
    <t>‌$5.30</t>
  </si>
  <si>
    <t>FROS</t>
  </si>
  <si>
    <t>SHOP AND SHELTER FOR LOCOMOTIVES</t>
  </si>
  <si>
    <t>SHP SHLTR LCMTV</t>
  </si>
  <si>
    <t>Railroad Equipment Shop</t>
  </si>
  <si>
    <t>‌$3.84</t>
  </si>
  <si>
    <t>LOCO</t>
  </si>
  <si>
    <t>SHOP, SURVIVAL EQUIPMENT</t>
  </si>
  <si>
    <t>SHP SURV EQUIP</t>
  </si>
  <si>
    <t>Facility designed for maintenance, repair and storage of parachutes, life rafts, etc. Functional space areas include parachute inspection and packing, parachute washing and drying tower, sewing room for parachutes.</t>
  </si>
  <si>
    <t>SURV</t>
  </si>
  <si>
    <t>PRECISION MEASUREMENT EQUIPMENT LAB</t>
  </si>
  <si>
    <t>LAB, PME</t>
  </si>
  <si>
    <t>PMEL</t>
  </si>
  <si>
    <t>BASE ENGINEER HORIZONTAL CONSTRUCTION FACILITY</t>
  </si>
  <si>
    <t>BE PAV GRND FCLTY</t>
  </si>
  <si>
    <t>CEPG</t>
  </si>
  <si>
    <t>BASE ENGINEER MAINTENANCE SHOP</t>
  </si>
  <si>
    <t>BE MAINT SHOP</t>
  </si>
  <si>
    <t>This category code is used to identify space utilized for structural repair, metal fabrication, electrical system maintenance, plumbing shops, and maintenance of heat and air systems plus any other shops space which cannot be categorized by any other category code.</t>
  </si>
  <si>
    <t>CEMS</t>
  </si>
  <si>
    <t>21910, 21925, 21930, 21977</t>
  </si>
  <si>
    <t>BASE ENGINEER HOSPITAL MAINTENANCE SHOP</t>
  </si>
  <si>
    <t>BE HOSP MAINT SHP</t>
  </si>
  <si>
    <t>CEHM</t>
  </si>
  <si>
    <t>BASE ENGINEER COVERED STORAGE FACILITY</t>
  </si>
  <si>
    <t>BE STOR CV FCTLY</t>
  </si>
  <si>
    <t>Covered Storage Building, Installation</t>
  </si>
  <si>
    <t>‌$149.00</t>
  </si>
  <si>
    <t>‌$2.77</t>
  </si>
  <si>
    <t>CECS</t>
  </si>
  <si>
    <t>BASE ENGINEER STORAGE SHED</t>
  </si>
  <si>
    <t>BE STOR SHED</t>
  </si>
  <si>
    <t>Example: To store sand and/or salt for winter roads or snow plows.</t>
  </si>
  <si>
    <t>CESS</t>
  </si>
  <si>
    <t>PRODUCTION AIRCRAFT</t>
  </si>
  <si>
    <t>PROD, ACFT</t>
  </si>
  <si>
    <t>Aircraft Production Plant</t>
  </si>
  <si>
    <t>‌$201.59</t>
  </si>
  <si>
    <t>‌$2.33</t>
  </si>
  <si>
    <t>PAIR</t>
  </si>
  <si>
    <t>22120, 22130</t>
  </si>
  <si>
    <t>PRODUCTION ENGINES</t>
  </si>
  <si>
    <t>PROD, ACFT ENG</t>
  </si>
  <si>
    <t>PENG</t>
  </si>
  <si>
    <t>PRODUCTION MISSILES</t>
  </si>
  <si>
    <t>PROD, GM</t>
  </si>
  <si>
    <t>Missile Production Plant</t>
  </si>
  <si>
    <t>‌$210.12</t>
  </si>
  <si>
    <t>‌$3.10</t>
  </si>
  <si>
    <t>PMIS</t>
  </si>
  <si>
    <t>PRODUCTION ARMAMENT EXPLOSIVES</t>
  </si>
  <si>
    <t>PROD, AMMO EX/TX</t>
  </si>
  <si>
    <t>Ammunition Production Plant</t>
  </si>
  <si>
    <t>‌$222.75</t>
  </si>
  <si>
    <t>‌$5.44</t>
  </si>
  <si>
    <t>PDAE</t>
  </si>
  <si>
    <t>PRODUCTION ELECTRONICS AND COMMUNICATION EQUIPMENT</t>
  </si>
  <si>
    <t>PROD, ELCT COMM</t>
  </si>
  <si>
    <t>Electronic and Communication Production Plant</t>
  </si>
  <si>
    <t>‌$97.74</t>
  </si>
  <si>
    <t>‌$2.23</t>
  </si>
  <si>
    <t>PECE</t>
  </si>
  <si>
    <t>PRODUCTION SPACE SYSTEMS</t>
  </si>
  <si>
    <t>PROD, NAV/GUID SYS</t>
  </si>
  <si>
    <t>PSS</t>
  </si>
  <si>
    <t>PRODUCTION MISCELLANEOUS ITEMS AND EQUIPMENT</t>
  </si>
  <si>
    <t>PROD, MISC PROC</t>
  </si>
  <si>
    <t>Miscellaneous Support Production Plant</t>
  </si>
  <si>
    <t>‌$166.98</t>
  </si>
  <si>
    <t>‌$4.14</t>
  </si>
  <si>
    <t>PMIE</t>
  </si>
  <si>
    <t>ASPHALT PLANT</t>
  </si>
  <si>
    <t>ASPHALT PLT</t>
  </si>
  <si>
    <t>This facility is normally the property of the Base Civil Engineer.</t>
  </si>
  <si>
    <t>Construction Material Production Plant</t>
  </si>
  <si>
    <t>‌$1995881.69</t>
  </si>
  <si>
    <t>‌$33775.08</t>
  </si>
  <si>
    <t>ASPH</t>
  </si>
  <si>
    <t>CONCRETE PLANT</t>
  </si>
  <si>
    <t>CONCRETE PLT</t>
  </si>
  <si>
    <t>CONC</t>
  </si>
  <si>
    <t>OXYGEN GENERATING PLANT</t>
  </si>
  <si>
    <t>OXYGEN GEN PLT</t>
  </si>
  <si>
    <t>Also see: CATCode 442258 LIQUID OXYGEN STORAGE</t>
  </si>
  <si>
    <t>Installation Gas Production Plant</t>
  </si>
  <si>
    <t>‌$296350.86</t>
  </si>
  <si>
    <t>‌$23756.96</t>
  </si>
  <si>
    <t>OXYG</t>
  </si>
  <si>
    <t>ROCK CRUSHER PLANT</t>
  </si>
  <si>
    <t>ROCK CRSHR PLT</t>
  </si>
  <si>
    <t>ROCK</t>
  </si>
  <si>
    <t>WILDLIFE OBSERVATION BUILDING</t>
  </si>
  <si>
    <t>RDT&amp;E Laboratory</t>
  </si>
  <si>
    <t>PHYSICS, SCIENCE LABORATORIES</t>
  </si>
  <si>
    <t>SC LAB PHYSICS</t>
  </si>
  <si>
    <t>‌$326.80</t>
  </si>
  <si>
    <t>‌$6.64</t>
  </si>
  <si>
    <t>PSLB</t>
  </si>
  <si>
    <t>SONIC, SCIENCE LABORATORIES</t>
  </si>
  <si>
    <t>SC LAB SONIC</t>
  </si>
  <si>
    <t>SSLB</t>
  </si>
  <si>
    <t>ASTROPHYSICS SCIENCE LABORATORIES</t>
  </si>
  <si>
    <t>SC LAB ASTROPHY</t>
  </si>
  <si>
    <t>APSL</t>
  </si>
  <si>
    <t>PERSONNEL RESEARCH, SCIENCE LABORATORIES</t>
  </si>
  <si>
    <t>SC LAB PERS RSCH</t>
  </si>
  <si>
    <t>PRSL</t>
  </si>
  <si>
    <t>CHEMISTRY SCIENCE LABORATORIES</t>
  </si>
  <si>
    <t>SC LAB CML</t>
  </si>
  <si>
    <t>CSLB</t>
  </si>
  <si>
    <t>GROUND ELECTRONICS SCIENCE LABORATORIES</t>
  </si>
  <si>
    <t>SC LAB GRD ELECT</t>
  </si>
  <si>
    <t>GESL</t>
  </si>
  <si>
    <t>NUCLEONICS, SCIENCE LABORATORIES</t>
  </si>
  <si>
    <t>SC LAB NUCLEON</t>
  </si>
  <si>
    <t>NSLB</t>
  </si>
  <si>
    <t>GEOPHYSICS SCIENCE LABORATORIES</t>
  </si>
  <si>
    <t>SC LAB GEOPHY</t>
  </si>
  <si>
    <t>GPSL</t>
  </si>
  <si>
    <t>MEDICAL, SCIENCE LABORATORIES</t>
  </si>
  <si>
    <t>SC LAB MED</t>
  </si>
  <si>
    <t>Medical Research Laboratory</t>
  </si>
  <si>
    <t>‌$426.47</t>
  </si>
  <si>
    <t>‌$9.78</t>
  </si>
  <si>
    <t>MSLB</t>
  </si>
  <si>
    <t>HUMAN ENGINEERING SCIENCE LABORATORIES</t>
  </si>
  <si>
    <t>SC LAB H/ENGRG</t>
  </si>
  <si>
    <t>HESL</t>
  </si>
  <si>
    <t>SOLAR SCIENCE LABORATORIES</t>
  </si>
  <si>
    <t>SC LAB SOLAR</t>
  </si>
  <si>
    <t>SRSL</t>
  </si>
  <si>
    <t>RADIATION, SCIENCE LABORATORIES</t>
  </si>
  <si>
    <t>SC LAB RADIAT</t>
  </si>
  <si>
    <t>RSLB</t>
  </si>
  <si>
    <t>AEROSPACE ENVIRONMENT SCIENCE LABORATORY</t>
  </si>
  <si>
    <t>SC LAB A/ENVRMT</t>
  </si>
  <si>
    <t>AOES</t>
  </si>
  <si>
    <t>DYNAMICS ENVIRONMENT SCIENCE LABORATORIES</t>
  </si>
  <si>
    <t>SC LAB DY-ENVRMTL</t>
  </si>
  <si>
    <t>DESL</t>
  </si>
  <si>
    <t>METEOROLOGY, SCIENCE LABORATORIES</t>
  </si>
  <si>
    <t>SC LAB MET</t>
  </si>
  <si>
    <t>MYSL</t>
  </si>
  <si>
    <t>CIVIL ENGINEERING SCIENCE LABORATORIES</t>
  </si>
  <si>
    <t>SC LAB CIVIL ENGRG</t>
  </si>
  <si>
    <t>CESL</t>
  </si>
  <si>
    <t>BIOLOGICAL SCIENCE LABORATORIES</t>
  </si>
  <si>
    <t>SC LAB BIOLOG</t>
  </si>
  <si>
    <t>BSLB</t>
  </si>
  <si>
    <t>LASER, SCIENCE LABORATORIES</t>
  </si>
  <si>
    <t>SC LAB LASER</t>
  </si>
  <si>
    <t>LSLB</t>
  </si>
  <si>
    <t>AVIONICS, SCIENCE LABORATORIES</t>
  </si>
  <si>
    <t>SC LAB AVIONICS</t>
  </si>
  <si>
    <t>AVSL</t>
  </si>
  <si>
    <t>MATERIALS, SCEINCE LABORATORIES</t>
  </si>
  <si>
    <t>SC LAB MATERIALS</t>
  </si>
  <si>
    <t>MSL</t>
  </si>
  <si>
    <t>31015, 31023</t>
  </si>
  <si>
    <t>NUCLEAR ENGINEERING TEST BUILDING</t>
  </si>
  <si>
    <t>NUC ENGRG TST BLDG</t>
  </si>
  <si>
    <t>NEGT</t>
  </si>
  <si>
    <t>AIRCRAFT DYNAMIC RESEARCH ENGINEERING</t>
  </si>
  <si>
    <t>ACFT DY RSCH ENG</t>
  </si>
  <si>
    <t>‌$299.14</t>
  </si>
  <si>
    <t>‌$6.79</t>
  </si>
  <si>
    <t>ADRE</t>
  </si>
  <si>
    <t>AIRCRAFT DYNAMIC RESEARCH TEST</t>
  </si>
  <si>
    <t>ACFT DY RSH TEST</t>
  </si>
  <si>
    <t>ADRT</t>
  </si>
  <si>
    <t>AIRCRAFT RESEARCH LABORATORY</t>
  </si>
  <si>
    <t>ACFT RSCH LAB</t>
  </si>
  <si>
    <t>ARLB</t>
  </si>
  <si>
    <t>AIRCRAFT RESEARCH ENGINEERING</t>
  </si>
  <si>
    <t>ACFT RSCH ENG</t>
  </si>
  <si>
    <t>ARE</t>
  </si>
  <si>
    <t>AIRCRAFT RESEARCH AND TESTING</t>
  </si>
  <si>
    <t>ACFT RSCH TEST</t>
  </si>
  <si>
    <t>ARAT</t>
  </si>
  <si>
    <t>MISSILE AND SPACE RESEARCH LABORATORIES</t>
  </si>
  <si>
    <t>MSL/SPACE RSCH LAB</t>
  </si>
  <si>
    <t>Missile and Space RDT&amp;E Facility</t>
  </si>
  <si>
    <t>‌$296.10</t>
  </si>
  <si>
    <t>‌$7.03</t>
  </si>
  <si>
    <t>MISL</t>
  </si>
  <si>
    <t>31210, 31220</t>
  </si>
  <si>
    <t>MISSILE AND SPACE RESEARCH ENGINEERING</t>
  </si>
  <si>
    <t>MSL/SPACE RSCH ENG</t>
  </si>
  <si>
    <t>MSRE</t>
  </si>
  <si>
    <t>31210, 31220, 31225, 31230</t>
  </si>
  <si>
    <t>MISSILE AND SPACE RESEARCH TESTING</t>
  </si>
  <si>
    <t>MSL/SPACE RSC ENG</t>
  </si>
  <si>
    <t>MSRT</t>
  </si>
  <si>
    <t>SATELLITE CONTR STATION</t>
  </si>
  <si>
    <t>SATEL CON STATION</t>
  </si>
  <si>
    <t>SCST</t>
  </si>
  <si>
    <t>ARMAMENT RESEARCH BALLISTIC LABORATORY</t>
  </si>
  <si>
    <t>ARMT R-L BALLIS</t>
  </si>
  <si>
    <t>Weapons RDT&amp;E Facility</t>
  </si>
  <si>
    <t>‌$351.61</t>
  </si>
  <si>
    <t>‌$7.74</t>
  </si>
  <si>
    <t>ARBL</t>
  </si>
  <si>
    <t>ARMAMENT RESEARCH ENGINEERING</t>
  </si>
  <si>
    <t>ARMT RSCH ENG</t>
  </si>
  <si>
    <t>AREN</t>
  </si>
  <si>
    <t>ARMAMENT RESEARCH TESTING</t>
  </si>
  <si>
    <t>ARMT RSCH TEST</t>
  </si>
  <si>
    <t>ARTT</t>
  </si>
  <si>
    <t>WEAPONS GUIDANCE LABORATORY</t>
  </si>
  <si>
    <t>LAB WPN GDNC</t>
  </si>
  <si>
    <t>WGLB</t>
  </si>
  <si>
    <t>AMMUNITION, EXPLOSIVES, AND TOXICS LABORATORY</t>
  </si>
  <si>
    <t>AMMO EXP &amp; TOX LAB</t>
  </si>
  <si>
    <t>Ammunition, Explosive, and Toxic RDT&amp;E Facility</t>
  </si>
  <si>
    <t>‌$377.01</t>
  </si>
  <si>
    <t>‌$9.08</t>
  </si>
  <si>
    <t>AETL</t>
  </si>
  <si>
    <t>ELECTRONIC RESEARCH LABORATORY</t>
  </si>
  <si>
    <t>ELEC RSCH LAB</t>
  </si>
  <si>
    <t>Electronic and Communication RDT&amp;E Facility</t>
  </si>
  <si>
    <t>‌$134.02</t>
  </si>
  <si>
    <t>‌$7.08</t>
  </si>
  <si>
    <t>ERLB</t>
  </si>
  <si>
    <t>31710, 31720, 31725</t>
  </si>
  <si>
    <t>ELECTRONIC RESEARCH AND ENGINEERING</t>
  </si>
  <si>
    <t>ELEC RSCH ENG</t>
  </si>
  <si>
    <t>EREL</t>
  </si>
  <si>
    <t>ELECTRONIC RESEARCH AND TESTING</t>
  </si>
  <si>
    <t>ELEC RSCH TST</t>
  </si>
  <si>
    <t>ERTL</t>
  </si>
  <si>
    <t>AVIONICS RESEARCH LABORATORY</t>
  </si>
  <si>
    <t>AVIONICS RSCH LAB</t>
  </si>
  <si>
    <t>AVRL</t>
  </si>
  <si>
    <t>PROPULSION RESEARCH LAB-AIR BREATHING</t>
  </si>
  <si>
    <t>PRPLN R-L A/BRETG</t>
  </si>
  <si>
    <t>Propulsion RDT&amp;E Facility</t>
  </si>
  <si>
    <t>‌$339.22</t>
  </si>
  <si>
    <t>‌$9.77</t>
  </si>
  <si>
    <t>PRLA</t>
  </si>
  <si>
    <t>PROPULSION RESEARCH LAB, NON AIR BREATHING</t>
  </si>
  <si>
    <t>PRPLN R-L NA/BRETG</t>
  </si>
  <si>
    <t>PRLN</t>
  </si>
  <si>
    <t>PROPULSION RESEARCH LAB, ELECTRIC</t>
  </si>
  <si>
    <t>PRPLN R-L ELEC</t>
  </si>
  <si>
    <t>PRLE</t>
  </si>
  <si>
    <t>PROPULSION RESEARCH LAB, FUEL AND LUBRICANTS</t>
  </si>
  <si>
    <t>PRPLN R-L FUEL/LUB</t>
  </si>
  <si>
    <t>PRLL</t>
  </si>
  <si>
    <t>RDT&amp;E STORAGE</t>
  </si>
  <si>
    <t>STOR, RDTE</t>
  </si>
  <si>
    <t>Miscellaneous Item and Equipment RDT&amp;E Facility</t>
  </si>
  <si>
    <t>‌$163.16</t>
  </si>
  <si>
    <t>‌$7.21</t>
  </si>
  <si>
    <t>EQUIPMENT RESEARCH LABORATORY</t>
  </si>
  <si>
    <t>EQUIP RSCH LAB</t>
  </si>
  <si>
    <t>EQRL</t>
  </si>
  <si>
    <t>EQUIPMENT RESEARCH ENGINEERING</t>
  </si>
  <si>
    <t>EQUIP RSCH ENG</t>
  </si>
  <si>
    <t>EQRE</t>
  </si>
  <si>
    <t>EQUIPMENT RESEARCH TESTING</t>
  </si>
  <si>
    <t>EQUIP RSCH TEST</t>
  </si>
  <si>
    <t>EQRT</t>
  </si>
  <si>
    <t>MATERIAL RESEARCH TEST LABORATORY</t>
  </si>
  <si>
    <t>MAT RSCH TEST LAB</t>
  </si>
  <si>
    <t>MRTL</t>
  </si>
  <si>
    <t>TEST TRACK BUILDING</t>
  </si>
  <si>
    <t>TST TRACK BLDG</t>
  </si>
  <si>
    <t>AFMC is the primary user.</t>
  </si>
  <si>
    <t>TTBL</t>
  </si>
  <si>
    <t>RESEARCH EQUIPMENT STORAGE</t>
  </si>
  <si>
    <t>RSCH EQUIP STOR</t>
  </si>
  <si>
    <t>Controlled Humidity Storage, Depot</t>
  </si>
  <si>
    <t>‌$112.42</t>
  </si>
  <si>
    <t>‌$2.25</t>
  </si>
  <si>
    <t>REST</t>
  </si>
  <si>
    <t>PROTOTYPE MODEL CONSTRUCTION AND ASSEMBLY</t>
  </si>
  <si>
    <t>PROTO MDL CONST&amp;A</t>
  </si>
  <si>
    <t>RDT&amp;E Technical Service Facility</t>
  </si>
  <si>
    <t>‌$5.89</t>
  </si>
  <si>
    <t>PMCA</t>
  </si>
  <si>
    <t>MISSILE INSTRUMENTATION STATION</t>
  </si>
  <si>
    <t>MSL INSTM STN</t>
  </si>
  <si>
    <t>RDT&amp;E Range Facility</t>
  </si>
  <si>
    <t>‌$726702.07</t>
  </si>
  <si>
    <t>‌$5586.03</t>
  </si>
  <si>
    <t>MIS</t>
  </si>
  <si>
    <t>MISSILE RADAR STATION</t>
  </si>
  <si>
    <t>MSL RDR STN</t>
  </si>
  <si>
    <t>MRS</t>
  </si>
  <si>
    <t>MISSILE THEODOLITE STATION</t>
  </si>
  <si>
    <t>MSL THODLIST STN</t>
  </si>
  <si>
    <t>Facility or group of related facilities designed for optical tracking and recording of launched missile systems.</t>
  </si>
  <si>
    <t>MTS</t>
  </si>
  <si>
    <t>MISSILE COMMUNICATIONS STATION</t>
  </si>
  <si>
    <t>MSL COMM STN</t>
  </si>
  <si>
    <t>Facility or group of related facilities designed for two way voice or telemetry communications and recording of operational missile or satellite systems.</t>
  </si>
  <si>
    <t>MCS</t>
  </si>
  <si>
    <t>TEST RANGE COMPLEX</t>
  </si>
  <si>
    <t>TST RP COMPLX</t>
  </si>
  <si>
    <t>Various facilities devoted to the assembly and testing of missile systems. Included in the complex are missile launch platforms, various types of communication equipment, cameras, microwave relay station and camera sites.</t>
  </si>
  <si>
    <t>RDT&amp;E Range Complex</t>
  </si>
  <si>
    <t>‌$1392401.09</t>
  </si>
  <si>
    <t>‌$32089.92</t>
  </si>
  <si>
    <t>TRCX</t>
  </si>
  <si>
    <t>AERODYNAMICS WIND TUNNEL, SUBSONIC</t>
  </si>
  <si>
    <t>ADYN W-T SUBSON</t>
  </si>
  <si>
    <t>Miscellaneous RDT&amp;E Facility</t>
  </si>
  <si>
    <t>‌$1639.79</t>
  </si>
  <si>
    <t>AWTS</t>
  </si>
  <si>
    <t>AERODYNAMICS WIND TUNNEL, SUPERSONIC</t>
  </si>
  <si>
    <t>ADYN W-T SUPSON</t>
  </si>
  <si>
    <t>Aerodynamic wind tunnel</t>
  </si>
  <si>
    <t>‌$802554073.79</t>
  </si>
  <si>
    <t>‌$994138.95</t>
  </si>
  <si>
    <t>AWTP</t>
  </si>
  <si>
    <t>AERODYNAMICS WIND TUNNEL, TRANSONIC</t>
  </si>
  <si>
    <t>ADYN W-T TRNSON</t>
  </si>
  <si>
    <t>AWTT</t>
  </si>
  <si>
    <t>AERODYNAMICS WIND TUNNEL, HYPERSONIC</t>
  </si>
  <si>
    <t>ADYN W-T HYPSON</t>
  </si>
  <si>
    <t>AWTH</t>
  </si>
  <si>
    <t>GAS DYNAMICS WIND TUNNEL, SUPERSONIC</t>
  </si>
  <si>
    <t>GDYN W-T SUPSON</t>
  </si>
  <si>
    <t>GDWT</t>
  </si>
  <si>
    <t>AIRCRAFT RESEARCH TESTING</t>
  </si>
  <si>
    <t>A/RSCH TST</t>
  </si>
  <si>
    <t>ATRT</t>
  </si>
  <si>
    <t>RESEARCH DEVELOPMENT TEST AND EVALUATION RANGE</t>
  </si>
  <si>
    <t>RDT&amp;E RANGE</t>
  </si>
  <si>
    <t>RDT&amp;E Area</t>
  </si>
  <si>
    <t>RDTE</t>
  </si>
  <si>
    <t>ARMAMENT RESEARCH TESTING, STRUCTURAL</t>
  </si>
  <si>
    <t>ARMT RSCH TST STRU</t>
  </si>
  <si>
    <t>ARTS</t>
  </si>
  <si>
    <t>ELECTRONIC RESEARCH RADAR</t>
  </si>
  <si>
    <t>ELCT RSCH RDR</t>
  </si>
  <si>
    <t>ERR</t>
  </si>
  <si>
    <t>ELECTRONIC RESEARCH NAVAID</t>
  </si>
  <si>
    <t>ELCT RSCH NAVAID</t>
  </si>
  <si>
    <t>ERN</t>
  </si>
  <si>
    <t>MISSILE LAUNCH TEST FACILITY</t>
  </si>
  <si>
    <t>MSL LCH TST FCLTY</t>
  </si>
  <si>
    <t>Facility or group of facilities where research, development and launching of drones is accomplished.</t>
  </si>
  <si>
    <t>MLTF</t>
  </si>
  <si>
    <t>MISSILE LANDING TEST FACILITY</t>
  </si>
  <si>
    <t>MSL LDG TST FCLTY</t>
  </si>
  <si>
    <t>MLT</t>
  </si>
  <si>
    <t>MISSILE STORAGE, FUEL</t>
  </si>
  <si>
    <t>MSL STOR FL</t>
  </si>
  <si>
    <t>MSF</t>
  </si>
  <si>
    <t>PROPULSION ENGINE TESTING, FUEL SYSTEMS</t>
  </si>
  <si>
    <t>PRPLN ENG T/FL SYS</t>
  </si>
  <si>
    <t>PETF</t>
  </si>
  <si>
    <t>PROPULSION ENGINE TEST STAND</t>
  </si>
  <si>
    <t>PRPLN ENG T/STD</t>
  </si>
  <si>
    <t>PETS</t>
  </si>
  <si>
    <t>PROPULSION ENGINE TEST CELL</t>
  </si>
  <si>
    <t>PRPLN ENG T/C</t>
  </si>
  <si>
    <t>Propulsion engine test cell</t>
  </si>
  <si>
    <t>‌$10274196.53</t>
  </si>
  <si>
    <t>‌$51735.97</t>
  </si>
  <si>
    <t>PETC</t>
  </si>
  <si>
    <t>TEST TRACK</t>
  </si>
  <si>
    <t>TST TRACK</t>
  </si>
  <si>
    <t>TR</t>
  </si>
  <si>
    <t>RESEARCH COMMUNICATION STATION COMPLEX</t>
  </si>
  <si>
    <t>RSCH COM STN COMPX</t>
  </si>
  <si>
    <t>RCSC</t>
  </si>
  <si>
    <t>DEMINERALIZED WATER STORAGE</t>
  </si>
  <si>
    <t>STOR, DELM WTR</t>
  </si>
  <si>
    <t>Facility designed for the storage and dispensing of demineralized water for aircraft that require water injection as fuel augmentation for increased thrust. (BL x 42 = GA)</t>
  </si>
  <si>
    <t>BL = 42 gallons</t>
  </si>
  <si>
    <t>Small Bulk Storage</t>
  </si>
  <si>
    <t>‌$9.79</t>
  </si>
  <si>
    <t>‌$0.19</t>
  </si>
  <si>
    <t>DWS</t>
  </si>
  <si>
    <t>STORAGE WATER/ALCOHOL</t>
  </si>
  <si>
    <t>STOR, WTR/ALCOHL</t>
  </si>
  <si>
    <t>SWA</t>
  </si>
  <si>
    <t>SPECIAL LIQUIDS STORAGE - ABOVE GROUND</t>
  </si>
  <si>
    <t>STOR AG, SP LIQ</t>
  </si>
  <si>
    <t>Above ground facility designed for the storage and dispensing of special fuels.</t>
  </si>
  <si>
    <t>Bulk Liquid Fuel Storage</t>
  </si>
  <si>
    <t>BL</t>
  </si>
  <si>
    <t>‌$70.96</t>
  </si>
  <si>
    <t>SLS</t>
  </si>
  <si>
    <t>41150, 41151</t>
  </si>
  <si>
    <t>AVIATION GAS STORAGE - ABOVE GROUND</t>
  </si>
  <si>
    <t>STOR AG, AVGAS</t>
  </si>
  <si>
    <t>Above ground bulk fuel tanks designed for the storage and dispensing of aviation gas for conventional aircraft.</t>
  </si>
  <si>
    <t>AGS</t>
  </si>
  <si>
    <t>41120, 41121</t>
  </si>
  <si>
    <t>AVIATION LUBRICANT STORAGE</t>
  </si>
  <si>
    <t>STOR, AVLUBE</t>
  </si>
  <si>
    <t>Above ground bulk fuel tanks designed for the storage and dispensing of aviation lubricating of aviation lubricating oils which are supplied in 55 gallon drums.</t>
  </si>
  <si>
    <t>Bulk Liquid Storage, Other Than Fuel</t>
  </si>
  <si>
    <t>‌$0.06</t>
  </si>
  <si>
    <t>DIESEL FUEL STORAGE - ABOVE GROUND</t>
  </si>
  <si>
    <t>STOR AG, DIESEL</t>
  </si>
  <si>
    <t>Above ground bulk fuel tanks designed for the storage and dispensing of diesel fuel. This facility is usually located at isolated stations when supply levels may be inadequate for mission accomplishment.</t>
  </si>
  <si>
    <t>DFS</t>
  </si>
  <si>
    <t>41130, 41131</t>
  </si>
  <si>
    <t>JET FUEL STORAGE - ABOVE GROUND</t>
  </si>
  <si>
    <t>STOR AG, JET FL</t>
  </si>
  <si>
    <t>Above ground bulk fuel tanks designed for the storage and dispensing of jet fuel.</t>
  </si>
  <si>
    <t>For MONITORING WELLS use CATCode 892921.</t>
  </si>
  <si>
    <t>JFS</t>
  </si>
  <si>
    <t>41121, 41123</t>
  </si>
  <si>
    <t>STORAGE MOGAS - ABOVE GROUND</t>
  </si>
  <si>
    <t>STOR AG, MOGAS</t>
  </si>
  <si>
    <t>Above ground bulk fuel tanks designed for the storage of motor gasoline.</t>
  </si>
  <si>
    <t>STMO</t>
  </si>
  <si>
    <t>41140, 41141</t>
  </si>
  <si>
    <t>STORAGE SOLVENTS - ABOVE GROUND</t>
  </si>
  <si>
    <t>STOR AG, SOLVENTS</t>
  </si>
  <si>
    <t>Above ground bulk fuel tanks designed for the storage of chemical solvents in bulk.</t>
  </si>
  <si>
    <t>SS</t>
  </si>
  <si>
    <t>STORAGE SPECIAL FUELS - ABOVE GROUND</t>
  </si>
  <si>
    <t>STOR AG, SP FL</t>
  </si>
  <si>
    <t>Above ground bulk fuel tanks designed for storage of liquid chemicals in bulk.</t>
  </si>
  <si>
    <t>STSF</t>
  </si>
  <si>
    <t>LARGE BULK LIQUID FUEL STORAGE - ABOVE GROUND</t>
  </si>
  <si>
    <t>STOR LG BK AG, LF</t>
  </si>
  <si>
    <t>Large Bulk Liquid Fuel Storage</t>
  </si>
  <si>
    <t>‌$42.52</t>
  </si>
  <si>
    <t>‌$1.18</t>
  </si>
  <si>
    <t>FSLG</t>
  </si>
  <si>
    <t>CUT-AND-COVER BULK LIQUID FUEL STORAGE</t>
  </si>
  <si>
    <t>Bulk fuel tanks that are typically in the range of 10,000 to 100,000 barrels but are covered with a protective earth cover-layer for partial protection. This FAC includes the containment structures around the storage tanks such as containment berms, liners, and monitoring wells as well as the integral deep well turbine pump.</t>
  </si>
  <si>
    <t>Cut-and-Cover Bulk Liquid Fuel Storage</t>
  </si>
  <si>
    <t>‌$642.34</t>
  </si>
  <si>
    <t>‌$1.60</t>
  </si>
  <si>
    <t>CNCBF</t>
  </si>
  <si>
    <t>41112, 41122, 41132, 41142, 41152</t>
  </si>
  <si>
    <t>SPECIAL LIQUIDS STORAGE - UNDERGROUND</t>
  </si>
  <si>
    <t>STOR UG, SP LIQ</t>
  </si>
  <si>
    <t>​Underground bulk fuel tanks designed for the storage and dispensing of special fuels not in the aircraft, marine, or vehicle categories. Includes heating fuel, lubricants and miscellaneous POLs.</t>
  </si>
  <si>
    <t>SLSU</t>
  </si>
  <si>
    <t>AVIATION GAS STORAGE - UNDERGROUND</t>
  </si>
  <si>
    <t>STOR UG, AVGAS</t>
  </si>
  <si>
    <t>​Underground bulk fuel tanks designed for the storage and dispensing of aviation gas for conventional aircraft.</t>
  </si>
  <si>
    <t>AGSU</t>
  </si>
  <si>
    <t>AVIATION LUBRICANT STORAGE - UNDERGROUND</t>
  </si>
  <si>
    <t>STOR UG, AVLUBE</t>
  </si>
  <si>
    <t>​Underground bulk fuel tanks designed for the storage and dispensing of aviation lubricating oils.</t>
  </si>
  <si>
    <t>ALSU</t>
  </si>
  <si>
    <t>DIESEL FUEL STORAGE - UNDERGROUND</t>
  </si>
  <si>
    <t>STOR UG, DIESEL</t>
  </si>
  <si>
    <t>​Underground bulk fuel tanks designed for the storage and dispensing of diesel fuel. This facility is usually located at isolated stations when supply levels may be inadequate for mission accomplishment.</t>
  </si>
  <si>
    <t>DFSU</t>
  </si>
  <si>
    <t>JET FUEL STORAGE - UNDERGROUND</t>
  </si>
  <si>
    <t>STOR UG, JET FL</t>
  </si>
  <si>
    <t>​Underground bulk fuel tanks designed for the storage and dispensing of jet fuel.</t>
  </si>
  <si>
    <t>JFSU</t>
  </si>
  <si>
    <t>STORAGE MOGAS - UNDERGROUND</t>
  </si>
  <si>
    <t>STOR UG, MOGAS</t>
  </si>
  <si>
    <t>​Underground bulk fuel tanks designed for the storage of motor gasoline.</t>
  </si>
  <si>
    <t>SMU</t>
  </si>
  <si>
    <t>STORAGE SOLVENTS - UNDERGROUND</t>
  </si>
  <si>
    <t>STOR UG, SOLVENTS</t>
  </si>
  <si>
    <t>​Underground bulk fuel tanks designed for the storage of chemical solvents in bulk.</t>
  </si>
  <si>
    <t>SSUG</t>
  </si>
  <si>
    <t>STORAGE SPECIAL FUELS - UNDERGROUND</t>
  </si>
  <si>
    <t>STOR UG, SP FL</t>
  </si>
  <si>
    <t>​Underground bulk fuel tanks designed for storage of liquid chemicals in bulk.</t>
  </si>
  <si>
    <t>SSFU</t>
  </si>
  <si>
    <t>LARGE BULK LIQUID FUEL STORAGE - UNDERGROUND</t>
  </si>
  <si>
    <t>STOR LG BK UG, LF</t>
  </si>
  <si>
    <t>​Underground bulk fuel tanks that are larger than 100,000 barrels in size. This FAC includes the containment structures around the storage tanks such as containment berms, liners, and monitoring wells.</t>
  </si>
  <si>
    <t>LBLFU</t>
  </si>
  <si>
    <t>BALLAST AND SLUDGE STORAGE</t>
  </si>
  <si>
    <t>STOR, BALL</t>
  </si>
  <si>
    <t>​This CATCode is for the storage of ballast and sludge liquids.</t>
  </si>
  <si>
    <t>BSS</t>
  </si>
  <si>
    <t>HIGH EXPLOSIVE MAGAZINE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</si>
  <si>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</si>
  <si>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Depot and Arsenal</t>
  </si>
  <si>
    <t>SMALL ARMS / PYROTECHNIC MAGAZINE</t>
  </si>
  <si>
    <t>MAG, PYRO</t>
  </si>
  <si>
    <t>​A facility used to store Class 1 Division 3 and 4 ammunition; predominantly small arms ammunition and pyrotechnics.</t>
  </si>
  <si>
    <t>SAPM</t>
  </si>
  <si>
    <t>SUBMARINE LAUNCHED BALLISTIC MISSILE STORAGE FACILITY</t>
  </si>
  <si>
    <t>STOR, SUB MIS</t>
  </si>
  <si>
    <t>​This CATCode is primarily for the storage of submarine launched ballistic missiles</t>
  </si>
  <si>
    <t>SLBM</t>
  </si>
  <si>
    <t>STORAGE, MULTI-CUBICLE MAGAZINE</t>
  </si>
  <si>
    <t>STOR, MU-CUB MAG</t>
  </si>
  <si>
    <t>Ammunition Storage, Installation</t>
  </si>
  <si>
    <t>‌$498.85</t>
  </si>
  <si>
    <t>‌$2.71</t>
  </si>
  <si>
    <t>SMCM</t>
  </si>
  <si>
    <t>42210, 42215, 42225, 4231, 42240, 42250, 42260</t>
  </si>
  <si>
    <t>STORAGE, ROCKET CHECKOUT AND ASSEMBLY</t>
  </si>
  <si>
    <t>STOR, RKT CHK ASMB</t>
  </si>
  <si>
    <t>SRCA</t>
  </si>
  <si>
    <t>STORAGE SEGREGATED MAGAZINE</t>
  </si>
  <si>
    <t>STOR, SEG MAG</t>
  </si>
  <si>
    <t>SSM</t>
  </si>
  <si>
    <t>42230, 42231, 42235, 42281, 42283, 42285</t>
  </si>
  <si>
    <t>STORAGE MAGAZINE ABOVE GROUND TYPE A, B, &amp; C</t>
  </si>
  <si>
    <t>STOR, MAG AG AB&amp;C</t>
  </si>
  <si>
    <t>SMAB</t>
  </si>
  <si>
    <t>42210, 42215, 42230, 42231, 42240</t>
  </si>
  <si>
    <t>MISSILE STORAGE FACILITY</t>
  </si>
  <si>
    <t>MSL STG FAC</t>
  </si>
  <si>
    <t>MSG</t>
  </si>
  <si>
    <t>STORAGE IGLOO</t>
  </si>
  <si>
    <t>STOR, IGLOO</t>
  </si>
  <si>
    <t>SI</t>
  </si>
  <si>
    <t>INERT SPARES STORAGE</t>
  </si>
  <si>
    <t>STOR SPARE INERT</t>
  </si>
  <si>
    <t>ISS</t>
  </si>
  <si>
    <t>STORAGE, MODULE BARRICADED</t>
  </si>
  <si>
    <t>STOR MODULE BARCAD</t>
  </si>
  <si>
    <t>SMB</t>
  </si>
  <si>
    <t>STORAGE IGLOO STEEL ARCH UNDERPASS</t>
  </si>
  <si>
    <t>STOR, IGLOO SAU</t>
  </si>
  <si>
    <t>SISA</t>
  </si>
  <si>
    <t>OPEN AMMUNITION STORAGE</t>
  </si>
  <si>
    <t>OPEN AMMO STORAGE</t>
  </si>
  <si>
    <t>‌$37.21</t>
  </si>
  <si>
    <t>OAS</t>
  </si>
  <si>
    <t>COLD STORAGE, BASE</t>
  </si>
  <si>
    <t>COLD STOR BSE</t>
  </si>
  <si>
    <t>Climate controlled space, usually refrigerated.</t>
  </si>
  <si>
    <t>Cold Storage, Installation</t>
  </si>
  <si>
    <t>‌$118.19</t>
  </si>
  <si>
    <t>‌$4.16</t>
  </si>
  <si>
    <t>CSB</t>
  </si>
  <si>
    <t>GENERAL PURPOSE WAREHOUSE</t>
  </si>
  <si>
    <t>WHSE, GP</t>
  </si>
  <si>
    <t>GPW</t>
  </si>
  <si>
    <t>HAZARDOUS STORAGE DEPOT</t>
  </si>
  <si>
    <t>HAZARD STOR, DEP</t>
  </si>
  <si>
    <t>Hazardous Materials Storage, Depot</t>
  </si>
  <si>
    <t>‌$468.45</t>
  </si>
  <si>
    <t>‌$3.34</t>
  </si>
  <si>
    <t>HSD</t>
  </si>
  <si>
    <t>SHED SUPPLIES AND EQUIPMENT DEPOT</t>
  </si>
  <si>
    <t>SHED SUP EQUIP DEP</t>
  </si>
  <si>
    <t>Covered Storage Shed, Depot</t>
  </si>
  <si>
    <t>‌$0.85</t>
  </si>
  <si>
    <t>SSED</t>
  </si>
  <si>
    <t>WAREHOUSE SUPPLIES AND EQUIPMENT DEPOT</t>
  </si>
  <si>
    <t>WHSE SUP EQUIP DEP</t>
  </si>
  <si>
    <t>This category code is restricted to assignment and use by distribution functions at the Air Logistics Centers. Use this code if supplies and equipment are utilized in or produced by the depot function.</t>
  </si>
  <si>
    <t>WSED</t>
  </si>
  <si>
    <t>BASE HAZARDOUS STORAGE</t>
  </si>
  <si>
    <t>HAZARD STOR, BSE</t>
  </si>
  <si>
    <t>This is an LRS facility required to store hazardous materials that cannot be stored in supply and equipment sheds or warehouses. This category 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t>
  </si>
  <si>
    <t>BHS</t>
  </si>
  <si>
    <t>44160, 44228, 44240</t>
  </si>
  <si>
    <t>LIQUID OXYGEN STORAGE</t>
  </si>
  <si>
    <t>STOR LIQ OXYGEN</t>
  </si>
  <si>
    <t>This category code identifies the cryogenics generating and storage facility with a protective fence enclosure, concrete foundation with LOX-compatible sealer in joints, has drive through capability, grounding points and blow-down condensation traps.</t>
  </si>
  <si>
    <t>Also see: CATCode 229986 OXYGEN GENERATING PLANT.</t>
  </si>
  <si>
    <t>LOS</t>
  </si>
  <si>
    <t>CONTROLED HUMIDITY WAREHOUSE</t>
  </si>
  <si>
    <t>CONTR HUM WH IN</t>
  </si>
  <si>
    <t>Controlled Humidity Storage, Installation</t>
  </si>
  <si>
    <t>‌$109.39</t>
  </si>
  <si>
    <t>‌$1.67</t>
  </si>
  <si>
    <t>CHW</t>
  </si>
  <si>
    <t>MED STOR (WRM)</t>
  </si>
  <si>
    <t>Also known as: Medical Warehouse. Also see CATCode 530602 MATERIALS SERVICES (MEDICAL LOGISTICS)</t>
  </si>
  <si>
    <t>Medical Warehouse</t>
  </si>
  <si>
    <t>‌$145.36</t>
  </si>
  <si>
    <t>‌$2.88</t>
  </si>
  <si>
    <t>51077, 53060</t>
  </si>
  <si>
    <t>STORAGE SILO</t>
  </si>
  <si>
    <t>Storage Silo, Loose Material</t>
  </si>
  <si>
    <t>‌$25.28</t>
  </si>
  <si>
    <t>‌$1.01</t>
  </si>
  <si>
    <t>SSI</t>
  </si>
  <si>
    <t>BASE SUPPLY AND EQUIPMENT SHED</t>
  </si>
  <si>
    <t>SHED SUP&amp;EQUIP BSE</t>
  </si>
  <si>
    <t>Normally a 20 foot high, covered facility with walls on three sides and designed for storage of equipment and materials that may be stored in open but covered space.</t>
  </si>
  <si>
    <t>Usually a LRS facility.</t>
  </si>
  <si>
    <t>BSES</t>
  </si>
  <si>
    <t>WAREHOUSE SUPPLY AND EQUIPMENT BASE</t>
  </si>
  <si>
    <t>WHSE SUP&amp;EQUIP BSE</t>
  </si>
  <si>
    <t>Storage and Customer Issue</t>
  </si>
  <si>
    <t>‌$95.58</t>
  </si>
  <si>
    <t>‌$2.19</t>
  </si>
  <si>
    <t>WSEB</t>
  </si>
  <si>
    <t>WAREHOUSE, TROOP SUBSISTENCE</t>
  </si>
  <si>
    <t>WHSE, TROOP SUBSIS</t>
  </si>
  <si>
    <t>WTS</t>
  </si>
  <si>
    <t>WAREHOUSE, FORMS AND PUBLICATIONS, BASE</t>
  </si>
  <si>
    <t>WHSE,FORM&amp;PUB,BSE</t>
  </si>
  <si>
    <t>WFPB</t>
  </si>
  <si>
    <t>HOUSING SUPPLIES AND STORAGE FACILITY</t>
  </si>
  <si>
    <t>HSG SUP-STOR FCLTY</t>
  </si>
  <si>
    <t>HSSF</t>
  </si>
  <si>
    <t>OPEN STORAGE AREA</t>
  </si>
  <si>
    <t>STOR, OPEN</t>
  </si>
  <si>
    <t>​This category group consists of non-covered storage areas, paved or otherwise established, for storage of general supply materials.</t>
  </si>
  <si>
    <t>Open Storage, Installation</t>
  </si>
  <si>
    <t>‌$0.16</t>
  </si>
  <si>
    <t>OPSA</t>
  </si>
  <si>
    <t>OPEN STORAGE, DEPOT</t>
  </si>
  <si>
    <t>OPEN STOR DEP</t>
  </si>
  <si>
    <t>Facility designed for depot storage of materials and equipment not requiring closed storage space. For organizations other than depot, use CATCode 452252.</t>
  </si>
  <si>
    <t>OSD</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</si>
  <si>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</si>
  <si>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CATCDs.</t>
  </si>
  <si>
    <t>Hazardous Waste Storage Or Disposal Facility</t>
  </si>
  <si>
    <t>OPEN STORAGE BASE SUPPLY</t>
  </si>
  <si>
    <t>OPEN STOR,BSE SUP</t>
  </si>
  <si>
    <t>OSBS</t>
  </si>
  <si>
    <t>BASE CIVIL ENGINEER OPEN STORAGE</t>
  </si>
  <si>
    <t>CE STOR OPEN</t>
  </si>
  <si>
    <t>BCEO</t>
  </si>
  <si>
    <t>OPEN STORAGE, AIR FREIGHT/TRAFFIC MANAGEMENT SURFACE FREIGHT</t>
  </si>
  <si>
    <t>OPN STOR F/T MGT</t>
  </si>
  <si>
    <t>This facility supports and normally a joins the air freight and the traffic management facility. It consists of a fenced, paved, and lighted storage yard.</t>
  </si>
  <si>
    <t>OSTM</t>
  </si>
  <si>
    <t>OPEN STORAGE, RESEARCH AND DEVELOPMENT</t>
  </si>
  <si>
    <t>OPEN STOR R-D</t>
  </si>
  <si>
    <t>OSRD</t>
  </si>
  <si>
    <t>COMPOSITE MEDICAL FACILITY</t>
  </si>
  <si>
    <t>COMPOSITE MED</t>
  </si>
  <si>
    <t>Hospital</t>
  </si>
  <si>
    <t>BD</t>
  </si>
  <si>
    <t>‌$564.73</t>
  </si>
  <si>
    <t>‌$7.69</t>
  </si>
  <si>
    <t>CMF</t>
  </si>
  <si>
    <t>51010, 51011</t>
  </si>
  <si>
    <t>MEDICAL COMMAND AND ADMINISTRATION</t>
  </si>
  <si>
    <t>MED COMD + ADMIN</t>
  </si>
  <si>
    <t>MCDA</t>
  </si>
  <si>
    <t>MEDICAL/DENTAL EDUCATION AND TRAINING</t>
  </si>
  <si>
    <t>MED/DENT ED * TNG</t>
  </si>
  <si>
    <t>MDET</t>
  </si>
  <si>
    <t>PATHOLOGY</t>
  </si>
  <si>
    <t>Also known as: Medical Laboratory</t>
  </si>
  <si>
    <t>Medical Laboratory</t>
  </si>
  <si>
    <t>‌$321.60</t>
  </si>
  <si>
    <t>‌$10.27</t>
  </si>
  <si>
    <t>PATH</t>
  </si>
  <si>
    <t>PHARMACY</t>
  </si>
  <si>
    <t>May be a stand-alone facility or part of a hospital or clinic.</t>
  </si>
  <si>
    <t>Dispensary And Clinic</t>
  </si>
  <si>
    <t>‌$311.35</t>
  </si>
  <si>
    <t>‌$9.66</t>
  </si>
  <si>
    <t>PHAR</t>
  </si>
  <si>
    <t>PHYSICAL THERAPY</t>
  </si>
  <si>
    <t>PHYS</t>
  </si>
  <si>
    <t>53010, 55010</t>
  </si>
  <si>
    <t>RADIOLOGY</t>
  </si>
  <si>
    <t>RADI</t>
  </si>
  <si>
    <t>AEROSPACE MEDICINE</t>
  </si>
  <si>
    <t>FLT SURG CLINIC</t>
  </si>
  <si>
    <t>AERO</t>
  </si>
  <si>
    <t>ENVIRONMENTAL HEALTH</t>
  </si>
  <si>
    <t>ENVIRO HEALTH</t>
  </si>
  <si>
    <t>ENVI</t>
  </si>
  <si>
    <t>FOOD SERVICE</t>
  </si>
  <si>
    <t>Dining Support Facility</t>
  </si>
  <si>
    <t>‌$129.08</t>
  </si>
  <si>
    <t>‌$6.88</t>
  </si>
  <si>
    <t>FOOD</t>
  </si>
  <si>
    <t>AMBULANCE SHELTER</t>
  </si>
  <si>
    <t>AMB SHELTER</t>
  </si>
  <si>
    <t>Essentially a garage or covered carport for ambulances.</t>
  </si>
  <si>
    <t>‌$90.69</t>
  </si>
  <si>
    <t>‌$0.84</t>
  </si>
  <si>
    <t>AMBU</t>
  </si>
  <si>
    <t>14310, 53070</t>
  </si>
  <si>
    <t>NURSING SERVICES</t>
  </si>
  <si>
    <t>Usually within a hospital.</t>
  </si>
  <si>
    <t>NURS</t>
  </si>
  <si>
    <t>AEROMEDICAL STAGING FACILITY</t>
  </si>
  <si>
    <t>AEROMED STG FCLTY</t>
  </si>
  <si>
    <t>ASGF</t>
  </si>
  <si>
    <t>OBSTETRICAL SERVICE</t>
  </si>
  <si>
    <t>OBSTETRICAL SVC</t>
  </si>
  <si>
    <t>OBST</t>
  </si>
  <si>
    <t>AIR FORCE CLINIC</t>
  </si>
  <si>
    <t>AF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</si>
  <si>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</si>
  <si>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CLIN</t>
  </si>
  <si>
    <t>SURGICAL SERVICE</t>
  </si>
  <si>
    <t>SURG</t>
  </si>
  <si>
    <t>HOSPITAL CENTRAL STERILIZATION</t>
  </si>
  <si>
    <t>HOSP CEN STERILIZN</t>
  </si>
  <si>
    <t>STER</t>
  </si>
  <si>
    <t>PATIENT WELFARE</t>
  </si>
  <si>
    <t>Medical space used for the convenience of patients while in the hospital to include: red cross, base exchange, chaplain, patient library and lounge.</t>
  </si>
  <si>
    <t>WELF</t>
  </si>
  <si>
    <t>BLOOD PROCESSING LABORATORY</t>
  </si>
  <si>
    <t>BLOOD PROCESS LAB</t>
  </si>
  <si>
    <t>BLOD</t>
  </si>
  <si>
    <t>DRUG ABUSE DETECTION LABORATORY</t>
  </si>
  <si>
    <t>DRUG ABUSE DET LAB</t>
  </si>
  <si>
    <t>DRUG</t>
  </si>
  <si>
    <t>OCCUPATIONAL ENVIRONMENTAL HEALTH LABORATORY</t>
  </si>
  <si>
    <t>AF ENV HEALTH LAB</t>
  </si>
  <si>
    <t>Biosafety Level 3 Laboratory</t>
  </si>
  <si>
    <t>‌$428.56</t>
  </si>
  <si>
    <t>‌$15.32</t>
  </si>
  <si>
    <t>OCCL</t>
  </si>
  <si>
    <t>BIOSAFETY LABORATORY LEVEL 4</t>
  </si>
  <si>
    <t>BIOSAF LAB LEV 4</t>
  </si>
  <si>
    <t>Biosafety Level 4 Laboratory</t>
  </si>
  <si>
    <t>‌$748.08</t>
  </si>
  <si>
    <t>‌$22.71</t>
  </si>
  <si>
    <t>BIOS</t>
  </si>
  <si>
    <t>CLINICAL LABORATORY EPIDEMIOLOGICAL</t>
  </si>
  <si>
    <t>CLIN LAB EPDML</t>
  </si>
  <si>
    <t>EPID</t>
  </si>
  <si>
    <t>MATERIALS SERVICES (MEDICAL LOGISTICS)</t>
  </si>
  <si>
    <t>MATERIALS SERVICES (MED LOG)</t>
  </si>
  <si>
    <t>Also known as: Medical Warehouse. Also see CATCode 442515 WRM.</t>
  </si>
  <si>
    <t>LOGI</t>
  </si>
  <si>
    <t>MEDICAL FOOD INSPECTION</t>
  </si>
  <si>
    <t>MEDICAL FOOD INSP</t>
  </si>
  <si>
    <t>This facility supports three major functions which operate semi-autonomously from the parent base medical facility: food inspection service, public health service, and medical service.</t>
  </si>
  <si>
    <t>Veterinary Facility</t>
  </si>
  <si>
    <t>‌$275.12</t>
  </si>
  <si>
    <t>‌$4.54</t>
  </si>
  <si>
    <t>MEDF</t>
  </si>
  <si>
    <t>53040, 53045</t>
  </si>
  <si>
    <t>FISHER HOUSE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</si>
  <si>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t>
  </si>
  <si>
    <t>Transient Lodging</t>
  </si>
  <si>
    <t>AREA DENTAL LABORATORY</t>
  </si>
  <si>
    <t>AREA DEN LAB</t>
  </si>
  <si>
    <t>DENL</t>
  </si>
  <si>
    <t>DENTAL CLINIC</t>
  </si>
  <si>
    <t>DEN CLINIC</t>
  </si>
  <si>
    <t>Dental Facility</t>
  </si>
  <si>
    <t>‌$582.01</t>
  </si>
  <si>
    <t>‌$10.06</t>
  </si>
  <si>
    <t>DENT</t>
  </si>
  <si>
    <t>OUTPATIENT AMBULATORY CARE CLINIC</t>
  </si>
  <si>
    <t>OUTPAT AMBUL CAR CLIN</t>
  </si>
  <si>
    <t>Ambulatory Care Clinic</t>
  </si>
  <si>
    <t>‌$350.00</t>
  </si>
  <si>
    <t>‌$7.16</t>
  </si>
  <si>
    <t>AMBL</t>
  </si>
  <si>
    <t>OCCUPATIONAL HEALTH CLINIC</t>
  </si>
  <si>
    <t>OCC MEDICINE SVC</t>
  </si>
  <si>
    <t>OCCH</t>
  </si>
  <si>
    <t>MEDICAL AID STATION</t>
  </si>
  <si>
    <t>MED AID STATION</t>
  </si>
  <si>
    <t>MEDA</t>
  </si>
  <si>
    <t>ADMINISTRATIVE OFFICE, MISC</t>
  </si>
  <si>
    <t>ADMIN, MISC</t>
  </si>
  <si>
    <t>​This facility accommodates administrative areas or functions not covered in other category codes available.</t>
  </si>
  <si>
    <t>ADMN</t>
  </si>
  <si>
    <t>AREA DEFENSE COUNSEL OFFICE</t>
  </si>
  <si>
    <t>AREA DEF CNSL OFC</t>
  </si>
  <si>
    <t>For the purposes of client defense. Do not co-locate with Law Center offices.</t>
  </si>
  <si>
    <t>DEFC</t>
  </si>
  <si>
    <t>LAW CENTER</t>
  </si>
  <si>
    <t>For the prosecution of the defendant. Could also have a law library. Do not co-locate with Area Defense Council offices.</t>
  </si>
  <si>
    <t>LAWC</t>
  </si>
  <si>
    <t>FAMILY HOUSING MANAGEMENT OFFICE</t>
  </si>
  <si>
    <t>FAM HSG MGT OFC</t>
  </si>
  <si>
    <t>FHMO</t>
  </si>
  <si>
    <t>VEHICLE OPERATIONS ADMINISTRATION</t>
  </si>
  <si>
    <t>VEH OPS ADMIN</t>
  </si>
  <si>
    <t>Facility designed for use as the operational center of the base motor pool. Functional space areas include locker room, latrines, driver's ready room, dispatcher, administrative space, and a driver.</t>
  </si>
  <si>
    <t>Can be co-located with Vehicle Maintenance Centers.</t>
  </si>
  <si>
    <t>VOA</t>
  </si>
  <si>
    <t>BASE SUPPLY ADMINISTRATION</t>
  </si>
  <si>
    <t>BSE SUP ADMIN</t>
  </si>
  <si>
    <t>BSA</t>
  </si>
  <si>
    <t>AIR FORCE PLANT ADMINISTRATION OFFICE</t>
  </si>
  <si>
    <t>AF PLT ADMIN OFC</t>
  </si>
  <si>
    <t>AFPA</t>
  </si>
  <si>
    <t>SQUADRON / COMPANY HEADQUARTERS BUILDING</t>
  </si>
  <si>
    <t>CO HQ BLDG</t>
  </si>
  <si>
    <t>Army/Marines are primary users.</t>
  </si>
  <si>
    <t>Small Unit Headquarters Building</t>
  </si>
  <si>
    <t>CHB</t>
  </si>
  <si>
    <t>COMPANY HEADQUARTERS BLDG - TRANSIENT TRAINING</t>
  </si>
  <si>
    <t>CO HQ BLDG TT</t>
  </si>
  <si>
    <t>CHQB</t>
  </si>
  <si>
    <t>BASE ENGINEER ADMINISTRATION</t>
  </si>
  <si>
    <t>BASE ENGR ADMIN</t>
  </si>
  <si>
    <t>Facility designed for use as the principal administrative offices of the Base Civil Engineer. Functional space areas include the Squadron Commander's Office suite, squadron administration, programming, engineering, GeoBase, disaster preparedness, environmental, resources, real property, and operations.</t>
  </si>
  <si>
    <t>BCEA</t>
  </si>
  <si>
    <t>BASE PERSONNEL OFFICE</t>
  </si>
  <si>
    <t>BASE PERSONNEL OFC</t>
  </si>
  <si>
    <t>PERS</t>
  </si>
  <si>
    <t>WEAPON SYSTEM MAINTENANCE MANAGEMENT FACILITY</t>
  </si>
  <si>
    <t>WPN SYS/M MGT FCLT</t>
  </si>
  <si>
    <t>This facility accommodates the offices of the named activity which is composed of: maintenance control, plans, scheduling and documentation, material control, quality control, records and analysis, chief of maintenance and administrative staff.</t>
  </si>
  <si>
    <t>WEAP</t>
  </si>
  <si>
    <t>TRAFFIC MANAGEMENT FACILITY</t>
  </si>
  <si>
    <t>TRAFFIC MGT FCLTY</t>
  </si>
  <si>
    <t>TMO = Traffic Management Office</t>
  </si>
  <si>
    <t>TRAF</t>
  </si>
  <si>
    <t>MUNITIONS MAINTENANCE ADMINISTRATION</t>
  </si>
  <si>
    <t>MUN MAINT ADMIN</t>
  </si>
  <si>
    <t>MUNI</t>
  </si>
  <si>
    <t>ORDERLY ROOM IN DORMITORY</t>
  </si>
  <si>
    <t>ODERLY RM IN DORM</t>
  </si>
  <si>
    <t>ORDE</t>
  </si>
  <si>
    <t>HEADQUARTERS, GROUP</t>
  </si>
  <si>
    <t>HQ GROUP</t>
  </si>
  <si>
    <t>This facility accommodates the staff offices of the headquarters in such groups as: operational support, air base, support commands, maintenance and supply, communications security and security police and various specialized groups.</t>
  </si>
  <si>
    <t>Large Unit Headquarters Building</t>
  </si>
  <si>
    <t>‌$412.00</t>
  </si>
  <si>
    <t>‌$5.08</t>
  </si>
  <si>
    <t>HQGP</t>
  </si>
  <si>
    <t>14182, 14183, 14184</t>
  </si>
  <si>
    <t>61071, 61072</t>
  </si>
  <si>
    <t>WING HEADQUARTERS</t>
  </si>
  <si>
    <t>HQ WG</t>
  </si>
  <si>
    <t>Facility designed to accommodate the staff offices of the headquarters for operational wings, air base wings, or training wings. Functional space area includes a reception area, offices, conference room with projection capability.</t>
  </si>
  <si>
    <t>WING</t>
  </si>
  <si>
    <t>HEADQUARTERS CENTER</t>
  </si>
  <si>
    <t>HQ CENTER</t>
  </si>
  <si>
    <t>Facility designed to accommodate the staff offices of various Center organizations (excluding separate operating agency centers) such as: AFMC Centers, AETC Training Centers, and miscellaneous Centers under USAF and ACC.</t>
  </si>
  <si>
    <t>HQCT</t>
  </si>
  <si>
    <t>HEADQUARTERS AIR FORCE</t>
  </si>
  <si>
    <t>HQ AF</t>
  </si>
  <si>
    <t>Facilities occupied by staff offices of Headquarters, Air Force including field extensions. It also applies to the headquarters of separate operating agencies and their field extensions.</t>
  </si>
  <si>
    <t>HQAF</t>
  </si>
  <si>
    <t>HEADQUARTERS MAJOR COMMAND</t>
  </si>
  <si>
    <t>HQ MAJOR COMD</t>
  </si>
  <si>
    <t>This category code applies to building space occupied by the headquarters staff offices including field extensions. It also applies to the headquarters of the Air Force communication service and the Air Force security service and their field extensions.</t>
  </si>
  <si>
    <t>HQMC</t>
  </si>
  <si>
    <t>HEADQUARTERS NUMBERED AIR FORCE</t>
  </si>
  <si>
    <t>HQ NUMBERED AF</t>
  </si>
  <si>
    <t>HQNA</t>
  </si>
  <si>
    <t>HEADQUARTERS NAMED/NUMBERED DIVISION</t>
  </si>
  <si>
    <t>HQ,NAMED/NO DIV</t>
  </si>
  <si>
    <t>HQNN</t>
  </si>
  <si>
    <t>HEADQUARTERS SPECIFIED</t>
  </si>
  <si>
    <t>HQ,SPECIFIED</t>
  </si>
  <si>
    <t>Facility designed to accommodate staff offices comprising other headquarters designations such as named labs, space and missile organizations, AETC numbered technical schools, and AF Eastern Test Range.</t>
  </si>
  <si>
    <t>HQSF</t>
  </si>
  <si>
    <t>DOCUMENTATION STAGING FACILITY</t>
  </si>
  <si>
    <t>DOC STG FCLTY</t>
  </si>
  <si>
    <t>DOSF</t>
  </si>
  <si>
    <t>FARM FACILITY</t>
  </si>
  <si>
    <t>FARM FCLTY</t>
  </si>
  <si>
    <t>Working Animal Support Building</t>
  </si>
  <si>
    <t>‌$454.20</t>
  </si>
  <si>
    <t>FARM</t>
  </si>
  <si>
    <t>LOGISTICS FACILITY DEPOT OPERATIONS</t>
  </si>
  <si>
    <t>LOG FCLTY DEP OPS</t>
  </si>
  <si>
    <t>LFDO</t>
  </si>
  <si>
    <t>DATA PROCESSING INSTALLATION</t>
  </si>
  <si>
    <t>DPI</t>
  </si>
  <si>
    <t>Automated Data Processing Center</t>
  </si>
  <si>
    <t>‌$334.63</t>
  </si>
  <si>
    <t>‌$3.69</t>
  </si>
  <si>
    <t>PRINTING PLANT</t>
  </si>
  <si>
    <t>PLT, PRINTING</t>
  </si>
  <si>
    <t>Printing And Reproduction Plant</t>
  </si>
  <si>
    <t>‌$96.81</t>
  </si>
  <si>
    <t>PRIN</t>
  </si>
  <si>
    <t>PLANT REPRODUCTION</t>
  </si>
  <si>
    <t>PLT, REPRODUCTION</t>
  </si>
  <si>
    <t>PLAN</t>
  </si>
  <si>
    <t>ADMINISTRATIVE BUILDING, GENERAL PURPOSE, HIGH-RISE</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</si>
  <si>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</si>
  <si>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General Administrative Building, High-Rise</t>
  </si>
  <si>
    <t>ADMINISTRATIVE OFFICE, NON AIR FORCE</t>
  </si>
  <si>
    <t>ADMIN OFC,NON-AF</t>
  </si>
  <si>
    <t>Can also be used for State, ANG, and ARNG space.</t>
  </si>
  <si>
    <t>AONA</t>
  </si>
  <si>
    <t>61050, 61055</t>
  </si>
  <si>
    <t>EQUAL OPPORTUNITY FACILITY</t>
  </si>
  <si>
    <t>SOCIAL ACT FCLTY</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</si>
  <si>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</si>
  <si>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SAF</t>
  </si>
  <si>
    <t>DISASTER PREPAREDNESS</t>
  </si>
  <si>
    <t>DISASTER PREP</t>
  </si>
  <si>
    <t>Facility designed for support of the disaster preparedness function which operates under the War Mobilization Plan and other related Air Force publications.</t>
  </si>
  <si>
    <t>DRPS</t>
  </si>
  <si>
    <t>AIR FORCE OFFICE OF SPECIAL INVESTIGATIONS</t>
  </si>
  <si>
    <t>AFOSI OFFICE</t>
  </si>
  <si>
    <t>Facility designed for administrative support and secure areas required for conducting special investigations.</t>
  </si>
  <si>
    <t>The primary responsibilities of the Air Force Office of Special Investigations are criminal investigative and counterintelligence services. The organization seeks to identify, investigate and neutralize espionage, terrorism, fraud and other major criminal activities that may threaten Air Force and Department of Defense resources. AFOSI provides professional investigative service to commanders of all Air Force activities.</t>
  </si>
  <si>
    <t>AFOS</t>
  </si>
  <si>
    <t>VICTIM COUNSEL (VC)</t>
  </si>
  <si>
    <t>ADMINISTRATIVE STRUCTURE, UNDERGROUND</t>
  </si>
  <si>
    <t>ADMIN STRUCT, UNDERGROUND</t>
  </si>
  <si>
    <t>An underground facility containing general office space as well as that space typically associated with office space. Associated space may include conference rooms, small storage rooms, restrooms, break/lunch rooms, locker/shower rooms, and utility rooms.</t>
  </si>
  <si>
    <t>Administrative Building, Underground</t>
  </si>
  <si>
    <t>‌$3.48</t>
  </si>
  <si>
    <t>UGAS</t>
  </si>
  <si>
    <t>62010, 62077</t>
  </si>
  <si>
    <t>BILLBOARD</t>
  </si>
  <si>
    <t>Can include electronic billboards.</t>
  </si>
  <si>
    <t>Administrative Structure, Other Than Buildings</t>
  </si>
  <si>
    <t>‌$7447.49</t>
  </si>
  <si>
    <t>‌$162.08</t>
  </si>
  <si>
    <t>BB</t>
  </si>
  <si>
    <t>FLAG POLE</t>
  </si>
  <si>
    <t>FLAG POLE, BSE</t>
  </si>
  <si>
    <t>The largest flag pole on the installation should be located at the Wing/Center Headquarters.</t>
  </si>
  <si>
    <t>TROOP SHELTER</t>
  </si>
  <si>
    <t>SHLTR, TROOP</t>
  </si>
  <si>
    <t>Also see: CATCodes 141184 READY SHELTER FACILITY AND 730660 ABOVE GROUND TORNADO SHELTER.</t>
  </si>
  <si>
    <t>TS</t>
  </si>
  <si>
    <t>COVERED REVIEW STAND</t>
  </si>
  <si>
    <t>STD, REVIEW CV</t>
  </si>
  <si>
    <t>Permanently installed; does not include moveable bleachers / canopies.</t>
  </si>
  <si>
    <t>CRS</t>
  </si>
  <si>
    <t>OPEN REVIEW STAND</t>
  </si>
  <si>
    <t>STD, REVIEW OPEN</t>
  </si>
  <si>
    <t>This facility is used by reviewing authorities when performing a formal inspection of an organization. This facility is permanently installed and not covered.</t>
  </si>
  <si>
    <t>ORS</t>
  </si>
  <si>
    <t>KENNEL, STRAY ANIMAL</t>
  </si>
  <si>
    <t>KENNEL STRAY ANML</t>
  </si>
  <si>
    <t>STRY</t>
  </si>
  <si>
    <t>FAMILY HOUSING CAPEHART</t>
  </si>
  <si>
    <t>FAM HSG, CAPEHART</t>
  </si>
  <si>
    <t>Family Housing Dwelling</t>
  </si>
  <si>
    <t>FA</t>
  </si>
  <si>
    <t>‌$206.72</t>
  </si>
  <si>
    <t>‌$2.73</t>
  </si>
  <si>
    <t>FHC</t>
  </si>
  <si>
    <t>71111, 71112, 71113, 71114, 71115, 71116, 71117</t>
  </si>
  <si>
    <t>71125, 71126, 71127, 71128, 71129</t>
  </si>
  <si>
    <t>FAMILY HOUSING WHERRY</t>
  </si>
  <si>
    <t>FAM HSG, WHERRY</t>
  </si>
  <si>
    <t>FHW</t>
  </si>
  <si>
    <t>71120, 71121, 71122, 71123, 71124</t>
  </si>
  <si>
    <t>FAMILY HOUSING LANHAM</t>
  </si>
  <si>
    <t>FAM HSG, LANHAM</t>
  </si>
  <si>
    <t>FHL</t>
  </si>
  <si>
    <t>71160, 71161</t>
  </si>
  <si>
    <t>FAMILY HOUSING APPROPRIATED FY 70 AND AFTER</t>
  </si>
  <si>
    <t>FAM HSG APPR FY70A</t>
  </si>
  <si>
    <t>FH70</t>
  </si>
  <si>
    <t>71170, 71171, 71172, 71173, 71174</t>
  </si>
  <si>
    <t>FAMILY HOUSING APPROPRIATED FY 50 - 69</t>
  </si>
  <si>
    <t>FAM HSG APPR 50-69</t>
  </si>
  <si>
    <t>FH50</t>
  </si>
  <si>
    <t>71130, 71131, 71132, 71133, 71134</t>
  </si>
  <si>
    <t>FAMILY HOUSING APPROPRIATED PRE FY 1950</t>
  </si>
  <si>
    <t>FAM HSG APPR PFY50</t>
  </si>
  <si>
    <t>FH49</t>
  </si>
  <si>
    <t>71140, 71141, 71142, 71143, 71144</t>
  </si>
  <si>
    <t>FAMILY HOUSING SURPLUS COMMODITY</t>
  </si>
  <si>
    <t>FAM HSG, SUR COMOD</t>
  </si>
  <si>
    <t>FHSC</t>
  </si>
  <si>
    <t>71150, 71151, 71152, 71153, 71154</t>
  </si>
  <si>
    <t>FAMILY HOUSING DEUTCHMARK</t>
  </si>
  <si>
    <t>FAM HSG, DEUTCHMRK</t>
  </si>
  <si>
    <t>USAFE is primary user.</t>
  </si>
  <si>
    <t>FHDM</t>
  </si>
  <si>
    <t>71155, 71156, 71157, 71158, 71159</t>
  </si>
  <si>
    <t>FAMILY HOUSING YEN</t>
  </si>
  <si>
    <t>FAM HSG, YEN</t>
  </si>
  <si>
    <t>PACAF is primary user.</t>
  </si>
  <si>
    <t>FHYN</t>
  </si>
  <si>
    <t>FAMILY HOUSING OTHER</t>
  </si>
  <si>
    <t>FAM HSG, OTHER</t>
  </si>
  <si>
    <t>FHOT</t>
  </si>
  <si>
    <t>FAMILY HOUSING RELOCATABLE</t>
  </si>
  <si>
    <t>FAM HSG RELO</t>
  </si>
  <si>
    <t>Similar to: CATCode 711231 FAMILY HOUSING USA.</t>
  </si>
  <si>
    <t>FHRT</t>
  </si>
  <si>
    <t>71175, 71176</t>
  </si>
  <si>
    <t>FAMILY HOUSING RENTAL GUARANTEE</t>
  </si>
  <si>
    <t>FAM HSG, RENT GUAR</t>
  </si>
  <si>
    <t>FHRG</t>
  </si>
  <si>
    <t>FAMILY HOUSING LEASED</t>
  </si>
  <si>
    <t>FAM HSG, LEASED</t>
  </si>
  <si>
    <t>FHLE</t>
  </si>
  <si>
    <t>71135, 71136, 71137, 71138, 71139</t>
  </si>
  <si>
    <t>FAMILY HOUSING USA</t>
  </si>
  <si>
    <t>FAM HSG USA</t>
  </si>
  <si>
    <t>Similar to: CATCode 711181 FAMILY HOUSING RELOCATABLE.</t>
  </si>
  <si>
    <t>FHUS</t>
  </si>
  <si>
    <t>FAMILY HOUSING ATTACHED GARAGE</t>
  </si>
  <si>
    <t>FAM HSG ATCH GARGE</t>
  </si>
  <si>
    <t>Family Housing Garage</t>
  </si>
  <si>
    <t>VE</t>
  </si>
  <si>
    <t>‌$37.07</t>
  </si>
  <si>
    <t>‌$1.45</t>
  </si>
  <si>
    <t>FHAG</t>
  </si>
  <si>
    <t>FAMILY HOUSING ATTACHED CARPORT</t>
  </si>
  <si>
    <t>FAM HSG ATCH CARP</t>
  </si>
  <si>
    <t>Carports attached to Military Family Housing units.</t>
  </si>
  <si>
    <t>Family Housing Carport</t>
  </si>
  <si>
    <t>‌$20.84</t>
  </si>
  <si>
    <t>‌$0.66</t>
  </si>
  <si>
    <t>FHAC</t>
  </si>
  <si>
    <t>FAMILY HOUSING HIGH RISE</t>
  </si>
  <si>
    <t>Family Housing High Rise Building</t>
  </si>
  <si>
    <t>MOBILE HOME COURT SUPPORT FACILITY</t>
  </si>
  <si>
    <t>TLR CRT SPT FCLTY</t>
  </si>
  <si>
    <t>Trailer Court Support Facility</t>
  </si>
  <si>
    <t>‌$123.43</t>
  </si>
  <si>
    <t>‌$1.79</t>
  </si>
  <si>
    <t>FHMH</t>
  </si>
  <si>
    <t>MOBILE HOME COURT PARKING AREA</t>
  </si>
  <si>
    <t>TLR CRT PARKING</t>
  </si>
  <si>
    <t>FA = Number of Families</t>
  </si>
  <si>
    <t>Family Housing Individual Trailer Site</t>
  </si>
  <si>
    <t>‌$34.72</t>
  </si>
  <si>
    <t>‌$2.38</t>
  </si>
  <si>
    <t>FHPA</t>
  </si>
  <si>
    <t>71310, 71311</t>
  </si>
  <si>
    <t>FAMILY-HOUSING -OTHER DETACHED FACILITIES</t>
  </si>
  <si>
    <t>Miscellaneous Family Housing Support Facility</t>
  </si>
  <si>
    <t>GARAGE, FAMILY HOUSING, DETACHED</t>
  </si>
  <si>
    <t>GARGE FAM HSG DET</t>
  </si>
  <si>
    <t>FHGD</t>
  </si>
  <si>
    <t>FAMILY HOUSING DETACHED CARPORT</t>
  </si>
  <si>
    <t>CARP FAM HSG DET</t>
  </si>
  <si>
    <t>FHCD</t>
  </si>
  <si>
    <t>FAMILY HOUSING DETACHED STORAGE</t>
  </si>
  <si>
    <t>STOR FAM HSG DET</t>
  </si>
  <si>
    <t>Does not include "Tuff Sheds" or other portable buildings used for storage.</t>
  </si>
  <si>
    <t>Family Housing Storage Facility</t>
  </si>
  <si>
    <t>‌$25.67</t>
  </si>
  <si>
    <t>‌$0.74</t>
  </si>
  <si>
    <t>FHDS</t>
  </si>
  <si>
    <t>AF HOTEL</t>
  </si>
  <si>
    <t>‌$4.21</t>
  </si>
  <si>
    <t>AFHT</t>
  </si>
  <si>
    <t>PERSONNEL REHAB CENTER FACILITY</t>
  </si>
  <si>
    <t>PRC FCLTY</t>
  </si>
  <si>
    <t>This facility is required to provide personnel rehabilitation to personnel in prison/confinement.</t>
  </si>
  <si>
    <t>https://www.wbdg.org/FFC/AF/AFMAN/721121_Personnel_Rehab_Center.pdf</t>
  </si>
  <si>
    <t>Prison/Confinement Facility</t>
  </si>
  <si>
    <t>‌$274.37</t>
  </si>
  <si>
    <t>‌$7.09</t>
  </si>
  <si>
    <t>PRCF</t>
  </si>
  <si>
    <t>72140, 73015</t>
  </si>
  <si>
    <t>FEDERAL PRISON FACILITY</t>
  </si>
  <si>
    <t>FED PRISON FCLTY</t>
  </si>
  <si>
    <t>Also see: CATCode 730831 CORRECTION FACILITY</t>
  </si>
  <si>
    <t>FPF</t>
  </si>
  <si>
    <t>TRANSIENT UPH, ADVANCED INDIVIDUAL TRAINEES (AIT)</t>
  </si>
  <si>
    <t>TRANS UPH AIT</t>
  </si>
  <si>
    <t>A building that houses personnel attending MOS producing schools at locations other than Army training centers.</t>
  </si>
  <si>
    <t>Army is primary user.</t>
  </si>
  <si>
    <t>Enlisted Unaccompanied Personnel Housing, Transient</t>
  </si>
  <si>
    <t>‌$304.00</t>
  </si>
  <si>
    <t>‌$6.74</t>
  </si>
  <si>
    <t>AIT</t>
  </si>
  <si>
    <t>72121, 72127, 72153</t>
  </si>
  <si>
    <t>DINING HALL IN AIRMAN DORMITORY</t>
  </si>
  <si>
    <t>DH, AMN IN DORM</t>
  </si>
  <si>
    <t>Facility designed for inclusion within a dormitory. This type facility must be justified by operational needs.</t>
  </si>
  <si>
    <t>Dining Facility</t>
  </si>
  <si>
    <t>‌$515.00</t>
  </si>
  <si>
    <t>‌$5.63</t>
  </si>
  <si>
    <t>DHAM</t>
  </si>
  <si>
    <t>72210, 72212</t>
  </si>
  <si>
    <t>72145, 72210</t>
  </si>
  <si>
    <t>DORMITORY, RECRUITS</t>
  </si>
  <si>
    <t>DORM, RECRUITS</t>
  </si>
  <si>
    <t>Recruit/Trainee Barracks</t>
  </si>
  <si>
    <t>‌$226.94</t>
  </si>
  <si>
    <t>‌$5.92</t>
  </si>
  <si>
    <t>DORM</t>
  </si>
  <si>
    <t>DORMITORY AIRMAN PERMANENT PARTY/PCS-STUDENT</t>
  </si>
  <si>
    <t>DORM AM PP/PCS-STD</t>
  </si>
  <si>
    <t>Enlisted Unaccompanied Personnel Housing</t>
  </si>
  <si>
    <t>‌$4.86</t>
  </si>
  <si>
    <t>DOPP</t>
  </si>
  <si>
    <t>TECHNICAL TRAINING STUDENT HOUSING</t>
  </si>
  <si>
    <t>TECH TNG STD HSG</t>
  </si>
  <si>
    <t>TTSH</t>
  </si>
  <si>
    <t>72111, 72170</t>
  </si>
  <si>
    <t>72111, 72112</t>
  </si>
  <si>
    <t>DORMITORY, UNACCOMPANIED NONCOMMISIONED OFFICERS (NCO</t>
  </si>
  <si>
    <t>DORMITORY, UNACCOMPANIED NCO</t>
  </si>
  <si>
    <t>DUNO</t>
  </si>
  <si>
    <t>72112, 72113</t>
  </si>
  <si>
    <t>DORMITORY VISITING AIRMAN QUARTERS</t>
  </si>
  <si>
    <t>DORM, VAQ</t>
  </si>
  <si>
    <t>Facility designed for visiting unaccompanied enlisted personnel and civilian equivalents. The standard living unit is similar to CATCode 721312.</t>
  </si>
  <si>
    <t>DVAQ</t>
  </si>
  <si>
    <t>DORMITORY UNACCOMPANIED - WOUNDED WARRIORS</t>
  </si>
  <si>
    <t>DORM UNACCOMP - WONDED WARR</t>
  </si>
  <si>
    <t>Unaccompanied Housing for Wounded Warriors</t>
  </si>
  <si>
    <t>‌$204.51</t>
  </si>
  <si>
    <t>‌$3.31</t>
  </si>
  <si>
    <t>DUWW</t>
  </si>
  <si>
    <t>A building that houses personnel attending Military Occupational Specialty (MOS) producing schools at locations other than Army training centers. Use CATCode 72181, TRAINEE BARRACKS, at Army training center locations.</t>
  </si>
  <si>
    <t>Army is primary user. UPH = Unaccompanied Personnel Housing</t>
  </si>
  <si>
    <t>Student Barracks</t>
  </si>
  <si>
    <t>‌$4.61</t>
  </si>
  <si>
    <t>UPHA</t>
  </si>
  <si>
    <t>TRANSIENT UPH, ADVANCED SKILLS TRAINEES (AST)</t>
  </si>
  <si>
    <t>TRANS UPH AST</t>
  </si>
  <si>
    <t>UPHS</t>
  </si>
  <si>
    <t>UNACCOMPANIED PERSONNEL QUARTERS (MOBILIZATION, EXERCISE, AND DISASTER RESPONSE)</t>
  </si>
  <si>
    <t>UP QUARTERS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</si>
  <si>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</si>
  <si>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Annual Training/Mobilization Barracks</t>
  </si>
  <si>
    <t>SP</t>
  </si>
  <si>
    <t>‌$4.00</t>
  </si>
  <si>
    <t>EBTT</t>
  </si>
  <si>
    <t>72114, 72115</t>
  </si>
  <si>
    <t>72141, 72415</t>
  </si>
  <si>
    <t>FAST FOOD SERVICE</t>
  </si>
  <si>
    <t>FAST FOOD SVC</t>
  </si>
  <si>
    <t>Also see: CATCodes 740381 EXCHANGE CAFETERIA SNACK BAR and 740735 RESTAURANT, BASE</t>
  </si>
  <si>
    <t>FFSV</t>
  </si>
  <si>
    <t>AIRMAN DINING HALLS (DETACHED)</t>
  </si>
  <si>
    <t>DH, AMN (DET)</t>
  </si>
  <si>
    <t>This facility includes: refrigerated and dry storage space, food preparation and support space, dining room space, washing room, protected, washing-way, and patron toilets.</t>
  </si>
  <si>
    <t>ADHD</t>
  </si>
  <si>
    <t>OFFICERS DINING HALLS (DETACHED)</t>
  </si>
  <si>
    <t>DH, OFF (DET)</t>
  </si>
  <si>
    <t>Same type facility as CATCode 722-351, except configured to serve the officer contingent. Typically the facility is somewhat smaller to the Airman version, mainly due to population.</t>
  </si>
  <si>
    <t>ODHD</t>
  </si>
  <si>
    <t>KITCHEN, CENTRAL PREPARATION</t>
  </si>
  <si>
    <t>KITCHEN, CEN PREP</t>
  </si>
  <si>
    <t>KCPP</t>
  </si>
  <si>
    <t>FLIGHT KITCHEN</t>
  </si>
  <si>
    <t>KITCHEN, IN-FLT</t>
  </si>
  <si>
    <t>FLTK</t>
  </si>
  <si>
    <t>SANITARY LATRINE</t>
  </si>
  <si>
    <t>SAN LATRINE</t>
  </si>
  <si>
    <t>Latrine/Shower Facility</t>
  </si>
  <si>
    <t>‌$171.75</t>
  </si>
  <si>
    <t>‌$6.86</t>
  </si>
  <si>
    <t>SANL</t>
  </si>
  <si>
    <t>CARPORT, UPH</t>
  </si>
  <si>
    <t>Unaccompanied Personnel Housing Carport</t>
  </si>
  <si>
    <t>‌$0.32</t>
  </si>
  <si>
    <t>CPTU</t>
  </si>
  <si>
    <t>UNACCOMPANIED HOUSING - OTHER DETACHED BUILDINGS</t>
  </si>
  <si>
    <t>Miscellaneous UPH Support Building</t>
  </si>
  <si>
    <t>TROOP HOUSING - OTHER DETACHED FACILITIES</t>
  </si>
  <si>
    <t>TROOP HSG, OTH</t>
  </si>
  <si>
    <t>Miscellaneous UPH Support Facility</t>
  </si>
  <si>
    <t>‌$94.27</t>
  </si>
  <si>
    <t>THDE</t>
  </si>
  <si>
    <t>OFFICER'S QUARTERS</t>
  </si>
  <si>
    <t>OQ</t>
  </si>
  <si>
    <t>Also known as: BOQ = Bachelor Officers Quarters.</t>
  </si>
  <si>
    <t>Officer Unaccompanied Personnel Housing</t>
  </si>
  <si>
    <t>‌$282.85</t>
  </si>
  <si>
    <t>‌$7.28</t>
  </si>
  <si>
    <t>OFFQ</t>
  </si>
  <si>
    <t>72411, 72412</t>
  </si>
  <si>
    <t>VISITING OFFICER'S QUARTERS</t>
  </si>
  <si>
    <t>VOQ (01-010)</t>
  </si>
  <si>
    <t>Also known as: VOQ.</t>
  </si>
  <si>
    <t>Officer UPH, Transient</t>
  </si>
  <si>
    <t>VOFQ</t>
  </si>
  <si>
    <t>CADET QUARTERS</t>
  </si>
  <si>
    <t>CADET QTRS</t>
  </si>
  <si>
    <t>Service Academy Unaccompanied Personnel Housing</t>
  </si>
  <si>
    <t>‌$216.05</t>
  </si>
  <si>
    <t>CADQ</t>
  </si>
  <si>
    <t>HOUSING - EMERGENCY BUILDING</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</si>
  <si>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</si>
  <si>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Emergency Personnel Housing</t>
  </si>
  <si>
    <t>TENT PAD</t>
  </si>
  <si>
    <t>EUPH Tent Pad</t>
  </si>
  <si>
    <t>‌$6.06</t>
  </si>
  <si>
    <t>TPAD</t>
  </si>
  <si>
    <t>CIVILIAN CAMP</t>
  </si>
  <si>
    <t>CAMP, CIVILIAN</t>
  </si>
  <si>
    <t>Emergency Unaccompanied Personnel Housing</t>
  </si>
  <si>
    <t>‌$105.45</t>
  </si>
  <si>
    <t>‌$2.11</t>
  </si>
  <si>
    <t>CCMP</t>
  </si>
  <si>
    <t>CAMP TROOP</t>
  </si>
  <si>
    <t>CAMP, TROOP</t>
  </si>
  <si>
    <t>CMPT</t>
  </si>
  <si>
    <t>FIRE STATION</t>
  </si>
  <si>
    <t>FR STN</t>
  </si>
  <si>
    <t>Facility designed to house fire protection vehicles, equipment and operating personnel of the base fire department. This facility is usually found in the community areas of the base as opposed to the Fire/Crash Rescue Station.</t>
  </si>
  <si>
    <t>Fire Station Facility</t>
  </si>
  <si>
    <t>‌$365.62</t>
  </si>
  <si>
    <t>‌$4.66</t>
  </si>
  <si>
    <t>FS</t>
  </si>
  <si>
    <t>FIRE OBSERVATION TOWER AND COMM CENTER</t>
  </si>
  <si>
    <t>FR TWR COMM CEN</t>
  </si>
  <si>
    <t>Tower and communication center dedicated to fire protection on base in a separate facility from CATcode 730142. See AFH 32-1084 for criteria.</t>
  </si>
  <si>
    <t>Also see: CATCode 730151 FORESTRY GUARD STATION</t>
  </si>
  <si>
    <t>FOBS</t>
  </si>
  <si>
    <t>FIRE HOSE HOUSE</t>
  </si>
  <si>
    <t>FR HOSE HSE</t>
  </si>
  <si>
    <t>FHHS</t>
  </si>
  <si>
    <t>FORESTRY GUARD STATION</t>
  </si>
  <si>
    <t>FORESTRY GUARD STN</t>
  </si>
  <si>
    <t>Also see: CATCode 730145 FIRE OSERVATION TOWER AND COMM CENTER</t>
  </si>
  <si>
    <t>‌$85.11</t>
  </si>
  <si>
    <t>‌$1.41</t>
  </si>
  <si>
    <t>FGS</t>
  </si>
  <si>
    <t>BAKERY</t>
  </si>
  <si>
    <t>BAKERY, BREAD</t>
  </si>
  <si>
    <t>Bread/Pastry Kitchen</t>
  </si>
  <si>
    <t>‌$105.65</t>
  </si>
  <si>
    <t>‌$4.50</t>
  </si>
  <si>
    <t>BAKE</t>
  </si>
  <si>
    <t>KITCHEN PASTRY</t>
  </si>
  <si>
    <t>KITCHEN, PASTRY</t>
  </si>
  <si>
    <t>PAST</t>
  </si>
  <si>
    <t>BUS SHELTER</t>
  </si>
  <si>
    <t>BUS, SHLTR</t>
  </si>
  <si>
    <t>Personnel/ Equipment Shelter</t>
  </si>
  <si>
    <t>‌$51.45</t>
  </si>
  <si>
    <t>BUS</t>
  </si>
  <si>
    <t>BUS STATION</t>
  </si>
  <si>
    <t>BUS, STN</t>
  </si>
  <si>
    <t>‌$135.90</t>
  </si>
  <si>
    <t>‌$3.24</t>
  </si>
  <si>
    <t>BSTA</t>
  </si>
  <si>
    <t>EDUCATION CENTER</t>
  </si>
  <si>
    <t>EDUCATION CEN</t>
  </si>
  <si>
    <t>‌$181.68</t>
  </si>
  <si>
    <t>‌$4.63</t>
  </si>
  <si>
    <t>EDCT</t>
  </si>
  <si>
    <t>POST OFFICE</t>
  </si>
  <si>
    <t>POST OFFICE CEN</t>
  </si>
  <si>
    <t>Postal Facility</t>
  </si>
  <si>
    <t>‌$190.76</t>
  </si>
  <si>
    <t>‌$5.65</t>
  </si>
  <si>
    <t>POFF</t>
  </si>
  <si>
    <t>73072, 73073</t>
  </si>
  <si>
    <t>LAUNDRY-DRY CLEANING, BASE</t>
  </si>
  <si>
    <t>LDRY-DRY CLN BSE</t>
  </si>
  <si>
    <t>Also see: CATCode 730711 BASE LAUNDRY</t>
  </si>
  <si>
    <t>Laundry/Dry Cleaning Facility</t>
  </si>
  <si>
    <t>‌$131.15</t>
  </si>
  <si>
    <t>‌$3.55</t>
  </si>
  <si>
    <t>LDCB</t>
  </si>
  <si>
    <t>BASE DRY CLEANING</t>
  </si>
  <si>
    <t>DRY CLN, BSE</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</si>
  <si>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t>
  </si>
  <si>
    <t>BDC</t>
  </si>
  <si>
    <t>ABOVE GROUND TORNADO SHELTER</t>
  </si>
  <si>
    <t>An enclosed, reinforced facility, generally within or beneath an existing building that provides protection against air attack, fallout, severe storms or other life-threatening events.</t>
  </si>
  <si>
    <t>Also see: CATCode 690625 TROOP SHELTER</t>
  </si>
  <si>
    <t>AGTS</t>
  </si>
  <si>
    <t>BASE LAUNDRY</t>
  </si>
  <si>
    <t>LDRY, BSE</t>
  </si>
  <si>
    <t>Also see: CATCode 730551 LAUNDRY-DRY CLEANING, BASE</t>
  </si>
  <si>
    <t>BLDY</t>
  </si>
  <si>
    <t>DEPOT LAUNDRY</t>
  </si>
  <si>
    <t>LDRY, DEP</t>
  </si>
  <si>
    <t>DLDY</t>
  </si>
  <si>
    <t>CLOTHING STORE</t>
  </si>
  <si>
    <t>Use the CATCode for a Military Clothing Store.</t>
  </si>
  <si>
    <t>Clothing Sales Store</t>
  </si>
  <si>
    <t>‌$107.55</t>
  </si>
  <si>
    <t>CLST</t>
  </si>
  <si>
    <t>PRIVATELY OWNED VEHICLE INSPECTION STATION</t>
  </si>
  <si>
    <t>Private Vehicle Inspection Facility</t>
  </si>
  <si>
    <t>CHAPEL, BASE</t>
  </si>
  <si>
    <t>CHAPEL BASE</t>
  </si>
  <si>
    <t>This facility includes narthex, ark, chancel with alter, pulpit, lectern, sedilia, nave, choir with pews, nave with pews, pew screens, choir and chaplain’s sacristy, refectory, personnel offices, confessionals, blessed sacrament room, and toilets and services rooms.</t>
  </si>
  <si>
    <t>SEDILIA = a set of three seats placed near the altar of a Christian church and often recessed into the wall, used by priests celebrating Mass or Communion; NARTHEX = an entrance hall at the west end of a Christian church between the porch and the nave or 2. an area at the west end of the nave of an early Christian church separated off by a screen or railing behind which women, catechumens, or penitents were admitted; CHANCEL = an area of a church near the altar for the use of clergy and choir, often separated from the nave by a screen or steps; ARK = a cupboard in a synagogue in which the scrolls of the Torah are kept; SACRISTY = a room in a Christian church in which sacred objects such as vessels and vestments are kept.</t>
  </si>
  <si>
    <t>Chapel Facility</t>
  </si>
  <si>
    <t>SE</t>
  </si>
  <si>
    <t>‌$330.64</t>
  </si>
  <si>
    <t>‌$4.88</t>
  </si>
  <si>
    <t>CHAP</t>
  </si>
  <si>
    <t>RELIGIOUS EDUCATION FACILITY</t>
  </si>
  <si>
    <t>REF</t>
  </si>
  <si>
    <t>‌$166.89</t>
  </si>
  <si>
    <t>‌$5.17</t>
  </si>
  <si>
    <t>REDF</t>
  </si>
  <si>
    <t>CHAPEL CENTER</t>
  </si>
  <si>
    <t>CHAPEL CEN</t>
  </si>
  <si>
    <t>CHAC</t>
  </si>
  <si>
    <t>HOSPITAL CHAPEL</t>
  </si>
  <si>
    <t>CHAPEL, INTERIOR</t>
  </si>
  <si>
    <t>HPCH</t>
  </si>
  <si>
    <t>SCHOOL, DEPENDENT DINING HALL</t>
  </si>
  <si>
    <t>SCH DEPN D H</t>
  </si>
  <si>
    <t>Dependent School Support Facility</t>
  </si>
  <si>
    <t>‌$319.92</t>
  </si>
  <si>
    <t>‌$7.17</t>
  </si>
  <si>
    <t>SDDH</t>
  </si>
  <si>
    <t>SCHOOL, DEPENDENT DORMITORY</t>
  </si>
  <si>
    <t>SCH DEPN DORM</t>
  </si>
  <si>
    <t>SDDM</t>
  </si>
  <si>
    <t>SCHOOL, DEPENDENT DETACHED SUPPORT</t>
  </si>
  <si>
    <t>SCH DEPN DET SPT</t>
  </si>
  <si>
    <t>SDDS</t>
  </si>
  <si>
    <t>DEPENDENT SCHOOLS K-12</t>
  </si>
  <si>
    <t>SCH DEPN K-12</t>
  </si>
  <si>
    <t>Dependent School</t>
  </si>
  <si>
    <t>‌$321.52</t>
  </si>
  <si>
    <t>‌$4.52</t>
  </si>
  <si>
    <t>SDKI</t>
  </si>
  <si>
    <t>SCHOOL, DEPENDENT NURSERY</t>
  </si>
  <si>
    <t>SCH DEPN NURSERY</t>
  </si>
  <si>
    <t>Nursery and Child Care Facility</t>
  </si>
  <si>
    <t>‌$236.27</t>
  </si>
  <si>
    <t>SDNU</t>
  </si>
  <si>
    <t>CORRECTION FACILITY</t>
  </si>
  <si>
    <t>CORRECTION FCLTY</t>
  </si>
  <si>
    <t>Also see: CATCode 721123 FEDERAL PRISON FACILITY</t>
  </si>
  <si>
    <t>CTNF</t>
  </si>
  <si>
    <t>VISITOR CONTR CENTER</t>
  </si>
  <si>
    <t>SP CON IDENT</t>
  </si>
  <si>
    <t>Police Station</t>
  </si>
  <si>
    <t>‌$197.01</t>
  </si>
  <si>
    <t>‌$8.59</t>
  </si>
  <si>
    <t>VCC</t>
  </si>
  <si>
    <t>SECURITY POLICE DEFENSIVE FIGHTING POSITION</t>
  </si>
  <si>
    <t>SP DES FLIGHT POSN</t>
  </si>
  <si>
    <t>Facility designed to provide secure defensive positions for security police personnel when required. Facility is made up of 10-inch thick reinforced concrete.</t>
  </si>
  <si>
    <t>Each RTES Tower structure should be captured as its own facility with its own Real Property Unique Identifier (RPUID). Square footage is derived from the ground level and platform level. The RTES remains organizational equipment.</t>
  </si>
  <si>
    <t>Security Support Building</t>
  </si>
  <si>
    <t>‌$736.66</t>
  </si>
  <si>
    <t>SPDF</t>
  </si>
  <si>
    <t>SECURITY POLICE OPERATIONS</t>
  </si>
  <si>
    <t>SP OPERATIONS</t>
  </si>
  <si>
    <t>Could contain an armory and warehouse storage areas.</t>
  </si>
  <si>
    <t>SPOP</t>
  </si>
  <si>
    <t>RESERVE FIRE TEAM FACILITY</t>
  </si>
  <si>
    <t>RES FR TEAM FCLTY</t>
  </si>
  <si>
    <t>RFTF</t>
  </si>
  <si>
    <t>SECURITY POLICE ENTRY CONTR BUILDING</t>
  </si>
  <si>
    <t>SP ENTRY CON BLDG</t>
  </si>
  <si>
    <t>A secured site, Entry Control Point.</t>
  </si>
  <si>
    <t>SPEC</t>
  </si>
  <si>
    <t>MASTER SURVEILLANCE AND CONTR FACILITY</t>
  </si>
  <si>
    <t>MASTER SRVLL &amp; CON</t>
  </si>
  <si>
    <t>MSCR</t>
  </si>
  <si>
    <t>ACCESS CONTROL FACILITY</t>
  </si>
  <si>
    <t>ACP</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</si>
  <si>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</si>
  <si>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Also known as: Gate Houses or Traffic Check Houses</t>
  </si>
  <si>
    <t>TCH</t>
  </si>
  <si>
    <t>SECURITY POLICE KENNEL CANINE</t>
  </si>
  <si>
    <t>SP KENNEL, CANINE</t>
  </si>
  <si>
    <t>Each = number of dog kennels within the facility.</t>
  </si>
  <si>
    <t>SPK9</t>
  </si>
  <si>
    <t>SECURITY POLICE KENNEL SUPPORT BUILDING</t>
  </si>
  <si>
    <t>SP KENNEL SPT BLDG</t>
  </si>
  <si>
    <t>Facility designed to provide support to the Canine Kennel.</t>
  </si>
  <si>
    <t>‌https://www.wbdg.org/FFC/AF/AFMAN/730842_SF_Kennel_Support_Facility.pdf</t>
  </si>
  <si>
    <t>SPKS</t>
  </si>
  <si>
    <t>MORTUARY</t>
  </si>
  <si>
    <t>Morgue</t>
  </si>
  <si>
    <t>‌$256.31</t>
  </si>
  <si>
    <t>‌$5.50</t>
  </si>
  <si>
    <t>MORT</t>
  </si>
  <si>
    <t>DRUG AND ALCOHOL ABUSE COUNSELING CENTER</t>
  </si>
  <si>
    <t>DRUG/ALC ABUSE</t>
  </si>
  <si>
    <t>Drug and Alcohol Abuse Center</t>
  </si>
  <si>
    <t>‌$200.13</t>
  </si>
  <si>
    <t>‌$3.99</t>
  </si>
  <si>
    <t>DAAC</t>
  </si>
  <si>
    <t>INCLEMENT WEATHER SHELTER, BELOW GROUND</t>
  </si>
  <si>
    <t>INCLEMENT WX SHLTR, BELOW GND</t>
  </si>
  <si>
    <t>Also known as: Tornado Shelter. Also see: CATCode 730660 ABOVE GROUND TORNADO SHELTER.</t>
  </si>
  <si>
    <t>UGWS</t>
  </si>
  <si>
    <t>SMOKING SHELTER</t>
  </si>
  <si>
    <t>SKSH</t>
  </si>
  <si>
    <t>MISCELLANEOUS PERSONNEL SHELTER</t>
  </si>
  <si>
    <t>MISC PERSONNEL SHELTER</t>
  </si>
  <si>
    <t>(AAFES CODE = 1Y)</t>
  </si>
  <si>
    <t>MIPS</t>
  </si>
  <si>
    <t>SEPARATE TOILET/SHOWER BUILDING</t>
  </si>
  <si>
    <t>SEP TOIL/SHOWER</t>
  </si>
  <si>
    <t>For Fam Camp, use CATCode 750612 FAM CAMP SPT BLDG.</t>
  </si>
  <si>
    <t>Public Restroom/Shower</t>
  </si>
  <si>
    <t>‌$179.39</t>
  </si>
  <si>
    <t>‌$6.29</t>
  </si>
  <si>
    <t>STSB</t>
  </si>
  <si>
    <t>73075, 74089</t>
  </si>
  <si>
    <t>ENCLOSED MALL</t>
  </si>
  <si>
    <t>Shopping center under one roof that combines the elements of a community shopping center with the main exchange, exchange outlets, commissary, credit union, and bank.</t>
  </si>
  <si>
    <t>Exchange Sales Facility</t>
  </si>
  <si>
    <t>ENCM</t>
  </si>
  <si>
    <t>74001, 74002</t>
  </si>
  <si>
    <t>BANK BRANCH</t>
  </si>
  <si>
    <t>Bank and Credit Union</t>
  </si>
  <si>
    <t>‌$231.82</t>
  </si>
  <si>
    <t>BBRH</t>
  </si>
  <si>
    <t>CREDIT UNION</t>
  </si>
  <si>
    <t>CURH</t>
  </si>
  <si>
    <t>FAMILY SUPPORT CENTER</t>
  </si>
  <si>
    <t>FAM SPT CEN</t>
  </si>
  <si>
    <t>Family Service Center</t>
  </si>
  <si>
    <t>‌$171.70</t>
  </si>
  <si>
    <t>FSTC</t>
  </si>
  <si>
    <t>THRIFT SHP</t>
  </si>
  <si>
    <t>Thrift Shop</t>
  </si>
  <si>
    <t>‌$90.01</t>
  </si>
  <si>
    <t>‌$5.00</t>
  </si>
  <si>
    <t>THSP</t>
  </si>
  <si>
    <t>STORE, BOOK</t>
  </si>
  <si>
    <t>BKST</t>
  </si>
  <si>
    <t>STORE, COMMISSARY</t>
  </si>
  <si>
    <t>Commissary</t>
  </si>
  <si>
    <t>‌$119.91</t>
  </si>
  <si>
    <t>‌$2.56</t>
  </si>
  <si>
    <t>COMI</t>
  </si>
  <si>
    <t>CADET STORE</t>
  </si>
  <si>
    <t>STORE, CADET</t>
  </si>
  <si>
    <t>USAFA is primary user.</t>
  </si>
  <si>
    <t>CADS</t>
  </si>
  <si>
    <t>BASE PACKAGE STORE</t>
  </si>
  <si>
    <t>BSE PACKAGE STOR</t>
  </si>
  <si>
    <t>PKGS</t>
  </si>
  <si>
    <t>ANIMAL CLINIC</t>
  </si>
  <si>
    <t>ANCL</t>
  </si>
  <si>
    <t>ROD AND GUN CLUB</t>
  </si>
  <si>
    <t>CLUB, ROD &amp; GUN</t>
  </si>
  <si>
    <t>Club and Organization Building</t>
  </si>
  <si>
    <t>‌$161.76</t>
  </si>
  <si>
    <t>‌$6.02</t>
  </si>
  <si>
    <t>RGCL</t>
  </si>
  <si>
    <t>RECREATION CENTER</t>
  </si>
  <si>
    <t>This facility serves as a center of recreation to enhance the life of the Air Force community through recreation and leisure-time activities.</t>
  </si>
  <si>
    <t>Recreation Center</t>
  </si>
  <si>
    <t>‌$179.15</t>
  </si>
  <si>
    <t>‌$6.04</t>
  </si>
  <si>
    <t>RECC</t>
  </si>
  <si>
    <t>AERO CLUB</t>
  </si>
  <si>
    <t>CLUB, AERO</t>
  </si>
  <si>
    <t>AERC</t>
  </si>
  <si>
    <t>EXCHANGE CAR WASH</t>
  </si>
  <si>
    <t>EXCH CAR WSH</t>
  </si>
  <si>
    <t>An Exchange operated car wash may be provided as dictated by the Exchange Service Command. The Exchange normally operates automated, drive-thru car washes.</t>
  </si>
  <si>
    <t>Car Wash Facility</t>
  </si>
  <si>
    <t>‌$2.32</t>
  </si>
  <si>
    <t>EXCW</t>
  </si>
  <si>
    <t>MWR OUTDOOR RECREATION CENTER</t>
  </si>
  <si>
    <t>MWR O/D REC CTR</t>
  </si>
  <si>
    <t>MWR Sales and Rental Building</t>
  </si>
  <si>
    <t>‌$4.96</t>
  </si>
  <si>
    <t>ODRC</t>
  </si>
  <si>
    <t>EXCHANGE AMUSEMENT CENTER</t>
  </si>
  <si>
    <t>EXCH, AMUSE CEN</t>
  </si>
  <si>
    <t>XAMC</t>
  </si>
  <si>
    <t>EXCHANGE CAFETERIA SNACK BAR</t>
  </si>
  <si>
    <t>EXCH, CAFÉ SNK BAR</t>
  </si>
  <si>
    <t>This category code identifies those cafeteria snack bar facilities that are provided in conjunction with the main exchange, overseas community shopping centers, exchange snack stand, or flight line snack bars. This includes AAFES operated brand name fast food restaurants.</t>
  </si>
  <si>
    <t>(AAFES CODE = 1Y) Also see: CATCode 722345 FAST FOOD SERVICE</t>
  </si>
  <si>
    <t>Exchange Eating Facility</t>
  </si>
  <si>
    <t>‌$191.38</t>
  </si>
  <si>
    <t>‌$6.40</t>
  </si>
  <si>
    <t>XCAF</t>
  </si>
  <si>
    <t>74051, 74062</t>
  </si>
  <si>
    <t>EXCHANGE BRANCH</t>
  </si>
  <si>
    <t>EXCH, BRANCH</t>
  </si>
  <si>
    <t>Facility designed to provide Air Force installation patrons with material goods shopping stores where the military family housing area is located remote from the main base exchange and where the military strength is 2,500 or more.</t>
  </si>
  <si>
    <t>(AAFES CODE = 1Y), includes AAFES Shoppette</t>
  </si>
  <si>
    <t>XBRA</t>
  </si>
  <si>
    <t>EXCHANGE SERVICE STATION</t>
  </si>
  <si>
    <t>EXCH, SVC STN</t>
  </si>
  <si>
    <t>Exchange Automobile Facility</t>
  </si>
  <si>
    <t>‌$152.77</t>
  </si>
  <si>
    <t>‌$4.45</t>
  </si>
  <si>
    <t>XSS</t>
  </si>
  <si>
    <t>EXCHANGE LAUNDRY AND DRYCLEANING PLANT</t>
  </si>
  <si>
    <t>EXCH LDRY&amp;CLN PLT</t>
  </si>
  <si>
    <t>XLDP</t>
  </si>
  <si>
    <t>EXCHANGE MAINTENANCE SHOP</t>
  </si>
  <si>
    <t>EXCH, MAINT SHP</t>
  </si>
  <si>
    <t>Exchange Support Facility</t>
  </si>
  <si>
    <t>‌$82.07</t>
  </si>
  <si>
    <t>‌$4.72</t>
  </si>
  <si>
    <t>XMS</t>
  </si>
  <si>
    <t>EXCHANGE ADMINISTRATION</t>
  </si>
  <si>
    <t>EXCH, ADMIN</t>
  </si>
  <si>
    <t>(AAFES CODE = 1Y) ALSO see: CATCode 740396 CENTRAL EXCHANGE ADMINISTRATION</t>
  </si>
  <si>
    <t>XADM</t>
  </si>
  <si>
    <t>EXCHANGE RETAIL WAREHOUSE</t>
  </si>
  <si>
    <t>EXCH, RETAIL WHSE</t>
  </si>
  <si>
    <t>Exchange Warehouse</t>
  </si>
  <si>
    <t>‌$164.91</t>
  </si>
  <si>
    <t>‌$2.28</t>
  </si>
  <si>
    <t>XRWH</t>
  </si>
  <si>
    <t>EXCHANGE SALES STORE</t>
  </si>
  <si>
    <t>EXCH, SALES STORE</t>
  </si>
  <si>
    <t>XSSS</t>
  </si>
  <si>
    <t>EXCHANGE SERVICE OUTLET</t>
  </si>
  <si>
    <t>EXCH, SVC OUTLET</t>
  </si>
  <si>
    <t>XSVO</t>
  </si>
  <si>
    <t>CENTRAL EXCHANGE ADMINISTRATION</t>
  </si>
  <si>
    <t>CENTRAL EXCH ADMIN</t>
  </si>
  <si>
    <t>XCAD</t>
  </si>
  <si>
    <t>CENTRAL EXCHANGE WAREHOUSE</t>
  </si>
  <si>
    <t>CENTRAL EXCH WHSE</t>
  </si>
  <si>
    <t>XCWH</t>
  </si>
  <si>
    <t>CENTRAL EXCHANGE SUPPORT FACILITY</t>
  </si>
  <si>
    <t>CEN EXCH SPT FCLTY</t>
  </si>
  <si>
    <t>Those facilities or area such as food processing (i.e. Central Kitchen) or depots, bakeries, refrigerated storage plants, central repair shops or processing plants that are extensions of the main facilities.</t>
  </si>
  <si>
    <t>XCSF</t>
  </si>
  <si>
    <t>TRANSIENT LODGING FACILITY (APPROPRIATED)</t>
  </si>
  <si>
    <t>TLF (APPR)</t>
  </si>
  <si>
    <t>‌$305.00</t>
  </si>
  <si>
    <t>‌$4.17</t>
  </si>
  <si>
    <t>TLFA</t>
  </si>
  <si>
    <t>72151, 72152, 74022</t>
  </si>
  <si>
    <t>FITNESS ROOM</t>
  </si>
  <si>
    <t>Fitness rooms are stand-alone gymnasium facilities, usually cardio equipment and weight machines or free weights, in a single area of rooms within a facility of a different CCN.</t>
  </si>
  <si>
    <t>Indoor Physical Fitness Facility</t>
  </si>
  <si>
    <t>TRANSIENT LODGING FACILITY (NON-APPROPRIATED)</t>
  </si>
  <si>
    <t>TLF (NAF)</t>
  </si>
  <si>
    <t>TLFN</t>
  </si>
  <si>
    <t>TRANSIENT LODGING SUPPORT BUILDING</t>
  </si>
  <si>
    <t>TRN LODGE SPT BLDG</t>
  </si>
  <si>
    <t>This facility hosts various support functions for TLF’s whenever these functions are not or cannot be incorporated within the main structure. These functions may include administration, lounge, mechanical equipment space or a launderette and custodial room.</t>
  </si>
  <si>
    <t>Transient And Recreational Lodging Support Facility</t>
  </si>
  <si>
    <t>‌$29.72</t>
  </si>
  <si>
    <t>‌$1.64</t>
  </si>
  <si>
    <t>TLSB</t>
  </si>
  <si>
    <t>OPEN MESS, AIRMEN</t>
  </si>
  <si>
    <t>OPEN MESS, AMN</t>
  </si>
  <si>
    <t>Open Mess and Club Facility</t>
  </si>
  <si>
    <t>‌$184.69</t>
  </si>
  <si>
    <t>‌$6.44</t>
  </si>
  <si>
    <t>OPMA</t>
  </si>
  <si>
    <t>CONSOLIDATED OPEN MESS</t>
  </si>
  <si>
    <t>OPEN MESS, CONSOL</t>
  </si>
  <si>
    <t>Open mess for both officer and enlisted personnel. Where officers and enlisted share all functional areas, except having separate bars.</t>
  </si>
  <si>
    <t>OPMC</t>
  </si>
  <si>
    <t>ENLISTED OPEN MESS</t>
  </si>
  <si>
    <t>OPEN MESS, NCO</t>
  </si>
  <si>
    <t>OPEN</t>
  </si>
  <si>
    <t>OFFICER OPEN MESS</t>
  </si>
  <si>
    <t>OPEN MESS, OFF</t>
  </si>
  <si>
    <t>OPOF</t>
  </si>
  <si>
    <t>MASTER TELEVISION ANTENNA</t>
  </si>
  <si>
    <t>ANTENNA, MSTR TV</t>
  </si>
  <si>
    <t>MTA</t>
  </si>
  <si>
    <t>ARTS AND CRAFTS CENTER</t>
  </si>
  <si>
    <t>ARTS&amp;CRAFTS CENTER</t>
  </si>
  <si>
    <t>Hobby And Craft Center</t>
  </si>
  <si>
    <t>‌$131.61</t>
  </si>
  <si>
    <t>‌$6.25</t>
  </si>
  <si>
    <t>ACCT</t>
  </si>
  <si>
    <t>HOBBY SHOP AUTOMOTIVE</t>
  </si>
  <si>
    <t>H/SHP, AUTOMOTIVE</t>
  </si>
  <si>
    <t>Automobile Craft Center</t>
  </si>
  <si>
    <t>‌$62.14</t>
  </si>
  <si>
    <t>‌$2.60</t>
  </si>
  <si>
    <t>HSAT</t>
  </si>
  <si>
    <t>RECREATION SITE LODGING</t>
  </si>
  <si>
    <t>RECTN SITE LODGING</t>
  </si>
  <si>
    <t>Recreational Lodging</t>
  </si>
  <si>
    <t>‌$103.91</t>
  </si>
  <si>
    <t>‌$4.95</t>
  </si>
  <si>
    <t>RCSL</t>
  </si>
  <si>
    <t>MISCELLANEOUS RECREATION BUILDING</t>
  </si>
  <si>
    <t>MISC RECTN BLDG</t>
  </si>
  <si>
    <t>Facility designed to provide miscellaneous indoor recreation activities not included in other recreation building categories.</t>
  </si>
  <si>
    <t>MREC</t>
  </si>
  <si>
    <t>MULTI PURPOSE RECREATION BUILDING</t>
  </si>
  <si>
    <t>MULTI PURP REC BLD</t>
  </si>
  <si>
    <t>This facility provides space for religious, welfare, and recreational activities at installations with military strengths up to 500. It may include space for religious activities, service club, open mess, youth center or entertainment activities.</t>
  </si>
  <si>
    <t>https://www.wbdg.org/FFC/AF/AFMAN/740669_Multipurpose_Recreation_Building.pdf</t>
  </si>
  <si>
    <t>MPRB</t>
  </si>
  <si>
    <t>BOWLING CENTER</t>
  </si>
  <si>
    <t>BOWL CEN</t>
  </si>
  <si>
    <t>LA = number of lanes</t>
  </si>
  <si>
    <t>LA</t>
  </si>
  <si>
    <t>‌$144.43</t>
  </si>
  <si>
    <t>‌$4.05</t>
  </si>
  <si>
    <t>BOWL</t>
  </si>
  <si>
    <t>MWR SUPPLY AND NAF CENTRAL STORAGE</t>
  </si>
  <si>
    <t>MWR SUP/NAF C-STOR</t>
  </si>
  <si>
    <t>Outdoor Recreation rentals, tickets and tours.</t>
  </si>
  <si>
    <t>MWR Storage Building</t>
  </si>
  <si>
    <t>‌$138.52</t>
  </si>
  <si>
    <t>‌$3.06</t>
  </si>
  <si>
    <t>MWRS</t>
  </si>
  <si>
    <t>GYMNASIUM</t>
  </si>
  <si>
    <t>‌$4.37</t>
  </si>
  <si>
    <t>GYMN</t>
  </si>
  <si>
    <t>74028, 74069</t>
  </si>
  <si>
    <t>74044, 74045, 74049</t>
  </si>
  <si>
    <t>BASE LIBRARY</t>
  </si>
  <si>
    <t>RECTN, LIB</t>
  </si>
  <si>
    <t>Library, General Use</t>
  </si>
  <si>
    <t>‌$196.81</t>
  </si>
  <si>
    <t>‌$4.31</t>
  </si>
  <si>
    <t>LIBR</t>
  </si>
  <si>
    <t>SWIMMING POOL, INDOOR</t>
  </si>
  <si>
    <t>SWIM POOL, INDOR</t>
  </si>
  <si>
    <t>Indoor Swimming Pool</t>
  </si>
  <si>
    <t>‌$157.92</t>
  </si>
  <si>
    <t>‌$4.73</t>
  </si>
  <si>
    <t>INSP</t>
  </si>
  <si>
    <t>SKATING RINK</t>
  </si>
  <si>
    <t>SKATE RINK</t>
  </si>
  <si>
    <t>Indoor Skating Rink</t>
  </si>
  <si>
    <t>‌$123.90</t>
  </si>
  <si>
    <t>‌$2.65</t>
  </si>
  <si>
    <t>SKAT</t>
  </si>
  <si>
    <t>74070, 74082</t>
  </si>
  <si>
    <t>CADET SOCIAL CENTER</t>
  </si>
  <si>
    <t>CADET SOCIAL CEN</t>
  </si>
  <si>
    <t>CDSC</t>
  </si>
  <si>
    <t>RED CROSS OFFICE</t>
  </si>
  <si>
    <t>See AFI 32-9003, Para 1.5.1 - License to Red Cross; Statutory Authority 10 U.S.C. 2670 &amp; 2602; and paragraphs 3.5.3 and 3.5.3.</t>
  </si>
  <si>
    <t>REDC</t>
  </si>
  <si>
    <t>RESTAURANT FUND MWR FACILITY</t>
  </si>
  <si>
    <t>RES FUND MWR FCLTY</t>
  </si>
  <si>
    <t>Space occupied by income producing activities operated by the base restaurant fund that are not food service related i.e. Bowling Alley, Barber and Beauty Shop and Sundry Sales.</t>
  </si>
  <si>
    <t>REMW</t>
  </si>
  <si>
    <t>CIVILIAN FUND MWR BUILDING</t>
  </si>
  <si>
    <t>CIV FUND MWR BLDG</t>
  </si>
  <si>
    <t>CFMW</t>
  </si>
  <si>
    <t>RESTAURANT, BASE</t>
  </si>
  <si>
    <t>This is not an Army and Air Force Exchange Service (AAFES) facility. Also see: CATCode 722345 FAST FOOD SERVICE.</t>
  </si>
  <si>
    <t>Non-Exchange Eating Facility</t>
  </si>
  <si>
    <t>‌$4.10</t>
  </si>
  <si>
    <t>RESB</t>
  </si>
  <si>
    <t>74013, 74060, 74064</t>
  </si>
  <si>
    <t>MARINA SUPPORT BUILDING</t>
  </si>
  <si>
    <t>Boathouse</t>
  </si>
  <si>
    <t>THEATER, BASE</t>
  </si>
  <si>
    <t>THEATER, BSE</t>
  </si>
  <si>
    <t>Facility designed for the showing of moving pictures, live stage production, and an auditorium for the assembly of base personnel for instruction or passing of information.</t>
  </si>
  <si>
    <t>Auditorium and Theater Facility</t>
  </si>
  <si>
    <t>‌$174.10</t>
  </si>
  <si>
    <t>‌$2.47</t>
  </si>
  <si>
    <t>THEB</t>
  </si>
  <si>
    <t>COMMUNITY/CONFERENCE CENTER</t>
  </si>
  <si>
    <t>CMTY/CONF CTR</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</si>
  <si>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</si>
  <si>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May contain a catering kitchen, office space, and a Video Teleconferencing Center (VTC)</t>
  </si>
  <si>
    <t>Community Activities/ Conference Center</t>
  </si>
  <si>
    <t>‌$241.61</t>
  </si>
  <si>
    <t>‌$4.42</t>
  </si>
  <si>
    <t>CCCR</t>
  </si>
  <si>
    <t>YOUTH CENTER</t>
  </si>
  <si>
    <t>YOUTH CEN</t>
  </si>
  <si>
    <t>YOUC</t>
  </si>
  <si>
    <t>CHILD DEVELOPMENT CENTER</t>
  </si>
  <si>
    <t>CHILD CARE CEN</t>
  </si>
  <si>
    <t>Also known as a Daycare Center.</t>
  </si>
  <si>
    <t>CDCC</t>
  </si>
  <si>
    <t>MORALE WELFARE REC PET KENNEL</t>
  </si>
  <si>
    <t>Retail Kennel</t>
  </si>
  <si>
    <t>‌$185.99</t>
  </si>
  <si>
    <t>‌$4.67</t>
  </si>
  <si>
    <t>MWRP</t>
  </si>
  <si>
    <t>ATHLETIC FIELD, BASEBALL</t>
  </si>
  <si>
    <t>ATHLT FLD BASEBALL</t>
  </si>
  <si>
    <t>Athletic Field</t>
  </si>
  <si>
    <t>‌$1131666.93</t>
  </si>
  <si>
    <t>‌$7185.66</t>
  </si>
  <si>
    <t>AFBB</t>
  </si>
  <si>
    <t>ATHLETIC FIELD, FOOTBALL/SOCCER</t>
  </si>
  <si>
    <t>ATHLT FLD FB/SOC</t>
  </si>
  <si>
    <t>AFFTB</t>
  </si>
  <si>
    <t>ATHLETIC FIELD, TRACK</t>
  </si>
  <si>
    <t>ATHLT FLD TRACK</t>
  </si>
  <si>
    <t>Grass or artificial turf. (Artificial turf is real property)</t>
  </si>
  <si>
    <t>Running Track</t>
  </si>
  <si>
    <t>‌$185848.27</t>
  </si>
  <si>
    <t>‌$2646.00</t>
  </si>
  <si>
    <t>AFTR</t>
  </si>
  <si>
    <t>ATHLETIC FIELD, SOFTBALL</t>
  </si>
  <si>
    <t>ATHLT FLD SOFTBALL</t>
  </si>
  <si>
    <t>AFSB</t>
  </si>
  <si>
    <t>ATHLETIC FIELD, STANDARD</t>
  </si>
  <si>
    <t>ATHLT FLD STD</t>
  </si>
  <si>
    <t>AFST</t>
  </si>
  <si>
    <t>17992, 75022</t>
  </si>
  <si>
    <t>STADIUM</t>
  </si>
  <si>
    <t>‌$3202216.14</t>
  </si>
  <si>
    <t>‌$31892.81</t>
  </si>
  <si>
    <t>STAD</t>
  </si>
  <si>
    <t>COURT, TENNIS</t>
  </si>
  <si>
    <t>CRT, TENNIS</t>
  </si>
  <si>
    <t>Outdoor Playing Court</t>
  </si>
  <si>
    <t>‌$134808.90</t>
  </si>
  <si>
    <t>CRTT</t>
  </si>
  <si>
    <t>PLATFORM TENNIS</t>
  </si>
  <si>
    <t>A platform (elevated court) surrounded with a taut fencing which allows play off the walls, as in racquetball and squash.</t>
  </si>
  <si>
    <t>PLTT</t>
  </si>
  <si>
    <t>COURT, RECREATION</t>
  </si>
  <si>
    <t>CRT, RECTN</t>
  </si>
  <si>
    <t>Volleyball, Horseshoes, Paintball, etc.</t>
  </si>
  <si>
    <t>CRTR</t>
  </si>
  <si>
    <t>RECREATION PAVILION</t>
  </si>
  <si>
    <t>O/D RECTN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</si>
  <si>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</si>
  <si>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Includes gazebos.</t>
  </si>
  <si>
    <t>Pavilion</t>
  </si>
  <si>
    <t>‌$96.68</t>
  </si>
  <si>
    <t>‌$0.49</t>
  </si>
  <si>
    <t>RPAV</t>
  </si>
  <si>
    <t>GOLF CLUBHOUSE</t>
  </si>
  <si>
    <t>GOLF CLUBHSE/EQUIP</t>
  </si>
  <si>
    <t>Golf Club House and Sales</t>
  </si>
  <si>
    <t>‌$146.31</t>
  </si>
  <si>
    <t>‌$7.58</t>
  </si>
  <si>
    <t>GLFC</t>
  </si>
  <si>
    <t>GOLF EQUIPMENT BUILDING</t>
  </si>
  <si>
    <t>GOLF MAINT/EQUIP</t>
  </si>
  <si>
    <t>GLFE</t>
  </si>
  <si>
    <t>GOLF COURSE, 9 HOLE</t>
  </si>
  <si>
    <t>GOLF CRS 9 HOLE</t>
  </si>
  <si>
    <t>Golf Course</t>
  </si>
  <si>
    <t>‌$2874090.50</t>
  </si>
  <si>
    <t>‌$70591.00</t>
  </si>
  <si>
    <t>GLF9</t>
  </si>
  <si>
    <t>GOLF COURSE, 18 HOLE</t>
  </si>
  <si>
    <t>GOLF CRS 18 HOLE</t>
  </si>
  <si>
    <t>GL18</t>
  </si>
  <si>
    <t>GOLF DRIVING RANGE</t>
  </si>
  <si>
    <t>‌$198472.39</t>
  </si>
  <si>
    <t>‌$7307.41</t>
  </si>
  <si>
    <t>GLDR</t>
  </si>
  <si>
    <t>PITCH &amp; PUTT GOLF COURSE</t>
  </si>
  <si>
    <t>PITCH AND PUTT GOLF COURSE</t>
  </si>
  <si>
    <t>Golf Pitch and Putt Course</t>
  </si>
  <si>
    <t>‌$467939.98</t>
  </si>
  <si>
    <t>‌$35295.50</t>
  </si>
  <si>
    <t>GLPP</t>
  </si>
  <si>
    <t>75043, 75044</t>
  </si>
  <si>
    <t>RECREATION/PICNIC AREA</t>
  </si>
  <si>
    <t>REC AREA</t>
  </si>
  <si>
    <t>Outdoor Recreation Area</t>
  </si>
  <si>
    <t>PICN</t>
  </si>
  <si>
    <t>MISCELLANEOUS OUTDOOR RECREATION FACILITY</t>
  </si>
  <si>
    <t>MISC O/RECTN FCLTY</t>
  </si>
  <si>
    <t>Facility designed to accommodate miscellaneous outdoor recreation such as a parcours trail (an outdoor exercise course), marina, or other miscellaneous outdoor recreation activities.</t>
  </si>
  <si>
    <t>A fitness trail (also known as outdoor exercise equipment and sometimes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 Courses tend to be flat, to permit participation by the elderly, and to accommodate cyclists, runners, skaters and walking.</t>
  </si>
  <si>
    <t>Miscellaneous Outdoor Recreation Facility</t>
  </si>
  <si>
    <t>‌$121889.25</t>
  </si>
  <si>
    <t>‌$2613.92</t>
  </si>
  <si>
    <t>MORF</t>
  </si>
  <si>
    <t>75017, 75024, 75025, 75028, 75029, 75033, 75036, 75045, 75062, 75065, 75088, 75089</t>
  </si>
  <si>
    <t>75021, 75022, 75023, 75037, 75052</t>
  </si>
  <si>
    <t>CIVILIAN OUTDOOR RECREATION FACILITY</t>
  </si>
  <si>
    <t>CIV O/RCTN FCLTY</t>
  </si>
  <si>
    <t>CORF</t>
  </si>
  <si>
    <t>RIDING STABLES</t>
  </si>
  <si>
    <t>Stable</t>
  </si>
  <si>
    <t>‌$37.83</t>
  </si>
  <si>
    <t>‌$0.62</t>
  </si>
  <si>
    <t>RIDS</t>
  </si>
  <si>
    <t>MARINA/BOAT RAMP</t>
  </si>
  <si>
    <t>MAR/BT RMP</t>
  </si>
  <si>
    <t>​A waterfront facility operated by MWR that provides rental boats, a boat launch, and other waterfront amenities.</t>
  </si>
  <si>
    <t>Marina</t>
  </si>
  <si>
    <t>BRMP</t>
  </si>
  <si>
    <t>FAMILY CAMPING AREA</t>
  </si>
  <si>
    <t>FAM CAMPS</t>
  </si>
  <si>
    <t>Also known as: Fam Camp</t>
  </si>
  <si>
    <t>Recreational Camp and Trailer Park</t>
  </si>
  <si>
    <t>‌$354740.28</t>
  </si>
  <si>
    <t>‌$17323.80</t>
  </si>
  <si>
    <t>FCPA</t>
  </si>
  <si>
    <t>75058, 75059</t>
  </si>
  <si>
    <t>FAMILY CAMPING SUPPORT FACILITY</t>
  </si>
  <si>
    <t>FAM CAMP SPT FAC</t>
  </si>
  <si>
    <t>FCPS</t>
  </si>
  <si>
    <t>PRIVATELY OWNED VEHICLE WASHRACK</t>
  </si>
  <si>
    <t>POV WASHRACK</t>
  </si>
  <si>
    <t>Car Wash Structure</t>
  </si>
  <si>
    <t>‌$83.28</t>
  </si>
  <si>
    <t>POVW</t>
  </si>
  <si>
    <t>SWIMMERS BATH HOUSE</t>
  </si>
  <si>
    <t>SWIMMERS BATH HSE</t>
  </si>
  <si>
    <t>SWBH</t>
  </si>
  <si>
    <t>SWIMMING POOL, OUTDOOR</t>
  </si>
  <si>
    <t>SWIM POOL, CONSOL</t>
  </si>
  <si>
    <t>Also see CATCodes: 750811 SWIMMERS BATH HOUSE, 750813 SWIMMING POOL, AIRMEN, 750815 NCO SWIMMING POOL, and 750817 OFFICER SWIMMING POOL.</t>
  </si>
  <si>
    <t>Outdoor Swimming Pool</t>
  </si>
  <si>
    <t>‌$979230.88</t>
  </si>
  <si>
    <t>SPCO</t>
  </si>
  <si>
    <t>75030, 75031</t>
  </si>
  <si>
    <t>75030, 75034</t>
  </si>
  <si>
    <t>SWIMMING POOL WATER TREATMENT</t>
  </si>
  <si>
    <t>SWIM POOL WTR TRMT</t>
  </si>
  <si>
    <t>Recreational Support Building</t>
  </si>
  <si>
    <t>‌$77.97</t>
  </si>
  <si>
    <t>SPWT</t>
  </si>
  <si>
    <t>THEATER, OUTDOOR</t>
  </si>
  <si>
    <t>THEATER OUTDOOR</t>
  </si>
  <si>
    <t>Located outdoors.</t>
  </si>
  <si>
    <t>Outdoor Theater</t>
  </si>
  <si>
    <t>‌$147382.38</t>
  </si>
  <si>
    <t>‌$5734.06</t>
  </si>
  <si>
    <t>ODTH</t>
  </si>
  <si>
    <t>PLAYGROUND, GENERAL PURPOSE</t>
  </si>
  <si>
    <t>PLAYGROUND GP</t>
  </si>
  <si>
    <t>Replaces CATCode 735400 SCHOOL PLAYGROUND. Playground repairs at daycare centers are reimbursable. At other playgrounds, they are not reimbursable.</t>
  </si>
  <si>
    <t>Playground</t>
  </si>
  <si>
    <t>‌$215720.50</t>
  </si>
  <si>
    <t>‌$3311.50</t>
  </si>
  <si>
    <t>PGGP</t>
  </si>
  <si>
    <t>RECREATIONAL PIER/PLATFORM</t>
  </si>
  <si>
    <t>REC PIER/PLAT</t>
  </si>
  <si>
    <t>‌$8772.98</t>
  </si>
  <si>
    <t>‌$541.44</t>
  </si>
  <si>
    <t>PPLA</t>
  </si>
  <si>
    <t>RECREATIONAL PIER</t>
  </si>
  <si>
    <t>Also see: CATCode 751721 RECREATIONAL PIER/PLATFORM</t>
  </si>
  <si>
    <t>PIER</t>
  </si>
  <si>
    <t>MUSEUM BUILDING</t>
  </si>
  <si>
    <t>MUSEUM BLDG</t>
  </si>
  <si>
    <t>MUSE</t>
  </si>
  <si>
    <t>HERITAGE CENTER FACILITY</t>
  </si>
  <si>
    <t>HERITAGE CTR</t>
  </si>
  <si>
    <t>HTCF</t>
  </si>
  <si>
    <t>PET CEMETERY</t>
  </si>
  <si>
    <t>CEMETERY</t>
  </si>
  <si>
    <t>PCEM</t>
  </si>
  <si>
    <t>COLUMBARIUM</t>
  </si>
  <si>
    <t>A structure for the placement and storage of cinerary urns. Columbaria can be either integrated into an interior or boundary wall, or part of a mausoleum or another building.</t>
  </si>
  <si>
    <t>COLU</t>
  </si>
  <si>
    <t>76035, 76036</t>
  </si>
  <si>
    <t>Also see: CATCodes 760350 COLUMBARIUM and 760330 PET CEMETARY.</t>
  </si>
  <si>
    <t>CEME</t>
  </si>
  <si>
    <t>76030, 76031, 76032</t>
  </si>
  <si>
    <t>MONUMENTS/MEMORIALS</t>
  </si>
  <si>
    <t>MONUMENTS/MEMORL</t>
  </si>
  <si>
    <t>Use this CATCode for airplane static displays. IAW AFI 65-601v1: 4.68. Memorials and Monuments. Absent specific statutory authority, appropriated funds are not available to fund the construction of memorials or monuments. The construction of memorials in Washington, DC is funded through private donations, e.g. the Vietnam Veterans Memorial, the World War II Memorial, the Air Force Memorial, the Navy Memorial, etc. The Federal Government donates the land and private funds construct the memorial. Once constructed, federal funds are used to maintain the memorials. See AFI 36-3108, Memorialization Program and Ceremonies.</t>
  </si>
  <si>
    <t>Monument and Memorial</t>
  </si>
  <si>
    <t>‌$8900.49</t>
  </si>
  <si>
    <t>‌$275.62</t>
  </si>
  <si>
    <t>MONU</t>
  </si>
  <si>
    <t>ELECTRIC POWER GENERATION NON-PLANT (ELECTRIC POWER, PHOTOVOLTAIC)</t>
  </si>
  <si>
    <t>ELECT PWR-PHOTV</t>
  </si>
  <si>
    <t>A utility system that generates electric power as a result of exposure to direct sunlight or other light energy source. The utility does not include a building to house the equipment associated with this electricity producing operation.</t>
  </si>
  <si>
    <t>Also see: CATCode 890127 SOLAR COLLECTION SYSTEM.</t>
  </si>
  <si>
    <t>Electrical Power Source, PhotoVoltaic</t>
  </si>
  <si>
    <t>KW</t>
  </si>
  <si>
    <t>‌$12932.28</t>
  </si>
  <si>
    <t>‌$20.40</t>
  </si>
  <si>
    <t>EPPV</t>
  </si>
  <si>
    <t>TOTAL ENERGY PLANT BUILDING</t>
  </si>
  <si>
    <t>TOTAL ENG PLT BLDG</t>
  </si>
  <si>
    <t>Utility Building</t>
  </si>
  <si>
    <t>‌$79.16</t>
  </si>
  <si>
    <t>TEPB</t>
  </si>
  <si>
    <t>ELECTRIC POWER GENERATION PLANT (ELECTRIC POWER, PHOTOVOLTAIC)</t>
  </si>
  <si>
    <t>ELEC PWR GEN PLT</t>
  </si>
  <si>
    <t>Facility designed to provide Government-owned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</si>
  <si>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Also known as Solar Farms, if more than one solar panel. Also see: CATCode 890127 SOLAR COLLECTION SYSTEM.</t>
  </si>
  <si>
    <t>EPGP</t>
  </si>
  <si>
    <t>WIND TURBINE</t>
  </si>
  <si>
    <t>Also known as a: Wind Farm, if more than one turbine.</t>
  </si>
  <si>
    <t>Electrical Power Source, Wind Generated</t>
  </si>
  <si>
    <t>‌$5446.40</t>
  </si>
  <si>
    <t>‌$21.41</t>
  </si>
  <si>
    <t>WTBN</t>
  </si>
  <si>
    <t>EMERGENCY ELECTRIC POWER GENERATION PLANT</t>
  </si>
  <si>
    <t>ELEC E/PWR GEN PLT</t>
  </si>
  <si>
    <t>If located outside of a facility, give the generator its own facility number and RPUID. Belly tanks would be considered an additional allocation to the generator under CATCode 890171 MISC. STORAGE TANK.</t>
  </si>
  <si>
    <t>Stand-By/Emergency Power</t>
  </si>
  <si>
    <t>‌$530.46</t>
  </si>
  <si>
    <t>EEPG</t>
  </si>
  <si>
    <t>ELECTRIC POWER STATION BUILDING</t>
  </si>
  <si>
    <t>ELEC PWR STN BLDG</t>
  </si>
  <si>
    <t/>
  </si>
  <si>
    <t>EPSB</t>
  </si>
  <si>
    <t>89113, 89120</t>
  </si>
  <si>
    <t>81159, 81209, 81310</t>
  </si>
  <si>
    <t>STANDBY GENERATOR</t>
  </si>
  <si>
    <t>BATTERY ENERGY STORAGE SYSTEM</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</si>
  <si>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t>
  </si>
  <si>
    <t>Battery Energy Storage System (BESS)</t>
  </si>
  <si>
    <t>MW</t>
  </si>
  <si>
    <t>PRIMARY DISTRIBUTION LINE OVERHEAD</t>
  </si>
  <si>
    <t>PRIM DISTR LNE OH</t>
  </si>
  <si>
    <t>System and equipment of the overhead primary or higher voltage circuits of the system (poles, guys, cross arms, insulators, hardware, lighting arresters, fuses, line switches and associated equipment.</t>
  </si>
  <si>
    <t>Includes barrel-shaped transformers attached to utility poles. Also see: CATCode 813321 TRANSFORMERS.</t>
  </si>
  <si>
    <t>Electrical Power Distribution Line, Overhead</t>
  </si>
  <si>
    <t>‌$45.16</t>
  </si>
  <si>
    <t>‌$0.26</t>
  </si>
  <si>
    <t>PDLO</t>
  </si>
  <si>
    <t>SECONDARY DISTRIBUTION LINE OVERHEAD</t>
  </si>
  <si>
    <t>SEC DISTR LNE OH</t>
  </si>
  <si>
    <t>SDLO</t>
  </si>
  <si>
    <t>PRIMARY DISTRIBUTION LINE UNDERGROUND</t>
  </si>
  <si>
    <t>PRIM DISTR LNE UG</t>
  </si>
  <si>
    <t>System and equipment of the underground primary electrical distribution system. The underground distribution primary line consists of ducts, man-holes, vaults, cables, pot heads, switches, protective devices, and associated equipment.</t>
  </si>
  <si>
    <t>Includes green or gray utility vault boxes, usually on concrete pads. Also see: CATCode 813321 TRANSFORMERS.</t>
  </si>
  <si>
    <t>Electrical Power Distribution Line, Underground</t>
  </si>
  <si>
    <t>‌$43.75</t>
  </si>
  <si>
    <t>‌$0.75</t>
  </si>
  <si>
    <t>PDLU</t>
  </si>
  <si>
    <t>SECONDARY DISTRIBUTION LINE UNDERGROUND</t>
  </si>
  <si>
    <t>SEC DISTR LNE UG</t>
  </si>
  <si>
    <t>Utility component of the base electric distribution system. The underground secondary system consists of conductors, ducts, splice boxes, manholes, services, control and protective devices and associated equipment</t>
  </si>
  <si>
    <t>SDLU</t>
  </si>
  <si>
    <t>EXTERIOR AREA LIGHTING</t>
  </si>
  <si>
    <t>EXTERIOR AREA LTG</t>
  </si>
  <si>
    <t>EA = the number of light poles not the number of lights on a pole. Types of lighting include: mercury &amp; metal halide, solar, LED, high pressure sodium, and low pressure sodium.</t>
  </si>
  <si>
    <t>Exterior Lighting, Pole</t>
  </si>
  <si>
    <t>‌$3289.69</t>
  </si>
  <si>
    <t>‌$37.47</t>
  </si>
  <si>
    <t>EAL</t>
  </si>
  <si>
    <t>81220, 81240</t>
  </si>
  <si>
    <t>TRAFFIC LIGHTS</t>
  </si>
  <si>
    <t>Traffic Control Signals</t>
  </si>
  <si>
    <t>‌$335095.26</t>
  </si>
  <si>
    <t>‌$1038.87</t>
  </si>
  <si>
    <t>TRAFL</t>
  </si>
  <si>
    <t>ELECTRIC SWITCHING STATION</t>
  </si>
  <si>
    <t>ELEC SWITCH STN</t>
  </si>
  <si>
    <t>Electrical Power Switching Station</t>
  </si>
  <si>
    <t>KV</t>
  </si>
  <si>
    <t>‌$43.00</t>
  </si>
  <si>
    <t>‌$0.35</t>
  </si>
  <si>
    <t>ESWS</t>
  </si>
  <si>
    <t>ELECTRIC SUBSTATION</t>
  </si>
  <si>
    <t>ELEC SUBSTATION</t>
  </si>
  <si>
    <t>This category code identifies those facilities that change the voltage, normally from high voltage (15,000 and higher) to a lower voltage for primary distribution. They include the transformers, switching equipment, circuit breakers and safety equipment.</t>
  </si>
  <si>
    <t>Electrical Power Substation</t>
  </si>
  <si>
    <t>‌$221.38</t>
  </si>
  <si>
    <t>‌$18.39</t>
  </si>
  <si>
    <t>ELSS</t>
  </si>
  <si>
    <t>TRANSFORMER STATION 500KV OR LESS</t>
  </si>
  <si>
    <t>TRANS STN LESS THAN 500KV</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</si>
  <si>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</si>
  <si>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Electrical Power Transformers</t>
  </si>
  <si>
    <t>‌$43.91</t>
  </si>
  <si>
    <t>‌$7.05</t>
  </si>
  <si>
    <t>TLESS</t>
  </si>
  <si>
    <t>TRANSFORMERS</t>
  </si>
  <si>
    <t>TNFM</t>
  </si>
  <si>
    <t>LIGHTNING PROTECTION SYSTEM, STANDALONE</t>
  </si>
  <si>
    <t>LPS, STANDALONE</t>
  </si>
  <si>
    <t>‌$2896.45</t>
  </si>
  <si>
    <t>‌$902.36</t>
  </si>
  <si>
    <t>LPSS</t>
  </si>
  <si>
    <t>COAL YARD</t>
  </si>
  <si>
    <t>COAL</t>
  </si>
  <si>
    <t>85235, 85240</t>
  </si>
  <si>
    <t>HEATING FUEL OIL STORAGE</t>
  </si>
  <si>
    <t>HTG FL OIL STOR</t>
  </si>
  <si>
    <t>HFOS</t>
  </si>
  <si>
    <t>82160, 82161</t>
  </si>
  <si>
    <t>HEATING FROM CENTRAL PLANT</t>
  </si>
  <si>
    <t>HTG FR CEN PLT</t>
  </si>
  <si>
    <t>Facilities that receive heat from a central plant and distribute it to one or more buildings. Mechanical rooms may be part of the facility or standalone.</t>
  </si>
  <si>
    <t>Includes piping, converts, manifolds, pump stations, and safety equipment.</t>
  </si>
  <si>
    <t>HFCP</t>
  </si>
  <si>
    <t>HEATING PLANT</t>
  </si>
  <si>
    <t>HTG PLT 750/3500MB</t>
  </si>
  <si>
    <t>Heat Source</t>
  </si>
  <si>
    <t>BH</t>
  </si>
  <si>
    <t>‌$0.02</t>
  </si>
  <si>
    <t>‌$0.00</t>
  </si>
  <si>
    <t>HPLT</t>
  </si>
  <si>
    <t>82110, 82117, 82118, 82120, 82130, 82140, 82160, 82182, 82187</t>
  </si>
  <si>
    <t>82112, 82122, 82130</t>
  </si>
  <si>
    <t>HEATING FACILITY BUILDING</t>
  </si>
  <si>
    <t>HTG FCLTY BLDG</t>
  </si>
  <si>
    <t>HTFB</t>
  </si>
  <si>
    <t>STEAM PLANT INDUSTRIAL</t>
  </si>
  <si>
    <t>STEAM PLT IND</t>
  </si>
  <si>
    <t>STMP</t>
  </si>
  <si>
    <t>82140, 82150</t>
  </si>
  <si>
    <t>STEAM FACILITY BUILDING</t>
  </si>
  <si>
    <t>STEAM FCLTY BLDG</t>
  </si>
  <si>
    <t>This facility contains a heating plant that provides steam service to two or more facilities.</t>
  </si>
  <si>
    <t>SFTB</t>
  </si>
  <si>
    <t>HEATING PLANT, GEOTHERMAL (ENVIRONMENTAL)</t>
  </si>
  <si>
    <t>HEAT PLT GEO</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</si>
  <si>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</si>
  <si>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HPTG</t>
  </si>
  <si>
    <t>HOT WATER MAINS</t>
  </si>
  <si>
    <t>HOT WTR MAINS</t>
  </si>
  <si>
    <t>Heat Distribution Line</t>
  </si>
  <si>
    <t>‌$432.74</t>
  </si>
  <si>
    <t>‌$3.15</t>
  </si>
  <si>
    <t>HWMA</t>
  </si>
  <si>
    <t>82220, 82221</t>
  </si>
  <si>
    <t>82216, 82226</t>
  </si>
  <si>
    <t>HOT WATER PUMP STATION</t>
  </si>
  <si>
    <t>HOT WTR PMP STN</t>
  </si>
  <si>
    <t>Miscellaneous Pump Station</t>
  </si>
  <si>
    <t>‌$14113.55</t>
  </si>
  <si>
    <t>‌$168.28</t>
  </si>
  <si>
    <t>HWPS</t>
  </si>
  <si>
    <t>STEAM HEATING MAINS</t>
  </si>
  <si>
    <t>STEAM HT MAINS</t>
  </si>
  <si>
    <t>STEA</t>
  </si>
  <si>
    <t>82210, 82240</t>
  </si>
  <si>
    <t>CONDENSATE RETURN PUMP STATION</t>
  </si>
  <si>
    <t>CONDEN PMP STN</t>
  </si>
  <si>
    <t>COND</t>
  </si>
  <si>
    <t>HEAT GAS SOURCE</t>
  </si>
  <si>
    <t>HT GAS SOURCE</t>
  </si>
  <si>
    <t>Heat Gas Production Plant</t>
  </si>
  <si>
    <t>HGAS</t>
  </si>
  <si>
    <t>GAS COMPRESSOR BUILDING</t>
  </si>
  <si>
    <t>GAS COMPRESSOR</t>
  </si>
  <si>
    <t>GASC</t>
  </si>
  <si>
    <t>GAS STORAGE</t>
  </si>
  <si>
    <t>GAS STOR</t>
  </si>
  <si>
    <t>Heat Gas Storage</t>
  </si>
  <si>
    <t>‌$109677.99</t>
  </si>
  <si>
    <t>‌$456.36</t>
  </si>
  <si>
    <t>GASS</t>
  </si>
  <si>
    <t>GAS VAPORIZOR BUILDING</t>
  </si>
  <si>
    <t>GAS VAPORIZOR</t>
  </si>
  <si>
    <t>GSVP</t>
  </si>
  <si>
    <t>GAS METER FACILITY</t>
  </si>
  <si>
    <t>GAS METER FCLTY</t>
  </si>
  <si>
    <t>GASM</t>
  </si>
  <si>
    <t>GAS MAINS</t>
  </si>
  <si>
    <t>Heat Gas Distribution Line</t>
  </si>
  <si>
    <t>‌$20.74</t>
  </si>
  <si>
    <t>‌$0.15</t>
  </si>
  <si>
    <t>GASN</t>
  </si>
  <si>
    <t>GAS ODORIZER FACILITY</t>
  </si>
  <si>
    <t>GAS ODORIZER FCLTY</t>
  </si>
  <si>
    <t>GASO</t>
  </si>
  <si>
    <t>GAS VALVE FACILITY</t>
  </si>
  <si>
    <t>GAS VALVE FCLTY</t>
  </si>
  <si>
    <t>GASV</t>
  </si>
  <si>
    <t>AIR-CONDITIONING/REFRIGERATION PLANT</t>
  </si>
  <si>
    <t>AC/REF PLANT</t>
  </si>
  <si>
    <t>Refrigeration and Air Conditioning Source</t>
  </si>
  <si>
    <t>‌$5201.93</t>
  </si>
  <si>
    <t>‌$67.51</t>
  </si>
  <si>
    <t>ACRP</t>
  </si>
  <si>
    <t>AIR CONDITIONING PLANT OVER 100 TONS</t>
  </si>
  <si>
    <t>A/C PLT OVER 100TN</t>
  </si>
  <si>
    <t>ACOT</t>
  </si>
  <si>
    <t>CHILLED WATER EXTERIOR DISTRIBUTION LINE</t>
  </si>
  <si>
    <t>C/WTR EX/DISTR LNE</t>
  </si>
  <si>
    <t>Chilled Water and Refrigerant Distribution Line</t>
  </si>
  <si>
    <t>‌$125.95</t>
  </si>
  <si>
    <t>‌$4.80</t>
  </si>
  <si>
    <t>CWED</t>
  </si>
  <si>
    <t>INDUSTRIAL WASTE TREATMENT AND DISPOSAL</t>
  </si>
  <si>
    <t>IND WST TRMT&amp;DSPL</t>
  </si>
  <si>
    <t>Also known as an Oil/Water Separator. Facility designed to collect and separate spilled fuel and oil carried by surface water draining from aircraft parking aprons or other pavements susceptible to fuel spills.</t>
  </si>
  <si>
    <t>Industrial Waste Treatment</t>
  </si>
  <si>
    <t>KG</t>
  </si>
  <si>
    <t>‌$7374.48</t>
  </si>
  <si>
    <t>‌$132.47</t>
  </si>
  <si>
    <t>IWTD</t>
  </si>
  <si>
    <t>INDUSTRIAL WASTE FUEL SPILL COLLECTION</t>
  </si>
  <si>
    <t>IND WST FL-SP COLL</t>
  </si>
  <si>
    <t>Facility designed to collect and separate spilled fuel and oil carried by surface water draining from aircraft parking aprons or other pavements susceptible to fuel spills.</t>
  </si>
  <si>
    <t>Water Separation Facility</t>
  </si>
  <si>
    <t>‌$51.59</t>
  </si>
  <si>
    <t>‌$2.35</t>
  </si>
  <si>
    <t>IWFC</t>
  </si>
  <si>
    <t>83180, 83181</t>
  </si>
  <si>
    <t>83116, 87111</t>
  </si>
  <si>
    <t>SEWAGE TREATMENT AND DISPOSAL</t>
  </si>
  <si>
    <t>SEWAGE TRMT &amp; DSPL</t>
  </si>
  <si>
    <t>Sewage Treatment</t>
  </si>
  <si>
    <t>SWTD</t>
  </si>
  <si>
    <t>83110, 83112, 83113</t>
  </si>
  <si>
    <t>WASTE TREATMENT BUILDING</t>
  </si>
  <si>
    <t>WST TRMT BLDG</t>
  </si>
  <si>
    <t>WTTB</t>
  </si>
  <si>
    <t>89131, 89141</t>
  </si>
  <si>
    <t>83114, 83139, 83143, 83340</t>
  </si>
  <si>
    <t>SEWAGE SEPTIC TANK</t>
  </si>
  <si>
    <t>Also see: CATCode 831511 SEPTIC LAGOONS/PONDS.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</si>
  <si>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Septic Tank and Drain Field</t>
  </si>
  <si>
    <t>‌$5.52</t>
  </si>
  <si>
    <t>‌$0.05</t>
  </si>
  <si>
    <t>SSP</t>
  </si>
  <si>
    <t>RADIOACTIVE WASTE BURIAL SITE</t>
  </si>
  <si>
    <t>RADACT WST BU/SITE</t>
  </si>
  <si>
    <t>‌$368509.21</t>
  </si>
  <si>
    <t>‌$4575.26</t>
  </si>
  <si>
    <t>RAWB</t>
  </si>
  <si>
    <t>RADIOACTIVE WASTE DISPOSAL</t>
  </si>
  <si>
    <t>DSPL RADACT WST</t>
  </si>
  <si>
    <t>RAWD</t>
  </si>
  <si>
    <t>DEMOLITION AND BURN FACILITY</t>
  </si>
  <si>
    <t>DML &amp; BURN FCLTY</t>
  </si>
  <si>
    <t>DABF</t>
  </si>
  <si>
    <t>83141, 83142</t>
  </si>
  <si>
    <t>HAZARDOUS WASTE STORAGE &amp; TRANSFER FACILITY</t>
  </si>
  <si>
    <t>HAZ WASTE XFER</t>
  </si>
  <si>
    <t>​A storage facility for the containment and shipment of hazardous wastes. Can be short term or long term.</t>
  </si>
  <si>
    <t>HWST</t>
  </si>
  <si>
    <t>SEPTIC LAGOONS - PONDS</t>
  </si>
  <si>
    <t>SEPT LAGOON - POND</t>
  </si>
  <si>
    <t>Also see: CATCode 831169 SEWAGE SEPTIC TANK</t>
  </si>
  <si>
    <t>Septic Lagoon and Settlement Ponds</t>
  </si>
  <si>
    <t>‌$0.33</t>
  </si>
  <si>
    <t>SELP</t>
  </si>
  <si>
    <t>INDUSTRIAL WASTE MAIN</t>
  </si>
  <si>
    <t>IND WST MAIN</t>
  </si>
  <si>
    <t>Sewer and Industrial Waste Line</t>
  </si>
  <si>
    <t>‌$47.28</t>
  </si>
  <si>
    <t>‌$0.87</t>
  </si>
  <si>
    <t>IWMN</t>
  </si>
  <si>
    <t>SANITARY SEWAGE MAIN</t>
  </si>
  <si>
    <t>SAN SEWAGE MAIN</t>
  </si>
  <si>
    <t>SSMN</t>
  </si>
  <si>
    <t>83210, 83220, 87171</t>
  </si>
  <si>
    <t>SANITARY SEWAGE PUMP STATION</t>
  </si>
  <si>
    <t>SAN SEWAGE PMP STN</t>
  </si>
  <si>
    <t>Also known as a Lift Station.</t>
  </si>
  <si>
    <t>Sewage Lift Stations</t>
  </si>
  <si>
    <t>‌$319544.64</t>
  </si>
  <si>
    <t>‌$2236.92</t>
  </si>
  <si>
    <t>SSPS</t>
  </si>
  <si>
    <t>83230, 83231, 83241</t>
  </si>
  <si>
    <t>RECYCLING CENTER</t>
  </si>
  <si>
    <t>Refuse Collection and Recycling Facility</t>
  </si>
  <si>
    <t>‌$51848.33</t>
  </si>
  <si>
    <t>‌$4120.89</t>
  </si>
  <si>
    <t>RYCC</t>
  </si>
  <si>
    <t>INCINERATOR FACILITY</t>
  </si>
  <si>
    <t>INCINERATOR</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</si>
  <si>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CATCode 89133, REFUSE AND GARBAGE BULDING). This category includes incinerators that are stand-alone facilities at hospitals/medical centers for disposal of pathological/medical waste. Measure the 1 day burn rate (in other words, TN per day).</t>
  </si>
  <si>
    <t>TH = tons per hour.</t>
  </si>
  <si>
    <t>Incinerator</t>
  </si>
  <si>
    <t>TH</t>
  </si>
  <si>
    <t>‌$281039.71</t>
  </si>
  <si>
    <t>‌$1671.80</t>
  </si>
  <si>
    <t>INCI</t>
  </si>
  <si>
    <t>83309, 83310</t>
  </si>
  <si>
    <t>GARBAGE STAND</t>
  </si>
  <si>
    <t>GARB</t>
  </si>
  <si>
    <t>SOLID WASTE DISPOSAL FACILITY</t>
  </si>
  <si>
    <t>S/WASTE DISPL FCLT</t>
  </si>
  <si>
    <t>SWDF</t>
  </si>
  <si>
    <t>83320, 83321</t>
  </si>
  <si>
    <t>SOLID WASTE REPOSITORY</t>
  </si>
  <si>
    <t>S/WASTE REPOSITORY</t>
  </si>
  <si>
    <t>SWRP</t>
  </si>
  <si>
    <t>GARBAGE CONTAINER WASHRACK</t>
  </si>
  <si>
    <t>GRBG CNT WASH RACK</t>
  </si>
  <si>
    <t>GCWR</t>
  </si>
  <si>
    <t>SOLID WASTE DISPOSAL LANDFILL</t>
  </si>
  <si>
    <t>S/WASTE DSPL LNDFI</t>
  </si>
  <si>
    <t>Also known as: Non-Hazardous Landfill.</t>
  </si>
  <si>
    <t>Sanitary Landfill</t>
  </si>
  <si>
    <t>‌$717301.88</t>
  </si>
  <si>
    <t>‌$5036.32</t>
  </si>
  <si>
    <t>SWDL</t>
  </si>
  <si>
    <t>HAZARDOUS/WASTE DISPOSAL LANDFILL</t>
  </si>
  <si>
    <t>H/WASTE DSPL LNDFI</t>
  </si>
  <si>
    <t>Also known as: Hazardous Landfill.</t>
  </si>
  <si>
    <t>Hazardous Waste Landfill</t>
  </si>
  <si>
    <t>HZWL</t>
  </si>
  <si>
    <t>WATER SUPPLY MAINS</t>
  </si>
  <si>
    <t>WTR SUP MAINS</t>
  </si>
  <si>
    <t>Pipes or conduits that supply water from the water source to the treatment plant. Typically, this category includes pipelines, valves, and access manholes.</t>
  </si>
  <si>
    <t>‌$29.20</t>
  </si>
  <si>
    <t>‌$0.78</t>
  </si>
  <si>
    <t>WTSM</t>
  </si>
  <si>
    <t>COMMERCIAL WATER SUPPLY</t>
  </si>
  <si>
    <t>WTR COML SUP</t>
  </si>
  <si>
    <t>Water Well, Water Source</t>
  </si>
  <si>
    <t>CWSM</t>
  </si>
  <si>
    <t>SURFACE WATER SUPPLY</t>
  </si>
  <si>
    <t>WTR SURFACE SUP</t>
  </si>
  <si>
    <t>‌$5.49</t>
  </si>
  <si>
    <t>SWSM</t>
  </si>
  <si>
    <t>WATER SUPPLY TREATMENT FACILITY</t>
  </si>
  <si>
    <t>WTR SUP TRMT</t>
  </si>
  <si>
    <t>Water Treatment Facility</t>
  </si>
  <si>
    <t>‌$5830.85</t>
  </si>
  <si>
    <t>‌$31.53</t>
  </si>
  <si>
    <t>WSTF</t>
  </si>
  <si>
    <t>84110, 84115</t>
  </si>
  <si>
    <t>WATER WELL</t>
  </si>
  <si>
    <t>WTR WELL</t>
  </si>
  <si>
    <t>Water production wells that supply domestic or industrial water. This includes pumping equipment, casing, and controls.</t>
  </si>
  <si>
    <t>Water Well, Potable</t>
  </si>
  <si>
    <t>‌$46.60</t>
  </si>
  <si>
    <t>‌$5.26</t>
  </si>
  <si>
    <t>WW</t>
  </si>
  <si>
    <t>WATER SUPPLY BUILDING</t>
  </si>
  <si>
    <t>BLDG WTR SUP</t>
  </si>
  <si>
    <t>WSB</t>
  </si>
  <si>
    <t>89144, 89148</t>
  </si>
  <si>
    <t>84109, 84350</t>
  </si>
  <si>
    <t>WATER STORAGE DAM</t>
  </si>
  <si>
    <t>WTR STOR DAM</t>
  </si>
  <si>
    <t>Grounds Drainage Dams</t>
  </si>
  <si>
    <t>‌$2112552.26</t>
  </si>
  <si>
    <t>‌$2617.22</t>
  </si>
  <si>
    <t>WSD</t>
  </si>
  <si>
    <t>WATER STORAGE RESERVOIR</t>
  </si>
  <si>
    <t>WTR STOR RESERVOIR</t>
  </si>
  <si>
    <t>MG = million gallons</t>
  </si>
  <si>
    <t>Reservoir, Water</t>
  </si>
  <si>
    <t>MG</t>
  </si>
  <si>
    <t>WSR</t>
  </si>
  <si>
    <t>84620, 84720</t>
  </si>
  <si>
    <t>84151, 84450</t>
  </si>
  <si>
    <t>STORM WATER POND</t>
  </si>
  <si>
    <t>STORM WTR POND</t>
  </si>
  <si>
    <t>Stormwater ponds are constructed to collect stormwater runoff to safeguard water quality by collecting and treating stormwater runoff and to protect against flooding.</t>
  </si>
  <si>
    <t>Also see: CATCode 831511 SEPTIC LAGOONS/PONDS. The maintenance of a storm water pond is based on the capacity – not necessarily what is in the storm water pond at any given time. And MG is a static measurement, which makes things easier than a measuremen</t>
  </si>
  <si>
    <t>Storm Water Ponds</t>
  </si>
  <si>
    <t>‌$112905.34</t>
  </si>
  <si>
    <t>‌$2876.07</t>
  </si>
  <si>
    <t>STWP</t>
  </si>
  <si>
    <t>WATER TANK STORAGE</t>
  </si>
  <si>
    <t>WTR TANK STOR</t>
  </si>
  <si>
    <t>Water Storage, Potable</t>
  </si>
  <si>
    <t>‌$1.49</t>
  </si>
  <si>
    <t>‌$0.04</t>
  </si>
  <si>
    <t>84130, 84140</t>
  </si>
  <si>
    <t>WATER DISTRIBUTION LINE, POTABLE</t>
  </si>
  <si>
    <t>WTR DISTR MAINS</t>
  </si>
  <si>
    <t>All pipes that convey potable water from the treatment plant to the end user. Lateral lines.</t>
  </si>
  <si>
    <t>For potable water ("suitable for drinking").</t>
  </si>
  <si>
    <t>WDMN</t>
  </si>
  <si>
    <t>WATER PUMP STATION</t>
  </si>
  <si>
    <t>WTR PMP STN</t>
  </si>
  <si>
    <t>KG = thousands of gallons.</t>
  </si>
  <si>
    <t>Water Pump Facility, Potable</t>
  </si>
  <si>
    <t>‌$28.97</t>
  </si>
  <si>
    <t>WTPS</t>
  </si>
  <si>
    <t>FIRE PROTECTION WATER</t>
  </si>
  <si>
    <t>FIRE PROT WATER</t>
  </si>
  <si>
    <t>This category code is for equipment that pumps water from underground sources to the fire protection system. The primary unit of measure is well capacity in gallons per minute (GM)</t>
  </si>
  <si>
    <t>Water Source, Fire Protection</t>
  </si>
  <si>
    <t>‌$58.83</t>
  </si>
  <si>
    <t>‌$0.37</t>
  </si>
  <si>
    <t>FPWT</t>
  </si>
  <si>
    <t>RESERVOIRS - FIRE PROTECTION WATER</t>
  </si>
  <si>
    <t>RESERVOIR FIRE PROT WATER</t>
  </si>
  <si>
    <t>This category code is for a reservoir that has a capacity greater than or equal to one million gallons and typically provides a sufficient quantity of water in reserve to insure an uninterrupted flow for fire protection.</t>
  </si>
  <si>
    <t>Water Impoundment, Fire Protection</t>
  </si>
  <si>
    <t>REFP</t>
  </si>
  <si>
    <t>FIRE PROTECTION WATER MAINS</t>
  </si>
  <si>
    <t>FR PROTEC WTR MAIN</t>
  </si>
  <si>
    <t>Water Distribution Line, Fire Protection</t>
  </si>
  <si>
    <t>‌$49.79</t>
  </si>
  <si>
    <t>FPWM</t>
  </si>
  <si>
    <t>WATER FIRE PUMPING STATION</t>
  </si>
  <si>
    <t>WTR FR PMP STN</t>
  </si>
  <si>
    <t>Can be stand-alone buildings or attached to larger facilities.</t>
  </si>
  <si>
    <t>Water Pump Facility, Fire Protection</t>
  </si>
  <si>
    <t>‌$41.71</t>
  </si>
  <si>
    <t>WFPS</t>
  </si>
  <si>
    <t>FIRE PROTECTION WATER STORAGE</t>
  </si>
  <si>
    <t>FR PROTEC WTR STOR</t>
  </si>
  <si>
    <t>Water Tank, Fire Protection</t>
  </si>
  <si>
    <t>‌$66.87</t>
  </si>
  <si>
    <t>FPWS</t>
  </si>
  <si>
    <t>WATER SUPPLY STORAGE, NON-POTABLE</t>
  </si>
  <si>
    <t>WTR SUP STOR N/POT</t>
  </si>
  <si>
    <t>Water Storage, Non-Potable</t>
  </si>
  <si>
    <t>‌$1.85</t>
  </si>
  <si>
    <t>WSSNP</t>
  </si>
  <si>
    <t>84152, 84440</t>
  </si>
  <si>
    <t>WATER SUPPLY NON-POTABLE</t>
  </si>
  <si>
    <t>WTR SUP N/POT</t>
  </si>
  <si>
    <t>WSNP</t>
  </si>
  <si>
    <t>SWAL</t>
  </si>
  <si>
    <t>Storm Water Filtration</t>
  </si>
  <si>
    <t>‌$3000.44</t>
  </si>
  <si>
    <t>SURF, PERMEABLE</t>
  </si>
  <si>
    <t>PSUR</t>
  </si>
  <si>
    <t>HARVEST, STRM WTR</t>
  </si>
  <si>
    <t>STWH</t>
  </si>
  <si>
    <t>TREATMNT, STRM WTR</t>
  </si>
  <si>
    <t>STWT</t>
  </si>
  <si>
    <t>WATER SUPPLY NON-POTABLE BUILDING</t>
  </si>
  <si>
    <t>WTR SUP N/POT BLDG</t>
  </si>
  <si>
    <t>WSNPB</t>
  </si>
  <si>
    <t>WATER SUPPLY MAIN NON-POTABLE</t>
  </si>
  <si>
    <t>WTR SUP MAIN N/POT</t>
  </si>
  <si>
    <t>Water Distribution Line, Non-Potable</t>
  </si>
  <si>
    <t>WSMNP</t>
  </si>
  <si>
    <t>ROAD BRIDGE</t>
  </si>
  <si>
    <t>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t>
  </si>
  <si>
    <t>This includes box culverts that exceed 42 feet in length.</t>
  </si>
  <si>
    <t>Vehicle Bridge</t>
  </si>
  <si>
    <t>‌$1572.47</t>
  </si>
  <si>
    <t>‌$24.68</t>
  </si>
  <si>
    <t>RDBG</t>
  </si>
  <si>
    <t>85120, 85730</t>
  </si>
  <si>
    <t>CURBS AND GUTTERS</t>
  </si>
  <si>
    <t>SY = LF x 2.5 / 9</t>
  </si>
  <si>
    <t>Road, surfaced</t>
  </si>
  <si>
    <t>‌$46.97</t>
  </si>
  <si>
    <t>‌$0.93</t>
  </si>
  <si>
    <t>CURB</t>
  </si>
  <si>
    <t>DRIVEWAY</t>
  </si>
  <si>
    <t>DW</t>
  </si>
  <si>
    <t>ROAD</t>
  </si>
  <si>
    <t>Structures designed to carry vehicle traffic. Volume and composition of traffic determines the design of roads and streets. Normally a hard surfaced road. The surface is usually concrete or asphalt.</t>
  </si>
  <si>
    <t>With or without curbs and gutters.</t>
  </si>
  <si>
    <t>RDS</t>
  </si>
  <si>
    <t>85110, 85710, 85720</t>
  </si>
  <si>
    <t>ROAD UNSURFACED</t>
  </si>
  <si>
    <t>ROAD UNSRF</t>
  </si>
  <si>
    <t>An unsurfaced (unpaved) structure designed to carry vehicle traffic. Volume and composition of traffic determines the design of roads. The surface is usually gravel or hard-packed earth/dirt.</t>
  </si>
  <si>
    <t>Road, Unsurfaced</t>
  </si>
  <si>
    <t>‌$12.19</t>
  </si>
  <si>
    <t>‌$0.56</t>
  </si>
  <si>
    <t>RDUS</t>
  </si>
  <si>
    <t>85130, 85150, 85715, 85725</t>
  </si>
  <si>
    <t>VEHICULAR TUNNEL</t>
  </si>
  <si>
    <t>Tunnels that supports vehicle traffic for an underground crossing of rivers, mountains, or other terrain feature. This does not include any pavement surfaces such as roads or sidewalks.</t>
  </si>
  <si>
    <t>‌$605.47</t>
  </si>
  <si>
    <t>‌$21.66</t>
  </si>
  <si>
    <t>VTUN</t>
  </si>
  <si>
    <t>VEHICLE PARKING SURFACED</t>
  </si>
  <si>
    <t>VEH PKING SURFACED</t>
  </si>
  <si>
    <t>A surfaced area for parking vehicles.</t>
  </si>
  <si>
    <t>Vehicle Parking, Surfaced</t>
  </si>
  <si>
    <t>‌$38.65</t>
  </si>
  <si>
    <t>VPS</t>
  </si>
  <si>
    <t>PEDESTRIAN TUNNEL</t>
  </si>
  <si>
    <t>TUNNEL, PED</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</si>
  <si>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</si>
  <si>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TUPD</t>
  </si>
  <si>
    <t>VEHICLE PARKING OPERATIONS</t>
  </si>
  <si>
    <t>VEH PKNG, OPS</t>
  </si>
  <si>
    <t>A paved surface for parking private and/or government vehicles and equipment in individual parking spots/locations.</t>
  </si>
  <si>
    <t>VPOPS</t>
  </si>
  <si>
    <t>VEHICLE PARKING NON ORGANIZATIONAL</t>
  </si>
  <si>
    <t>VEH PKNG, N/ORGN</t>
  </si>
  <si>
    <t>Parking spaces based on special traffic analysis that would authorize additional parking on an installation.</t>
  </si>
  <si>
    <t>VPNO</t>
  </si>
  <si>
    <t>VEHICLE PARKING UNSURFACED</t>
  </si>
  <si>
    <t>VEH PKNG, UNSRF</t>
  </si>
  <si>
    <t>A unsurfaced area for parking vehicles</t>
  </si>
  <si>
    <t>Also includes dirt, grass, or gravel lots.</t>
  </si>
  <si>
    <t>Vehicle Parking and Staging Area, Unsurfaced</t>
  </si>
  <si>
    <t>‌$12.94</t>
  </si>
  <si>
    <t>‌$0.27</t>
  </si>
  <si>
    <t>VPUS</t>
  </si>
  <si>
    <t>85211, 85216</t>
  </si>
  <si>
    <t>VEHICLE/EQUIPMENT PARKING RESEARCH AND DEVELOPMENT</t>
  </si>
  <si>
    <t>VEH/EQUIP PKNG, R-D</t>
  </si>
  <si>
    <t>VEPR</t>
  </si>
  <si>
    <t>VEHICLE PARKING REFUELING</t>
  </si>
  <si>
    <t>VEH PKNG, REFL</t>
  </si>
  <si>
    <t>Parking area designed for use by loaded refueling units and hydrant hose trucks that support the flying mission.</t>
  </si>
  <si>
    <t>VPREF</t>
  </si>
  <si>
    <t>PRIVATE VEHICLE PARKING COMPOUND</t>
  </si>
  <si>
    <t>PVT VEH PKNG COMPD</t>
  </si>
  <si>
    <t>A fenced storage yard with a paved surface and floodlighting. The primary use is for storage of privately owned vehicles, recreation equipment, and abandoned or impounded vehicles.</t>
  </si>
  <si>
    <t>Includes RV Storage Lots, "Lemon Lots", and Impound Lots.</t>
  </si>
  <si>
    <t>PVPC</t>
  </si>
  <si>
    <t>AIRCRAFT SUPPORT EQUIPMENT STORAGE YARD</t>
  </si>
  <si>
    <t>ACFT SPT/E STOR YD</t>
  </si>
  <si>
    <t>ASEY</t>
  </si>
  <si>
    <t>11645, 11665</t>
  </si>
  <si>
    <t>WALKWAY BRIDGE</t>
  </si>
  <si>
    <t>WALKWAY, BRIDGE</t>
  </si>
  <si>
    <t>Also known as a footbridge.</t>
  </si>
  <si>
    <t>Pedestrian Bridge</t>
  </si>
  <si>
    <t>‌$2440.04</t>
  </si>
  <si>
    <t>‌$28.41</t>
  </si>
  <si>
    <t>WWBG</t>
  </si>
  <si>
    <t>COVERED WALKWAY</t>
  </si>
  <si>
    <t>WALKWAY, CV</t>
  </si>
  <si>
    <t>Sidewalk and Walkway</t>
  </si>
  <si>
    <t>‌$56.49</t>
  </si>
  <si>
    <t>‌$0.01</t>
  </si>
  <si>
    <t>SWLK</t>
  </si>
  <si>
    <t>85220. 85221</t>
  </si>
  <si>
    <t>SIDEWALK</t>
  </si>
  <si>
    <t>Can be constructed of concrete, brick or asphalt.</t>
  </si>
  <si>
    <t>SDWK</t>
  </si>
  <si>
    <t>85220, 85221</t>
  </si>
  <si>
    <t>VEHICLE STAGING AREA, SURFACED/UNSURFACED</t>
  </si>
  <si>
    <t>VEHICLE STAGING, SURFACED/UN</t>
  </si>
  <si>
    <t>Vehicle Staging Area, Surfaced</t>
  </si>
  <si>
    <t>‌$32.00</t>
  </si>
  <si>
    <t>VSA</t>
  </si>
  <si>
    <t>85210, 85212</t>
  </si>
  <si>
    <t>MISCELLANEOUS OPEN STORAGE OR LAYDOWN AREA</t>
  </si>
  <si>
    <t>An open storage areas other than those used for general supply operations (category code 452252), Base Civil Engineer Open Storage (452255), or Open Storage, Air Freight/Traffic Management Surface Freight (452258).</t>
  </si>
  <si>
    <t>LAYD</t>
  </si>
  <si>
    <t>VEHICLE PARKING GARAGE</t>
  </si>
  <si>
    <t>A building designed for parking certain government vehicles that require protection from the elements.</t>
  </si>
  <si>
    <t>Also known as a car park, parking garage, parking structure, parking ramp.</t>
  </si>
  <si>
    <t>Parking Garage/Building</t>
  </si>
  <si>
    <t>‌$55.00</t>
  </si>
  <si>
    <t>‌$0.63</t>
  </si>
  <si>
    <t>VPG</t>
  </si>
  <si>
    <t>73080, 85310</t>
  </si>
  <si>
    <t>RAILROAD BRIDGE</t>
  </si>
  <si>
    <t>RR BRIDGE</t>
  </si>
  <si>
    <t>‌$12424.31</t>
  </si>
  <si>
    <t>‌$163.57</t>
  </si>
  <si>
    <t>RRBD</t>
  </si>
  <si>
    <t>RAILROAD SHELTER PERSONNEL</t>
  </si>
  <si>
    <t>RR SHLTR PERS</t>
  </si>
  <si>
    <t>RRSP</t>
  </si>
  <si>
    <t>RAILROAD TRACKAGE</t>
  </si>
  <si>
    <t>RR TRACKAGE</t>
  </si>
  <si>
    <t>Railroad Track</t>
  </si>
  <si>
    <t>‌$643571.81</t>
  </si>
  <si>
    <t>‌$8412.71</t>
  </si>
  <si>
    <t>RRTK</t>
  </si>
  <si>
    <t>DRAINAGE DITCH</t>
  </si>
  <si>
    <t>Rip-rap = rocks to dissipate water pressure from eroding sides of ditch.</t>
  </si>
  <si>
    <t>Storm Drainage</t>
  </si>
  <si>
    <t>‌$27.01</t>
  </si>
  <si>
    <t>‌$0.03</t>
  </si>
  <si>
    <t>DDCH</t>
  </si>
  <si>
    <t>STORM WATER PUMPING STATION</t>
  </si>
  <si>
    <t>PMP STAT, NON-POT</t>
  </si>
  <si>
    <t>Water Pump Facility, Non-Potable</t>
  </si>
  <si>
    <t>‌$41.89</t>
  </si>
  <si>
    <t>WWPS</t>
  </si>
  <si>
    <t>STORM DRAINAGE DISPOSAL</t>
  </si>
  <si>
    <t>STRM DRN DSPL</t>
  </si>
  <si>
    <t>SDDL</t>
  </si>
  <si>
    <t>STORM DRAINAGE PUMPING STATION</t>
  </si>
  <si>
    <t>STRM DRN PMP STN</t>
  </si>
  <si>
    <t>SDPS</t>
  </si>
  <si>
    <t>RETAINING WALL</t>
  </si>
  <si>
    <t>Retaining Structure</t>
  </si>
  <si>
    <t>‌$245.89</t>
  </si>
  <si>
    <t>RWALL</t>
  </si>
  <si>
    <t>DYKE / DAM</t>
  </si>
  <si>
    <t>An artificial barrier that impounds or diverts water away from areas or facilities to avoid damage.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</si>
  <si>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Also known as a levee.</t>
  </si>
  <si>
    <t>Levees and Dikes for Grounds Drainage</t>
  </si>
  <si>
    <t>‌$838.05</t>
  </si>
  <si>
    <t>‌$8.38</t>
  </si>
  <si>
    <t>DAM</t>
  </si>
  <si>
    <t>DIKES</t>
  </si>
  <si>
    <t>DIKE</t>
  </si>
  <si>
    <t>16430, 87125, 87126</t>
  </si>
  <si>
    <t>FENCE BOUNDARY</t>
  </si>
  <si>
    <t>FENCE, BOUNDARY</t>
  </si>
  <si>
    <t>Should be recessed from actual property lines by three or more feet so that maintenance and vegetation removal on the outside of the fence can occur while still on federal land. May or may not include barbed/razor wire outriggers.</t>
  </si>
  <si>
    <t>Boundary Fence and Wall</t>
  </si>
  <si>
    <t>‌$44.76</t>
  </si>
  <si>
    <t>‌$1.09</t>
  </si>
  <si>
    <t>FCEB</t>
  </si>
  <si>
    <t>87210, 87250</t>
  </si>
  <si>
    <t>FENCE SECURITY/VEHICLE BARRIERS</t>
  </si>
  <si>
    <t>FENCE, SCTY</t>
  </si>
  <si>
    <t>May have barbed/razor wire outriggers.</t>
  </si>
  <si>
    <t>Security Fence</t>
  </si>
  <si>
    <t>‌$77.11</t>
  </si>
  <si>
    <t>FSEC</t>
  </si>
  <si>
    <t>FENCE INTERIOR</t>
  </si>
  <si>
    <t>FENCE, INTERIOR</t>
  </si>
  <si>
    <t>May include wooden or decorative fences and walls.</t>
  </si>
  <si>
    <t>FINT</t>
  </si>
  <si>
    <t>GATE</t>
  </si>
  <si>
    <t>MECHANICAL SECURITY BARRICADES</t>
  </si>
  <si>
    <t>MECH SCRTY</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</si>
  <si>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</si>
  <si>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For purposes of this CATCode, EA corresponds to a single barricade lane (e.g., a barricade extending across two lanes of traffic counts as 2 EA).</t>
  </si>
  <si>
    <t>Mechanical Security Barricade</t>
  </si>
  <si>
    <t>‌$113773.64</t>
  </si>
  <si>
    <t>‌$6212.55</t>
  </si>
  <si>
    <t>MSTB</t>
  </si>
  <si>
    <t>SECURITY GUARD TOWER</t>
  </si>
  <si>
    <t>SCTY GUARD TWR</t>
  </si>
  <si>
    <t>Tower used in support of weapons security when observation from the master surveillance and control facility is obstructed and camera coverage is insufficient. No special equipment is required and is manned by one person.</t>
  </si>
  <si>
    <t>SGTW</t>
  </si>
  <si>
    <t>REVETMENT PRE-ENGINEERED</t>
  </si>
  <si>
    <t>REVEMENT PRE-ENG</t>
  </si>
  <si>
    <t>Revetment</t>
  </si>
  <si>
    <t>‌$31933.89</t>
  </si>
  <si>
    <t>‌$145.79</t>
  </si>
  <si>
    <t>RPEN</t>
  </si>
  <si>
    <t>NAVIGATION REVETMENT</t>
  </si>
  <si>
    <t>Navigation Revetments</t>
  </si>
  <si>
    <t>FLOOD CONTROL STRUCTURE</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</si>
  <si>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</si>
  <si>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Structures</t>
  </si>
  <si>
    <t>FLOOD CONTROL LEVEE/FLOODWALL</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</si>
  <si>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</si>
  <si>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AIR CONDITIONING CENTRAL PLANT</t>
  </si>
  <si>
    <t>AIR COND PLT BLDG</t>
  </si>
  <si>
    <t>ACCP</t>
  </si>
  <si>
    <t>SOLAR COLLECTION SYSTEM</t>
  </si>
  <si>
    <t>SOL N-R-G COLL SYS</t>
  </si>
  <si>
    <t>For stand-alone SOLAR FARMS, use CATCode 811145.</t>
  </si>
  <si>
    <t>SRCS</t>
  </si>
  <si>
    <t>COMPRESSED AIR PLANT</t>
  </si>
  <si>
    <t>CMPRS AIR PLT</t>
  </si>
  <si>
    <t>CMAP</t>
  </si>
  <si>
    <t>CMPRS AIR PLT BLDG</t>
  </si>
  <si>
    <t>CMAB</t>
  </si>
  <si>
    <t>COMPRESSED AIR DISTRIBUTION</t>
  </si>
  <si>
    <t>CMPRS AIR DISTR</t>
  </si>
  <si>
    <t>Installation Gas Distribution Line</t>
  </si>
  <si>
    <t>‌$0.10</t>
  </si>
  <si>
    <t>CMAD</t>
  </si>
  <si>
    <t>TRAMWAY AERIAL</t>
  </si>
  <si>
    <t>TRAE</t>
  </si>
  <si>
    <t>LOADING AND UNLOADING AREA</t>
  </si>
  <si>
    <t>LOAD &amp; UNLOAD AREA</t>
  </si>
  <si>
    <t>LDUN</t>
  </si>
  <si>
    <t>GANTRY/BRIDGE CRANE</t>
  </si>
  <si>
    <t>GNTRY/BRDG CRANE</t>
  </si>
  <si>
    <t>This CATCode is not intended for cranes internal to facilities or a subcomponent of another facility.</t>
  </si>
  <si>
    <t>Fixed Crane Structure</t>
  </si>
  <si>
    <t>TN</t>
  </si>
  <si>
    <t>‌$6072261.53</t>
  </si>
  <si>
    <t>‌$122092.18</t>
  </si>
  <si>
    <t>GANT</t>
  </si>
  <si>
    <t>LOAD/UNLOADING PIT</t>
  </si>
  <si>
    <t>LOAD &amp; UNLOAD PIT</t>
  </si>
  <si>
    <t>Loading Platform/Ramp</t>
  </si>
  <si>
    <t>‌$18883.33</t>
  </si>
  <si>
    <t>‌$154.39</t>
  </si>
  <si>
    <t>LUNP</t>
  </si>
  <si>
    <t>LOAD/UNLOADING PLATFORM</t>
  </si>
  <si>
    <t>LOAD&amp;UNLOAD PLATFM</t>
  </si>
  <si>
    <t>LUPL</t>
  </si>
  <si>
    <t>MISCELLANEOUS STORAGE TANK - ABOVE GROUND</t>
  </si>
  <si>
    <t>MISC STOR TANK AG</t>
  </si>
  <si>
    <t>Above ground tanks used to store waste petroleum products or other type of liquid that is not considered hazardous waste and is not covered under other categories.</t>
  </si>
  <si>
    <t>Miscellaneous Storage Tank and Basin</t>
  </si>
  <si>
    <t>‌$0.68</t>
  </si>
  <si>
    <t>MSTNK</t>
  </si>
  <si>
    <t>89510, 89520, 89530, 89540, 89550, 89560</t>
  </si>
  <si>
    <t>MISCELLANEOUS STORAGE TANK - UNDERGROUND</t>
  </si>
  <si>
    <t>MISC STOR TANK UG</t>
  </si>
  <si>
    <t>​Underground tanks used to store waste petroleum products or other type of liquid that is not considered hazardous waste and is not covered under other categories.</t>
  </si>
  <si>
    <t>MSTU</t>
  </si>
  <si>
    <t>UTILITY LINE DUCTS</t>
  </si>
  <si>
    <t>UTIL LNE DUCTS</t>
  </si>
  <si>
    <t>Often confused with CATCode 135583 TELEPHONE DUCT FACILITY.</t>
  </si>
  <si>
    <t>Utility Channels</t>
  </si>
  <si>
    <t>‌$310.73</t>
  </si>
  <si>
    <t>UTLD</t>
  </si>
  <si>
    <t>UTILITY DOOR</t>
  </si>
  <si>
    <t>UTILIDOR</t>
  </si>
  <si>
    <t>Utility Tunnel</t>
  </si>
  <si>
    <t>‌$88.53</t>
  </si>
  <si>
    <t>UTDR</t>
  </si>
  <si>
    <t>UTILITY VAULT</t>
  </si>
  <si>
    <t>UTIL VAULT</t>
  </si>
  <si>
    <t>UTV</t>
  </si>
  <si>
    <t>WEIGHT SCALE</t>
  </si>
  <si>
    <t>WEIGHING SCALE</t>
  </si>
  <si>
    <t>Also known as a vehicle scale.</t>
  </si>
  <si>
    <t>Vehicle Scales</t>
  </si>
  <si>
    <t>‌$54562.94</t>
  </si>
  <si>
    <t>‌$5584.07</t>
  </si>
  <si>
    <t>WTSC</t>
  </si>
  <si>
    <t>REFUSE AND GARBAGE BUILDING</t>
  </si>
  <si>
    <t>REFUSE/GARB BLD</t>
  </si>
  <si>
    <t>A building that houses the equipment and support functions associated with the collection, processing, and disposal of refuse and garbage. This category should be used in conjunction with the structures in the CATCode 833-series, REFUSE AND GARBAGE.</t>
  </si>
  <si>
    <t>RAGB</t>
  </si>
  <si>
    <t>SHREDDER FACILITY</t>
  </si>
  <si>
    <t>SHREDDER FAC</t>
  </si>
  <si>
    <t>SHRD</t>
  </si>
  <si>
    <t>COMBINED SEWAGE AND INDUSTRIAL WASTE TREATMENT BUILDING</t>
  </si>
  <si>
    <t>COMB SEW IND WST TREAT BLDG</t>
  </si>
  <si>
    <t>CSIW</t>
  </si>
  <si>
    <t>BUILDING HOUSING MISCELLANEOUS UTILITY PLANT</t>
  </si>
  <si>
    <t>BUILD HSG MISC UTIL PLT</t>
  </si>
  <si>
    <t>BHMU</t>
  </si>
  <si>
    <t>MONITORING WELLS</t>
  </si>
  <si>
    <t>MONITORING WELL</t>
  </si>
  <si>
    <t>Monitoring Well</t>
  </si>
  <si>
    <t>‌$4889.30</t>
  </si>
  <si>
    <t>MWELL</t>
  </si>
  <si>
    <t>DECORATIVE FOUNTAIN/POND</t>
  </si>
  <si>
    <t>DÉCOR FOUT/POND</t>
  </si>
  <si>
    <t>POND</t>
  </si>
  <si>
    <t>ENVIRONMENTAL TEST FACILITY</t>
  </si>
  <si>
    <t>ENVIRON TST FAC</t>
  </si>
  <si>
    <t>ENVT</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</si>
  <si>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</si>
  <si>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t>
  </si>
  <si>
    <t>CTWR</t>
  </si>
  <si>
    <t>POLLUTANT CATCH BASIN</t>
  </si>
  <si>
    <t>POL CTCH BSN</t>
  </si>
  <si>
    <t>CBAS</t>
  </si>
  <si>
    <t>LAND DONATION, PRIVATE</t>
  </si>
  <si>
    <t>LAND DONATION STATE AND LOCAL GOVERNMENT</t>
  </si>
  <si>
    <t>LAND, DONATION S&amp;L</t>
  </si>
  <si>
    <t>L</t>
  </si>
  <si>
    <t>LNDS</t>
  </si>
  <si>
    <t>LAND FEE CONDEMNATION</t>
  </si>
  <si>
    <t>LAND, FEE, CONDEMN</t>
  </si>
  <si>
    <t>LNFC</t>
  </si>
  <si>
    <t>LAND</t>
  </si>
  <si>
    <t>LAND, FEE, PUR</t>
  </si>
  <si>
    <t>LNFE</t>
  </si>
  <si>
    <t>LAND, PUBLIC DOMAIN</t>
  </si>
  <si>
    <t>LNPD</t>
  </si>
  <si>
    <t>91210, 91220</t>
  </si>
  <si>
    <t>LAND, LICENSE, GENERAL USE</t>
  </si>
  <si>
    <t>LAND, LSN, GEN USE</t>
  </si>
  <si>
    <t>In-grant</t>
  </si>
  <si>
    <t>LNLG</t>
  </si>
  <si>
    <t>91340, 91350, 91360</t>
  </si>
  <si>
    <t>91310, 91320</t>
  </si>
  <si>
    <t>LAND, PERMIT, GENERAL USE</t>
  </si>
  <si>
    <t>LAND, PMT, GEN USE</t>
  </si>
  <si>
    <t>Licensed and Permitted Land</t>
  </si>
  <si>
    <t>LNPT</t>
  </si>
  <si>
    <t>91310, 91320, 91330, 91340</t>
  </si>
  <si>
    <t>LAND, PUBLIC, EXECUTIVE ORDER</t>
  </si>
  <si>
    <t>LAND, PUB, E.O.</t>
  </si>
  <si>
    <t>LNPE</t>
  </si>
  <si>
    <t>LAND, AIR RIGHTS</t>
  </si>
  <si>
    <t>AIR RIGHTS</t>
  </si>
  <si>
    <t>Land Rights</t>
  </si>
  <si>
    <t>LNES</t>
  </si>
  <si>
    <t>LAND, WATER RIGHTS</t>
  </si>
  <si>
    <t>WATER RIGHTS</t>
  </si>
  <si>
    <t>LNRT</t>
  </si>
  <si>
    <t>LAND, EASEMENT RIGHT OF WAY, TEMPORARY</t>
  </si>
  <si>
    <t>LAND ESMT R-O-W/T</t>
  </si>
  <si>
    <t>This category code identifies those lands where the Air Force has the right to pass over the land of another for a specific purpose, such as the construction of roads, installing pipe line and telephone poles, etc. This is a temporary easement and is for specific time period.</t>
  </si>
  <si>
    <t>Land Easement</t>
  </si>
  <si>
    <t>LNRO</t>
  </si>
  <si>
    <t>92110, 92111, 92112, 92120, 92121, 92130, 92131</t>
  </si>
  <si>
    <t>92110, 92120, 92130, 92140, 92150</t>
  </si>
  <si>
    <t>LAND, READINESS &amp; ENVIRONMENTAL PROTECTION INTEGRATION PROGRAM (REPI)</t>
  </si>
  <si>
    <t>REPI</t>
  </si>
  <si>
    <t>LNEC</t>
  </si>
  <si>
    <t>LAND RESTRICTIONS</t>
  </si>
  <si>
    <t>RESTRICTIONS</t>
  </si>
  <si>
    <t>In-grants for ACUIZ/Clear Zones</t>
  </si>
  <si>
    <t>LNER</t>
  </si>
  <si>
    <t>LAND, EASEMENT RIGHT OF WAY, PERPETUAL</t>
  </si>
  <si>
    <t>LAND ESMT R-O-W/P</t>
  </si>
  <si>
    <t>This category code identifies those lands where the Air Force has perpetual right to pass the land of another for a specific purpose, such as the construction of road, installing a pipeline, installing telephone pole, etc.</t>
  </si>
  <si>
    <t>LNEO</t>
  </si>
  <si>
    <t>LAND, LEASE, STATE AND LOCAL</t>
  </si>
  <si>
    <t>LAND, LEASE S&amp;L</t>
  </si>
  <si>
    <t>LNLS</t>
  </si>
  <si>
    <t>LAND, LEASE, SUBJECT TO RECAPTURE</t>
  </si>
  <si>
    <t>LAND, LEASE RECAP</t>
  </si>
  <si>
    <t>LNLR</t>
  </si>
  <si>
    <t>92210, 92220, 92230</t>
  </si>
  <si>
    <t>LAND, LEASE, PRIVATE ENTERPRISE</t>
  </si>
  <si>
    <t>LAND, LEASE, PVT-E</t>
  </si>
  <si>
    <t>LNLP</t>
  </si>
  <si>
    <t>LAND, LEASE AND SUPPLEMENT</t>
  </si>
  <si>
    <t>LAND, LEASE &amp; SUSP</t>
  </si>
  <si>
    <t>This category code identifies those lands under the custody and accountability of the Air Force that have been leased from individuals</t>
  </si>
  <si>
    <t>In-leased Land</t>
  </si>
  <si>
    <t>LNLT</t>
  </si>
  <si>
    <t>LAND, IN-LEASE MINERAL</t>
  </si>
  <si>
    <t>LAND, INLEASE, MIN</t>
  </si>
  <si>
    <t>LNIM</t>
  </si>
  <si>
    <t>LAND, IN-LEASE OTHER</t>
  </si>
  <si>
    <t>LAND, INLEASE, SP</t>
  </si>
  <si>
    <t>This category code identifies all other in-leases not identifies under any other category codes.</t>
  </si>
  <si>
    <t>LNIN</t>
  </si>
  <si>
    <t>FOREIGN LAND LEASE UNDER 99 YEARS</t>
  </si>
  <si>
    <t>FGN LAND LEASE U99</t>
  </si>
  <si>
    <t>LNFG</t>
  </si>
  <si>
    <t>FOREIGN LAND LEASE 99 YEARS</t>
  </si>
  <si>
    <t>FGN LAND LEASE 99Y</t>
  </si>
  <si>
    <t>LNFL</t>
  </si>
  <si>
    <t>FOREIGN LAND AGREEMENT BASE RIGHTS</t>
  </si>
  <si>
    <t>FGN LAND AGMT BSE</t>
  </si>
  <si>
    <t>LNFA</t>
  </si>
  <si>
    <t>FOREIGN LAND REQUISITIONED</t>
  </si>
  <si>
    <t>FGN LAND REQ</t>
  </si>
  <si>
    <t>LNFR</t>
  </si>
  <si>
    <t>FOREIGN LAND MISCELLANEOUS</t>
  </si>
  <si>
    <t>FGN LAND MISC</t>
  </si>
  <si>
    <t>LNFM</t>
  </si>
  <si>
    <t>Traditional Recreation Center Functions operated by FSS</t>
  </si>
  <si>
    <t>Traditional Recreation Programs offered by a 3rd party</t>
  </si>
  <si>
    <t>OTHER RECREATION PROGRAMS OFFERED BY A 3RD PARTY</t>
  </si>
  <si>
    <t>3rd party Recreation Centers under an organization other than FSS</t>
  </si>
  <si>
    <t>SOURCE:  2026 PROPOSED CRITERIA-NOT YET 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</si>
</sst>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_);\(&quot;$&quot;#,##0.00\)"/>
    <numFmt numFmtId="44" formatCode="_(&quot;$&quot;* #,##0.00_);_(&quot;$&quot;* \(#,##0.00\);_(&quot;$&quot;* &quot;-&quot;??_);_(@_)"/>
    <numFmt numFmtId="43" formatCode="_(* #,##0.00_);_(* \(#,##0.00\);_(* &quot;-&quot;??_);_(@_)"/>
    <numFmt numFmtId="164" formatCode="_(* #,##0_);_(* \(#,##0\);_(* &quot;-&quot;??_);_(@_)"/>
    <numFmt numFmtId="165" formatCode="&quot;$&quot;#,##0.00"/>
    <numFmt numFmtId="166" formatCode="0.0"/>
    <numFmt numFmtId="167" formatCode="#,##0.0"/>
    <numFmt numFmtId="168" formatCode="[$-409]dd\-mmm\-yy;@"/>
  </numFmts>
  <fonts count="100"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u/>
      <sz val="11"/>
      <color theme="1"/>
      <name val="Calibri"/>
      <family val="2"/>
      <scheme val="minor"/>
    </font>
    <font>
      <b/>
      <sz val="16"/>
      <color theme="0"/>
      <name val="Calibri"/>
      <family val="2"/>
      <scheme val="minor"/>
    </font>
    <font>
      <b/>
      <sz val="22"/>
      <color theme="0"/>
      <name val="Calibri"/>
      <family val="2"/>
      <scheme val="minor"/>
    </font>
    <font>
      <sz val="11"/>
      <color indexed="8"/>
      <name val="Calibri"/>
      <family val="2"/>
    </font>
    <font>
      <sz val="11"/>
      <color theme="1"/>
      <name val="Calibri"/>
      <family val="2"/>
      <scheme val="minor"/>
    </font>
    <font>
      <u/>
      <sz val="11"/>
      <color theme="10"/>
      <name val="Calibri"/>
      <family val="2"/>
      <scheme val="minor"/>
    </font>
    <font>
      <b/>
      <u/>
      <sz val="12"/>
      <color theme="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i/>
      <sz val="11"/>
      <color theme="1"/>
      <name val="Calibri"/>
      <family val="2"/>
      <scheme val="minor"/>
    </font>
    <font>
      <i/>
      <u/>
      <sz val="11"/>
      <color theme="1"/>
      <name val="Calibri"/>
      <family val="2"/>
      <scheme val="minor"/>
    </font>
    <font>
      <u/>
      <sz val="11"/>
      <color theme="10"/>
      <name val="Calibri"/>
      <family val="2"/>
    </font>
    <font>
      <i/>
      <sz val="10"/>
      <color theme="1"/>
      <name val="Calibri"/>
      <family val="2"/>
      <scheme val="minor"/>
    </font>
    <font>
      <b/>
      <sz val="11"/>
      <color rgb="FFFF0000"/>
      <name val="Calibri"/>
      <family val="2"/>
      <scheme val="minor"/>
    </font>
    <font>
      <sz val="11"/>
      <color rgb="FF000000"/>
      <name val="Calibri"/>
      <family val="2"/>
      <scheme val="minor"/>
    </font>
    <font>
      <i/>
      <sz val="11"/>
      <color rgb="FF000000"/>
      <name val="Calibri"/>
      <family val="2"/>
      <scheme val="minor"/>
    </font>
    <font>
      <b/>
      <sz val="11"/>
      <color rgb="FF000000"/>
      <name val="Calibri"/>
      <family val="2"/>
      <scheme val="minor"/>
    </font>
    <font>
      <b/>
      <sz val="12"/>
      <color rgb="FFFFFFFF"/>
      <name val="Calibri"/>
      <family val="2"/>
      <scheme val="minor"/>
    </font>
    <font>
      <b/>
      <u/>
      <sz val="12"/>
      <color rgb="FFFFFFFF"/>
      <name val="Calibri"/>
      <family val="2"/>
      <scheme val="minor"/>
    </font>
    <font>
      <u/>
      <sz val="11"/>
      <color theme="10"/>
      <name val="Times New Roman"/>
      <family val="1"/>
    </font>
    <font>
      <sz val="11"/>
      <color rgb="FFFF0000"/>
      <name val="Times New Roman"/>
      <family val="1"/>
    </font>
    <font>
      <b/>
      <sz val="11"/>
      <color rgb="FFFFFFFF"/>
      <name val="Calibri"/>
      <family val="2"/>
    </font>
    <font>
      <sz val="11"/>
      <color rgb="FF000000"/>
      <name val="Calibri"/>
      <family val="2"/>
    </font>
    <font>
      <sz val="11"/>
      <color rgb="FFFF0000"/>
      <name val="Calibri"/>
      <family val="2"/>
      <scheme val="minor"/>
    </font>
    <font>
      <u/>
      <sz val="11"/>
      <color theme="1"/>
      <name val="Calibri"/>
      <family val="2"/>
      <scheme val="minor"/>
    </font>
    <font>
      <u/>
      <vertAlign val="superscript"/>
      <sz val="11"/>
      <color theme="1"/>
      <name val="Calibri"/>
      <family val="2"/>
      <scheme val="minor"/>
    </font>
    <font>
      <vertAlign val="superscript"/>
      <sz val="11"/>
      <color theme="1"/>
      <name val="Calibri"/>
      <family val="2"/>
      <scheme val="minor"/>
    </font>
    <font>
      <sz val="14"/>
      <color theme="1"/>
      <name val="Calibri"/>
      <family val="2"/>
      <scheme val="minor"/>
    </font>
    <font>
      <b/>
      <sz val="12"/>
      <color theme="5"/>
      <name val="Calibri"/>
      <family val="2"/>
      <scheme val="minor"/>
    </font>
    <font>
      <b/>
      <vertAlign val="superscript"/>
      <sz val="11"/>
      <color theme="1"/>
      <name val="Calibri"/>
      <family val="2"/>
      <scheme val="minor"/>
    </font>
    <font>
      <b/>
      <u/>
      <sz val="12"/>
      <color theme="5"/>
      <name val="Calibri"/>
      <family val="2"/>
      <scheme val="minor"/>
    </font>
    <font>
      <b/>
      <sz val="9"/>
      <color theme="5"/>
      <name val="Calibri"/>
      <family val="2"/>
      <scheme val="minor"/>
    </font>
    <font>
      <b/>
      <i/>
      <sz val="11"/>
      <color theme="1"/>
      <name val="Calibri"/>
      <family val="2"/>
      <scheme val="minor"/>
    </font>
    <font>
      <sz val="9"/>
      <color theme="1"/>
      <name val="Calibri"/>
      <family val="2"/>
      <scheme val="minor"/>
    </font>
    <font>
      <b/>
      <sz val="11"/>
      <color theme="5"/>
      <name val="Calibri"/>
      <family val="2"/>
      <scheme val="minor"/>
    </font>
    <font>
      <b/>
      <u/>
      <sz val="11"/>
      <color theme="5"/>
      <name val="Calibri"/>
      <family val="2"/>
      <scheme val="minor"/>
    </font>
    <font>
      <b/>
      <u/>
      <sz val="11"/>
      <color rgb="FFC0504D"/>
      <name val="Calibri"/>
      <family val="2"/>
      <scheme val="minor"/>
    </font>
    <font>
      <b/>
      <sz val="11"/>
      <color rgb="FFC0504D"/>
      <name val="Calibri"/>
      <family val="2"/>
      <scheme val="minor"/>
    </font>
    <font>
      <b/>
      <i/>
      <u/>
      <sz val="11"/>
      <color rgb="FFC0504D"/>
      <name val="Calibri"/>
      <family val="2"/>
      <scheme val="minor"/>
    </font>
    <font>
      <b/>
      <i/>
      <sz val="11"/>
      <color rgb="FFC0504D"/>
      <name val="Calibri"/>
      <family val="2"/>
      <scheme val="minor"/>
    </font>
    <font>
      <sz val="8"/>
      <color theme="1"/>
      <name val="Calibri"/>
      <family val="2"/>
      <scheme val="minor"/>
    </font>
    <font>
      <b/>
      <sz val="12"/>
      <color rgb="FFC0504D"/>
      <name val="Calibri"/>
      <family val="2"/>
    </font>
    <font>
      <b/>
      <sz val="11"/>
      <color rgb="FF000000"/>
      <name val="Calibri"/>
      <family val="2"/>
    </font>
    <font>
      <b/>
      <vertAlign val="superscript"/>
      <sz val="11"/>
      <color rgb="FF000000"/>
      <name val="Calibri"/>
      <family val="2"/>
    </font>
    <font>
      <b/>
      <u/>
      <sz val="12"/>
      <color rgb="FFC0504D"/>
      <name val="Calibri"/>
      <family val="2"/>
    </font>
    <font>
      <b/>
      <sz val="18"/>
      <color theme="0"/>
      <name val="Calibri"/>
      <family val="2"/>
      <scheme val="minor"/>
    </font>
    <font>
      <b/>
      <i/>
      <sz val="12"/>
      <color theme="5"/>
      <name val="Calibri"/>
      <family val="2"/>
      <scheme val="minor"/>
    </font>
    <font>
      <b/>
      <sz val="10"/>
      <color theme="0"/>
      <name val="Calibri"/>
      <family val="2"/>
      <scheme val="minor"/>
    </font>
    <font>
      <i/>
      <sz val="12"/>
      <color rgb="FFC00000"/>
      <name val="Calibri"/>
      <family val="2"/>
      <scheme val="minor"/>
    </font>
    <font>
      <sz val="10"/>
      <color theme="1"/>
      <name val="Calibri"/>
      <family val="2"/>
      <scheme val="minor"/>
    </font>
    <font>
      <b/>
      <sz val="14"/>
      <name val="Calibri"/>
      <family val="2"/>
      <scheme val="minor"/>
    </font>
    <font>
      <b/>
      <sz val="10"/>
      <color rgb="FFFF0000"/>
      <name val="Calibri"/>
      <family val="2"/>
      <scheme val="minor"/>
    </font>
    <font>
      <b/>
      <sz val="10"/>
      <color theme="1"/>
      <name val="Calibri"/>
      <family val="2"/>
      <scheme val="minor"/>
    </font>
    <font>
      <b/>
      <sz val="12"/>
      <color rgb="FFFF0000"/>
      <name val="Calibri"/>
      <family val="2"/>
      <scheme val="minor"/>
    </font>
    <font>
      <b/>
      <sz val="12"/>
      <color rgb="FFC00000"/>
      <name val="Calibri"/>
      <family val="2"/>
      <scheme val="minor"/>
    </font>
    <font>
      <b/>
      <sz val="11"/>
      <color rgb="FFC00000"/>
      <name val="Calibri"/>
      <family val="2"/>
      <scheme val="minor"/>
    </font>
    <font>
      <b/>
      <u/>
      <sz val="11"/>
      <color rgb="FFC00000"/>
      <name val="Calibri"/>
      <family val="2"/>
      <scheme val="minor"/>
    </font>
    <font>
      <b/>
      <sz val="14"/>
      <color theme="0"/>
      <name val="Calibri"/>
      <family val="2"/>
    </font>
    <font>
      <i/>
      <sz val="12"/>
      <color theme="0"/>
      <name val="Calibri"/>
      <family val="2"/>
      <scheme val="minor"/>
    </font>
    <font>
      <sz val="14"/>
      <color theme="0"/>
      <name val="Calibri"/>
      <family val="2"/>
      <scheme val="minor"/>
    </font>
    <font>
      <b/>
      <i/>
      <sz val="11"/>
      <color theme="0"/>
      <name val="Calibri"/>
      <family val="2"/>
      <scheme val="minor"/>
    </font>
    <font>
      <b/>
      <sz val="20"/>
      <color theme="0"/>
      <name val="Calibri"/>
      <family val="2"/>
      <scheme val="minor"/>
    </font>
    <font>
      <b/>
      <i/>
      <sz val="11"/>
      <color theme="5"/>
      <name val="Calibri"/>
      <family val="2"/>
      <scheme val="minor"/>
    </font>
    <font>
      <b/>
      <vertAlign val="superscript"/>
      <sz val="14"/>
      <color theme="0"/>
      <name val="Calibri"/>
      <family val="2"/>
      <scheme val="minor"/>
    </font>
    <font>
      <i/>
      <sz val="12"/>
      <color theme="1"/>
      <name val="Calibri"/>
      <family val="2"/>
      <scheme val="minor"/>
    </font>
    <font>
      <b/>
      <u/>
      <sz val="11"/>
      <color theme="0"/>
      <name val="Calibri"/>
      <family val="2"/>
      <scheme val="minor"/>
    </font>
    <font>
      <u/>
      <sz val="11"/>
      <color theme="0"/>
      <name val="Calibri"/>
      <family val="2"/>
      <scheme val="minor"/>
    </font>
    <font>
      <b/>
      <sz val="10"/>
      <color theme="1"/>
      <name val="Calibri"/>
      <family val="2"/>
      <scheme val="minor"/>
    </font>
    <font>
      <b/>
      <vertAlign val="superscript"/>
      <sz val="10"/>
      <color rgb="FF000000"/>
      <name val="Calibri"/>
      <family val="2"/>
      <scheme val="minor"/>
    </font>
    <font>
      <b/>
      <sz val="10"/>
      <color rgb="FF000000"/>
      <name val="Calibri"/>
      <family val="2"/>
      <scheme val="minor"/>
    </font>
    <font>
      <b/>
      <sz val="11"/>
      <color theme="1"/>
      <name val="Calibri"/>
      <family val="2"/>
      <scheme val="minor"/>
    </font>
    <font>
      <b/>
      <sz val="11"/>
      <color rgb="FF000000"/>
      <name val="Calibri"/>
      <family val="2"/>
    </font>
    <font>
      <b/>
      <sz val="11"/>
      <color rgb="FFFF0000"/>
      <name val="Calibri"/>
      <family val="2"/>
    </font>
    <font>
      <b/>
      <sz val="11"/>
      <color theme="1"/>
      <name val="Calibri"/>
      <family val="2"/>
    </font>
    <font>
      <sz val="12"/>
      <color rgb="FF000000"/>
      <name val="Times New Roman"/>
      <family val="1"/>
    </font>
    <font>
      <sz val="12"/>
      <color theme="1"/>
      <name val="Times New Roman"/>
      <family val="1"/>
    </font>
    <font>
      <b/>
      <sz val="12"/>
      <color theme="0"/>
      <name val="Times New Roman"/>
      <family val="1"/>
    </font>
    <font>
      <b/>
      <vertAlign val="superscript"/>
      <sz val="12"/>
      <color theme="0"/>
      <name val="Times New Roman"/>
      <family val="1"/>
    </font>
    <font>
      <sz val="10"/>
      <color indexed="8"/>
      <name val="Arial"/>
      <family val="2"/>
    </font>
    <font>
      <sz val="12"/>
      <name val="Times New Roman"/>
      <family val="1"/>
    </font>
    <font>
      <sz val="12"/>
      <name val="Calibri"/>
      <family val="2"/>
      <scheme val="minor"/>
    </font>
    <font>
      <u/>
      <sz val="11"/>
      <name val="Times New Roman"/>
      <family val="1"/>
    </font>
    <font>
      <b/>
      <sz val="12"/>
      <color theme="5" tint="-0.249977111117893"/>
      <name val="Calibri"/>
      <family val="2"/>
      <scheme val="minor"/>
    </font>
    <font>
      <i/>
      <sz val="11"/>
      <color rgb="FFFF0000"/>
      <name val="Calibri"/>
      <family val="2"/>
      <scheme val="minor"/>
    </font>
  </fonts>
  <fills count="28">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0" tint="-0.34998626667073579"/>
        <bgColor indexed="64"/>
      </patternFill>
    </fill>
    <fill>
      <patternFill patternType="solid">
        <fgColor theme="4"/>
        <bgColor theme="4"/>
      </patternFill>
    </fill>
    <fill>
      <patternFill patternType="solid">
        <fgColor theme="0"/>
        <bgColor indexed="64"/>
      </patternFill>
    </fill>
    <fill>
      <patternFill patternType="solid">
        <fgColor theme="4" tint="0.59999389629810485"/>
        <bgColor indexed="64"/>
      </patternFill>
    </fill>
    <fill>
      <patternFill patternType="solid">
        <fgColor rgb="FF4F81BD"/>
        <bgColor rgb="FF4F81BD"/>
      </patternFill>
    </fill>
    <fill>
      <patternFill patternType="solid">
        <fgColor theme="7" tint="0.59999389629810485"/>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DA9694"/>
        <bgColor rgb="FF000000"/>
      </patternFill>
    </fill>
    <fill>
      <patternFill patternType="solid">
        <fgColor theme="0" tint="-0.249977111117893"/>
        <bgColor indexed="64"/>
      </patternFill>
    </fill>
    <fill>
      <patternFill patternType="solid">
        <fgColor rgb="FFDCE6F1"/>
        <bgColor rgb="FF000000"/>
      </patternFill>
    </fill>
    <fill>
      <patternFill patternType="solid">
        <fgColor theme="5" tint="-0.249977111117893"/>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5" tint="0.39997558519241921"/>
        <bgColor rgb="FF000000"/>
      </patternFill>
    </fill>
    <fill>
      <patternFill patternType="solid">
        <fgColor theme="9" tint="0.59999389629810485"/>
        <bgColor rgb="FF000000"/>
      </patternFill>
    </fill>
    <fill>
      <patternFill patternType="solid">
        <fgColor theme="3" tint="-0.249977111117893"/>
        <bgColor indexed="64"/>
      </patternFill>
    </fill>
    <fill>
      <patternFill patternType="solid">
        <fgColor rgb="FF002060"/>
        <bgColor indexed="64"/>
      </patternFill>
    </fill>
    <fill>
      <patternFill patternType="solid">
        <fgColor theme="3" tint="0.79998168889431442"/>
        <bgColor indexed="64"/>
      </patternFill>
    </fill>
  </fills>
  <borders count="113">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thin">
        <color auto="1"/>
      </bottom>
      <diagonal/>
    </border>
    <border>
      <left style="thin">
        <color rgb="FF000000"/>
      </left>
      <right style="thin">
        <color indexed="64"/>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right style="thin">
        <color rgb="FF95B3D7"/>
      </right>
      <top style="thin">
        <color rgb="FF95B3D7"/>
      </top>
      <bottom style="thin">
        <color rgb="FF95B3D7"/>
      </bottom>
      <diagonal/>
    </border>
    <border>
      <left/>
      <right/>
      <top style="thin">
        <color indexed="64"/>
      </top>
      <bottom/>
      <diagonal/>
    </border>
    <border>
      <left style="medium">
        <color indexed="64"/>
      </left>
      <right style="thin">
        <color auto="1"/>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auto="1"/>
      </right>
      <top/>
      <bottom/>
      <diagonal/>
    </border>
    <border>
      <left style="thin">
        <color indexed="64"/>
      </left>
      <right/>
      <top/>
      <bottom/>
      <diagonal/>
    </border>
    <border>
      <left/>
      <right style="medium">
        <color indexed="64"/>
      </right>
      <top/>
      <bottom/>
      <diagonal/>
    </border>
    <border>
      <left style="thin">
        <color indexed="64"/>
      </left>
      <right/>
      <top/>
      <bottom style="thin">
        <color auto="1"/>
      </bottom>
      <diagonal/>
    </border>
    <border>
      <left/>
      <right/>
      <top/>
      <bottom style="thin">
        <color auto="1"/>
      </bottom>
      <diagonal/>
    </border>
    <border>
      <left style="medium">
        <color indexed="64"/>
      </left>
      <right/>
      <top style="thin">
        <color indexed="64"/>
      </top>
      <bottom/>
      <diagonal/>
    </border>
    <border>
      <left/>
      <right style="thin">
        <color auto="1"/>
      </right>
      <top style="thin">
        <color auto="1"/>
      </top>
      <bottom/>
      <diagonal/>
    </border>
    <border>
      <left style="thin">
        <color indexed="64"/>
      </left>
      <right/>
      <top style="thin">
        <color indexed="64"/>
      </top>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auto="1"/>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medium">
        <color rgb="FF000000"/>
      </bottom>
      <diagonal/>
    </border>
    <border>
      <left/>
      <right style="medium">
        <color rgb="FF000000"/>
      </right>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medium">
        <color rgb="FF000000"/>
      </bottom>
      <diagonal/>
    </border>
    <border>
      <left/>
      <right style="thin">
        <color indexed="64"/>
      </right>
      <top style="thin">
        <color indexed="64"/>
      </top>
      <bottom style="medium">
        <color rgb="FF000000"/>
      </bottom>
      <diagonal/>
    </border>
    <border>
      <left/>
      <right style="thin">
        <color indexed="64"/>
      </right>
      <top/>
      <bottom style="medium">
        <color indexed="64"/>
      </bottom>
      <diagonal/>
    </border>
    <border>
      <left style="thin">
        <color indexed="64"/>
      </left>
      <right style="medium">
        <color indexed="64"/>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top/>
      <bottom/>
      <diagonal/>
    </border>
    <border>
      <left/>
      <right style="medium">
        <color rgb="FF000000"/>
      </right>
      <top/>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style="medium">
        <color rgb="FF000000"/>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style="medium">
        <color indexed="64"/>
      </left>
      <right style="medium">
        <color indexed="64"/>
      </right>
      <top/>
      <bottom style="medium">
        <color rgb="FF000000"/>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s>
  <cellStyleXfs count="10">
    <xf numFmtId="0" fontId="0" fillId="0" borderId="0"/>
    <xf numFmtId="43" fontId="15" fillId="0" borderId="0" applyFont="0" applyFill="0" applyBorder="0" applyAlignment="0" applyProtection="0"/>
    <xf numFmtId="0" fontId="16" fillId="0" borderId="0" applyNumberFormat="0" applyFill="0" applyBorder="0" applyAlignment="0" applyProtection="0"/>
    <xf numFmtId="0" fontId="18" fillId="0" borderId="0"/>
    <xf numFmtId="44" fontId="18" fillId="0" borderId="0" applyFont="0" applyFill="0" applyBorder="0" applyAlignment="0" applyProtection="0"/>
    <xf numFmtId="0" fontId="18" fillId="0" borderId="0"/>
    <xf numFmtId="0" fontId="23" fillId="0" borderId="0"/>
    <xf numFmtId="0" fontId="27" fillId="0" borderId="0" applyNumberFormat="0" applyFill="0" applyBorder="0" applyAlignment="0" applyProtection="0"/>
    <xf numFmtId="9" fontId="15" fillId="0" borderId="0" applyFont="0" applyFill="0" applyBorder="0" applyAlignment="0" applyProtection="0"/>
    <xf numFmtId="168" fontId="94" fillId="0" borderId="0"/>
  </cellStyleXfs>
  <cellXfs count="1174">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2" fillId="0" borderId="0" xfId="0" applyFont="1" applyAlignment="1">
      <alignment vertical="center" wrapText="1"/>
    </xf>
    <xf numFmtId="3" fontId="4" fillId="0" borderId="0" xfId="0" applyNumberFormat="1" applyFont="1" applyAlignment="1">
      <alignment horizontal="center" vertical="center" wrapText="1"/>
    </xf>
    <xf numFmtId="3" fontId="4" fillId="0" borderId="0" xfId="0" quotePrefix="1" applyNumberFormat="1" applyFont="1" applyAlignment="1">
      <alignment horizontal="left" vertical="center" wrapText="1"/>
    </xf>
    <xf numFmtId="0" fontId="4"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9" borderId="1" xfId="0" applyFont="1" applyFill="1" applyBorder="1" applyAlignment="1">
      <alignment horizontal="center"/>
    </xf>
    <xf numFmtId="0" fontId="1" fillId="9" borderId="2" xfId="0" applyFont="1" applyFill="1" applyBorder="1" applyAlignment="1">
      <alignment horizontal="center"/>
    </xf>
    <xf numFmtId="0" fontId="1" fillId="9"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1" fillId="9" borderId="0" xfId="0" applyFont="1" applyFill="1"/>
    <xf numFmtId="0" fontId="1" fillId="9" borderId="0" xfId="0" applyFont="1" applyFill="1" applyAlignment="1">
      <alignment horizontal="center"/>
    </xf>
    <xf numFmtId="0" fontId="11" fillId="0" borderId="0" xfId="0" applyFont="1"/>
    <xf numFmtId="0" fontId="9" fillId="0" borderId="0" xfId="0" applyFont="1"/>
    <xf numFmtId="0" fontId="21" fillId="2" borderId="3" xfId="0" applyFont="1" applyFill="1" applyBorder="1" applyAlignment="1">
      <alignment vertical="center"/>
    </xf>
    <xf numFmtId="0" fontId="0" fillId="0" borderId="0" xfId="0" applyAlignment="1">
      <alignment vertical="top"/>
    </xf>
    <xf numFmtId="0" fontId="14" fillId="0" borderId="0" xfId="0" applyFont="1"/>
    <xf numFmtId="0" fontId="1" fillId="0" borderId="0" xfId="0" applyFont="1" applyAlignment="1">
      <alignment horizontal="center"/>
    </xf>
    <xf numFmtId="0" fontId="18" fillId="0" borderId="0" xfId="3"/>
    <xf numFmtId="0" fontId="20" fillId="0" borderId="5" xfId="3" applyFont="1" applyBorder="1" applyAlignment="1">
      <alignment horizontal="left" vertical="top"/>
    </xf>
    <xf numFmtId="165" fontId="20" fillId="0" borderId="5" xfId="4" applyNumberFormat="1" applyFont="1" applyFill="1" applyBorder="1" applyAlignment="1">
      <alignment horizontal="right" vertical="top"/>
    </xf>
    <xf numFmtId="1" fontId="20" fillId="0" borderId="5" xfId="4" applyNumberFormat="1" applyFont="1" applyFill="1" applyBorder="1" applyAlignment="1">
      <alignment horizontal="center" vertical="top"/>
    </xf>
    <xf numFmtId="0" fontId="20" fillId="0" borderId="0" xfId="3" applyFont="1" applyAlignment="1">
      <alignment horizontal="left" vertical="top"/>
    </xf>
    <xf numFmtId="7" fontId="20" fillId="0" borderId="5" xfId="4" applyNumberFormat="1" applyFont="1" applyFill="1" applyBorder="1" applyAlignment="1">
      <alignment horizontal="left" vertical="top"/>
    </xf>
    <xf numFmtId="0" fontId="0" fillId="0" borderId="5" xfId="0" applyBorder="1" applyAlignment="1">
      <alignment horizontal="center" vertical="center" wrapText="1"/>
    </xf>
    <xf numFmtId="0" fontId="0" fillId="0" borderId="5" xfId="0" applyBorder="1" applyAlignment="1">
      <alignment vertical="center" wrapText="1"/>
    </xf>
    <xf numFmtId="0" fontId="3" fillId="2" borderId="5" xfId="0" applyFont="1" applyFill="1" applyBorder="1" applyAlignment="1">
      <alignment horizontal="right" vertical="center"/>
    </xf>
    <xf numFmtId="0" fontId="3" fillId="2" borderId="5" xfId="0" applyFont="1" applyFill="1" applyBorder="1" applyAlignment="1">
      <alignment horizontal="lef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164" fontId="8" fillId="3" borderId="5" xfId="1" applyNumberFormat="1" applyFont="1" applyFill="1" applyBorder="1" applyAlignment="1">
      <alignment horizontal="center" vertical="center" wrapText="1"/>
    </xf>
    <xf numFmtId="0" fontId="17" fillId="3" borderId="5" xfId="2"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0" fillId="4" borderId="5" xfId="1" applyNumberFormat="1" applyFont="1" applyFill="1" applyBorder="1" applyAlignment="1">
      <alignment horizontal="center" vertical="center" wrapText="1"/>
    </xf>
    <xf numFmtId="164" fontId="4" fillId="4" borderId="5" xfId="1" applyNumberFormat="1" applyFont="1" applyFill="1" applyBorder="1" applyAlignment="1">
      <alignment horizontal="center" vertical="center" wrapText="1"/>
    </xf>
    <xf numFmtId="0" fontId="4" fillId="0" borderId="5" xfId="0" applyFont="1" applyBorder="1" applyAlignment="1">
      <alignment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5" xfId="1" applyNumberFormat="1"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0" fontId="4" fillId="4" borderId="5" xfId="0" applyFont="1" applyFill="1" applyBorder="1" applyAlignment="1">
      <alignment horizontal="right" vertical="center" wrapText="1"/>
    </xf>
    <xf numFmtId="164" fontId="4" fillId="4" borderId="5" xfId="1" applyNumberFormat="1" applyFont="1" applyFill="1" applyBorder="1" applyAlignment="1" applyProtection="1">
      <alignment horizontal="center" vertical="center" wrapText="1"/>
    </xf>
    <xf numFmtId="0" fontId="0" fillId="0" borderId="5" xfId="0" applyBorder="1" applyAlignment="1" applyProtection="1">
      <alignment vertical="center" wrapText="1"/>
      <protection locked="0"/>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0" fontId="4" fillId="0" borderId="5" xfId="0" applyFont="1" applyBorder="1" applyAlignment="1" applyProtection="1">
      <alignment vertical="center" wrapText="1"/>
      <protection locked="0"/>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0" fontId="7" fillId="0" borderId="5" xfId="0" applyFont="1" applyBorder="1" applyAlignment="1">
      <alignment horizontal="center" vertical="center" wrapText="1"/>
    </xf>
    <xf numFmtId="0" fontId="28" fillId="8" borderId="5" xfId="0" applyFont="1" applyFill="1" applyBorder="1" applyAlignment="1" applyProtection="1">
      <alignment vertical="center" wrapText="1"/>
      <protection locked="0"/>
    </xf>
    <xf numFmtId="0" fontId="28" fillId="8" borderId="5" xfId="0" applyFont="1" applyFill="1" applyBorder="1" applyAlignment="1">
      <alignment horizontal="left" vertical="center" wrapText="1"/>
    </xf>
    <xf numFmtId="0" fontId="28" fillId="8" borderId="5" xfId="0" applyFont="1" applyFill="1" applyBorder="1" applyAlignment="1">
      <alignment vertical="center" wrapText="1"/>
    </xf>
    <xf numFmtId="0" fontId="21" fillId="2" borderId="3" xfId="0" applyFont="1" applyFill="1" applyBorder="1" applyAlignment="1">
      <alignment horizontal="left" vertical="center"/>
    </xf>
    <xf numFmtId="164" fontId="4" fillId="4" borderId="5" xfId="1" applyNumberFormat="1" applyFont="1" applyFill="1" applyBorder="1" applyAlignment="1">
      <alignment vertical="center" wrapText="1"/>
    </xf>
    <xf numFmtId="164" fontId="0" fillId="0" borderId="0" xfId="1" applyNumberFormat="1" applyFont="1" applyAlignment="1">
      <alignment vertical="center" wrapText="1"/>
    </xf>
    <xf numFmtId="0" fontId="0" fillId="2" borderId="0" xfId="0" applyFill="1"/>
    <xf numFmtId="0" fontId="33" fillId="3" borderId="5" xfId="2" applyFont="1" applyFill="1" applyBorder="1" applyAlignment="1">
      <alignment horizontal="center" vertical="center" wrapText="1"/>
    </xf>
    <xf numFmtId="0" fontId="34" fillId="3" borderId="5" xfId="2" applyFont="1" applyFill="1" applyBorder="1" applyAlignment="1">
      <alignment horizontal="center" vertical="center" wrapText="1"/>
    </xf>
    <xf numFmtId="0" fontId="19" fillId="11" borderId="5" xfId="0" applyFont="1" applyFill="1" applyBorder="1" applyAlignment="1">
      <alignment horizontal="center" vertical="center"/>
    </xf>
    <xf numFmtId="0" fontId="19" fillId="11" borderId="5" xfId="0" applyFont="1" applyFill="1" applyBorder="1" applyAlignment="1">
      <alignment horizontal="center" vertical="center" wrapText="1"/>
    </xf>
    <xf numFmtId="0" fontId="35" fillId="0" borderId="5" xfId="7" applyFont="1" applyFill="1" applyBorder="1" applyAlignment="1">
      <alignment horizontal="left" vertical="top" wrapText="1"/>
    </xf>
    <xf numFmtId="0" fontId="20" fillId="0" borderId="0" xfId="0" applyFont="1" applyAlignment="1">
      <alignment horizontal="left" vertical="top"/>
    </xf>
    <xf numFmtId="0" fontId="20" fillId="0" borderId="0" xfId="0" applyFont="1" applyAlignment="1">
      <alignment horizontal="left" vertical="top" wrapText="1"/>
    </xf>
    <xf numFmtId="0" fontId="20" fillId="0" borderId="0" xfId="0" applyFont="1" applyAlignment="1">
      <alignment horizontal="center" vertical="top"/>
    </xf>
    <xf numFmtId="1" fontId="20" fillId="0" borderId="5" xfId="0" applyNumberFormat="1" applyFont="1" applyBorder="1" applyAlignment="1">
      <alignment horizontal="left" vertical="top"/>
    </xf>
    <xf numFmtId="0" fontId="20" fillId="0" borderId="5" xfId="0" applyFont="1" applyBorder="1" applyAlignment="1">
      <alignment horizontal="left" vertical="top" wrapText="1"/>
    </xf>
    <xf numFmtId="0" fontId="20" fillId="0" borderId="5" xfId="0" applyFont="1" applyBorder="1" applyAlignment="1">
      <alignment horizontal="center" vertical="top"/>
    </xf>
    <xf numFmtId="1" fontId="20" fillId="0" borderId="5" xfId="0" applyNumberFormat="1" applyFont="1" applyBorder="1" applyAlignment="1">
      <alignment horizontal="left" vertical="top" wrapText="1"/>
    </xf>
    <xf numFmtId="0" fontId="20" fillId="0" borderId="5" xfId="0" applyFont="1" applyBorder="1" applyAlignment="1">
      <alignment horizontal="left" vertical="top"/>
    </xf>
    <xf numFmtId="1" fontId="20" fillId="0" borderId="5" xfId="0" applyNumberFormat="1" applyFont="1" applyBorder="1" applyAlignment="1">
      <alignment horizontal="center" vertical="top"/>
    </xf>
    <xf numFmtId="3" fontId="20" fillId="0" borderId="5" xfId="0" applyNumberFormat="1" applyFont="1" applyBorder="1" applyAlignment="1">
      <alignment horizontal="left" vertical="top"/>
    </xf>
    <xf numFmtId="0" fontId="20" fillId="0" borderId="5" xfId="0" applyFont="1" applyBorder="1" applyAlignment="1">
      <alignment horizontal="center" vertical="center" wrapText="1"/>
    </xf>
    <xf numFmtId="0" fontId="20" fillId="0" borderId="5" xfId="0" applyFont="1" applyBorder="1" applyAlignment="1">
      <alignment vertical="center" wrapText="1"/>
    </xf>
    <xf numFmtId="0" fontId="36" fillId="0" borderId="5" xfId="0" applyFont="1" applyBorder="1" applyAlignment="1">
      <alignment horizontal="left" vertical="top" wrapText="1"/>
    </xf>
    <xf numFmtId="0" fontId="36" fillId="0" borderId="5" xfId="0" applyFont="1" applyBorder="1" applyAlignment="1">
      <alignment horizontal="left" vertical="top"/>
    </xf>
    <xf numFmtId="0" fontId="20" fillId="0" borderId="5" xfId="0" applyFont="1" applyBorder="1" applyAlignment="1">
      <alignment wrapText="1"/>
    </xf>
    <xf numFmtId="1" fontId="20" fillId="0" borderId="5" xfId="0" quotePrefix="1" applyNumberFormat="1" applyFont="1" applyBorder="1" applyAlignment="1">
      <alignment horizontal="left" vertical="top"/>
    </xf>
    <xf numFmtId="1" fontId="20" fillId="0" borderId="12" xfId="0" applyNumberFormat="1" applyFont="1" applyBorder="1" applyAlignment="1">
      <alignment horizontal="left" vertical="top"/>
    </xf>
    <xf numFmtId="0" fontId="20" fillId="0" borderId="12" xfId="0" applyFont="1" applyBorder="1" applyAlignment="1">
      <alignment horizontal="left" vertical="top" wrapText="1"/>
    </xf>
    <xf numFmtId="0" fontId="20" fillId="0" borderId="12" xfId="0" applyFont="1" applyBorder="1" applyAlignment="1">
      <alignment horizontal="center" vertical="top"/>
    </xf>
    <xf numFmtId="1" fontId="20" fillId="0" borderId="12" xfId="0" applyNumberFormat="1" applyFont="1" applyBorder="1" applyAlignment="1">
      <alignment horizontal="left" vertical="top" wrapText="1"/>
    </xf>
    <xf numFmtId="0" fontId="20" fillId="0" borderId="12" xfId="0" applyFont="1" applyBorder="1" applyAlignment="1">
      <alignment horizontal="left" vertical="top"/>
    </xf>
    <xf numFmtId="1" fontId="20" fillId="0" borderId="12" xfId="0" applyNumberFormat="1" applyFont="1" applyBorder="1" applyAlignment="1">
      <alignment horizontal="center" vertical="top"/>
    </xf>
    <xf numFmtId="3" fontId="20" fillId="0" borderId="12" xfId="0" applyNumberFormat="1" applyFont="1" applyBorder="1" applyAlignment="1">
      <alignment horizontal="left" vertical="top"/>
    </xf>
    <xf numFmtId="1" fontId="20" fillId="0" borderId="5" xfId="5" applyNumberFormat="1" applyFont="1" applyBorder="1" applyAlignment="1">
      <alignment horizontal="center" vertical="top"/>
    </xf>
    <xf numFmtId="0" fontId="20" fillId="0" borderId="5" xfId="5" applyFont="1" applyBorder="1" applyAlignment="1">
      <alignment horizontal="left" vertical="top"/>
    </xf>
    <xf numFmtId="0" fontId="37" fillId="12" borderId="15" xfId="0" applyFont="1" applyFill="1" applyBorder="1"/>
    <xf numFmtId="0" fontId="37" fillId="12" borderId="16" xfId="0" applyFont="1" applyFill="1" applyBorder="1"/>
    <xf numFmtId="0" fontId="37" fillId="12" borderId="17" xfId="0" applyFont="1" applyFill="1" applyBorder="1"/>
    <xf numFmtId="0" fontId="12" fillId="0" borderId="0" xfId="0" applyFont="1" applyAlignment="1" applyProtection="1">
      <alignment vertical="center" wrapText="1"/>
      <protection locked="0"/>
    </xf>
    <xf numFmtId="0" fontId="0" fillId="0" borderId="0" xfId="0" applyAlignment="1" applyProtection="1">
      <alignment vertical="center"/>
      <protection locked="0"/>
    </xf>
    <xf numFmtId="0" fontId="0" fillId="11" borderId="5" xfId="0" applyFill="1" applyBorder="1" applyAlignment="1" applyProtection="1">
      <alignment horizontal="center" vertical="center"/>
      <protection locked="0"/>
    </xf>
    <xf numFmtId="0" fontId="0" fillId="0" borderId="0" xfId="0" applyAlignment="1">
      <alignment vertical="center"/>
    </xf>
    <xf numFmtId="0" fontId="0" fillId="11" borderId="5" xfId="0" quotePrefix="1" applyFill="1" applyBorder="1" applyAlignment="1" applyProtection="1">
      <alignment horizontal="center" vertical="center"/>
      <protection locked="0"/>
    </xf>
    <xf numFmtId="3" fontId="0" fillId="0" borderId="0" xfId="1" applyNumberFormat="1" applyFont="1" applyAlignment="1" applyProtection="1">
      <alignment vertical="center"/>
      <protection locked="0"/>
    </xf>
    <xf numFmtId="3" fontId="0" fillId="0" borderId="0" xfId="1" applyNumberFormat="1" applyFont="1" applyAlignment="1" applyProtection="1">
      <alignment vertical="center"/>
    </xf>
    <xf numFmtId="3" fontId="2" fillId="0" borderId="0" xfId="1" applyNumberFormat="1" applyFont="1" applyFill="1" applyBorder="1" applyAlignment="1" applyProtection="1">
      <alignment vertical="center" wrapText="1"/>
    </xf>
    <xf numFmtId="0" fontId="0" fillId="0" borderId="0" xfId="0" applyAlignment="1">
      <alignment wrapText="1"/>
    </xf>
    <xf numFmtId="0" fontId="2" fillId="0" borderId="0" xfId="0" applyFont="1" applyAlignment="1">
      <alignment vertical="center"/>
    </xf>
    <xf numFmtId="0" fontId="2" fillId="0" borderId="30" xfId="0" applyFont="1" applyBorder="1" applyAlignment="1">
      <alignment horizontal="left" indent="1"/>
    </xf>
    <xf numFmtId="3" fontId="0" fillId="0" borderId="46" xfId="0" applyNumberFormat="1" applyBorder="1" applyAlignment="1">
      <alignment horizontal="center"/>
    </xf>
    <xf numFmtId="0" fontId="0" fillId="0" borderId="27" xfId="0" applyBorder="1" applyAlignment="1">
      <alignment vertical="center"/>
    </xf>
    <xf numFmtId="0" fontId="0" fillId="0" borderId="18" xfId="0" applyBorder="1" applyAlignment="1">
      <alignment vertical="center"/>
    </xf>
    <xf numFmtId="0" fontId="0" fillId="0" borderId="48" xfId="0" applyBorder="1" applyAlignment="1">
      <alignment vertical="center"/>
    </xf>
    <xf numFmtId="0" fontId="2" fillId="0" borderId="24" xfId="0" applyFont="1" applyBorder="1" applyAlignment="1">
      <alignment horizontal="center" vertical="center"/>
    </xf>
    <xf numFmtId="3" fontId="0" fillId="0" borderId="30" xfId="0" applyNumberFormat="1" applyBorder="1" applyAlignment="1">
      <alignment horizontal="center"/>
    </xf>
    <xf numFmtId="3" fontId="0" fillId="0" borderId="24" xfId="0" applyNumberFormat="1" applyBorder="1" applyAlignment="1">
      <alignment horizontal="center"/>
    </xf>
    <xf numFmtId="9" fontId="2" fillId="0" borderId="24" xfId="8" applyFont="1" applyBorder="1" applyAlignment="1" applyProtection="1">
      <alignment horizontal="center" wrapText="1"/>
    </xf>
    <xf numFmtId="0" fontId="0" fillId="0" borderId="30" xfId="0" applyBorder="1" applyAlignment="1">
      <alignment wrapText="1"/>
    </xf>
    <xf numFmtId="9" fontId="0" fillId="0" borderId="24" xfId="8" applyFont="1" applyBorder="1" applyAlignment="1" applyProtection="1">
      <alignment horizontal="center" wrapText="1"/>
    </xf>
    <xf numFmtId="0" fontId="0" fillId="0" borderId="30" xfId="0" applyBorder="1" applyAlignment="1">
      <alignment horizontal="right"/>
    </xf>
    <xf numFmtId="3" fontId="0" fillId="0" borderId="45" xfId="0" applyNumberFormat="1" applyBorder="1" applyAlignment="1">
      <alignment horizontal="center" vertical="top"/>
    </xf>
    <xf numFmtId="3" fontId="2" fillId="0" borderId="46" xfId="0" applyNumberFormat="1" applyFont="1" applyBorder="1" applyAlignment="1">
      <alignment horizontal="right" vertical="top"/>
    </xf>
    <xf numFmtId="3" fontId="0" fillId="0" borderId="47" xfId="0" applyNumberFormat="1" applyBorder="1" applyAlignment="1">
      <alignment horizontal="left" vertical="top" indent="1"/>
    </xf>
    <xf numFmtId="3" fontId="0" fillId="0" borderId="47" xfId="0" applyNumberFormat="1" applyBorder="1" applyAlignment="1">
      <alignment horizontal="center"/>
    </xf>
    <xf numFmtId="0" fontId="0" fillId="0" borderId="24" xfId="0" applyBorder="1"/>
    <xf numFmtId="0" fontId="0" fillId="0" borderId="24" xfId="0" applyBorder="1" applyAlignment="1">
      <alignment horizontal="center" wrapText="1"/>
    </xf>
    <xf numFmtId="3" fontId="0" fillId="0" borderId="45" xfId="0" applyNumberFormat="1" applyBorder="1" applyAlignment="1">
      <alignment horizontal="center" wrapText="1"/>
    </xf>
    <xf numFmtId="0" fontId="0" fillId="0" borderId="24" xfId="0" applyBorder="1" applyAlignment="1">
      <alignment horizontal="center"/>
    </xf>
    <xf numFmtId="0" fontId="0" fillId="0" borderId="21" xfId="0" applyBorder="1" applyAlignment="1">
      <alignment horizontal="center"/>
    </xf>
    <xf numFmtId="0" fontId="0" fillId="0" borderId="30" xfId="0" applyBorder="1" applyAlignment="1">
      <alignment horizontal="center"/>
    </xf>
    <xf numFmtId="3" fontId="0" fillId="0" borderId="32" xfId="0" applyNumberFormat="1" applyBorder="1" applyAlignment="1">
      <alignment horizontal="center"/>
    </xf>
    <xf numFmtId="3" fontId="0" fillId="0" borderId="26" xfId="0" applyNumberFormat="1" applyBorder="1" applyAlignment="1">
      <alignment horizontal="center"/>
    </xf>
    <xf numFmtId="3" fontId="0" fillId="0" borderId="33" xfId="0" applyNumberFormat="1" applyBorder="1" applyAlignment="1">
      <alignment horizontal="center"/>
    </xf>
    <xf numFmtId="0" fontId="0" fillId="0" borderId="5" xfId="0" applyBorder="1" applyAlignment="1">
      <alignment horizontal="right" wrapText="1"/>
    </xf>
    <xf numFmtId="3" fontId="0" fillId="0" borderId="26" xfId="0" applyNumberFormat="1" applyBorder="1" applyAlignment="1">
      <alignment horizontal="left"/>
    </xf>
    <xf numFmtId="0" fontId="0" fillId="0" borderId="43" xfId="0" applyBorder="1" applyAlignment="1">
      <alignment horizontal="right" wrapText="1"/>
    </xf>
    <xf numFmtId="0" fontId="0" fillId="0" borderId="30" xfId="0" applyBorder="1"/>
    <xf numFmtId="3" fontId="0" fillId="0" borderId="55" xfId="0" applyNumberFormat="1" applyBorder="1" applyAlignment="1">
      <alignment horizontal="left" wrapText="1" indent="1"/>
    </xf>
    <xf numFmtId="3" fontId="0" fillId="0" borderId="56" xfId="0" applyNumberFormat="1" applyBorder="1" applyAlignment="1">
      <alignment wrapText="1"/>
    </xf>
    <xf numFmtId="0" fontId="0" fillId="0" borderId="56" xfId="0" applyBorder="1" applyAlignment="1">
      <alignment horizontal="center" vertical="center"/>
    </xf>
    <xf numFmtId="0" fontId="16" fillId="0" borderId="39" xfId="2" applyBorder="1" applyAlignment="1" applyProtection="1">
      <alignment horizontal="center" vertical="center"/>
    </xf>
    <xf numFmtId="3" fontId="2" fillId="0" borderId="24" xfId="0" applyNumberFormat="1" applyFont="1" applyBorder="1" applyAlignment="1">
      <alignment horizontal="center" wrapText="1"/>
    </xf>
    <xf numFmtId="3" fontId="0" fillId="0" borderId="24" xfId="0" applyNumberFormat="1" applyBorder="1" applyAlignment="1">
      <alignment horizontal="center" wrapText="1"/>
    </xf>
    <xf numFmtId="3" fontId="0" fillId="0" borderId="34" xfId="0" applyNumberFormat="1" applyBorder="1" applyAlignment="1">
      <alignment horizontal="left" indent="1"/>
    </xf>
    <xf numFmtId="3" fontId="2" fillId="0" borderId="23" xfId="0" applyNumberFormat="1" applyFont="1" applyBorder="1" applyAlignment="1">
      <alignment horizontal="center" wrapText="1"/>
    </xf>
    <xf numFmtId="3" fontId="0" fillId="0" borderId="23" xfId="0" applyNumberFormat="1" applyBorder="1" applyAlignment="1">
      <alignment horizontal="center"/>
    </xf>
    <xf numFmtId="3" fontId="0" fillId="0" borderId="45" xfId="0" applyNumberFormat="1" applyBorder="1" applyAlignment="1">
      <alignment horizontal="left" indent="1"/>
    </xf>
    <xf numFmtId="4" fontId="0" fillId="0" borderId="46" xfId="0" applyNumberFormat="1" applyBorder="1" applyAlignment="1">
      <alignment horizontal="left"/>
    </xf>
    <xf numFmtId="1" fontId="0" fillId="14" borderId="65" xfId="0" applyNumberFormat="1" applyFill="1" applyBorder="1" applyAlignment="1" applyProtection="1">
      <alignment horizontal="center" vertical="center" wrapText="1"/>
      <protection locked="0"/>
    </xf>
    <xf numFmtId="1" fontId="0" fillId="14" borderId="43" xfId="0" applyNumberFormat="1" applyFill="1" applyBorder="1" applyAlignment="1" applyProtection="1">
      <alignment horizontal="center" vertical="center" wrapText="1"/>
      <protection locked="0"/>
    </xf>
    <xf numFmtId="1" fontId="0" fillId="14" borderId="66" xfId="0" applyNumberFormat="1" applyFill="1" applyBorder="1" applyAlignment="1" applyProtection="1">
      <alignment horizontal="center" vertical="center" wrapText="1"/>
      <protection locked="0"/>
    </xf>
    <xf numFmtId="1" fontId="0" fillId="13" borderId="64" xfId="0" applyNumberFormat="1" applyFill="1" applyBorder="1" applyAlignment="1">
      <alignment horizontal="center" vertical="center"/>
    </xf>
    <xf numFmtId="0" fontId="29" fillId="0" borderId="0" xfId="0" applyFont="1"/>
    <xf numFmtId="1" fontId="0" fillId="14" borderId="45" xfId="0" applyNumberFormat="1" applyFill="1" applyBorder="1" applyAlignment="1" applyProtection="1">
      <alignment horizontal="center" vertical="center" wrapText="1"/>
      <protection locked="0"/>
    </xf>
    <xf numFmtId="1" fontId="0" fillId="14" borderId="61" xfId="0" applyNumberFormat="1" applyFill="1" applyBorder="1" applyAlignment="1" applyProtection="1">
      <alignment horizontal="center" vertical="center" wrapText="1"/>
      <protection locked="0"/>
    </xf>
    <xf numFmtId="0" fontId="0" fillId="0" borderId="0" xfId="0" applyAlignment="1" applyProtection="1">
      <alignment horizontal="left" vertical="top"/>
      <protection locked="0"/>
    </xf>
    <xf numFmtId="1" fontId="0" fillId="13" borderId="40" xfId="0" applyNumberFormat="1" applyFill="1" applyBorder="1" applyAlignment="1">
      <alignment horizontal="center" vertical="center"/>
    </xf>
    <xf numFmtId="0" fontId="44" fillId="0" borderId="0" xfId="0" applyFont="1" applyAlignment="1" applyProtection="1">
      <alignment vertical="top" wrapText="1"/>
      <protection locked="0"/>
    </xf>
    <xf numFmtId="0" fontId="2" fillId="0" borderId="78" xfId="0" applyFont="1" applyBorder="1" applyAlignment="1" applyProtection="1">
      <alignment horizontal="center" vertical="center" wrapText="1"/>
      <protection locked="0"/>
    </xf>
    <xf numFmtId="37" fontId="2" fillId="15" borderId="78" xfId="1" applyNumberFormat="1" applyFont="1" applyFill="1" applyBorder="1" applyAlignment="1" applyProtection="1">
      <alignment horizontal="center"/>
    </xf>
    <xf numFmtId="0" fontId="48" fillId="8" borderId="5" xfId="0" applyFont="1" applyFill="1" applyBorder="1" applyAlignment="1" applyProtection="1">
      <alignment horizontal="center" vertical="center" wrapText="1"/>
      <protection locked="0"/>
    </xf>
    <xf numFmtId="0" fontId="0" fillId="4" borderId="5" xfId="0" applyFill="1" applyBorder="1" applyAlignment="1" applyProtection="1">
      <alignment vertical="center" wrapText="1"/>
      <protection locked="0"/>
    </xf>
    <xf numFmtId="164" fontId="0" fillId="4" borderId="5" xfId="1" applyNumberFormat="1" applyFont="1" applyFill="1" applyBorder="1" applyAlignment="1" applyProtection="1">
      <alignment horizontal="center" vertical="center" wrapText="1"/>
    </xf>
    <xf numFmtId="164" fontId="2" fillId="5" borderId="5" xfId="1" applyNumberFormat="1" applyFont="1" applyFill="1" applyBorder="1" applyAlignment="1" applyProtection="1">
      <alignment horizontal="center" vertical="center" wrapText="1"/>
    </xf>
    <xf numFmtId="164" fontId="5" fillId="5" borderId="5" xfId="1" applyNumberFormat="1" applyFont="1" applyFill="1" applyBorder="1" applyAlignment="1" applyProtection="1">
      <alignment horizontal="center" vertical="center" wrapText="1"/>
    </xf>
    <xf numFmtId="0" fontId="5" fillId="0" borderId="0" xfId="0" applyFont="1" applyAlignment="1" applyProtection="1">
      <alignment horizontal="center" vertical="center" wrapText="1"/>
      <protection locked="0"/>
    </xf>
    <xf numFmtId="164" fontId="5" fillId="0" borderId="0" xfId="1" applyNumberFormat="1" applyFont="1" applyFill="1" applyBorder="1" applyAlignment="1" applyProtection="1">
      <alignment horizontal="center" vertical="center" wrapText="1"/>
      <protection locked="0"/>
    </xf>
    <xf numFmtId="0" fontId="4" fillId="0" borderId="0" xfId="0" applyFont="1" applyAlignment="1" applyProtection="1">
      <alignment vertical="center" wrapText="1"/>
      <protection locked="0"/>
    </xf>
    <xf numFmtId="1" fontId="4" fillId="4" borderId="5" xfId="1" quotePrefix="1" applyNumberFormat="1" applyFont="1" applyFill="1" applyBorder="1" applyAlignment="1" applyProtection="1">
      <alignment horizontal="center" vertical="center" wrapText="1"/>
    </xf>
    <xf numFmtId="1" fontId="4" fillId="4" borderId="5" xfId="1" applyNumberFormat="1" applyFont="1" applyFill="1" applyBorder="1" applyAlignment="1" applyProtection="1">
      <alignment horizontal="center" vertical="center" wrapText="1"/>
    </xf>
    <xf numFmtId="1" fontId="4" fillId="4" borderId="5" xfId="1" quotePrefix="1" applyNumberFormat="1" applyFont="1" applyFill="1" applyBorder="1" applyAlignment="1" applyProtection="1">
      <alignment horizontal="center" vertical="center" wrapText="1"/>
      <protection locked="0"/>
    </xf>
    <xf numFmtId="1" fontId="4" fillId="4" borderId="5" xfId="1" applyNumberFormat="1" applyFont="1" applyFill="1" applyBorder="1" applyAlignment="1" applyProtection="1">
      <alignment horizontal="center" vertical="center" wrapText="1"/>
      <protection locked="0"/>
    </xf>
    <xf numFmtId="0" fontId="2"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pplyProtection="1">
      <alignment horizontal="center" vertical="center" wrapText="1"/>
      <protection locked="0"/>
    </xf>
    <xf numFmtId="164" fontId="5" fillId="4" borderId="5" xfId="1" applyNumberFormat="1" applyFont="1" applyFill="1" applyBorder="1" applyAlignment="1" applyProtection="1">
      <alignment horizontal="center" vertical="center" wrapText="1"/>
    </xf>
    <xf numFmtId="0" fontId="2" fillId="5" borderId="5" xfId="0" applyFont="1" applyFill="1" applyBorder="1" applyAlignment="1" applyProtection="1">
      <alignment vertical="center" wrapText="1"/>
      <protection locked="0"/>
    </xf>
    <xf numFmtId="0" fontId="9" fillId="0" borderId="0" xfId="0" applyFont="1" applyAlignment="1">
      <alignment vertical="center"/>
    </xf>
    <xf numFmtId="164" fontId="4" fillId="0" borderId="0" xfId="1" applyNumberFormat="1" applyFont="1" applyFill="1" applyBorder="1" applyAlignment="1">
      <alignment horizontal="center" vertical="center"/>
    </xf>
    <xf numFmtId="2" fontId="4" fillId="0" borderId="0" xfId="0" applyNumberFormat="1" applyFont="1" applyAlignment="1">
      <alignment horizontal="center" vertical="center"/>
    </xf>
    <xf numFmtId="164" fontId="0" fillId="0" borderId="0" xfId="1" applyNumberFormat="1" applyFont="1" applyBorder="1" applyAlignment="1">
      <alignment vertical="center"/>
    </xf>
    <xf numFmtId="0" fontId="8" fillId="3" borderId="5" xfId="0" applyFont="1" applyFill="1" applyBorder="1" applyAlignment="1" applyProtection="1">
      <alignment horizontal="center" vertical="center" wrapText="1"/>
      <protection locked="0"/>
    </xf>
    <xf numFmtId="164" fontId="8" fillId="3" borderId="5" xfId="1" applyNumberFormat="1" applyFont="1" applyFill="1" applyBorder="1" applyAlignment="1" applyProtection="1">
      <alignment horizontal="center" vertical="center" wrapText="1"/>
      <protection locked="0"/>
    </xf>
    <xf numFmtId="3" fontId="4" fillId="4" borderId="5" xfId="0" applyNumberFormat="1" applyFont="1" applyFill="1" applyBorder="1" applyAlignment="1" applyProtection="1">
      <alignment horizontal="center" vertical="center" wrapText="1"/>
      <protection locked="0"/>
    </xf>
    <xf numFmtId="0" fontId="2" fillId="0" borderId="0" xfId="0" applyFont="1" applyAlignment="1" applyProtection="1">
      <alignment vertical="center" wrapText="1"/>
      <protection locked="0"/>
    </xf>
    <xf numFmtId="1" fontId="2" fillId="0" borderId="0" xfId="0" applyNumberFormat="1" applyFont="1" applyAlignment="1">
      <alignment vertical="center"/>
    </xf>
    <xf numFmtId="1" fontId="0" fillId="14" borderId="78" xfId="0" applyNumberFormat="1" applyFill="1" applyBorder="1" applyAlignment="1" applyProtection="1">
      <alignment horizontal="center" vertical="center" wrapText="1"/>
      <protection locked="0"/>
    </xf>
    <xf numFmtId="1" fontId="0" fillId="14" borderId="58" xfId="0" applyNumberFormat="1" applyFill="1" applyBorder="1" applyAlignment="1" applyProtection="1">
      <alignment horizontal="center" vertical="center" wrapText="1"/>
      <protection locked="0"/>
    </xf>
    <xf numFmtId="49" fontId="0" fillId="14" borderId="28" xfId="0" applyNumberFormat="1" applyFill="1" applyBorder="1" applyAlignment="1" applyProtection="1">
      <alignment horizontal="center" vertical="center" wrapText="1"/>
      <protection locked="0"/>
    </xf>
    <xf numFmtId="0" fontId="5" fillId="0" borderId="0" xfId="0" applyFont="1" applyAlignment="1">
      <alignment horizontal="center" vertical="center" wrapText="1"/>
    </xf>
    <xf numFmtId="164" fontId="5" fillId="0" borderId="0" xfId="1" applyNumberFormat="1" applyFont="1" applyFill="1" applyBorder="1" applyAlignment="1" applyProtection="1">
      <alignment horizontal="center" vertical="center" wrapText="1"/>
    </xf>
    <xf numFmtId="0" fontId="5" fillId="4" borderId="5" xfId="0" applyFont="1" applyFill="1" applyBorder="1" applyAlignment="1" applyProtection="1">
      <alignment horizontal="center" vertical="center" wrapText="1"/>
      <protection locked="0"/>
    </xf>
    <xf numFmtId="0" fontId="2" fillId="4" borderId="5" xfId="0" applyFont="1" applyFill="1" applyBorder="1" applyAlignment="1" applyProtection="1">
      <alignment vertical="center" wrapText="1"/>
      <protection locked="0"/>
    </xf>
    <xf numFmtId="0" fontId="0" fillId="0" borderId="0" xfId="0" applyAlignment="1" applyProtection="1">
      <alignment horizontal="center" vertical="center" wrapText="1"/>
      <protection locked="0"/>
    </xf>
    <xf numFmtId="0" fontId="2" fillId="5" borderId="79" xfId="0" applyFont="1" applyFill="1" applyBorder="1" applyAlignment="1" applyProtection="1">
      <alignment horizontal="center" vertical="center" wrapText="1"/>
      <protection locked="0"/>
    </xf>
    <xf numFmtId="3" fontId="5" fillId="5" borderId="80" xfId="0" applyNumberFormat="1" applyFont="1" applyFill="1" applyBorder="1" applyAlignment="1" applyProtection="1">
      <alignment vertical="center" wrapText="1"/>
      <protection locked="0"/>
    </xf>
    <xf numFmtId="164" fontId="5" fillId="5" borderId="81" xfId="1" applyNumberFormat="1" applyFont="1" applyFill="1" applyBorder="1" applyAlignment="1" applyProtection="1">
      <alignment horizontal="center" vertical="center" wrapText="1"/>
    </xf>
    <xf numFmtId="0" fontId="0" fillId="4" borderId="5" xfId="0" applyFill="1" applyBorder="1" applyAlignment="1">
      <alignment horizontal="center" vertical="center" wrapText="1"/>
    </xf>
    <xf numFmtId="0" fontId="39" fillId="0" borderId="5" xfId="0" applyFont="1" applyBorder="1" applyAlignment="1" applyProtection="1">
      <alignment vertical="center" wrapText="1"/>
      <protection locked="0"/>
    </xf>
    <xf numFmtId="1" fontId="0" fillId="5" borderId="78" xfId="0" applyNumberFormat="1" applyFill="1" applyBorder="1" applyAlignment="1">
      <alignment horizontal="center" vertical="center"/>
    </xf>
    <xf numFmtId="1" fontId="2" fillId="0" borderId="78" xfId="0" applyNumberFormat="1" applyFont="1" applyBorder="1" applyAlignment="1">
      <alignment horizontal="center" vertical="center"/>
    </xf>
    <xf numFmtId="1" fontId="0" fillId="14" borderId="78" xfId="0" applyNumberFormat="1" applyFill="1" applyBorder="1" applyAlignment="1">
      <alignment horizontal="center" vertical="center"/>
    </xf>
    <xf numFmtId="0" fontId="44" fillId="0" borderId="0" xfId="0" applyFont="1" applyAlignment="1" applyProtection="1">
      <alignment vertical="center" wrapText="1"/>
      <protection locked="0"/>
    </xf>
    <xf numFmtId="37" fontId="2" fillId="0" borderId="0" xfId="1" applyNumberFormat="1" applyFont="1" applyFill="1" applyBorder="1" applyAlignment="1" applyProtection="1"/>
    <xf numFmtId="3" fontId="2" fillId="0" borderId="0" xfId="0" applyNumberFormat="1" applyFont="1" applyAlignment="1">
      <alignment vertical="center" wrapText="1"/>
    </xf>
    <xf numFmtId="37" fontId="2" fillId="15" borderId="78" xfId="1" applyNumberFormat="1" applyFont="1" applyFill="1" applyBorder="1" applyAlignment="1" applyProtection="1">
      <alignment horizontal="center" vertical="center"/>
    </xf>
    <xf numFmtId="0" fontId="44" fillId="0" borderId="78" xfId="0" applyFont="1" applyBorder="1" applyAlignment="1" applyProtection="1">
      <alignment vertical="center" wrapText="1"/>
      <protection locked="0"/>
    </xf>
    <xf numFmtId="0" fontId="2" fillId="0" borderId="78" xfId="0" applyFont="1" applyBorder="1" applyAlignment="1" applyProtection="1">
      <alignment vertical="center" wrapText="1"/>
      <protection locked="0"/>
    </xf>
    <xf numFmtId="37" fontId="2" fillId="15" borderId="78" xfId="1" applyNumberFormat="1" applyFont="1" applyFill="1" applyBorder="1" applyAlignment="1" applyProtection="1"/>
    <xf numFmtId="1" fontId="0" fillId="13" borderId="78" xfId="0" applyNumberFormat="1" applyFill="1" applyBorder="1" applyAlignment="1">
      <alignment horizontal="center" vertical="center"/>
    </xf>
    <xf numFmtId="1" fontId="0" fillId="14" borderId="46" xfId="0" applyNumberFormat="1" applyFill="1" applyBorder="1" applyAlignment="1" applyProtection="1">
      <alignment horizontal="center" vertical="center" wrapText="1"/>
      <protection locked="0"/>
    </xf>
    <xf numFmtId="1" fontId="0" fillId="14" borderId="78" xfId="0" applyNumberFormat="1" applyFill="1" applyBorder="1" applyAlignment="1" applyProtection="1">
      <alignment horizontal="center" vertical="center"/>
      <protection locked="0"/>
    </xf>
    <xf numFmtId="0" fontId="0" fillId="7" borderId="0" xfId="0" applyFill="1" applyAlignment="1">
      <alignment vertical="center" wrapText="1"/>
    </xf>
    <xf numFmtId="164" fontId="0" fillId="7" borderId="0" xfId="1" applyNumberFormat="1" applyFont="1" applyFill="1" applyBorder="1" applyAlignment="1">
      <alignment vertical="center" wrapText="1"/>
    </xf>
    <xf numFmtId="0" fontId="0" fillId="7" borderId="24" xfId="0" applyFill="1" applyBorder="1" applyAlignment="1">
      <alignment vertical="center" wrapText="1"/>
    </xf>
    <xf numFmtId="0" fontId="2" fillId="0" borderId="58" xfId="0" applyFont="1" applyBorder="1" applyAlignment="1" applyProtection="1">
      <alignment vertical="center" wrapText="1"/>
      <protection locked="0"/>
    </xf>
    <xf numFmtId="0" fontId="2" fillId="0" borderId="44" xfId="0" applyFont="1" applyBorder="1" applyAlignment="1" applyProtection="1">
      <alignment vertical="center" wrapText="1"/>
      <protection locked="0"/>
    </xf>
    <xf numFmtId="0" fontId="47" fillId="7" borderId="24" xfId="0" applyFont="1" applyFill="1" applyBorder="1" applyAlignment="1" applyProtection="1">
      <alignment vertical="center" wrapText="1"/>
      <protection locked="0"/>
    </xf>
    <xf numFmtId="0" fontId="2" fillId="7" borderId="0" xfId="0" applyFont="1" applyFill="1" applyAlignment="1" applyProtection="1">
      <alignment vertical="center" wrapText="1"/>
      <protection locked="0"/>
    </xf>
    <xf numFmtId="0" fontId="2" fillId="7" borderId="24" xfId="0" applyFont="1" applyFill="1" applyBorder="1" applyAlignment="1" applyProtection="1">
      <alignment horizontal="center" vertical="center" wrapText="1"/>
      <protection locked="0"/>
    </xf>
    <xf numFmtId="164" fontId="0" fillId="7" borderId="24" xfId="1" applyNumberFormat="1" applyFont="1" applyFill="1" applyBorder="1" applyAlignment="1">
      <alignment vertical="center" wrapText="1"/>
    </xf>
    <xf numFmtId="0" fontId="0" fillId="7" borderId="30" xfId="0" applyFill="1" applyBorder="1" applyAlignment="1" applyProtection="1">
      <alignment vertical="center"/>
      <protection locked="0"/>
    </xf>
    <xf numFmtId="0" fontId="0" fillId="7" borderId="0" xfId="0" applyFill="1" applyAlignment="1" applyProtection="1">
      <alignment vertical="center"/>
      <protection locked="0"/>
    </xf>
    <xf numFmtId="0" fontId="0" fillId="7" borderId="20" xfId="0" applyFill="1" applyBorder="1" applyAlignment="1">
      <alignment vertical="center" wrapText="1"/>
    </xf>
    <xf numFmtId="1" fontId="0" fillId="7" borderId="30" xfId="0" applyNumberFormat="1" applyFill="1" applyBorder="1" applyAlignment="1">
      <alignment horizontal="center" vertical="center"/>
    </xf>
    <xf numFmtId="1" fontId="0" fillId="7" borderId="0" xfId="0" applyNumberFormat="1" applyFill="1" applyAlignment="1">
      <alignment horizontal="center" vertical="center"/>
    </xf>
    <xf numFmtId="0" fontId="0" fillId="7" borderId="20" xfId="0" applyFill="1" applyBorder="1" applyAlignment="1" applyProtection="1">
      <alignment vertical="center"/>
      <protection locked="0"/>
    </xf>
    <xf numFmtId="0" fontId="0" fillId="7" borderId="46" xfId="0" applyFill="1" applyBorder="1" applyAlignment="1" applyProtection="1">
      <alignment vertical="center"/>
      <protection locked="0"/>
    </xf>
    <xf numFmtId="0" fontId="0" fillId="7" borderId="0" xfId="0" applyFill="1" applyAlignment="1" applyProtection="1">
      <alignment horizontal="center" vertical="center"/>
      <protection locked="0"/>
    </xf>
    <xf numFmtId="0" fontId="0" fillId="7" borderId="20" xfId="0" applyFill="1" applyBorder="1" applyAlignment="1" applyProtection="1">
      <alignment horizontal="center" vertical="center"/>
      <protection locked="0"/>
    </xf>
    <xf numFmtId="0" fontId="0" fillId="7" borderId="58" xfId="0" applyFill="1" applyBorder="1" applyAlignment="1" applyProtection="1">
      <alignment vertical="center"/>
      <protection locked="0"/>
    </xf>
    <xf numFmtId="0" fontId="0" fillId="7" borderId="77" xfId="0" applyFill="1" applyBorder="1" applyAlignment="1" applyProtection="1">
      <alignment vertical="center"/>
      <protection locked="0"/>
    </xf>
    <xf numFmtId="0" fontId="0" fillId="7" borderId="61" xfId="0" applyFill="1" applyBorder="1" applyAlignment="1" applyProtection="1">
      <alignment vertical="center"/>
      <protection locked="0"/>
    </xf>
    <xf numFmtId="1" fontId="56" fillId="14" borderId="78" xfId="0" applyNumberFormat="1" applyFont="1" applyFill="1" applyBorder="1" applyAlignment="1" applyProtection="1">
      <alignment horizontal="center" vertical="center" wrapText="1"/>
      <protection locked="0"/>
    </xf>
    <xf numFmtId="0" fontId="2" fillId="0" borderId="78" xfId="0" applyFont="1" applyBorder="1" applyAlignment="1" applyProtection="1">
      <alignment horizontal="right" vertical="center" indent="2"/>
      <protection locked="0"/>
    </xf>
    <xf numFmtId="0" fontId="2" fillId="0" borderId="78" xfId="0" applyFont="1" applyBorder="1" applyAlignment="1" applyProtection="1">
      <alignment horizontal="center" vertical="center"/>
      <protection locked="0"/>
    </xf>
    <xf numFmtId="0" fontId="0" fillId="0" borderId="0" xfId="0" applyAlignment="1" applyProtection="1">
      <alignment horizontal="center" vertical="center"/>
      <protection locked="0"/>
    </xf>
    <xf numFmtId="0" fontId="51" fillId="0" borderId="0" xfId="0" applyFont="1" applyAlignment="1" applyProtection="1">
      <alignment vertical="center" wrapText="1"/>
      <protection locked="0"/>
    </xf>
    <xf numFmtId="0" fontId="52" fillId="0" borderId="0" xfId="0" applyFont="1" applyAlignment="1" applyProtection="1">
      <alignment vertical="center" wrapText="1"/>
      <protection locked="0"/>
    </xf>
    <xf numFmtId="164" fontId="0" fillId="7" borderId="21" xfId="1" applyNumberFormat="1" applyFont="1" applyFill="1" applyBorder="1" applyAlignment="1">
      <alignment vertical="center" wrapText="1"/>
    </xf>
    <xf numFmtId="164" fontId="0" fillId="7" borderId="47" xfId="1" applyNumberFormat="1" applyFont="1" applyFill="1" applyBorder="1" applyAlignment="1">
      <alignment vertical="center" wrapText="1"/>
    </xf>
    <xf numFmtId="0" fontId="0" fillId="0" borderId="78" xfId="0" applyBorder="1" applyAlignment="1">
      <alignment horizontal="center" vertical="center" wrapText="1"/>
    </xf>
    <xf numFmtId="1" fontId="0" fillId="14" borderId="36" xfId="0" applyNumberFormat="1" applyFill="1" applyBorder="1" applyAlignment="1" applyProtection="1">
      <alignment horizontal="center" vertical="center" wrapText="1"/>
      <protection locked="0"/>
    </xf>
    <xf numFmtId="0" fontId="0" fillId="7" borderId="44" xfId="0" applyFill="1" applyBorder="1" applyAlignment="1" applyProtection="1">
      <alignment horizontal="center" vertical="center"/>
      <protection locked="0"/>
    </xf>
    <xf numFmtId="0" fontId="0" fillId="7" borderId="52" xfId="0" applyFill="1" applyBorder="1" applyAlignment="1" applyProtection="1">
      <alignment vertical="center"/>
      <protection locked="0"/>
    </xf>
    <xf numFmtId="0" fontId="0" fillId="7" borderId="53" xfId="0" applyFill="1" applyBorder="1" applyAlignment="1" applyProtection="1">
      <alignment vertical="center"/>
      <protection locked="0"/>
    </xf>
    <xf numFmtId="0" fontId="0" fillId="7" borderId="54" xfId="0" applyFill="1" applyBorder="1" applyAlignment="1" applyProtection="1">
      <alignment vertical="center"/>
      <protection locked="0"/>
    </xf>
    <xf numFmtId="0" fontId="0" fillId="7" borderId="54" xfId="0" applyFill="1" applyBorder="1" applyAlignment="1" applyProtection="1">
      <alignment horizontal="center" vertical="center"/>
      <protection locked="0"/>
    </xf>
    <xf numFmtId="0" fontId="0" fillId="7" borderId="58" xfId="0" applyFill="1" applyBorder="1"/>
    <xf numFmtId="0" fontId="0" fillId="7" borderId="77" xfId="0" applyFill="1" applyBorder="1"/>
    <xf numFmtId="1" fontId="0" fillId="14" borderId="51" xfId="0" applyNumberFormat="1" applyFill="1" applyBorder="1" applyAlignment="1" applyProtection="1">
      <alignment horizontal="center" vertical="center" wrapText="1"/>
      <protection locked="0"/>
    </xf>
    <xf numFmtId="0" fontId="2" fillId="0" borderId="78" xfId="0" applyFont="1" applyBorder="1" applyAlignment="1" applyProtection="1">
      <alignment horizontal="center" vertical="top" wrapText="1"/>
      <protection locked="0"/>
    </xf>
    <xf numFmtId="164" fontId="2" fillId="0" borderId="52" xfId="1" applyNumberFormat="1" applyFont="1" applyFill="1" applyBorder="1" applyAlignment="1" applyProtection="1">
      <alignment horizontal="center" vertical="center"/>
      <protection locked="0"/>
    </xf>
    <xf numFmtId="164" fontId="2" fillId="0" borderId="78" xfId="1" applyNumberFormat="1" applyFont="1" applyFill="1" applyBorder="1" applyAlignment="1" applyProtection="1">
      <alignment horizontal="center" vertical="center"/>
    </xf>
    <xf numFmtId="1" fontId="15" fillId="14" borderId="78" xfId="1" applyNumberFormat="1" applyFont="1" applyFill="1" applyBorder="1" applyAlignment="1" applyProtection="1">
      <alignment horizontal="center" vertical="center"/>
      <protection locked="0"/>
    </xf>
    <xf numFmtId="1" fontId="15" fillId="14" borderId="78" xfId="1" applyNumberFormat="1" applyFont="1" applyFill="1" applyBorder="1" applyAlignment="1" applyProtection="1">
      <alignment horizontal="center" vertical="center"/>
    </xf>
    <xf numFmtId="3" fontId="0" fillId="14" borderId="5" xfId="1" applyNumberFormat="1" applyFont="1" applyFill="1" applyBorder="1" applyAlignment="1" applyProtection="1">
      <alignment horizontal="center" vertical="center"/>
      <protection locked="0"/>
    </xf>
    <xf numFmtId="3" fontId="0" fillId="14" borderId="5" xfId="1" applyNumberFormat="1" applyFont="1" applyFill="1" applyBorder="1" applyAlignment="1" applyProtection="1">
      <alignment horizontal="center" vertical="center"/>
    </xf>
    <xf numFmtId="3" fontId="0" fillId="14" borderId="43" xfId="1" applyNumberFormat="1" applyFont="1" applyFill="1" applyBorder="1" applyAlignment="1" applyProtection="1">
      <alignment horizontal="center" vertical="center"/>
    </xf>
    <xf numFmtId="0" fontId="0" fillId="0" borderId="78" xfId="0" applyBorder="1"/>
    <xf numFmtId="0" fontId="22" fillId="0" borderId="58" xfId="0" applyFont="1" applyBorder="1" applyAlignment="1">
      <alignment vertical="center" wrapText="1"/>
    </xf>
    <xf numFmtId="0" fontId="22" fillId="0" borderId="77" xfId="0" applyFont="1" applyBorder="1" applyAlignment="1">
      <alignment vertical="center" wrapText="1"/>
    </xf>
    <xf numFmtId="0" fontId="0" fillId="0" borderId="78" xfId="0" applyBorder="1" applyAlignment="1">
      <alignment vertical="center" wrapText="1"/>
    </xf>
    <xf numFmtId="0" fontId="3" fillId="2" borderId="12" xfId="0" applyFont="1" applyFill="1" applyBorder="1" applyAlignment="1">
      <alignment horizontal="center" vertical="center" wrapText="1"/>
    </xf>
    <xf numFmtId="1" fontId="0" fillId="14" borderId="64" xfId="0" applyNumberFormat="1" applyFill="1" applyBorder="1" applyAlignment="1">
      <alignment horizontal="center" vertical="center"/>
    </xf>
    <xf numFmtId="0" fontId="0" fillId="0" borderId="45" xfId="0" applyBorder="1" applyAlignment="1" applyProtection="1">
      <alignment horizontal="center" vertical="center"/>
      <protection locked="0"/>
    </xf>
    <xf numFmtId="0" fontId="0" fillId="0" borderId="78" xfId="0" applyBorder="1" applyAlignment="1" applyProtection="1">
      <alignment horizontal="center" vertical="center"/>
      <protection locked="0"/>
    </xf>
    <xf numFmtId="1" fontId="0" fillId="14" borderId="47" xfId="0" applyNumberFormat="1" applyFill="1" applyBorder="1" applyAlignment="1" applyProtection="1">
      <alignment horizontal="center" vertical="center" wrapText="1"/>
      <protection locked="0"/>
    </xf>
    <xf numFmtId="0" fontId="58" fillId="0" borderId="100" xfId="0" applyFont="1" applyBorder="1" applyAlignment="1">
      <alignment wrapText="1"/>
    </xf>
    <xf numFmtId="0" fontId="58" fillId="16" borderId="24" xfId="0" applyFont="1" applyFill="1" applyBorder="1"/>
    <xf numFmtId="0" fontId="0" fillId="17" borderId="95" xfId="0" applyFill="1" applyBorder="1" applyAlignment="1">
      <alignment vertical="center" wrapText="1"/>
    </xf>
    <xf numFmtId="0" fontId="0" fillId="17" borderId="98" xfId="0" applyFill="1" applyBorder="1" applyAlignment="1">
      <alignment vertical="center" wrapText="1"/>
    </xf>
    <xf numFmtId="0" fontId="0" fillId="17" borderId="86" xfId="0" applyFill="1" applyBorder="1" applyAlignment="1">
      <alignment vertical="center" wrapText="1"/>
    </xf>
    <xf numFmtId="0" fontId="38" fillId="17" borderId="97" xfId="0" applyFont="1" applyFill="1" applyBorder="1"/>
    <xf numFmtId="0" fontId="38" fillId="17" borderId="0" xfId="0" applyFont="1" applyFill="1"/>
    <xf numFmtId="0" fontId="38" fillId="17" borderId="96" xfId="0" applyFont="1" applyFill="1" applyBorder="1"/>
    <xf numFmtId="0" fontId="38" fillId="17" borderId="101" xfId="0" applyFont="1" applyFill="1" applyBorder="1"/>
    <xf numFmtId="0" fontId="0" fillId="17" borderId="0" xfId="0" applyFill="1" applyAlignment="1">
      <alignment vertical="center" wrapText="1"/>
    </xf>
    <xf numFmtId="0" fontId="0" fillId="17" borderId="0" xfId="0" applyFill="1" applyAlignment="1">
      <alignment horizontal="center" vertical="center" wrapText="1"/>
    </xf>
    <xf numFmtId="164" fontId="0" fillId="17" borderId="0" xfId="1" applyNumberFormat="1" applyFont="1" applyFill="1" applyBorder="1" applyAlignment="1">
      <alignment vertical="center" wrapText="1"/>
    </xf>
    <xf numFmtId="0" fontId="57" fillId="0" borderId="21" xfId="0" applyFont="1" applyBorder="1" applyAlignment="1">
      <alignment horizontal="center" wrapText="1"/>
    </xf>
    <xf numFmtId="0" fontId="4" fillId="18" borderId="5" xfId="0" applyFont="1" applyFill="1" applyBorder="1" applyAlignment="1">
      <alignment horizontal="center" vertical="center" wrapText="1"/>
    </xf>
    <xf numFmtId="37" fontId="4" fillId="4" borderId="5" xfId="0" applyNumberFormat="1" applyFont="1" applyFill="1" applyBorder="1" applyAlignment="1">
      <alignment horizontal="center" vertical="center" wrapText="1"/>
    </xf>
    <xf numFmtId="37" fontId="2" fillId="15" borderId="61" xfId="1" applyNumberFormat="1" applyFont="1" applyFill="1" applyBorder="1" applyAlignment="1" applyProtection="1">
      <alignment horizontal="center" vertical="center"/>
    </xf>
    <xf numFmtId="0" fontId="2" fillId="0" borderId="0" xfId="0" applyFont="1" applyAlignment="1">
      <alignment horizontal="center"/>
    </xf>
    <xf numFmtId="0" fontId="0" fillId="0" borderId="0" xfId="0" applyAlignment="1">
      <alignment horizontal="right"/>
    </xf>
    <xf numFmtId="0" fontId="0" fillId="0" borderId="30" xfId="0" applyBorder="1" applyAlignment="1">
      <alignment horizontal="center" wrapText="1"/>
    </xf>
    <xf numFmtId="0" fontId="0" fillId="0" borderId="45" xfId="0"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164" fontId="0" fillId="0" borderId="0" xfId="1" applyNumberFormat="1" applyFont="1" applyFill="1" applyBorder="1" applyAlignment="1">
      <alignment vertical="center" wrapText="1"/>
    </xf>
    <xf numFmtId="3" fontId="0" fillId="0" borderId="62" xfId="0" applyNumberFormat="1" applyBorder="1" applyAlignment="1">
      <alignment horizontal="center"/>
    </xf>
    <xf numFmtId="0" fontId="0" fillId="0" borderId="43" xfId="0" applyBorder="1" applyAlignment="1">
      <alignment horizontal="center" wrapText="1"/>
    </xf>
    <xf numFmtId="3" fontId="0" fillId="0" borderId="0" xfId="0" applyNumberFormat="1" applyAlignment="1">
      <alignment wrapText="1"/>
    </xf>
    <xf numFmtId="3" fontId="0" fillId="0" borderId="4" xfId="0" applyNumberFormat="1" applyBorder="1" applyAlignment="1">
      <alignment horizontal="center"/>
    </xf>
    <xf numFmtId="3" fontId="0" fillId="0" borderId="70" xfId="0" applyNumberFormat="1" applyBorder="1" applyAlignment="1">
      <alignment horizontal="center"/>
    </xf>
    <xf numFmtId="3" fontId="0" fillId="0" borderId="5" xfId="0" applyNumberFormat="1" applyBorder="1" applyAlignment="1">
      <alignment wrapText="1"/>
    </xf>
    <xf numFmtId="1" fontId="0" fillId="0" borderId="63" xfId="1" applyNumberFormat="1" applyFont="1" applyBorder="1" applyAlignment="1" applyProtection="1">
      <alignment horizontal="center"/>
    </xf>
    <xf numFmtId="0" fontId="0" fillId="0" borderId="66" xfId="0" applyBorder="1" applyAlignment="1">
      <alignment horizontal="center"/>
    </xf>
    <xf numFmtId="0" fontId="0" fillId="0" borderId="62" xfId="0" applyBorder="1" applyAlignment="1">
      <alignment horizontal="center"/>
    </xf>
    <xf numFmtId="0" fontId="0" fillId="0" borderId="65" xfId="0" applyBorder="1" applyAlignment="1">
      <alignment wrapText="1"/>
    </xf>
    <xf numFmtId="4" fontId="0" fillId="0" borderId="43" xfId="0" applyNumberFormat="1" applyBorder="1" applyAlignment="1">
      <alignment horizontal="left" indent="3"/>
    </xf>
    <xf numFmtId="4" fontId="0" fillId="0" borderId="66" xfId="0" applyNumberFormat="1" applyBorder="1" applyAlignment="1">
      <alignment horizontal="left"/>
    </xf>
    <xf numFmtId="4" fontId="0" fillId="0" borderId="43" xfId="0" applyNumberFormat="1" applyBorder="1" applyAlignment="1">
      <alignment horizontal="center"/>
    </xf>
    <xf numFmtId="167" fontId="0" fillId="0" borderId="43" xfId="0" applyNumberFormat="1" applyBorder="1" applyAlignment="1">
      <alignment horizontal="right"/>
    </xf>
    <xf numFmtId="3" fontId="0" fillId="0" borderId="65" xfId="0" applyNumberFormat="1" applyBorder="1" applyAlignment="1">
      <alignment horizontal="left" indent="12"/>
    </xf>
    <xf numFmtId="167" fontId="0" fillId="0" borderId="66" xfId="0" applyNumberFormat="1" applyBorder="1" applyAlignment="1">
      <alignment horizontal="left" indent="2"/>
    </xf>
    <xf numFmtId="3" fontId="0" fillId="0" borderId="65" xfId="0" applyNumberFormat="1" applyBorder="1" applyAlignment="1">
      <alignment horizontal="right"/>
    </xf>
    <xf numFmtId="0" fontId="0" fillId="0" borderId="66" xfId="0" applyBorder="1" applyAlignment="1">
      <alignment horizontal="center" wrapText="1"/>
    </xf>
    <xf numFmtId="3" fontId="0" fillId="0" borderId="5" xfId="0" quotePrefix="1" applyNumberFormat="1" applyBorder="1" applyAlignment="1">
      <alignment horizontal="center"/>
    </xf>
    <xf numFmtId="0" fontId="0" fillId="0" borderId="63" xfId="0" applyBorder="1"/>
    <xf numFmtId="1" fontId="0" fillId="0" borderId="63" xfId="0" applyNumberFormat="1" applyBorder="1" applyAlignment="1">
      <alignment horizontal="left" indent="2"/>
    </xf>
    <xf numFmtId="166" fontId="0" fillId="0" borderId="63" xfId="0" applyNumberFormat="1" applyBorder="1" applyAlignment="1">
      <alignment horizontal="center"/>
    </xf>
    <xf numFmtId="3" fontId="0" fillId="0" borderId="5" xfId="0" applyNumberFormat="1" applyBorder="1" applyAlignment="1">
      <alignment horizontal="center" vertical="center"/>
    </xf>
    <xf numFmtId="0" fontId="2" fillId="0" borderId="62" xfId="0" applyFont="1" applyBorder="1" applyAlignment="1">
      <alignment horizontal="left" indent="1"/>
    </xf>
    <xf numFmtId="0" fontId="0" fillId="0" borderId="63" xfId="0" applyBorder="1" applyAlignment="1">
      <alignment horizontal="center" vertical="center" wrapText="1"/>
    </xf>
    <xf numFmtId="3" fontId="2" fillId="0" borderId="62" xfId="0" applyNumberFormat="1" applyFont="1" applyBorder="1" applyAlignment="1">
      <alignment horizontal="center" vertical="center"/>
    </xf>
    <xf numFmtId="3" fontId="0" fillId="0" borderId="62" xfId="0" applyNumberFormat="1" applyBorder="1" applyAlignment="1">
      <alignment horizontal="left"/>
    </xf>
    <xf numFmtId="0" fontId="0" fillId="0" borderId="63" xfId="0" applyBorder="1" applyAlignment="1">
      <alignment horizontal="center" vertical="center"/>
    </xf>
    <xf numFmtId="3" fontId="0" fillId="0" borderId="62" xfId="0" applyNumberFormat="1" applyBorder="1" applyAlignment="1">
      <alignment horizontal="left" wrapText="1"/>
    </xf>
    <xf numFmtId="0" fontId="0" fillId="0" borderId="62" xfId="0" applyBorder="1" applyAlignment="1">
      <alignment horizontal="left" wrapText="1"/>
    </xf>
    <xf numFmtId="3" fontId="0" fillId="0" borderId="65" xfId="0" applyNumberFormat="1" applyBorder="1" applyAlignment="1">
      <alignment horizontal="left" wrapText="1"/>
    </xf>
    <xf numFmtId="3" fontId="0" fillId="0" borderId="43" xfId="0" applyNumberFormat="1" applyBorder="1" applyAlignment="1">
      <alignment horizontal="center" vertical="center"/>
    </xf>
    <xf numFmtId="0" fontId="0" fillId="0" borderId="66" xfId="0" applyBorder="1" applyAlignment="1">
      <alignment horizontal="center" vertical="center" wrapText="1"/>
    </xf>
    <xf numFmtId="3" fontId="0" fillId="0" borderId="65" xfId="0" applyNumberFormat="1" applyBorder="1" applyAlignment="1">
      <alignment horizontal="center" wrapText="1"/>
    </xf>
    <xf numFmtId="3" fontId="2" fillId="0" borderId="63" xfId="0" applyNumberFormat="1" applyFont="1" applyBorder="1"/>
    <xf numFmtId="3" fontId="2" fillId="0" borderId="63" xfId="0" applyNumberFormat="1" applyFont="1" applyBorder="1" applyAlignment="1">
      <alignment horizontal="center"/>
    </xf>
    <xf numFmtId="3" fontId="2" fillId="0" borderId="5" xfId="0" applyNumberFormat="1" applyFont="1" applyBorder="1" applyAlignment="1">
      <alignment horizontal="center"/>
    </xf>
    <xf numFmtId="3" fontId="0" fillId="0" borderId="11" xfId="0" applyNumberFormat="1" applyBorder="1" applyAlignment="1">
      <alignment horizontal="center"/>
    </xf>
    <xf numFmtId="3" fontId="0" fillId="0" borderId="35" xfId="0" applyNumberFormat="1" applyBorder="1" applyAlignment="1">
      <alignment horizontal="center"/>
    </xf>
    <xf numFmtId="3" fontId="0" fillId="21" borderId="63" xfId="0" applyNumberFormat="1" applyFill="1" applyBorder="1" applyAlignment="1">
      <alignment horizontal="center"/>
    </xf>
    <xf numFmtId="0" fontId="4" fillId="0" borderId="5" xfId="0" applyFont="1" applyBorder="1" applyAlignment="1">
      <alignment horizontal="left" vertical="center" wrapText="1"/>
    </xf>
    <xf numFmtId="0" fontId="65" fillId="0" borderId="63" xfId="0" applyFont="1" applyBorder="1" applyAlignment="1">
      <alignment horizontal="center" wrapText="1"/>
    </xf>
    <xf numFmtId="0" fontId="66" fillId="0" borderId="0" xfId="0" applyFont="1" applyAlignment="1">
      <alignment horizontal="left"/>
    </xf>
    <xf numFmtId="3" fontId="0" fillId="0" borderId="65" xfId="0" applyNumberFormat="1" applyBorder="1" applyAlignment="1">
      <alignment horizontal="center"/>
    </xf>
    <xf numFmtId="0" fontId="0" fillId="0" borderId="0" xfId="0" applyAlignment="1">
      <alignment horizontal="left" wrapText="1"/>
    </xf>
    <xf numFmtId="0" fontId="0" fillId="0" borderId="30" xfId="0" applyBorder="1" applyAlignment="1">
      <alignment horizontal="center" vertical="center" wrapText="1"/>
    </xf>
    <xf numFmtId="0" fontId="0" fillId="0" borderId="24" xfId="0" applyBorder="1" applyAlignment="1">
      <alignment vertical="center" wrapText="1"/>
    </xf>
    <xf numFmtId="0" fontId="65" fillId="0" borderId="0" xfId="0" applyFont="1" applyAlignment="1">
      <alignment horizontal="center"/>
    </xf>
    <xf numFmtId="0" fontId="4" fillId="20" borderId="5" xfId="0" applyFont="1" applyFill="1" applyBorder="1" applyAlignment="1">
      <alignment horizontal="center" vertical="center" wrapText="1"/>
    </xf>
    <xf numFmtId="0" fontId="4" fillId="15" borderId="5" xfId="0" applyFont="1" applyFill="1" applyBorder="1" applyAlignment="1">
      <alignment horizontal="center" vertical="center" wrapText="1"/>
    </xf>
    <xf numFmtId="37" fontId="4" fillId="15" borderId="5" xfId="0" applyNumberFormat="1" applyFont="1" applyFill="1" applyBorder="1" applyAlignment="1">
      <alignment horizontal="center" vertical="center" wrapText="1"/>
    </xf>
    <xf numFmtId="3" fontId="0" fillId="0" borderId="0" xfId="0" applyNumberFormat="1" applyAlignment="1">
      <alignment horizontal="right"/>
    </xf>
    <xf numFmtId="0" fontId="0" fillId="0" borderId="0" xfId="0" applyAlignment="1">
      <alignment horizontal="right" wrapText="1"/>
    </xf>
    <xf numFmtId="3" fontId="0" fillId="0" borderId="50" xfId="0" applyNumberFormat="1" applyBorder="1" applyAlignment="1">
      <alignment horizontal="center"/>
    </xf>
    <xf numFmtId="0" fontId="43" fillId="0" borderId="78" xfId="0" applyFont="1" applyBorder="1" applyAlignment="1" applyProtection="1">
      <alignment vertical="center"/>
      <protection locked="0"/>
    </xf>
    <xf numFmtId="0" fontId="43" fillId="0" borderId="0" xfId="0" applyFont="1" applyAlignment="1" applyProtection="1">
      <alignment vertical="center"/>
      <protection locked="0"/>
    </xf>
    <xf numFmtId="0" fontId="43" fillId="0" borderId="0" xfId="0" applyFont="1" applyAlignment="1" applyProtection="1">
      <alignment horizontal="center" vertical="center"/>
      <protection locked="0"/>
    </xf>
    <xf numFmtId="164" fontId="4" fillId="15" borderId="5" xfId="1" applyNumberFormat="1" applyFont="1" applyFill="1" applyBorder="1" applyAlignment="1" applyProtection="1">
      <alignment horizontal="center" vertical="center" wrapText="1"/>
    </xf>
    <xf numFmtId="0" fontId="2" fillId="10" borderId="78" xfId="0" applyFont="1" applyFill="1" applyBorder="1" applyAlignment="1">
      <alignment horizontal="center" vertical="center" wrapText="1"/>
    </xf>
    <xf numFmtId="0" fontId="0" fillId="14" borderId="78" xfId="0" applyFill="1" applyBorder="1" applyAlignment="1">
      <alignment horizontal="center" vertical="center" wrapText="1"/>
    </xf>
    <xf numFmtId="1" fontId="4" fillId="15" borderId="5" xfId="0" applyNumberFormat="1" applyFont="1" applyFill="1" applyBorder="1" applyAlignment="1">
      <alignment horizontal="center" vertical="center" wrapText="1"/>
    </xf>
    <xf numFmtId="0" fontId="2" fillId="0" borderId="78" xfId="0" applyFont="1" applyBorder="1" applyAlignment="1">
      <alignment horizontal="center" vertical="center" wrapText="1"/>
    </xf>
    <xf numFmtId="0" fontId="0" fillId="15" borderId="78" xfId="0" applyFill="1" applyBorder="1" applyAlignment="1">
      <alignment vertical="center" wrapText="1"/>
    </xf>
    <xf numFmtId="1" fontId="0" fillId="15" borderId="78" xfId="0" applyNumberFormat="1" applyFill="1" applyBorder="1" applyAlignment="1" applyProtection="1">
      <alignment horizontal="center" vertical="center"/>
      <protection locked="0"/>
    </xf>
    <xf numFmtId="3" fontId="0" fillId="15" borderId="78" xfId="0" applyNumberFormat="1" applyFill="1" applyBorder="1" applyAlignment="1">
      <alignment vertical="center" wrapText="1"/>
    </xf>
    <xf numFmtId="0" fontId="3" fillId="2" borderId="5" xfId="0" applyFont="1" applyFill="1" applyBorder="1" applyAlignment="1">
      <alignment horizontal="center" vertical="center"/>
    </xf>
    <xf numFmtId="37" fontId="2" fillId="15" borderId="59" xfId="1" applyNumberFormat="1" applyFont="1" applyFill="1" applyBorder="1" applyAlignment="1" applyProtection="1">
      <alignment horizontal="center" vertical="center"/>
    </xf>
    <xf numFmtId="1" fontId="0" fillId="14" borderId="21" xfId="0" applyNumberFormat="1" applyFill="1" applyBorder="1" applyAlignment="1" applyProtection="1">
      <alignment horizontal="center" vertical="center" wrapText="1"/>
      <protection locked="0"/>
    </xf>
    <xf numFmtId="37" fontId="2" fillId="15" borderId="61" xfId="1" applyNumberFormat="1" applyFont="1" applyFill="1" applyBorder="1" applyAlignment="1" applyProtection="1">
      <alignment horizontal="center"/>
    </xf>
    <xf numFmtId="1" fontId="0" fillId="15" borderId="78" xfId="0" applyNumberFormat="1" applyFill="1" applyBorder="1" applyAlignment="1" applyProtection="1">
      <alignment horizontal="center" vertical="center" wrapText="1"/>
      <protection locked="0"/>
    </xf>
    <xf numFmtId="1" fontId="4" fillId="15" borderId="5" xfId="1" quotePrefix="1" applyNumberFormat="1" applyFont="1" applyFill="1" applyBorder="1" applyAlignment="1" applyProtection="1">
      <alignment horizontal="center" vertical="center" wrapText="1"/>
    </xf>
    <xf numFmtId="1" fontId="4" fillId="15" borderId="5" xfId="1" applyNumberFormat="1" applyFont="1" applyFill="1" applyBorder="1" applyAlignment="1" applyProtection="1">
      <alignment horizontal="center" vertical="center" wrapText="1"/>
    </xf>
    <xf numFmtId="1" fontId="4" fillId="15" borderId="5" xfId="1" quotePrefix="1" applyNumberFormat="1" applyFont="1" applyFill="1" applyBorder="1" applyAlignment="1" applyProtection="1">
      <alignment horizontal="center" vertical="center" wrapText="1"/>
      <protection locked="0"/>
    </xf>
    <xf numFmtId="1" fontId="4" fillId="15" borderId="5" xfId="1" applyNumberFormat="1" applyFont="1" applyFill="1" applyBorder="1" applyAlignment="1" applyProtection="1">
      <alignment horizontal="center" vertical="center" wrapText="1"/>
      <protection locked="0"/>
    </xf>
    <xf numFmtId="3" fontId="0" fillId="15" borderId="5" xfId="1" applyNumberFormat="1" applyFont="1" applyFill="1" applyBorder="1" applyAlignment="1" applyProtection="1">
      <alignment horizontal="center" vertical="center"/>
    </xf>
    <xf numFmtId="3" fontId="0" fillId="15" borderId="12" xfId="1" applyNumberFormat="1" applyFont="1" applyFill="1" applyBorder="1" applyAlignment="1" applyProtection="1">
      <alignment horizontal="center" vertical="center"/>
    </xf>
    <xf numFmtId="3" fontId="2" fillId="15" borderId="64" xfId="0" applyNumberFormat="1" applyFont="1" applyFill="1" applyBorder="1" applyAlignment="1">
      <alignment horizontal="center" vertical="center" wrapText="1"/>
    </xf>
    <xf numFmtId="3" fontId="0" fillId="0" borderId="62" xfId="0" applyNumberFormat="1" applyBorder="1" applyAlignment="1">
      <alignment horizontal="left" vertical="center" wrapText="1"/>
    </xf>
    <xf numFmtId="0" fontId="70" fillId="0" borderId="0" xfId="0" applyFont="1" applyAlignment="1">
      <alignment vertical="center" wrapText="1"/>
    </xf>
    <xf numFmtId="3" fontId="2" fillId="15" borderId="61" xfId="0" applyNumberFormat="1" applyFont="1" applyFill="1" applyBorder="1" applyAlignment="1">
      <alignment horizontal="center" vertical="center" wrapText="1"/>
    </xf>
    <xf numFmtId="1" fontId="2" fillId="15" borderId="78" xfId="1" applyNumberFormat="1" applyFont="1" applyFill="1" applyBorder="1" applyAlignment="1" applyProtection="1">
      <alignment horizontal="center" vertical="center"/>
    </xf>
    <xf numFmtId="3" fontId="38" fillId="23" borderId="45" xfId="0" applyNumberFormat="1" applyFont="1" applyFill="1" applyBorder="1" applyAlignment="1">
      <alignment wrapText="1"/>
    </xf>
    <xf numFmtId="3" fontId="38" fillId="23" borderId="45" xfId="0" applyNumberFormat="1" applyFont="1" applyFill="1" applyBorder="1"/>
    <xf numFmtId="0" fontId="38" fillId="23" borderId="45" xfId="0" applyFont="1" applyFill="1" applyBorder="1" applyAlignment="1">
      <alignment wrapText="1"/>
    </xf>
    <xf numFmtId="0" fontId="38" fillId="23" borderId="45" xfId="0" applyFont="1" applyFill="1" applyBorder="1"/>
    <xf numFmtId="0" fontId="38" fillId="23" borderId="61" xfId="0" applyFont="1" applyFill="1" applyBorder="1"/>
    <xf numFmtId="0" fontId="38" fillId="23" borderId="46" xfId="0" applyFont="1" applyFill="1" applyBorder="1"/>
    <xf numFmtId="0" fontId="38" fillId="23" borderId="30" xfId="0" applyFont="1" applyFill="1" applyBorder="1" applyAlignment="1">
      <alignment wrapText="1"/>
    </xf>
    <xf numFmtId="0" fontId="38" fillId="23" borderId="30" xfId="0" applyFont="1" applyFill="1" applyBorder="1"/>
    <xf numFmtId="0" fontId="58" fillId="23" borderId="45" xfId="0" applyFont="1" applyFill="1" applyBorder="1"/>
    <xf numFmtId="0" fontId="38" fillId="24" borderId="45" xfId="0" applyFont="1" applyFill="1" applyBorder="1" applyAlignment="1">
      <alignment wrapText="1"/>
    </xf>
    <xf numFmtId="0" fontId="38" fillId="24" borderId="45" xfId="0" applyFont="1" applyFill="1" applyBorder="1"/>
    <xf numFmtId="0" fontId="38" fillId="23" borderId="77" xfId="0" applyFont="1" applyFill="1" applyBorder="1"/>
    <xf numFmtId="0" fontId="38" fillId="23" borderId="31" xfId="0" applyFont="1" applyFill="1" applyBorder="1"/>
    <xf numFmtId="1" fontId="0" fillId="15" borderId="65" xfId="0" applyNumberFormat="1" applyFill="1" applyBorder="1" applyAlignment="1">
      <alignment horizontal="center" vertical="center"/>
    </xf>
    <xf numFmtId="1" fontId="0" fillId="15" borderId="43" xfId="0" applyNumberFormat="1" applyFill="1" applyBorder="1" applyAlignment="1">
      <alignment horizontal="center" vertical="center"/>
    </xf>
    <xf numFmtId="1" fontId="0" fillId="15" borderId="66" xfId="0" applyNumberFormat="1" applyFill="1" applyBorder="1" applyAlignment="1">
      <alignment horizontal="center" vertical="center"/>
    </xf>
    <xf numFmtId="1" fontId="0" fillId="15" borderId="78" xfId="0" applyNumberFormat="1" applyFill="1" applyBorder="1" applyAlignment="1">
      <alignment horizontal="center" vertical="center"/>
    </xf>
    <xf numFmtId="1" fontId="0" fillId="15" borderId="51" xfId="0" applyNumberFormat="1" applyFill="1" applyBorder="1" applyAlignment="1">
      <alignment horizontal="center" vertical="center"/>
    </xf>
    <xf numFmtId="1" fontId="0" fillId="15" borderId="57" xfId="0" applyNumberFormat="1" applyFill="1" applyBorder="1" applyAlignment="1">
      <alignment horizontal="center" vertical="center"/>
    </xf>
    <xf numFmtId="1" fontId="0" fillId="15" borderId="71" xfId="0" applyNumberFormat="1" applyFill="1" applyBorder="1" applyAlignment="1">
      <alignment horizontal="center" vertical="center"/>
    </xf>
    <xf numFmtId="1" fontId="0" fillId="15" borderId="72" xfId="0" applyNumberFormat="1" applyFill="1" applyBorder="1" applyAlignment="1">
      <alignment horizontal="center" vertical="center"/>
    </xf>
    <xf numFmtId="0" fontId="3" fillId="3" borderId="52" xfId="0" applyFont="1" applyFill="1" applyBorder="1" applyAlignment="1" applyProtection="1">
      <alignment horizontal="left" vertical="center" indent="1"/>
      <protection locked="0"/>
    </xf>
    <xf numFmtId="0" fontId="75" fillId="3" borderId="53" xfId="0" applyFont="1" applyFill="1" applyBorder="1" applyAlignment="1" applyProtection="1">
      <alignment vertical="center"/>
      <protection locked="0"/>
    </xf>
    <xf numFmtId="164" fontId="21" fillId="3" borderId="54" xfId="1" applyNumberFormat="1" applyFont="1" applyFill="1" applyBorder="1" applyAlignment="1">
      <alignment vertical="center" wrapText="1"/>
    </xf>
    <xf numFmtId="1" fontId="0" fillId="15" borderId="46" xfId="0" applyNumberFormat="1" applyFill="1" applyBorder="1" applyAlignment="1">
      <alignment horizontal="center" vertical="center"/>
    </xf>
    <xf numFmtId="1" fontId="0" fillId="15" borderId="30" xfId="0" applyNumberFormat="1" applyFill="1" applyBorder="1" applyAlignment="1">
      <alignment horizontal="center" vertical="center"/>
    </xf>
    <xf numFmtId="1" fontId="0" fillId="15" borderId="58" xfId="0" applyNumberFormat="1" applyFill="1" applyBorder="1" applyAlignment="1">
      <alignment horizontal="center" vertical="center"/>
    </xf>
    <xf numFmtId="0" fontId="3" fillId="3" borderId="44" xfId="0" applyFont="1" applyFill="1" applyBorder="1" applyAlignment="1" applyProtection="1">
      <alignment horizontal="left" vertical="center" indent="1"/>
      <protection locked="0"/>
    </xf>
    <xf numFmtId="0" fontId="75" fillId="3" borderId="20" xfId="0" applyFont="1" applyFill="1" applyBorder="1" applyAlignment="1" applyProtection="1">
      <alignment vertical="center"/>
      <protection locked="0"/>
    </xf>
    <xf numFmtId="0" fontId="76" fillId="3" borderId="78" xfId="0" applyFont="1" applyFill="1" applyBorder="1" applyAlignment="1" applyProtection="1">
      <alignment horizontal="center" vertical="center"/>
      <protection locked="0"/>
    </xf>
    <xf numFmtId="1" fontId="0" fillId="15" borderId="45" xfId="0" applyNumberFormat="1" applyFill="1" applyBorder="1" applyAlignment="1">
      <alignment horizontal="center" vertical="center"/>
    </xf>
    <xf numFmtId="0" fontId="3" fillId="3" borderId="20" xfId="0" applyFont="1" applyFill="1" applyBorder="1" applyAlignment="1" applyProtection="1">
      <alignment vertical="center"/>
      <protection locked="0"/>
    </xf>
    <xf numFmtId="3" fontId="0" fillId="15" borderId="52" xfId="0" applyNumberFormat="1" applyFill="1" applyBorder="1" applyAlignment="1">
      <alignment horizontal="center" vertical="center"/>
    </xf>
    <xf numFmtId="3" fontId="0" fillId="15" borderId="26" xfId="0" applyNumberFormat="1" applyFill="1" applyBorder="1" applyAlignment="1">
      <alignment horizontal="center" vertical="center"/>
    </xf>
    <xf numFmtId="3" fontId="0" fillId="15" borderId="18" xfId="0" applyNumberFormat="1" applyFill="1" applyBorder="1" applyAlignment="1">
      <alignment horizontal="center" vertical="center"/>
    </xf>
    <xf numFmtId="3" fontId="0" fillId="15" borderId="78" xfId="0" applyNumberFormat="1" applyFill="1" applyBorder="1" applyAlignment="1">
      <alignment horizontal="center" vertical="center"/>
    </xf>
    <xf numFmtId="1" fontId="0" fillId="15" borderId="61" xfId="0" applyNumberFormat="1" applyFill="1" applyBorder="1" applyAlignment="1">
      <alignment horizontal="center" vertical="center"/>
    </xf>
    <xf numFmtId="37" fontId="2" fillId="7" borderId="30" xfId="1" applyNumberFormat="1" applyFont="1" applyFill="1" applyBorder="1" applyAlignment="1" applyProtection="1">
      <alignment vertical="center"/>
    </xf>
    <xf numFmtId="37" fontId="2" fillId="7" borderId="24" xfId="1" applyNumberFormat="1" applyFont="1" applyFill="1" applyBorder="1" applyAlignment="1" applyProtection="1">
      <alignment vertical="center"/>
    </xf>
    <xf numFmtId="37" fontId="2" fillId="7" borderId="45" xfId="1" applyNumberFormat="1" applyFont="1" applyFill="1" applyBorder="1" applyAlignment="1" applyProtection="1">
      <alignment vertical="center"/>
    </xf>
    <xf numFmtId="37" fontId="2" fillId="7" borderId="47" xfId="1" applyNumberFormat="1" applyFont="1" applyFill="1" applyBorder="1" applyAlignment="1" applyProtection="1">
      <alignment vertical="center"/>
    </xf>
    <xf numFmtId="1" fontId="2" fillId="15" borderId="78" xfId="0" applyNumberFormat="1" applyFont="1" applyFill="1" applyBorder="1" applyAlignment="1">
      <alignment horizontal="center" vertical="center"/>
    </xf>
    <xf numFmtId="0" fontId="2" fillId="15" borderId="78" xfId="0" applyFont="1" applyFill="1" applyBorder="1" applyAlignment="1">
      <alignment horizontal="center" vertical="center" wrapText="1"/>
    </xf>
    <xf numFmtId="1" fontId="2" fillId="15" borderId="58" xfId="0" applyNumberFormat="1" applyFont="1" applyFill="1" applyBorder="1" applyAlignment="1">
      <alignment horizontal="center" vertical="center"/>
    </xf>
    <xf numFmtId="2" fontId="2" fillId="15" borderId="58" xfId="1" applyNumberFormat="1" applyFont="1" applyFill="1" applyBorder="1" applyAlignment="1" applyProtection="1"/>
    <xf numFmtId="1" fontId="2" fillId="15" borderId="61" xfId="0" applyNumberFormat="1" applyFont="1" applyFill="1" applyBorder="1" applyAlignment="1">
      <alignment horizontal="center" vertical="center"/>
    </xf>
    <xf numFmtId="0" fontId="0" fillId="7" borderId="58" xfId="0" applyFill="1" applyBorder="1" applyAlignment="1">
      <alignment vertical="center" wrapText="1"/>
    </xf>
    <xf numFmtId="0" fontId="0" fillId="7" borderId="61" xfId="0" applyFill="1" applyBorder="1" applyAlignment="1">
      <alignment vertical="center" wrapText="1"/>
    </xf>
    <xf numFmtId="1" fontId="0" fillId="15" borderId="64" xfId="0" applyNumberFormat="1" applyFill="1" applyBorder="1" applyAlignment="1">
      <alignment horizontal="center" vertical="center"/>
    </xf>
    <xf numFmtId="1" fontId="0" fillId="15" borderId="40" xfId="0" applyNumberFormat="1" applyFill="1" applyBorder="1" applyAlignment="1">
      <alignment horizontal="center" vertical="center"/>
    </xf>
    <xf numFmtId="1" fontId="0" fillId="7" borderId="40" xfId="0" applyNumberFormat="1" applyFill="1" applyBorder="1" applyAlignment="1">
      <alignment horizontal="center" vertical="center"/>
    </xf>
    <xf numFmtId="3" fontId="5" fillId="0" borderId="0" xfId="0" applyNumberFormat="1" applyFont="1" applyAlignment="1">
      <alignment vertical="center" wrapText="1"/>
    </xf>
    <xf numFmtId="164" fontId="5" fillId="0" borderId="0" xfId="1" applyNumberFormat="1" applyFont="1" applyFill="1" applyBorder="1" applyAlignment="1">
      <alignment horizontal="center" vertical="center" wrapText="1"/>
    </xf>
    <xf numFmtId="0" fontId="65" fillId="0" borderId="24" xfId="0" applyFont="1" applyBorder="1" applyAlignment="1">
      <alignment horizontal="center"/>
    </xf>
    <xf numFmtId="0" fontId="65" fillId="0" borderId="47" xfId="0" applyFont="1" applyBorder="1" applyAlignment="1">
      <alignment horizontal="center"/>
    </xf>
    <xf numFmtId="0" fontId="0" fillId="2" borderId="0" xfId="0" applyFill="1" applyAlignment="1" applyProtection="1">
      <alignment vertical="center" wrapText="1"/>
      <protection locked="0"/>
    </xf>
    <xf numFmtId="1" fontId="0" fillId="15" borderId="68" xfId="0" applyNumberFormat="1" applyFill="1" applyBorder="1" applyAlignment="1" applyProtection="1">
      <alignment horizontal="center" vertical="center" wrapText="1"/>
      <protection locked="0"/>
    </xf>
    <xf numFmtId="0" fontId="2" fillId="7" borderId="61" xfId="0" applyFont="1" applyFill="1" applyBorder="1" applyAlignment="1" applyProtection="1">
      <alignment vertical="center" wrapText="1"/>
      <protection locked="0"/>
    </xf>
    <xf numFmtId="0" fontId="2" fillId="7" borderId="58" xfId="0" applyFont="1" applyFill="1" applyBorder="1" applyAlignment="1" applyProtection="1">
      <alignment vertical="center" wrapText="1"/>
      <protection locked="0"/>
    </xf>
    <xf numFmtId="0" fontId="2" fillId="15" borderId="78" xfId="0" applyFont="1" applyFill="1" applyBorder="1" applyAlignment="1" applyProtection="1">
      <alignment horizontal="center" vertical="center" wrapText="1"/>
      <protection locked="0"/>
    </xf>
    <xf numFmtId="0" fontId="22" fillId="14" borderId="61" xfId="0" applyFont="1" applyFill="1" applyBorder="1" applyAlignment="1">
      <alignment vertical="center" wrapText="1"/>
    </xf>
    <xf numFmtId="3" fontId="0" fillId="15" borderId="78" xfId="0" applyNumberFormat="1" applyFill="1" applyBorder="1" applyAlignment="1">
      <alignment horizontal="center" vertical="center" wrapText="1"/>
    </xf>
    <xf numFmtId="3" fontId="5" fillId="15" borderId="78" xfId="0" applyNumberFormat="1" applyFont="1" applyFill="1" applyBorder="1" applyAlignment="1">
      <alignment horizontal="center" vertical="center" wrapText="1"/>
    </xf>
    <xf numFmtId="0" fontId="1" fillId="0" borderId="0" xfId="0" applyFont="1"/>
    <xf numFmtId="0" fontId="2" fillId="15" borderId="78" xfId="0" applyFont="1" applyFill="1" applyBorder="1" applyAlignment="1" applyProtection="1">
      <alignment horizontal="center" vertical="center"/>
      <protection locked="0"/>
    </xf>
    <xf numFmtId="0" fontId="68" fillId="10" borderId="78" xfId="0" applyFont="1" applyFill="1" applyBorder="1" applyAlignment="1">
      <alignment horizontal="center" vertical="center" wrapText="1"/>
    </xf>
    <xf numFmtId="1" fontId="68" fillId="10" borderId="21" xfId="0" applyNumberFormat="1" applyFont="1" applyFill="1" applyBorder="1" applyAlignment="1" applyProtection="1">
      <alignment horizontal="center" vertical="center" wrapText="1"/>
      <protection locked="0"/>
    </xf>
    <xf numFmtId="1" fontId="68" fillId="10" borderId="78" xfId="0" applyNumberFormat="1" applyFont="1" applyFill="1" applyBorder="1" applyAlignment="1" applyProtection="1">
      <alignment horizontal="center" vertical="center" wrapText="1"/>
      <protection locked="0"/>
    </xf>
    <xf numFmtId="3" fontId="0" fillId="0" borderId="0" xfId="0" applyNumberFormat="1"/>
    <xf numFmtId="1" fontId="0" fillId="15" borderId="61" xfId="0" applyNumberFormat="1" applyFill="1" applyBorder="1" applyAlignment="1" applyProtection="1">
      <alignment horizontal="center" vertical="center" wrapText="1"/>
      <protection locked="0"/>
    </xf>
    <xf numFmtId="0" fontId="50" fillId="0" borderId="0" xfId="0" applyFont="1" applyAlignment="1" applyProtection="1">
      <alignment horizontal="center" vertical="center" wrapText="1"/>
      <protection locked="0"/>
    </xf>
    <xf numFmtId="0" fontId="78" fillId="0" borderId="0" xfId="0" applyFont="1" applyAlignment="1" applyProtection="1">
      <alignment horizontal="center" vertical="center" wrapText="1"/>
      <protection locked="0"/>
    </xf>
    <xf numFmtId="1" fontId="0" fillId="0" borderId="0" xfId="0" applyNumberFormat="1" applyAlignment="1">
      <alignment horizontal="center" vertical="center"/>
    </xf>
    <xf numFmtId="1" fontId="0" fillId="0" borderId="0" xfId="0" applyNumberFormat="1" applyAlignment="1" applyProtection="1">
      <alignment horizontal="center" vertical="center" wrapText="1"/>
      <protection locked="0"/>
    </xf>
    <xf numFmtId="0" fontId="62" fillId="0" borderId="0" xfId="0" applyFont="1" applyAlignment="1" applyProtection="1">
      <alignment vertical="center"/>
      <protection locked="0"/>
    </xf>
    <xf numFmtId="1" fontId="0" fillId="13" borderId="52" xfId="0" applyNumberFormat="1" applyFill="1" applyBorder="1" applyAlignment="1">
      <alignment horizontal="center" vertical="center"/>
    </xf>
    <xf numFmtId="0" fontId="2" fillId="0" borderId="0" xfId="0" applyFont="1" applyAlignment="1" applyProtection="1">
      <alignment vertical="center"/>
      <protection locked="0"/>
    </xf>
    <xf numFmtId="0" fontId="0" fillId="15" borderId="78" xfId="0" applyFill="1" applyBorder="1" applyAlignment="1" applyProtection="1">
      <alignment horizontal="center" vertical="center"/>
      <protection locked="0"/>
    </xf>
    <xf numFmtId="0" fontId="63" fillId="25" borderId="50" xfId="0" applyFont="1" applyFill="1" applyBorder="1" applyAlignment="1">
      <alignment horizontal="center" vertical="center"/>
    </xf>
    <xf numFmtId="0" fontId="0" fillId="0" borderId="0" xfId="0" applyAlignment="1" applyProtection="1">
      <alignment vertical="top" wrapText="1"/>
      <protection locked="0"/>
    </xf>
    <xf numFmtId="0" fontId="2" fillId="14" borderId="78" xfId="0" applyFont="1" applyFill="1" applyBorder="1" applyAlignment="1" applyProtection="1">
      <alignment horizontal="center" vertical="center" wrapText="1"/>
      <protection locked="0"/>
    </xf>
    <xf numFmtId="0" fontId="3" fillId="2" borderId="0" xfId="0" applyFont="1" applyFill="1" applyAlignment="1">
      <alignment horizontal="center"/>
    </xf>
    <xf numFmtId="0" fontId="0" fillId="2" borderId="58" xfId="0" applyFill="1" applyBorder="1"/>
    <xf numFmtId="0" fontId="0" fillId="2" borderId="61" xfId="0" applyFill="1" applyBorder="1"/>
    <xf numFmtId="0" fontId="2" fillId="0" borderId="78" xfId="0" applyFont="1" applyBorder="1" applyAlignment="1">
      <alignment horizontal="left"/>
    </xf>
    <xf numFmtId="0" fontId="58" fillId="16" borderId="24" xfId="0" applyFont="1" applyFill="1" applyBorder="1" applyAlignment="1">
      <alignment horizontal="center"/>
    </xf>
    <xf numFmtId="1" fontId="0" fillId="15" borderId="58" xfId="0" applyNumberFormat="1" applyFill="1" applyBorder="1" applyAlignment="1" applyProtection="1">
      <alignment horizontal="center" vertical="center" wrapText="1"/>
      <protection locked="0"/>
    </xf>
    <xf numFmtId="0" fontId="0" fillId="15" borderId="78" xfId="0" applyFill="1" applyBorder="1" applyAlignment="1">
      <alignment horizontal="center" vertical="center" wrapText="1"/>
    </xf>
    <xf numFmtId="1" fontId="0" fillId="22" borderId="53" xfId="0" applyNumberFormat="1" applyFill="1" applyBorder="1" applyAlignment="1">
      <alignment horizontal="center" vertical="center"/>
    </xf>
    <xf numFmtId="1" fontId="0" fillId="22" borderId="20" xfId="0" applyNumberFormat="1" applyFill="1" applyBorder="1" applyAlignment="1">
      <alignment horizontal="center" vertical="center"/>
    </xf>
    <xf numFmtId="1" fontId="0" fillId="22" borderId="52" xfId="0" applyNumberFormat="1" applyFill="1" applyBorder="1" applyAlignment="1">
      <alignment horizontal="center" vertical="center"/>
    </xf>
    <xf numFmtId="1" fontId="0" fillId="22" borderId="54" xfId="0" applyNumberFormat="1" applyFill="1" applyBorder="1" applyAlignment="1">
      <alignment horizontal="center" vertical="center"/>
    </xf>
    <xf numFmtId="1" fontId="0" fillId="22" borderId="30" xfId="0" applyNumberFormat="1" applyFill="1" applyBorder="1" applyAlignment="1">
      <alignment horizontal="center" vertical="center"/>
    </xf>
    <xf numFmtId="0" fontId="0" fillId="22" borderId="0" xfId="0" applyFill="1" applyAlignment="1">
      <alignment vertical="center" wrapText="1"/>
    </xf>
    <xf numFmtId="1" fontId="0" fillId="22" borderId="78" xfId="0" applyNumberFormat="1" applyFill="1" applyBorder="1" applyAlignment="1">
      <alignment horizontal="center" vertical="center"/>
    </xf>
    <xf numFmtId="0" fontId="0" fillId="22" borderId="24" xfId="0" applyFill="1" applyBorder="1" applyAlignment="1">
      <alignment vertical="center" wrapText="1"/>
    </xf>
    <xf numFmtId="0" fontId="63" fillId="25" borderId="58" xfId="0" applyFont="1" applyFill="1" applyBorder="1" applyAlignment="1">
      <alignment horizontal="center" vertical="center" wrapText="1"/>
    </xf>
    <xf numFmtId="3" fontId="0" fillId="0" borderId="51" xfId="0" applyNumberFormat="1" applyBorder="1" applyAlignment="1">
      <alignment horizontal="left" indent="12"/>
    </xf>
    <xf numFmtId="3" fontId="0" fillId="0" borderId="71" xfId="0" applyNumberFormat="1" applyBorder="1" applyAlignment="1">
      <alignment horizontal="center"/>
    </xf>
    <xf numFmtId="3" fontId="0" fillId="21" borderId="36" xfId="0" applyNumberFormat="1" applyFill="1" applyBorder="1" applyAlignment="1">
      <alignment horizontal="center"/>
    </xf>
    <xf numFmtId="0" fontId="63" fillId="25" borderId="76" xfId="0" applyFont="1" applyFill="1" applyBorder="1" applyAlignment="1">
      <alignment horizontal="center" vertical="center" wrapText="1"/>
    </xf>
    <xf numFmtId="0" fontId="2" fillId="0" borderId="38" xfId="0" applyFont="1" applyBorder="1" applyAlignment="1">
      <alignment horizontal="center" wrapText="1"/>
    </xf>
    <xf numFmtId="0" fontId="2" fillId="0" borderId="50" xfId="0" applyFont="1" applyBorder="1" applyAlignment="1">
      <alignment horizontal="center" wrapText="1"/>
    </xf>
    <xf numFmtId="3" fontId="0" fillId="21" borderId="66" xfId="0" applyNumberFormat="1" applyFill="1" applyBorder="1" applyAlignment="1">
      <alignment horizontal="center"/>
    </xf>
    <xf numFmtId="0" fontId="0" fillId="4" borderId="0" xfId="0" applyFill="1" applyAlignment="1">
      <alignment vertical="center" wrapText="1"/>
    </xf>
    <xf numFmtId="0" fontId="0" fillId="4" borderId="0" xfId="0" applyFill="1" applyAlignment="1">
      <alignment horizontal="center" vertical="center" wrapText="1"/>
    </xf>
    <xf numFmtId="164" fontId="0" fillId="4" borderId="0" xfId="1" applyNumberFormat="1" applyFont="1" applyFill="1" applyBorder="1" applyAlignment="1">
      <alignment vertical="center" wrapText="1"/>
    </xf>
    <xf numFmtId="0" fontId="0" fillId="0" borderId="63" xfId="0" applyBorder="1" applyAlignment="1">
      <alignment horizontal="center" wrapText="1"/>
    </xf>
    <xf numFmtId="0" fontId="2" fillId="0" borderId="63" xfId="0" applyFont="1" applyBorder="1" applyAlignment="1">
      <alignment horizontal="center" vertical="center" wrapText="1"/>
    </xf>
    <xf numFmtId="0" fontId="0" fillId="0" borderId="63" xfId="0" applyBorder="1" applyAlignment="1">
      <alignment horizontal="center"/>
    </xf>
    <xf numFmtId="0" fontId="68" fillId="0" borderId="0" xfId="0" applyFont="1" applyAlignment="1" applyProtection="1">
      <alignment horizontal="center" vertical="center" wrapText="1"/>
      <protection locked="0"/>
    </xf>
    <xf numFmtId="0" fontId="68" fillId="0" borderId="0" xfId="0" applyFont="1" applyAlignment="1" applyProtection="1">
      <alignment vertical="center" wrapText="1"/>
      <protection locked="0"/>
    </xf>
    <xf numFmtId="0" fontId="92" fillId="25" borderId="54" xfId="0" applyFont="1" applyFill="1" applyBorder="1" applyAlignment="1">
      <alignment horizontal="center" vertical="center" wrapText="1"/>
    </xf>
    <xf numFmtId="0" fontId="92" fillId="25" borderId="47" xfId="0" applyFont="1" applyFill="1" applyBorder="1" applyAlignment="1">
      <alignment horizontal="center" vertical="center" wrapText="1"/>
    </xf>
    <xf numFmtId="1" fontId="90" fillId="0" borderId="47" xfId="0" applyNumberFormat="1" applyFont="1" applyBorder="1" applyAlignment="1">
      <alignment horizontal="center" vertical="center" wrapText="1"/>
    </xf>
    <xf numFmtId="1" fontId="90" fillId="0" borderId="78" xfId="0" applyNumberFormat="1" applyFont="1" applyBorder="1" applyAlignment="1">
      <alignment horizontal="center" vertical="center" wrapText="1"/>
    </xf>
    <xf numFmtId="1" fontId="90" fillId="0" borderId="61" xfId="0" applyNumberFormat="1" applyFont="1" applyBorder="1" applyAlignment="1">
      <alignment horizontal="center" vertical="center" wrapText="1"/>
    </xf>
    <xf numFmtId="1" fontId="0" fillId="15" borderId="78" xfId="0" applyNumberFormat="1" applyFill="1" applyBorder="1" applyAlignment="1">
      <alignment horizontal="center" vertical="center" wrapText="1"/>
    </xf>
    <xf numFmtId="0" fontId="0" fillId="0" borderId="11" xfId="0" applyBorder="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0" fontId="2" fillId="0" borderId="63" xfId="0" applyFont="1" applyBorder="1" applyAlignment="1">
      <alignment horizontal="center" wrapText="1"/>
    </xf>
    <xf numFmtId="0" fontId="2" fillId="0" borderId="59" xfId="0" applyFont="1" applyBorder="1" applyAlignment="1" applyProtection="1">
      <alignment horizontal="center" vertical="center" wrapText="1"/>
      <protection locked="0"/>
    </xf>
    <xf numFmtId="0" fontId="8" fillId="3" borderId="10" xfId="0" applyFont="1" applyFill="1" applyBorder="1" applyAlignment="1">
      <alignment horizontal="center" vertical="center" wrapText="1"/>
    </xf>
    <xf numFmtId="3" fontId="2" fillId="15" borderId="58" xfId="0" applyNumberFormat="1" applyFont="1" applyFill="1" applyBorder="1" applyAlignment="1">
      <alignment horizontal="center" vertical="center" wrapText="1"/>
    </xf>
    <xf numFmtId="3" fontId="2" fillId="0" borderId="5" xfId="0" applyNumberFormat="1" applyFont="1" applyBorder="1" applyAlignment="1">
      <alignment horizontal="center" wrapText="1"/>
    </xf>
    <xf numFmtId="0" fontId="2" fillId="0" borderId="0" xfId="0" applyFont="1" applyAlignment="1">
      <alignment horizontal="center" vertical="center" wrapText="1"/>
    </xf>
    <xf numFmtId="3" fontId="0" fillId="0" borderId="5" xfId="0" applyNumberFormat="1" applyBorder="1" applyAlignment="1">
      <alignment horizontal="center" vertical="center" wrapText="1"/>
    </xf>
    <xf numFmtId="0" fontId="0" fillId="0" borderId="5" xfId="0" applyBorder="1" applyAlignment="1">
      <alignment horizontal="center" wrapText="1"/>
    </xf>
    <xf numFmtId="1" fontId="0" fillId="14" borderId="52" xfId="0" applyNumberFormat="1" applyFill="1" applyBorder="1" applyAlignment="1" applyProtection="1">
      <alignment horizontal="center" vertical="center" wrapText="1"/>
      <protection locked="0"/>
    </xf>
    <xf numFmtId="1" fontId="0" fillId="14" borderId="54" xfId="0" applyNumberFormat="1" applyFill="1" applyBorder="1" applyAlignment="1" applyProtection="1">
      <alignment horizontal="center" vertical="center" wrapText="1"/>
      <protection locked="0"/>
    </xf>
    <xf numFmtId="0" fontId="0" fillId="7" borderId="30" xfId="0" applyFill="1" applyBorder="1" applyAlignment="1">
      <alignment horizontal="center" vertical="center" wrapText="1"/>
    </xf>
    <xf numFmtId="0" fontId="0" fillId="7" borderId="0" xfId="0" applyFill="1" applyAlignment="1">
      <alignment horizontal="center" vertical="center" wrapText="1"/>
    </xf>
    <xf numFmtId="0" fontId="0" fillId="7" borderId="45" xfId="0" applyFill="1" applyBorder="1" applyAlignment="1">
      <alignment horizontal="center" vertical="center" wrapText="1"/>
    </xf>
    <xf numFmtId="0" fontId="2" fillId="0" borderId="31" xfId="0" applyFont="1" applyBorder="1" applyAlignment="1" applyProtection="1">
      <alignment horizontal="center" vertical="center" wrapText="1"/>
      <protection locked="0"/>
    </xf>
    <xf numFmtId="3" fontId="0" fillId="0" borderId="62" xfId="0" applyNumberFormat="1" applyBorder="1" applyAlignment="1">
      <alignment horizontal="center" wrapText="1"/>
    </xf>
    <xf numFmtId="3" fontId="0" fillId="0" borderId="5" xfId="0" applyNumberFormat="1" applyBorder="1" applyAlignment="1">
      <alignment horizontal="center" wrapText="1"/>
    </xf>
    <xf numFmtId="0" fontId="0" fillId="0" borderId="62" xfId="0" applyBorder="1" applyAlignment="1">
      <alignment horizontal="center" wrapText="1"/>
    </xf>
    <xf numFmtId="4" fontId="0" fillId="0" borderId="5" xfId="0" applyNumberFormat="1" applyBorder="1" applyAlignment="1">
      <alignment horizontal="center"/>
    </xf>
    <xf numFmtId="4" fontId="0" fillId="0" borderId="63" xfId="0" applyNumberFormat="1" applyBorder="1" applyAlignment="1">
      <alignment horizontal="center"/>
    </xf>
    <xf numFmtId="3" fontId="0" fillId="0" borderId="5" xfId="0" applyNumberFormat="1" applyBorder="1" applyAlignment="1">
      <alignment horizontal="center"/>
    </xf>
    <xf numFmtId="3" fontId="0" fillId="0" borderId="63" xfId="0" applyNumberFormat="1" applyBorder="1" applyAlignment="1">
      <alignment horizontal="center"/>
    </xf>
    <xf numFmtId="3" fontId="0" fillId="0" borderId="43" xfId="0" applyNumberFormat="1" applyBorder="1" applyAlignment="1">
      <alignment horizontal="center"/>
    </xf>
    <xf numFmtId="3" fontId="0" fillId="0" borderId="66" xfId="0" applyNumberFormat="1" applyBorder="1" applyAlignment="1">
      <alignment horizontal="center"/>
    </xf>
    <xf numFmtId="0" fontId="0" fillId="0" borderId="0" xfId="0" applyAlignment="1">
      <alignment horizontal="center" wrapText="1"/>
    </xf>
    <xf numFmtId="3" fontId="0" fillId="0" borderId="0" xfId="0" applyNumberFormat="1" applyAlignment="1">
      <alignment horizontal="center" wrapText="1"/>
    </xf>
    <xf numFmtId="0" fontId="40" fillId="0" borderId="20" xfId="0" applyFont="1" applyBorder="1" applyAlignment="1">
      <alignment horizontal="center"/>
    </xf>
    <xf numFmtId="1" fontId="0" fillId="15" borderId="52" xfId="0" applyNumberFormat="1" applyFill="1" applyBorder="1" applyAlignment="1">
      <alignment horizontal="center" vertical="center"/>
    </xf>
    <xf numFmtId="0" fontId="86" fillId="0" borderId="59" xfId="0" applyFont="1" applyBorder="1" applyAlignment="1" applyProtection="1">
      <alignment horizontal="center" vertical="center" wrapText="1"/>
      <protection locked="0"/>
    </xf>
    <xf numFmtId="3" fontId="2" fillId="0" borderId="30" xfId="0" applyNumberFormat="1" applyFont="1" applyBorder="1" applyAlignment="1">
      <alignment horizontal="center" wrapText="1"/>
    </xf>
    <xf numFmtId="3" fontId="2" fillId="0" borderId="0" xfId="0" applyNumberFormat="1" applyFont="1" applyAlignment="1">
      <alignment horizontal="center" wrapText="1"/>
    </xf>
    <xf numFmtId="3" fontId="2" fillId="0" borderId="62" xfId="0" applyNumberFormat="1" applyFont="1" applyBorder="1" applyAlignment="1">
      <alignment horizontal="center" vertical="center" wrapText="1"/>
    </xf>
    <xf numFmtId="3" fontId="2" fillId="0" borderId="5" xfId="0" applyNumberFormat="1" applyFont="1" applyBorder="1" applyAlignment="1">
      <alignment horizontal="center" vertical="center" wrapText="1"/>
    </xf>
    <xf numFmtId="37" fontId="2" fillId="0" borderId="0" xfId="1" applyNumberFormat="1" applyFont="1" applyFill="1" applyBorder="1" applyAlignment="1" applyProtection="1">
      <alignment horizontal="center"/>
    </xf>
    <xf numFmtId="3" fontId="0" fillId="0" borderId="30" xfId="0" applyNumberFormat="1" applyBorder="1" applyAlignment="1">
      <alignment horizontal="center" wrapText="1"/>
    </xf>
    <xf numFmtId="3" fontId="0" fillId="0" borderId="0" xfId="0" applyNumberFormat="1" applyAlignment="1">
      <alignment horizontal="center"/>
    </xf>
    <xf numFmtId="0" fontId="0" fillId="0" borderId="0" xfId="0" applyAlignment="1">
      <alignment horizontal="left" vertical="center" wrapText="1"/>
    </xf>
    <xf numFmtId="3" fontId="0" fillId="0" borderId="49" xfId="0" applyNumberFormat="1" applyBorder="1" applyAlignment="1">
      <alignment horizontal="center"/>
    </xf>
    <xf numFmtId="1" fontId="95" fillId="0" borderId="5" xfId="9" applyNumberFormat="1" applyFont="1" applyBorder="1" applyAlignment="1">
      <alignment horizontal="center" vertical="center"/>
    </xf>
    <xf numFmtId="0" fontId="95" fillId="0" borderId="5" xfId="0" applyFont="1" applyBorder="1" applyAlignment="1">
      <alignment vertical="center" wrapText="1"/>
    </xf>
    <xf numFmtId="49" fontId="96" fillId="0" borderId="5" xfId="9" applyNumberFormat="1" applyFont="1" applyBorder="1" applyAlignment="1">
      <alignment horizontal="center" vertical="center" wrapText="1"/>
    </xf>
    <xf numFmtId="0" fontId="95" fillId="0" borderId="5" xfId="0" applyFont="1" applyBorder="1" applyAlignment="1">
      <alignment horizontal="center" vertical="center"/>
    </xf>
    <xf numFmtId="0" fontId="0" fillId="0" borderId="5" xfId="0" applyBorder="1" applyAlignment="1">
      <alignment horizontal="left" vertical="top" wrapText="1"/>
    </xf>
    <xf numFmtId="0" fontId="97" fillId="0" borderId="5" xfId="7" applyFont="1" applyFill="1" applyBorder="1" applyAlignment="1">
      <alignment horizontal="left" vertical="top" wrapText="1"/>
    </xf>
    <xf numFmtId="0" fontId="27" fillId="0" borderId="5" xfId="7" applyBorder="1" applyAlignment="1">
      <alignment horizontal="left" vertical="top" wrapText="1"/>
    </xf>
    <xf numFmtId="3" fontId="0" fillId="14" borderId="110" xfId="1" applyNumberFormat="1" applyFont="1" applyFill="1" applyBorder="1" applyAlignment="1" applyProtection="1">
      <alignment horizontal="center" vertical="center"/>
      <protection locked="0"/>
    </xf>
    <xf numFmtId="0" fontId="17" fillId="3" borderId="110" xfId="2" applyFont="1" applyFill="1" applyBorder="1" applyAlignment="1" applyProtection="1">
      <alignment horizontal="center" vertical="center" wrapText="1"/>
      <protection locked="0"/>
    </xf>
    <xf numFmtId="0" fontId="0" fillId="0" borderId="110" xfId="0" applyBorder="1" applyAlignment="1" applyProtection="1">
      <alignment horizontal="left" vertical="center" wrapText="1"/>
      <protection locked="0"/>
    </xf>
    <xf numFmtId="0" fontId="8" fillId="3" borderId="110" xfId="0" applyFont="1" applyFill="1" applyBorder="1" applyAlignment="1">
      <alignment horizontal="center" vertical="center" wrapText="1"/>
    </xf>
    <xf numFmtId="3" fontId="0" fillId="21" borderId="110" xfId="0" applyNumberFormat="1" applyFill="1" applyBorder="1" applyAlignment="1">
      <alignment horizontal="center"/>
    </xf>
    <xf numFmtId="0" fontId="6" fillId="6" borderId="111" xfId="0" applyFont="1" applyFill="1" applyBorder="1" applyAlignment="1">
      <alignment horizontal="center" vertical="center" wrapText="1"/>
    </xf>
    <xf numFmtId="0" fontId="6" fillId="6" borderId="112" xfId="0" applyFont="1" applyFill="1" applyBorder="1" applyAlignment="1">
      <alignment horizontal="center" vertical="center" wrapText="1"/>
    </xf>
    <xf numFmtId="0" fontId="0" fillId="7" borderId="30" xfId="0" applyFill="1" applyBorder="1" applyAlignment="1">
      <alignment vertical="center" wrapText="1"/>
    </xf>
    <xf numFmtId="0" fontId="0" fillId="7" borderId="45" xfId="0" applyFill="1" applyBorder="1" applyAlignment="1">
      <alignment vertical="center" wrapText="1"/>
    </xf>
    <xf numFmtId="0" fontId="0" fillId="7" borderId="46" xfId="0" applyFill="1" applyBorder="1" applyAlignment="1">
      <alignment vertical="center" wrapText="1"/>
    </xf>
    <xf numFmtId="0" fontId="0" fillId="7" borderId="47" xfId="0" applyFill="1" applyBorder="1" applyAlignment="1">
      <alignment vertical="center" wrapText="1"/>
    </xf>
    <xf numFmtId="0" fontId="99" fillId="0" borderId="78" xfId="0" applyFont="1" applyBorder="1" applyAlignment="1">
      <alignment horizontal="right" vertical="center" wrapText="1"/>
    </xf>
    <xf numFmtId="0" fontId="13" fillId="2" borderId="110"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0" fillId="0" borderId="3" xfId="0" applyBorder="1"/>
    <xf numFmtId="3" fontId="5" fillId="0" borderId="3" xfId="0" applyNumberFormat="1" applyFont="1" applyBorder="1" applyAlignment="1">
      <alignment horizontal="right" vertical="center" wrapText="1"/>
    </xf>
    <xf numFmtId="0" fontId="30" fillId="0" borderId="52" xfId="0" applyFont="1" applyBorder="1" applyAlignment="1">
      <alignment horizontal="left" vertical="top" wrapText="1"/>
    </xf>
    <xf numFmtId="0" fontId="0" fillId="0" borderId="53" xfId="0" applyBorder="1" applyAlignment="1">
      <alignment horizontal="left" vertical="top" wrapText="1"/>
    </xf>
    <xf numFmtId="0" fontId="0" fillId="0" borderId="54" xfId="0" applyBorder="1" applyAlignment="1">
      <alignment horizontal="left" vertical="top" wrapText="1"/>
    </xf>
    <xf numFmtId="3" fontId="5" fillId="7" borderId="52" xfId="0" applyNumberFormat="1" applyFont="1" applyFill="1" applyBorder="1" applyAlignment="1">
      <alignment horizontal="right" vertical="center" wrapText="1"/>
    </xf>
    <xf numFmtId="3" fontId="5" fillId="7" borderId="54" xfId="0" applyNumberFormat="1" applyFont="1" applyFill="1" applyBorder="1" applyAlignment="1">
      <alignment horizontal="right" vertical="center" wrapText="1"/>
    </xf>
    <xf numFmtId="0" fontId="0" fillId="0" borderId="52" xfId="0" applyBorder="1" applyAlignment="1">
      <alignment horizontal="left" vertical="top" wrapText="1"/>
    </xf>
    <xf numFmtId="0" fontId="66" fillId="14" borderId="5" xfId="0" applyFont="1" applyFill="1" applyBorder="1" applyAlignment="1">
      <alignment horizontal="center" vertical="center"/>
    </xf>
    <xf numFmtId="0" fontId="1" fillId="3" borderId="29" xfId="0" applyFont="1" applyFill="1" applyBorder="1" applyAlignment="1">
      <alignment horizontal="center" vertical="center" wrapText="1"/>
    </xf>
    <xf numFmtId="0" fontId="1" fillId="3" borderId="23" xfId="0" applyFont="1" applyFill="1" applyBorder="1" applyAlignment="1">
      <alignment horizontal="center" vertical="center" wrapText="1"/>
    </xf>
    <xf numFmtId="0" fontId="1" fillId="3" borderId="71" xfId="0" applyFont="1" applyFill="1" applyBorder="1" applyAlignment="1">
      <alignment horizontal="center" vertical="center" wrapText="1"/>
    </xf>
    <xf numFmtId="0" fontId="0" fillId="0" borderId="0" xfId="0"/>
    <xf numFmtId="0" fontId="2" fillId="0" borderId="52" xfId="0" applyFont="1" applyBorder="1" applyAlignment="1">
      <alignment horizontal="center"/>
    </xf>
    <xf numFmtId="0" fontId="2" fillId="0" borderId="53" xfId="0" applyFont="1" applyBorder="1" applyAlignment="1">
      <alignment horizontal="center"/>
    </xf>
    <xf numFmtId="0" fontId="2" fillId="0" borderId="54" xfId="0" applyFont="1" applyBorder="1" applyAlignment="1">
      <alignment horizontal="center"/>
    </xf>
    <xf numFmtId="0" fontId="0" fillId="14" borderId="52" xfId="0" applyFill="1" applyBorder="1" applyAlignment="1">
      <alignment horizontal="center"/>
    </xf>
    <xf numFmtId="0" fontId="0" fillId="14" borderId="54" xfId="0" applyFill="1" applyBorder="1" applyAlignment="1">
      <alignment horizontal="center"/>
    </xf>
    <xf numFmtId="14" fontId="0" fillId="14" borderId="52" xfId="0" applyNumberFormat="1" applyFill="1" applyBorder="1" applyAlignment="1">
      <alignment horizontal="center"/>
    </xf>
    <xf numFmtId="14" fontId="0" fillId="14" borderId="54" xfId="0" applyNumberFormat="1" applyFill="1" applyBorder="1" applyAlignment="1">
      <alignment horizontal="center"/>
    </xf>
    <xf numFmtId="3" fontId="0" fillId="0" borderId="0" xfId="1" applyNumberFormat="1" applyFont="1" applyFill="1" applyBorder="1" applyAlignment="1" applyProtection="1">
      <alignment horizontal="left" vertical="center" wrapText="1"/>
    </xf>
    <xf numFmtId="0" fontId="0" fillId="0" borderId="0" xfId="0" applyAlignment="1" applyProtection="1">
      <alignment horizontal="left" vertical="top" wrapText="1"/>
      <protection locked="0"/>
    </xf>
    <xf numFmtId="3" fontId="0" fillId="7" borderId="38" xfId="0" applyNumberFormat="1" applyFill="1" applyBorder="1" applyAlignment="1" applyProtection="1">
      <alignment horizontal="left" vertical="center" wrapText="1"/>
      <protection locked="0"/>
    </xf>
    <xf numFmtId="3" fontId="0" fillId="7" borderId="39" xfId="0" applyNumberFormat="1" applyFill="1" applyBorder="1" applyAlignment="1" applyProtection="1">
      <alignment horizontal="left" vertical="center" wrapText="1"/>
      <protection locked="0"/>
    </xf>
    <xf numFmtId="0" fontId="77" fillId="2" borderId="52" xfId="0" applyFont="1" applyFill="1" applyBorder="1" applyAlignment="1" applyProtection="1">
      <alignment horizontal="center" vertical="center"/>
      <protection locked="0"/>
    </xf>
    <xf numFmtId="0" fontId="77" fillId="2" borderId="53" xfId="0" applyFont="1" applyFill="1" applyBorder="1" applyAlignment="1" applyProtection="1">
      <alignment horizontal="center" vertical="center"/>
      <protection locked="0"/>
    </xf>
    <xf numFmtId="0" fontId="77" fillId="2" borderId="54" xfId="0" applyFont="1" applyFill="1" applyBorder="1" applyAlignment="1" applyProtection="1">
      <alignment horizontal="center" vertical="center"/>
      <protection locked="0"/>
    </xf>
    <xf numFmtId="0" fontId="0" fillId="7" borderId="44" xfId="0" applyFill="1" applyBorder="1" applyAlignment="1" applyProtection="1">
      <alignment horizontal="left" vertical="top" wrapText="1"/>
      <protection locked="0"/>
    </xf>
    <xf numFmtId="0" fontId="0" fillId="7" borderId="20" xfId="0" applyFill="1" applyBorder="1" applyAlignment="1" applyProtection="1">
      <alignment horizontal="left" vertical="top" wrapText="1"/>
      <protection locked="0"/>
    </xf>
    <xf numFmtId="0" fontId="0" fillId="7" borderId="21" xfId="0" applyFill="1" applyBorder="1" applyAlignment="1" applyProtection="1">
      <alignment horizontal="left" vertical="top" wrapText="1"/>
      <protection locked="0"/>
    </xf>
    <xf numFmtId="0" fontId="0" fillId="7" borderId="30" xfId="0" applyFill="1" applyBorder="1" applyAlignment="1" applyProtection="1">
      <alignment horizontal="left" vertical="top" wrapText="1"/>
      <protection locked="0"/>
    </xf>
    <xf numFmtId="0" fontId="0" fillId="7" borderId="0" xfId="0" applyFill="1" applyAlignment="1" applyProtection="1">
      <alignment horizontal="left" vertical="top" wrapText="1"/>
      <protection locked="0"/>
    </xf>
    <xf numFmtId="0" fontId="0" fillId="7" borderId="24" xfId="0" applyFill="1" applyBorder="1" applyAlignment="1" applyProtection="1">
      <alignment horizontal="left" vertical="top" wrapText="1"/>
      <protection locked="0"/>
    </xf>
    <xf numFmtId="0" fontId="0" fillId="7" borderId="45" xfId="0" applyFill="1" applyBorder="1" applyAlignment="1" applyProtection="1">
      <alignment horizontal="left" vertical="top" wrapText="1"/>
      <protection locked="0"/>
    </xf>
    <xf numFmtId="0" fontId="0" fillId="7" borderId="46" xfId="0" applyFill="1" applyBorder="1" applyAlignment="1" applyProtection="1">
      <alignment horizontal="left" vertical="top" wrapText="1"/>
      <protection locked="0"/>
    </xf>
    <xf numFmtId="0" fontId="0" fillId="7" borderId="47" xfId="0" applyFill="1" applyBorder="1" applyAlignment="1" applyProtection="1">
      <alignment horizontal="left" vertical="top" wrapText="1"/>
      <protection locked="0"/>
    </xf>
    <xf numFmtId="0" fontId="39" fillId="7" borderId="44" xfId="0" applyFont="1" applyFill="1" applyBorder="1" applyAlignment="1" applyProtection="1">
      <alignment horizontal="center" vertical="center" wrapText="1"/>
      <protection locked="0"/>
    </xf>
    <xf numFmtId="0" fontId="39" fillId="7" borderId="20" xfId="0" applyFont="1" applyFill="1" applyBorder="1" applyAlignment="1" applyProtection="1">
      <alignment horizontal="center" vertical="center" wrapText="1"/>
      <protection locked="0"/>
    </xf>
    <xf numFmtId="0" fontId="39" fillId="7" borderId="21" xfId="0" applyFont="1" applyFill="1" applyBorder="1" applyAlignment="1" applyProtection="1">
      <alignment horizontal="center" vertical="center" wrapText="1"/>
      <protection locked="0"/>
    </xf>
    <xf numFmtId="0" fontId="39" fillId="7" borderId="45" xfId="0" applyFont="1" applyFill="1" applyBorder="1" applyAlignment="1" applyProtection="1">
      <alignment horizontal="center" vertical="center" wrapText="1"/>
      <protection locked="0"/>
    </xf>
    <xf numFmtId="0" fontId="39" fillId="7" borderId="46" xfId="0" applyFont="1" applyFill="1" applyBorder="1" applyAlignment="1" applyProtection="1">
      <alignment horizontal="center" vertical="center" wrapText="1"/>
      <protection locked="0"/>
    </xf>
    <xf numFmtId="0" fontId="39" fillId="7" borderId="47" xfId="0" applyFont="1" applyFill="1" applyBorder="1" applyAlignment="1" applyProtection="1">
      <alignment horizontal="center" vertical="center" wrapText="1"/>
      <protection locked="0"/>
    </xf>
    <xf numFmtId="0" fontId="0" fillId="11" borderId="34" xfId="0" applyFill="1" applyBorder="1" applyAlignment="1" applyProtection="1">
      <alignment horizontal="center" vertical="center" wrapText="1"/>
      <protection locked="0"/>
    </xf>
    <xf numFmtId="0" fontId="0" fillId="11" borderId="11" xfId="0" applyFill="1" applyBorder="1" applyAlignment="1" applyProtection="1">
      <alignment horizontal="center" vertical="center" wrapText="1"/>
      <protection locked="0"/>
    </xf>
    <xf numFmtId="0" fontId="0" fillId="11" borderId="10" xfId="0" applyFill="1" applyBorder="1" applyAlignment="1" applyProtection="1">
      <alignment horizontal="center" vertical="center" wrapText="1"/>
      <protection locked="0"/>
    </xf>
    <xf numFmtId="3" fontId="0" fillId="7" borderId="36" xfId="0" applyNumberFormat="1" applyFill="1" applyBorder="1" applyAlignment="1" applyProtection="1">
      <alignment horizontal="left" vertical="center" wrapText="1"/>
      <protection locked="0"/>
    </xf>
    <xf numFmtId="3" fontId="0" fillId="7" borderId="37" xfId="0" applyNumberFormat="1" applyFill="1" applyBorder="1" applyAlignment="1" applyProtection="1">
      <alignment horizontal="left" vertical="center" wrapText="1"/>
      <protection locked="0"/>
    </xf>
    <xf numFmtId="0" fontId="0" fillId="11" borderId="40" xfId="0" applyFill="1" applyBorder="1" applyAlignment="1" applyProtection="1">
      <alignment horizontal="center" vertical="center" wrapText="1"/>
      <protection locked="0"/>
    </xf>
    <xf numFmtId="0" fontId="0" fillId="11" borderId="41" xfId="0" applyFill="1" applyBorder="1" applyAlignment="1" applyProtection="1">
      <alignment horizontal="center" vertical="center" wrapText="1"/>
      <protection locked="0"/>
    </xf>
    <xf numFmtId="0" fontId="0" fillId="11" borderId="42" xfId="0" applyFill="1" applyBorder="1" applyAlignment="1" applyProtection="1">
      <alignment horizontal="center" vertical="center" wrapText="1"/>
      <protection locked="0"/>
    </xf>
    <xf numFmtId="3" fontId="0" fillId="7" borderId="110" xfId="0" applyNumberFormat="1" applyFill="1" applyBorder="1" applyAlignment="1" applyProtection="1">
      <alignment horizontal="left" vertical="center" wrapText="1"/>
      <protection locked="0"/>
    </xf>
    <xf numFmtId="3" fontId="0" fillId="7" borderId="35" xfId="0" applyNumberFormat="1" applyFill="1" applyBorder="1" applyAlignment="1" applyProtection="1">
      <alignment horizontal="left" vertical="center" wrapText="1"/>
      <protection locked="0"/>
    </xf>
    <xf numFmtId="3" fontId="0" fillId="7" borderId="25" xfId="0" applyNumberFormat="1" applyFill="1" applyBorder="1" applyAlignment="1" applyProtection="1">
      <alignment horizontal="left" vertical="center" wrapText="1"/>
      <protection locked="0"/>
    </xf>
    <xf numFmtId="3" fontId="0" fillId="7" borderId="33" xfId="0" applyNumberFormat="1" applyFill="1" applyBorder="1" applyAlignment="1" applyProtection="1">
      <alignment horizontal="left" vertical="center" wrapText="1"/>
      <protection locked="0"/>
    </xf>
    <xf numFmtId="0" fontId="3" fillId="3" borderId="5" xfId="0" applyFont="1" applyFill="1" applyBorder="1" applyAlignment="1" applyProtection="1">
      <alignment horizontal="center" vertical="center" wrapText="1"/>
      <protection locked="0"/>
    </xf>
    <xf numFmtId="0" fontId="3" fillId="3" borderId="110" xfId="0" applyFont="1" applyFill="1" applyBorder="1" applyAlignment="1" applyProtection="1">
      <alignment horizontal="center" vertical="center" wrapText="1"/>
      <protection locked="0"/>
    </xf>
    <xf numFmtId="0" fontId="22" fillId="7" borderId="44" xfId="0" applyFont="1" applyFill="1" applyBorder="1" applyAlignment="1" applyProtection="1">
      <alignment horizontal="left" vertical="center" wrapText="1"/>
      <protection locked="0"/>
    </xf>
    <xf numFmtId="0" fontId="22" fillId="7" borderId="20" xfId="0" applyFont="1" applyFill="1" applyBorder="1" applyAlignment="1" applyProtection="1">
      <alignment horizontal="left" vertical="center" wrapText="1"/>
      <protection locked="0"/>
    </xf>
    <xf numFmtId="0" fontId="22" fillId="7" borderId="30" xfId="0" applyFont="1" applyFill="1" applyBorder="1" applyAlignment="1" applyProtection="1">
      <alignment horizontal="left" vertical="center" wrapText="1"/>
      <protection locked="0"/>
    </xf>
    <xf numFmtId="0" fontId="22" fillId="7" borderId="0" xfId="0" applyFont="1" applyFill="1" applyAlignment="1" applyProtection="1">
      <alignment horizontal="left" vertical="center" wrapText="1"/>
      <protection locked="0"/>
    </xf>
    <xf numFmtId="0" fontId="22" fillId="7" borderId="30" xfId="0" applyFont="1" applyFill="1" applyBorder="1" applyAlignment="1">
      <alignment horizontal="left" vertical="center"/>
    </xf>
    <xf numFmtId="0" fontId="22" fillId="7" borderId="0" xfId="0" applyFont="1" applyFill="1" applyAlignment="1">
      <alignment horizontal="left" vertical="center"/>
    </xf>
    <xf numFmtId="0" fontId="21" fillId="3" borderId="44" xfId="0" applyFont="1" applyFill="1" applyBorder="1" applyAlignment="1">
      <alignment horizontal="left" vertical="center" wrapText="1"/>
    </xf>
    <xf numFmtId="0" fontId="21" fillId="3" borderId="21" xfId="0" applyFont="1" applyFill="1" applyBorder="1" applyAlignment="1">
      <alignment horizontal="left" vertical="center" wrapText="1"/>
    </xf>
    <xf numFmtId="0" fontId="21" fillId="3" borderId="45" xfId="0" applyFont="1" applyFill="1" applyBorder="1" applyAlignment="1">
      <alignment horizontal="left" vertical="center" wrapText="1"/>
    </xf>
    <xf numFmtId="0" fontId="21" fillId="3" borderId="47" xfId="0" applyFont="1" applyFill="1" applyBorder="1" applyAlignment="1">
      <alignment horizontal="left" vertical="center" wrapText="1"/>
    </xf>
    <xf numFmtId="0" fontId="80" fillId="0" borderId="52" xfId="0" applyFont="1" applyBorder="1" applyAlignment="1" applyProtection="1">
      <alignment horizontal="center" vertical="center" wrapText="1"/>
      <protection locked="0"/>
    </xf>
    <xf numFmtId="0" fontId="80" fillId="0" borderId="53" xfId="0" applyFont="1" applyBorder="1" applyAlignment="1" applyProtection="1">
      <alignment horizontal="center" vertical="center" wrapText="1"/>
      <protection locked="0"/>
    </xf>
    <xf numFmtId="0" fontId="80" fillId="0" borderId="54" xfId="0" applyFont="1" applyBorder="1" applyAlignment="1" applyProtection="1">
      <alignment horizontal="center" vertical="center" wrapText="1"/>
      <protection locked="0"/>
    </xf>
    <xf numFmtId="0" fontId="61" fillId="2" borderId="0" xfId="0" applyFont="1" applyFill="1" applyAlignment="1" applyProtection="1">
      <alignment horizontal="center" vertical="center"/>
      <protection locked="0"/>
    </xf>
    <xf numFmtId="0" fontId="3" fillId="2" borderId="0" xfId="0" applyFont="1" applyFill="1" applyAlignment="1" applyProtection="1">
      <alignment horizontal="center" vertical="center"/>
      <protection locked="0"/>
    </xf>
    <xf numFmtId="0" fontId="66" fillId="27" borderId="58" xfId="0" applyFont="1" applyFill="1" applyBorder="1" applyAlignment="1" applyProtection="1">
      <alignment horizontal="center" vertical="center" wrapText="1"/>
      <protection locked="0"/>
    </xf>
    <xf numFmtId="0" fontId="66" fillId="27" borderId="61" xfId="0" applyFont="1" applyFill="1" applyBorder="1" applyAlignment="1" applyProtection="1">
      <alignment horizontal="center" vertical="center" wrapText="1"/>
      <protection locked="0"/>
    </xf>
    <xf numFmtId="0" fontId="66" fillId="27" borderId="73" xfId="0" applyFont="1" applyFill="1" applyBorder="1" applyAlignment="1" applyProtection="1">
      <alignment horizontal="center" vertical="center" wrapText="1"/>
      <protection locked="0"/>
    </xf>
    <xf numFmtId="0" fontId="66" fillId="27" borderId="12" xfId="0" applyFont="1" applyFill="1" applyBorder="1" applyAlignment="1" applyProtection="1">
      <alignment horizontal="center" vertical="center" wrapText="1"/>
      <protection locked="0"/>
    </xf>
    <xf numFmtId="0" fontId="10" fillId="14" borderId="5" xfId="0" applyFont="1" applyFill="1" applyBorder="1" applyAlignment="1" applyProtection="1">
      <alignment horizontal="center" vertical="center"/>
      <protection locked="0"/>
    </xf>
    <xf numFmtId="0" fontId="10" fillId="14" borderId="63" xfId="0" applyFont="1" applyFill="1" applyBorder="1" applyAlignment="1" applyProtection="1">
      <alignment horizontal="center" vertical="center"/>
      <protection locked="0"/>
    </xf>
    <xf numFmtId="0" fontId="10" fillId="14" borderId="12" xfId="0" applyFont="1" applyFill="1" applyBorder="1" applyAlignment="1" applyProtection="1">
      <alignment horizontal="center" vertical="center"/>
      <protection locked="0"/>
    </xf>
    <xf numFmtId="0" fontId="10" fillId="14" borderId="74" xfId="0" applyFont="1" applyFill="1" applyBorder="1" applyAlignment="1" applyProtection="1">
      <alignment horizontal="center" vertical="center"/>
      <protection locked="0"/>
    </xf>
    <xf numFmtId="0" fontId="77" fillId="2" borderId="60" xfId="0" applyFont="1" applyFill="1" applyBorder="1" applyAlignment="1" applyProtection="1">
      <alignment horizontal="center" vertical="center" wrapText="1"/>
      <protection locked="0"/>
    </xf>
    <xf numFmtId="0" fontId="77" fillId="2" borderId="49" xfId="0" applyFont="1" applyFill="1" applyBorder="1" applyAlignment="1" applyProtection="1">
      <alignment horizontal="center" vertical="center" wrapText="1"/>
      <protection locked="0"/>
    </xf>
    <xf numFmtId="0" fontId="77" fillId="2" borderId="50" xfId="0" applyFont="1" applyFill="1" applyBorder="1" applyAlignment="1" applyProtection="1">
      <alignment horizontal="center" vertical="center" wrapText="1"/>
      <protection locked="0"/>
    </xf>
    <xf numFmtId="0" fontId="66" fillId="27" borderId="62" xfId="0" applyFont="1" applyFill="1" applyBorder="1" applyAlignment="1" applyProtection="1">
      <alignment horizontal="center" vertical="center" wrapText="1"/>
      <protection locked="0"/>
    </xf>
    <xf numFmtId="0" fontId="66" fillId="27" borderId="5" xfId="0" applyFont="1" applyFill="1" applyBorder="1" applyAlignment="1" applyProtection="1">
      <alignment horizontal="center" vertical="center" wrapText="1"/>
      <protection locked="0"/>
    </xf>
    <xf numFmtId="0" fontId="3" fillId="3" borderId="62" xfId="0" applyFont="1" applyFill="1" applyBorder="1" applyAlignment="1" applyProtection="1">
      <alignment horizontal="center" vertical="center" wrapText="1"/>
      <protection locked="0"/>
    </xf>
    <xf numFmtId="0" fontId="3" fillId="3" borderId="63" xfId="0" applyFont="1" applyFill="1" applyBorder="1" applyAlignment="1" applyProtection="1">
      <alignment horizontal="center" vertical="center" wrapText="1"/>
      <protection locked="0"/>
    </xf>
    <xf numFmtId="0" fontId="2" fillId="0" borderId="7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8" xfId="0" applyFont="1" applyBorder="1" applyAlignment="1" applyProtection="1">
      <alignment horizontal="center" vertical="center" wrapText="1"/>
      <protection locked="0"/>
    </xf>
    <xf numFmtId="0" fontId="2" fillId="0" borderId="67" xfId="0" applyFont="1" applyBorder="1" applyAlignment="1" applyProtection="1">
      <alignment horizontal="center" vertical="center" wrapText="1"/>
      <protection locked="0"/>
    </xf>
    <xf numFmtId="0" fontId="2" fillId="0" borderId="61" xfId="0" applyFont="1" applyBorder="1" applyAlignment="1" applyProtection="1">
      <alignment horizontal="center" vertical="center" wrapText="1"/>
      <protection locked="0"/>
    </xf>
    <xf numFmtId="0" fontId="2" fillId="0" borderId="44" xfId="0" applyFont="1" applyBorder="1" applyAlignment="1" applyProtection="1">
      <alignment horizontal="center" vertical="center" wrapText="1"/>
      <protection locked="0"/>
    </xf>
    <xf numFmtId="0" fontId="2" fillId="0" borderId="30" xfId="0" applyFont="1" applyBorder="1" applyAlignment="1" applyProtection="1">
      <alignment horizontal="center" vertical="center" wrapText="1"/>
      <protection locked="0"/>
    </xf>
    <xf numFmtId="0" fontId="2" fillId="0" borderId="55" xfId="0" applyFont="1" applyBorder="1" applyAlignment="1" applyProtection="1">
      <alignment horizontal="center" vertical="center" wrapText="1"/>
      <protection locked="0"/>
    </xf>
    <xf numFmtId="0" fontId="2" fillId="0" borderId="34" xfId="0" applyFont="1" applyBorder="1" applyAlignment="1" applyProtection="1">
      <alignment horizontal="center" vertical="center" wrapText="1"/>
      <protection locked="0"/>
    </xf>
    <xf numFmtId="0" fontId="2" fillId="0" borderId="38" xfId="0" applyFont="1" applyBorder="1" applyAlignment="1" applyProtection="1">
      <alignment horizontal="center" vertical="center" wrapText="1"/>
      <protection locked="0"/>
    </xf>
    <xf numFmtId="0" fontId="2" fillId="0" borderId="110" xfId="0" applyFont="1" applyBorder="1" applyAlignment="1" applyProtection="1">
      <alignment horizontal="center" vertical="center" wrapText="1"/>
      <protection locked="0"/>
    </xf>
    <xf numFmtId="0" fontId="2" fillId="0" borderId="59" xfId="0" applyFont="1" applyBorder="1" applyAlignment="1" applyProtection="1">
      <alignment horizontal="center" vertical="center" wrapText="1"/>
      <protection locked="0"/>
    </xf>
    <xf numFmtId="0" fontId="2" fillId="0" borderId="64" xfId="0" applyFont="1" applyBorder="1" applyAlignment="1" applyProtection="1">
      <alignment horizontal="center" vertical="center" wrapText="1"/>
      <protection locked="0"/>
    </xf>
    <xf numFmtId="0" fontId="3" fillId="19" borderId="52" xfId="0" applyFont="1" applyFill="1" applyBorder="1" applyAlignment="1" applyProtection="1">
      <alignment horizontal="center" vertical="center" wrapText="1"/>
      <protection locked="0"/>
    </xf>
    <xf numFmtId="0" fontId="3" fillId="19" borderId="53" xfId="0" applyFont="1" applyFill="1" applyBorder="1" applyAlignment="1" applyProtection="1">
      <alignment horizontal="center" vertical="center" wrapText="1"/>
      <protection locked="0"/>
    </xf>
    <xf numFmtId="0" fontId="3" fillId="19" borderId="54" xfId="0" applyFont="1" applyFill="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69" xfId="0" applyFont="1" applyBorder="1" applyAlignment="1" applyProtection="1">
      <alignment horizontal="center" vertical="center" wrapText="1"/>
      <protection locked="0"/>
    </xf>
    <xf numFmtId="0" fontId="10" fillId="8" borderId="110" xfId="0" applyFont="1" applyFill="1" applyBorder="1" applyAlignment="1" applyProtection="1">
      <alignment horizontal="left" vertical="center" wrapText="1"/>
      <protection locked="0"/>
    </xf>
    <xf numFmtId="0" fontId="10" fillId="8" borderId="11" xfId="0" applyFont="1" applyFill="1" applyBorder="1" applyAlignment="1" applyProtection="1">
      <alignment horizontal="left" vertical="center" wrapText="1"/>
      <protection locked="0"/>
    </xf>
    <xf numFmtId="0" fontId="10" fillId="8" borderId="10" xfId="0" applyFont="1" applyFill="1" applyBorder="1" applyAlignment="1" applyProtection="1">
      <alignment horizontal="left" vertical="center" wrapText="1"/>
      <protection locked="0"/>
    </xf>
    <xf numFmtId="0" fontId="2" fillId="4" borderId="110" xfId="0" applyFont="1" applyFill="1" applyBorder="1" applyAlignment="1" applyProtection="1">
      <alignment horizontal="left" vertical="center" wrapText="1"/>
      <protection locked="0"/>
    </xf>
    <xf numFmtId="0" fontId="0" fillId="4" borderId="11" xfId="0" applyFill="1" applyBorder="1" applyAlignment="1" applyProtection="1">
      <alignment horizontal="left" vertical="center" wrapText="1"/>
      <protection locked="0"/>
    </xf>
    <xf numFmtId="0" fontId="0" fillId="4" borderId="10" xfId="0" applyFill="1" applyBorder="1" applyAlignment="1" applyProtection="1">
      <alignment horizontal="left" vertical="center" wrapText="1"/>
      <protection locked="0"/>
    </xf>
    <xf numFmtId="0" fontId="22" fillId="7" borderId="12" xfId="0" applyFont="1" applyFill="1" applyBorder="1" applyAlignment="1">
      <alignment horizontal="left" vertical="center"/>
    </xf>
    <xf numFmtId="0" fontId="22" fillId="7" borderId="3" xfId="0" applyFont="1" applyFill="1" applyBorder="1" applyAlignment="1">
      <alignment horizontal="left" vertical="center"/>
    </xf>
    <xf numFmtId="0" fontId="22" fillId="7" borderId="4" xfId="0" applyFont="1" applyFill="1" applyBorder="1" applyAlignment="1">
      <alignment horizontal="left" vertical="center"/>
    </xf>
    <xf numFmtId="0" fontId="10" fillId="8" borderId="11" xfId="0" applyFont="1" applyFill="1" applyBorder="1" applyAlignment="1">
      <alignment horizontal="left" vertical="center" wrapText="1"/>
    </xf>
    <xf numFmtId="0" fontId="0" fillId="4" borderId="110" xfId="0" applyFill="1" applyBorder="1" applyAlignment="1" applyProtection="1">
      <alignment horizontal="left" vertical="center" wrapText="1"/>
      <protection locked="0"/>
    </xf>
    <xf numFmtId="0" fontId="10" fillId="8" borderId="5" xfId="0" applyFont="1" applyFill="1" applyBorder="1" applyAlignment="1" applyProtection="1">
      <alignment horizontal="left" vertical="center" wrapText="1"/>
      <protection locked="0"/>
    </xf>
    <xf numFmtId="0" fontId="2" fillId="5" borderId="5" xfId="0" applyFont="1" applyFill="1"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5" borderId="110" xfId="0" applyFon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2" fillId="5" borderId="11" xfId="0" applyFont="1" applyFill="1" applyBorder="1" applyAlignment="1" applyProtection="1">
      <alignment horizontal="left" vertical="center" wrapText="1"/>
      <protection locked="0"/>
    </xf>
    <xf numFmtId="0" fontId="2" fillId="5" borderId="10" xfId="0" applyFont="1" applyFill="1" applyBorder="1" applyAlignment="1" applyProtection="1">
      <alignment horizontal="left" vertical="center" wrapText="1"/>
      <protection locked="0"/>
    </xf>
    <xf numFmtId="0" fontId="2" fillId="4" borderId="110"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0" xfId="0" applyFill="1" applyBorder="1" applyAlignment="1" applyProtection="1">
      <alignment horizontal="left" vertical="center"/>
      <protection locked="0"/>
    </xf>
    <xf numFmtId="0" fontId="2" fillId="5" borderId="110" xfId="0" applyFont="1" applyFill="1" applyBorder="1" applyAlignment="1">
      <alignment horizontal="left" vertical="center" wrapText="1"/>
    </xf>
    <xf numFmtId="0" fontId="2" fillId="0" borderId="0" xfId="0" applyFont="1" applyAlignment="1" applyProtection="1">
      <alignment horizontal="center" vertical="center" wrapText="1"/>
      <protection locked="0"/>
    </xf>
    <xf numFmtId="0" fontId="0" fillId="4" borderId="110" xfId="0" applyFill="1" applyBorder="1" applyAlignment="1">
      <alignment horizontal="left" vertical="center" wrapText="1"/>
    </xf>
    <xf numFmtId="0" fontId="2" fillId="0" borderId="32" xfId="0" applyFont="1" applyBorder="1" applyAlignment="1" applyProtection="1">
      <alignment horizontal="center" vertical="center" wrapText="1"/>
      <protection locked="0"/>
    </xf>
    <xf numFmtId="0" fontId="44" fillId="0" borderId="44" xfId="0" applyFont="1" applyBorder="1" applyAlignment="1" applyProtection="1">
      <alignment horizontal="center" vertical="center" wrapText="1"/>
      <protection locked="0"/>
    </xf>
    <xf numFmtId="0" fontId="44" fillId="0" borderId="21" xfId="0" applyFont="1" applyBorder="1" applyAlignment="1" applyProtection="1">
      <alignment horizontal="center" vertical="center" wrapText="1"/>
      <protection locked="0"/>
    </xf>
    <xf numFmtId="0" fontId="44" fillId="0" borderId="45" xfId="0" applyFont="1" applyBorder="1" applyAlignment="1" applyProtection="1">
      <alignment horizontal="center" vertical="center" wrapText="1"/>
      <protection locked="0"/>
    </xf>
    <xf numFmtId="0" fontId="44" fillId="0" borderId="47" xfId="0" applyFont="1" applyBorder="1" applyAlignment="1" applyProtection="1">
      <alignment horizontal="center" vertical="center" wrapText="1"/>
      <protection locked="0"/>
    </xf>
    <xf numFmtId="0" fontId="2" fillId="0" borderId="52" xfId="0" applyFont="1" applyBorder="1" applyAlignment="1">
      <alignment horizontal="center" vertical="center" wrapText="1"/>
    </xf>
    <xf numFmtId="0" fontId="2" fillId="0" borderId="54" xfId="0" applyFont="1" applyBorder="1" applyAlignment="1">
      <alignment horizontal="center" vertical="center" wrapText="1"/>
    </xf>
    <xf numFmtId="0" fontId="2" fillId="5" borderId="11" xfId="0" applyFont="1" applyFill="1" applyBorder="1" applyAlignment="1">
      <alignment horizontal="left" vertical="center" wrapText="1"/>
    </xf>
    <xf numFmtId="0" fontId="2" fillId="4" borderId="110" xfId="0" applyFont="1" applyFill="1" applyBorder="1" applyAlignment="1">
      <alignment horizontal="left" vertical="center"/>
    </xf>
    <xf numFmtId="0" fontId="0" fillId="4" borderId="11" xfId="0" applyFill="1" applyBorder="1" applyAlignment="1">
      <alignment horizontal="left" vertical="center"/>
    </xf>
    <xf numFmtId="0" fontId="0" fillId="0" borderId="11" xfId="0" applyBorder="1" applyAlignment="1">
      <alignment horizontal="left" vertical="center" wrapText="1"/>
    </xf>
    <xf numFmtId="0" fontId="2" fillId="0" borderId="58" xfId="0" applyFont="1" applyBorder="1" applyAlignment="1">
      <alignment horizontal="center" vertical="center" wrapText="1"/>
    </xf>
    <xf numFmtId="0" fontId="2" fillId="0" borderId="67" xfId="0" applyFont="1" applyBorder="1" applyAlignment="1">
      <alignment horizontal="center" vertical="center" wrapText="1"/>
    </xf>
    <xf numFmtId="0" fontId="2" fillId="0" borderId="76" xfId="0" applyFont="1" applyBorder="1" applyAlignment="1" applyProtection="1">
      <alignment horizontal="center" vertical="center" wrapText="1"/>
      <protection locked="0"/>
    </xf>
    <xf numFmtId="0" fontId="2" fillId="0" borderId="70" xfId="0" applyFont="1" applyBorder="1" applyAlignment="1" applyProtection="1">
      <alignment horizontal="center" vertical="center" wrapText="1"/>
      <protection locked="0"/>
    </xf>
    <xf numFmtId="0" fontId="3" fillId="3" borderId="52" xfId="0" applyFont="1" applyFill="1" applyBorder="1" applyAlignment="1" applyProtection="1">
      <alignment horizontal="center" vertical="center"/>
      <protection locked="0"/>
    </xf>
    <xf numFmtId="0" fontId="3" fillId="3" borderId="53" xfId="0" applyFont="1" applyFill="1" applyBorder="1" applyAlignment="1" applyProtection="1">
      <alignment horizontal="center" vertical="center"/>
      <protection locked="0"/>
    </xf>
    <xf numFmtId="0" fontId="3" fillId="3" borderId="54" xfId="0" applyFont="1" applyFill="1" applyBorder="1" applyAlignment="1" applyProtection="1">
      <alignment horizontal="center" vertical="center"/>
      <protection locked="0"/>
    </xf>
    <xf numFmtId="0" fontId="2" fillId="0" borderId="21" xfId="0" applyFont="1" applyBorder="1" applyAlignment="1" applyProtection="1">
      <alignment horizontal="center" vertical="center" wrapText="1"/>
      <protection locked="0"/>
    </xf>
    <xf numFmtId="0" fontId="2" fillId="0" borderId="24" xfId="0" applyFont="1" applyBorder="1" applyAlignment="1" applyProtection="1">
      <alignment horizontal="center" vertical="center" wrapText="1"/>
      <protection locked="0"/>
    </xf>
    <xf numFmtId="0" fontId="3" fillId="25" borderId="60" xfId="0" applyFont="1" applyFill="1" applyBorder="1" applyAlignment="1">
      <alignment horizontal="center"/>
    </xf>
    <xf numFmtId="0" fontId="3" fillId="25" borderId="49" xfId="0" applyFont="1" applyFill="1" applyBorder="1" applyAlignment="1">
      <alignment horizontal="center"/>
    </xf>
    <xf numFmtId="0" fontId="3" fillId="25" borderId="50" xfId="0" applyFont="1" applyFill="1" applyBorder="1" applyAlignment="1">
      <alignment horizontal="center"/>
    </xf>
    <xf numFmtId="0" fontId="2" fillId="0" borderId="62" xfId="0" applyFont="1" applyBorder="1" applyAlignment="1">
      <alignment horizontal="center" wrapText="1"/>
    </xf>
    <xf numFmtId="0" fontId="2" fillId="0" borderId="5" xfId="0" applyFont="1" applyBorder="1" applyAlignment="1">
      <alignment horizontal="center" wrapText="1"/>
    </xf>
    <xf numFmtId="0" fontId="2" fillId="0" borderId="63" xfId="0" applyFont="1" applyBorder="1" applyAlignment="1">
      <alignment horizontal="center" wrapText="1"/>
    </xf>
    <xf numFmtId="37" fontId="2" fillId="15" borderId="52" xfId="1" applyNumberFormat="1" applyFont="1" applyFill="1" applyBorder="1" applyAlignment="1" applyProtection="1">
      <alignment horizontal="center"/>
    </xf>
    <xf numFmtId="37" fontId="2" fillId="15" borderId="54" xfId="1" applyNumberFormat="1" applyFont="1" applyFill="1" applyBorder="1" applyAlignment="1" applyProtection="1">
      <alignment horizontal="center"/>
    </xf>
    <xf numFmtId="0" fontId="3" fillId="19" borderId="52" xfId="0" applyFont="1" applyFill="1" applyBorder="1" applyAlignment="1" applyProtection="1">
      <alignment horizontal="center" vertical="center"/>
      <protection locked="0"/>
    </xf>
    <xf numFmtId="0" fontId="3" fillId="19" borderId="53" xfId="0" applyFont="1" applyFill="1" applyBorder="1" applyAlignment="1" applyProtection="1">
      <alignment horizontal="center" vertical="center"/>
      <protection locked="0"/>
    </xf>
    <xf numFmtId="0" fontId="3" fillId="19" borderId="54" xfId="0" applyFont="1" applyFill="1" applyBorder="1" applyAlignment="1" applyProtection="1">
      <alignment horizontal="center" vertical="center"/>
      <protection locked="0"/>
    </xf>
    <xf numFmtId="0" fontId="2" fillId="0" borderId="77" xfId="0" applyFont="1" applyBorder="1" applyAlignment="1" applyProtection="1">
      <alignment horizontal="center" vertical="center" wrapText="1"/>
      <protection locked="0"/>
    </xf>
    <xf numFmtId="0" fontId="2" fillId="0" borderId="34" xfId="0" applyFont="1" applyBorder="1" applyAlignment="1">
      <alignment horizontal="center"/>
    </xf>
    <xf numFmtId="0" fontId="2" fillId="0" borderId="11" xfId="0" applyFont="1" applyBorder="1" applyAlignment="1">
      <alignment horizontal="center"/>
    </xf>
    <xf numFmtId="0" fontId="2" fillId="0" borderId="35" xfId="0" applyFont="1" applyBorder="1" applyAlignment="1">
      <alignment horizontal="center"/>
    </xf>
    <xf numFmtId="0" fontId="2" fillId="0" borderId="73" xfId="0" applyFont="1" applyBorder="1" applyAlignment="1">
      <alignment horizontal="center" vertical="center" wrapText="1"/>
    </xf>
    <xf numFmtId="0" fontId="2" fillId="0" borderId="69" xfId="0" applyFont="1" applyBorder="1" applyAlignment="1">
      <alignment horizontal="center" vertical="center" wrapText="1"/>
    </xf>
    <xf numFmtId="3" fontId="0" fillId="0" borderId="12" xfId="0" applyNumberFormat="1" applyBorder="1" applyAlignment="1">
      <alignment horizontal="center" vertical="center" wrapText="1"/>
    </xf>
    <xf numFmtId="3" fontId="0" fillId="0" borderId="4" xfId="0" applyNumberFormat="1" applyBorder="1" applyAlignment="1">
      <alignment horizontal="center" vertical="center" wrapText="1"/>
    </xf>
    <xf numFmtId="0" fontId="0" fillId="0" borderId="74" xfId="0" applyBorder="1" applyAlignment="1">
      <alignment horizontal="center" vertical="center" wrapText="1"/>
    </xf>
    <xf numFmtId="0" fontId="0" fillId="0" borderId="70" xfId="0" applyBorder="1" applyAlignment="1">
      <alignment horizontal="center" vertical="center" wrapText="1"/>
    </xf>
    <xf numFmtId="0" fontId="29" fillId="0" borderId="44" xfId="0" applyFont="1" applyBorder="1" applyAlignment="1">
      <alignment horizontal="left" vertical="center" wrapText="1"/>
    </xf>
    <xf numFmtId="0" fontId="29" fillId="0" borderId="20" xfId="0" applyFont="1" applyBorder="1" applyAlignment="1">
      <alignment horizontal="left" vertical="center" wrapText="1"/>
    </xf>
    <xf numFmtId="0" fontId="29" fillId="0" borderId="21" xfId="0" applyFont="1" applyBorder="1" applyAlignment="1">
      <alignment horizontal="left" vertical="center" wrapText="1"/>
    </xf>
    <xf numFmtId="0" fontId="29" fillId="0" borderId="45" xfId="0" applyFont="1" applyBorder="1" applyAlignment="1">
      <alignment horizontal="left" vertical="center" wrapText="1"/>
    </xf>
    <xf numFmtId="0" fontId="29" fillId="0" borderId="46" xfId="0" applyFont="1" applyBorder="1" applyAlignment="1">
      <alignment horizontal="left" vertical="center" wrapText="1"/>
    </xf>
    <xf numFmtId="0" fontId="29" fillId="0" borderId="47" xfId="0" applyFont="1" applyBorder="1" applyAlignment="1">
      <alignment horizontal="left" vertical="center" wrapText="1"/>
    </xf>
    <xf numFmtId="0" fontId="0" fillId="0" borderId="5" xfId="0" applyBorder="1" applyAlignment="1">
      <alignment horizontal="left" vertical="center" wrapText="1"/>
    </xf>
    <xf numFmtId="0" fontId="10" fillId="8" borderId="5" xfId="0" applyFont="1" applyFill="1" applyBorder="1" applyAlignment="1">
      <alignment horizontal="left" vertical="center" wrapText="1"/>
    </xf>
    <xf numFmtId="0" fontId="9" fillId="8" borderId="5" xfId="0" applyFont="1" applyFill="1" applyBorder="1" applyAlignment="1">
      <alignment horizontal="left" vertical="center" wrapText="1"/>
    </xf>
    <xf numFmtId="0" fontId="2" fillId="4" borderId="5" xfId="0" applyFont="1" applyFill="1" applyBorder="1" applyAlignment="1">
      <alignment horizontal="left" vertical="center" wrapText="1"/>
    </xf>
    <xf numFmtId="0" fontId="8" fillId="25" borderId="52" xfId="0" applyFont="1" applyFill="1" applyBorder="1" applyAlignment="1">
      <alignment horizontal="center" vertical="center" wrapText="1"/>
    </xf>
    <xf numFmtId="0" fontId="8" fillId="25" borderId="53" xfId="0" applyFont="1" applyFill="1" applyBorder="1" applyAlignment="1">
      <alignment horizontal="center" vertical="center" wrapText="1"/>
    </xf>
    <xf numFmtId="0" fontId="8" fillId="25" borderId="54" xfId="0" applyFont="1" applyFill="1" applyBorder="1" applyAlignment="1">
      <alignment horizontal="center" vertical="center" wrapText="1"/>
    </xf>
    <xf numFmtId="0" fontId="8" fillId="3" borderId="110"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0" fillId="4" borderId="5" xfId="0" applyFill="1" applyBorder="1" applyAlignment="1">
      <alignment horizontal="left" vertical="center" wrapText="1"/>
    </xf>
    <xf numFmtId="0" fontId="10" fillId="8" borderId="110" xfId="0" applyFont="1" applyFill="1" applyBorder="1" applyAlignment="1">
      <alignment horizontal="left" vertical="center" wrapText="1"/>
    </xf>
    <xf numFmtId="0" fontId="10" fillId="8" borderId="10" xfId="0" applyFont="1" applyFill="1" applyBorder="1" applyAlignment="1">
      <alignment horizontal="left" vertical="center" wrapText="1"/>
    </xf>
    <xf numFmtId="0" fontId="30" fillId="4" borderId="5" xfId="0" applyFont="1" applyFill="1" applyBorder="1" applyAlignment="1">
      <alignment horizontal="left" vertical="center" wrapText="1"/>
    </xf>
    <xf numFmtId="0" fontId="2" fillId="5" borderId="5" xfId="0" applyFont="1" applyFill="1" applyBorder="1" applyAlignment="1">
      <alignment horizontal="left" vertical="center" wrapText="1"/>
    </xf>
    <xf numFmtId="0" fontId="2" fillId="4" borderId="5" xfId="0" applyFont="1" applyFill="1" applyBorder="1" applyAlignment="1">
      <alignment horizontal="left" vertical="center"/>
    </xf>
    <xf numFmtId="0" fontId="0" fillId="4" borderId="5" xfId="0" applyFill="1" applyBorder="1" applyAlignment="1">
      <alignment horizontal="left" vertical="center"/>
    </xf>
    <xf numFmtId="0" fontId="71" fillId="0" borderId="44" xfId="0" applyFont="1" applyBorder="1" applyAlignment="1">
      <alignment horizontal="left" vertical="center" wrapText="1"/>
    </xf>
    <xf numFmtId="0" fontId="71" fillId="0" borderId="20" xfId="0" applyFont="1" applyBorder="1" applyAlignment="1">
      <alignment horizontal="left" vertical="center" wrapText="1"/>
    </xf>
    <xf numFmtId="0" fontId="71" fillId="0" borderId="21" xfId="0" applyFont="1" applyBorder="1" applyAlignment="1">
      <alignment horizontal="left" vertical="center" wrapText="1"/>
    </xf>
    <xf numFmtId="0" fontId="71" fillId="0" borderId="30" xfId="0" applyFont="1" applyBorder="1" applyAlignment="1">
      <alignment horizontal="left" vertical="center" wrapText="1"/>
    </xf>
    <xf numFmtId="0" fontId="71" fillId="0" borderId="0" xfId="0" applyFont="1" applyAlignment="1">
      <alignment horizontal="left" vertical="center" wrapText="1"/>
    </xf>
    <xf numFmtId="0" fontId="71" fillId="0" borderId="24" xfId="0" applyFont="1" applyBorder="1" applyAlignment="1">
      <alignment horizontal="left" vertical="center" wrapText="1"/>
    </xf>
    <xf numFmtId="0" fontId="71" fillId="0" borderId="45" xfId="0" applyFont="1" applyBorder="1" applyAlignment="1">
      <alignment horizontal="left" vertical="center" wrapText="1"/>
    </xf>
    <xf numFmtId="0" fontId="71" fillId="0" borderId="46" xfId="0" applyFont="1" applyBorder="1" applyAlignment="1">
      <alignment horizontal="left" vertical="center" wrapText="1"/>
    </xf>
    <xf numFmtId="0" fontId="71" fillId="0" borderId="47" xfId="0" applyFont="1" applyBorder="1" applyAlignment="1">
      <alignment horizontal="left" vertical="center" wrapText="1"/>
    </xf>
    <xf numFmtId="0" fontId="22" fillId="7" borderId="13" xfId="0" applyFont="1" applyFill="1" applyBorder="1" applyAlignment="1">
      <alignment horizontal="left" vertical="center"/>
    </xf>
    <xf numFmtId="0" fontId="22" fillId="7" borderId="14" xfId="0" applyFont="1" applyFill="1" applyBorder="1" applyAlignment="1">
      <alignment horizontal="left" vertical="center"/>
    </xf>
    <xf numFmtId="0" fontId="22" fillId="7" borderId="6" xfId="0" applyFont="1" applyFill="1" applyBorder="1" applyAlignment="1">
      <alignment horizontal="left" vertical="center"/>
    </xf>
    <xf numFmtId="0" fontId="22" fillId="7" borderId="7" xfId="0" applyFont="1" applyFill="1" applyBorder="1" applyAlignment="1">
      <alignment horizontal="left" vertical="center"/>
    </xf>
    <xf numFmtId="0" fontId="22" fillId="7" borderId="8" xfId="0" applyFont="1" applyFill="1" applyBorder="1" applyAlignment="1">
      <alignment horizontal="left" vertical="center"/>
    </xf>
    <xf numFmtId="0" fontId="22" fillId="7" borderId="9" xfId="0" applyFont="1" applyFill="1" applyBorder="1" applyAlignment="1">
      <alignment horizontal="left" vertical="center"/>
    </xf>
    <xf numFmtId="0" fontId="2" fillId="0" borderId="5" xfId="0" applyFont="1" applyBorder="1" applyAlignment="1">
      <alignment horizontal="left" vertical="center" wrapText="1"/>
    </xf>
    <xf numFmtId="0" fontId="2" fillId="0" borderId="5" xfId="0" applyFont="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0" borderId="110" xfId="0" applyBorder="1" applyAlignment="1">
      <alignment horizontal="center" vertical="center" wrapText="1"/>
    </xf>
    <xf numFmtId="0" fontId="0" fillId="0" borderId="11" xfId="0" applyBorder="1" applyAlignment="1">
      <alignment horizontal="center" vertical="center" wrapText="1"/>
    </xf>
    <xf numFmtId="0" fontId="2" fillId="0" borderId="11" xfId="0" applyFont="1" applyBorder="1" applyAlignment="1">
      <alignment horizontal="center" vertical="center" wrapText="1"/>
    </xf>
    <xf numFmtId="0" fontId="2" fillId="0" borderId="10" xfId="0" applyFont="1" applyBorder="1" applyAlignment="1">
      <alignment horizontal="center" vertical="center" wrapText="1"/>
    </xf>
    <xf numFmtId="0" fontId="30" fillId="18" borderId="110" xfId="0" applyFont="1" applyFill="1" applyBorder="1" applyAlignment="1">
      <alignment horizontal="left" vertical="center" wrapText="1"/>
    </xf>
    <xf numFmtId="0" fontId="30" fillId="18" borderId="11" xfId="0" applyFont="1" applyFill="1" applyBorder="1" applyAlignment="1">
      <alignment horizontal="left" vertical="center" wrapText="1"/>
    </xf>
    <xf numFmtId="0" fontId="30" fillId="18" borderId="10" xfId="0" applyFont="1" applyFill="1" applyBorder="1" applyAlignment="1">
      <alignment horizontal="left" vertical="center" wrapText="1"/>
    </xf>
    <xf numFmtId="0" fontId="2" fillId="4" borderId="5" xfId="0" applyFont="1" applyFill="1" applyBorder="1" applyAlignment="1" applyProtection="1">
      <alignment horizontal="left" vertical="center" wrapText="1"/>
      <protection locked="0"/>
    </xf>
    <xf numFmtId="0" fontId="2" fillId="0" borderId="110"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45" xfId="0" applyFont="1" applyBorder="1" applyAlignment="1" applyProtection="1">
      <alignment horizontal="center" vertical="center" wrapText="1"/>
      <protection locked="0"/>
    </xf>
    <xf numFmtId="0" fontId="2" fillId="0" borderId="47"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2" fillId="0" borderId="46" xfId="0" applyFont="1" applyBorder="1" applyAlignment="1" applyProtection="1">
      <alignment horizontal="center" vertical="center" wrapText="1"/>
      <protection locked="0"/>
    </xf>
    <xf numFmtId="1" fontId="49" fillId="0" borderId="40" xfId="0" applyNumberFormat="1" applyFont="1" applyBorder="1" applyAlignment="1" applyProtection="1">
      <alignment horizontal="left" vertical="center"/>
      <protection locked="0"/>
    </xf>
    <xf numFmtId="1" fontId="49" fillId="0" borderId="41" xfId="0" applyNumberFormat="1" applyFont="1" applyBorder="1" applyAlignment="1" applyProtection="1">
      <alignment horizontal="left" vertical="center"/>
      <protection locked="0"/>
    </xf>
    <xf numFmtId="3" fontId="2" fillId="15" borderId="58" xfId="0" applyNumberFormat="1" applyFont="1" applyFill="1" applyBorder="1" applyAlignment="1">
      <alignment horizontal="center" vertical="center" wrapText="1"/>
    </xf>
    <xf numFmtId="3" fontId="2" fillId="15" borderId="77" xfId="0" applyNumberFormat="1" applyFont="1" applyFill="1" applyBorder="1" applyAlignment="1">
      <alignment horizontal="center" vertical="center" wrapText="1"/>
    </xf>
    <xf numFmtId="0" fontId="3" fillId="25" borderId="44" xfId="0" applyFont="1" applyFill="1" applyBorder="1" applyAlignment="1">
      <alignment horizontal="center"/>
    </xf>
    <xf numFmtId="0" fontId="3" fillId="25" borderId="20" xfId="0" applyFont="1" applyFill="1" applyBorder="1" applyAlignment="1">
      <alignment horizontal="center"/>
    </xf>
    <xf numFmtId="0" fontId="3" fillId="25" borderId="21" xfId="0" applyFont="1" applyFill="1" applyBorder="1" applyAlignment="1">
      <alignment horizontal="center"/>
    </xf>
    <xf numFmtId="0" fontId="2" fillId="0" borderId="30" xfId="0" applyFont="1" applyBorder="1" applyAlignment="1">
      <alignment horizontal="center" vertical="top"/>
    </xf>
    <xf numFmtId="0" fontId="2" fillId="0" borderId="0" xfId="0" applyFont="1" applyAlignment="1">
      <alignment horizontal="center" vertical="top"/>
    </xf>
    <xf numFmtId="0" fontId="2" fillId="0" borderId="24" xfId="0" applyFont="1" applyBorder="1" applyAlignment="1">
      <alignment horizontal="center" vertical="top"/>
    </xf>
    <xf numFmtId="0" fontId="2" fillId="0" borderId="30" xfId="0" applyFont="1" applyBorder="1" applyAlignment="1">
      <alignment horizontal="center" vertical="center"/>
    </xf>
    <xf numFmtId="0" fontId="2" fillId="0" borderId="0" xfId="0" applyFont="1" applyAlignment="1">
      <alignment horizontal="center" vertical="center"/>
    </xf>
    <xf numFmtId="0" fontId="46" fillId="0" borderId="52" xfId="0" applyFont="1" applyBorder="1" applyAlignment="1" applyProtection="1">
      <alignment horizontal="left" vertical="top" wrapText="1"/>
      <protection locked="0"/>
    </xf>
    <xf numFmtId="0" fontId="46" fillId="0" borderId="53" xfId="0" applyFont="1" applyBorder="1" applyAlignment="1" applyProtection="1">
      <alignment horizontal="left" vertical="top" wrapText="1"/>
      <protection locked="0"/>
    </xf>
    <xf numFmtId="0" fontId="46" fillId="0" borderId="47" xfId="0" applyFont="1" applyBorder="1" applyAlignment="1" applyProtection="1">
      <alignment horizontal="left" vertical="top" wrapText="1"/>
      <protection locked="0"/>
    </xf>
    <xf numFmtId="0" fontId="2" fillId="0" borderId="44" xfId="0" applyFont="1" applyBorder="1" applyAlignment="1" applyProtection="1">
      <alignment horizontal="center" vertical="center"/>
      <protection locked="0"/>
    </xf>
    <xf numFmtId="0" fontId="2" fillId="0" borderId="20" xfId="0" applyFont="1" applyBorder="1" applyAlignment="1" applyProtection="1">
      <alignment horizontal="center" vertical="center"/>
      <protection locked="0"/>
    </xf>
    <xf numFmtId="1" fontId="2" fillId="15" borderId="79" xfId="1" applyNumberFormat="1" applyFont="1" applyFill="1" applyBorder="1" applyAlignment="1" applyProtection="1">
      <alignment horizontal="center" vertical="center"/>
    </xf>
    <xf numFmtId="1" fontId="2" fillId="15" borderId="80" xfId="1" applyNumberFormat="1" applyFont="1" applyFill="1" applyBorder="1" applyAlignment="1" applyProtection="1">
      <alignment horizontal="center" vertical="center"/>
    </xf>
    <xf numFmtId="1" fontId="2" fillId="15" borderId="105" xfId="1" applyNumberFormat="1" applyFont="1" applyFill="1" applyBorder="1" applyAlignment="1" applyProtection="1">
      <alignment horizontal="center" vertical="center"/>
    </xf>
    <xf numFmtId="1" fontId="2" fillId="15" borderId="81" xfId="1" applyNumberFormat="1" applyFont="1" applyFill="1" applyBorder="1" applyAlignment="1" applyProtection="1">
      <alignment horizontal="center" vertical="center"/>
    </xf>
    <xf numFmtId="3" fontId="2" fillId="0" borderId="62" xfId="0" applyNumberFormat="1" applyFont="1" applyBorder="1" applyAlignment="1">
      <alignment horizontal="center" wrapText="1"/>
    </xf>
    <xf numFmtId="3" fontId="2" fillId="0" borderId="5" xfId="0" applyNumberFormat="1" applyFont="1" applyBorder="1" applyAlignment="1">
      <alignment horizontal="center" wrapText="1"/>
    </xf>
    <xf numFmtId="0" fontId="44" fillId="0" borderId="58" xfId="0" applyFont="1" applyBorder="1" applyAlignment="1" applyProtection="1">
      <alignment horizontal="center" vertical="center" wrapText="1"/>
      <protection locked="0"/>
    </xf>
    <xf numFmtId="0" fontId="44" fillId="0" borderId="61" xfId="0" applyFont="1" applyBorder="1" applyAlignment="1" applyProtection="1">
      <alignment horizontal="center" vertical="center" wrapText="1"/>
      <protection locked="0"/>
    </xf>
    <xf numFmtId="0" fontId="0" fillId="0" borderId="110" xfId="0" applyBorder="1" applyAlignment="1">
      <alignment horizontal="left" vertical="center" wrapText="1"/>
    </xf>
    <xf numFmtId="0" fontId="9" fillId="8" borderId="5" xfId="0" applyFont="1" applyFill="1" applyBorder="1" applyAlignment="1" applyProtection="1">
      <alignment horizontal="left" vertical="center" wrapText="1"/>
      <protection locked="0"/>
    </xf>
    <xf numFmtId="0" fontId="0" fillId="0" borderId="110" xfId="0" applyBorder="1" applyAlignment="1" applyProtection="1">
      <alignment horizontal="left" vertical="center" wrapText="1"/>
      <protection locked="0"/>
    </xf>
    <xf numFmtId="0" fontId="0" fillId="4" borderId="11" xfId="0" applyFill="1" applyBorder="1" applyAlignment="1">
      <alignment horizontal="left" vertical="center" wrapText="1"/>
    </xf>
    <xf numFmtId="0" fontId="0" fillId="4" borderId="10" xfId="0" applyFill="1" applyBorder="1" applyAlignment="1">
      <alignment horizontal="left" vertical="center" wrapText="1"/>
    </xf>
    <xf numFmtId="0" fontId="2" fillId="0" borderId="0" xfId="0" applyFont="1" applyAlignment="1">
      <alignment horizontal="center" vertical="center" wrapText="1"/>
    </xf>
    <xf numFmtId="0" fontId="2" fillId="0" borderId="4"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44" xfId="0" applyFont="1" applyBorder="1" applyAlignment="1" applyProtection="1">
      <alignment horizontal="center" vertical="top" wrapText="1"/>
      <protection locked="0"/>
    </xf>
    <xf numFmtId="0" fontId="2" fillId="0" borderId="21" xfId="0" applyFont="1" applyBorder="1" applyAlignment="1" applyProtection="1">
      <alignment horizontal="center" vertical="top" wrapText="1"/>
      <protection locked="0"/>
    </xf>
    <xf numFmtId="0" fontId="2" fillId="0" borderId="45" xfId="0" applyFont="1" applyBorder="1" applyAlignment="1" applyProtection="1">
      <alignment horizontal="center" vertical="top" wrapText="1"/>
      <protection locked="0"/>
    </xf>
    <xf numFmtId="0" fontId="2" fillId="0" borderId="47" xfId="0" applyFont="1" applyBorder="1" applyAlignment="1" applyProtection="1">
      <alignment horizontal="center" vertical="top" wrapText="1"/>
      <protection locked="0"/>
    </xf>
    <xf numFmtId="1" fontId="2" fillId="10" borderId="58" xfId="0" applyNumberFormat="1" applyFont="1" applyFill="1" applyBorder="1" applyAlignment="1" applyProtection="1">
      <alignment horizontal="center" vertical="center" wrapText="1"/>
      <protection locked="0"/>
    </xf>
    <xf numFmtId="1" fontId="2" fillId="10" borderId="61" xfId="0" applyNumberFormat="1" applyFont="1" applyFill="1" applyBorder="1" applyAlignment="1" applyProtection="1">
      <alignment horizontal="center" vertical="center" wrapText="1"/>
      <protection locked="0"/>
    </xf>
    <xf numFmtId="1" fontId="2" fillId="15" borderId="52" xfId="0" applyNumberFormat="1" applyFont="1" applyFill="1" applyBorder="1" applyAlignment="1">
      <alignment horizontal="center" vertical="center"/>
    </xf>
    <xf numFmtId="1" fontId="2" fillId="15" borderId="54" xfId="0" applyNumberFormat="1" applyFont="1" applyFill="1" applyBorder="1" applyAlignment="1">
      <alignment horizontal="center" vertical="center"/>
    </xf>
    <xf numFmtId="1" fontId="2" fillId="10" borderId="44" xfId="0" applyNumberFormat="1" applyFont="1" applyFill="1" applyBorder="1" applyAlignment="1" applyProtection="1">
      <alignment horizontal="center" vertical="center" wrapText="1"/>
      <protection locked="0"/>
    </xf>
    <xf numFmtId="1" fontId="2" fillId="10" borderId="21" xfId="0" applyNumberFormat="1" applyFont="1" applyFill="1" applyBorder="1" applyAlignment="1" applyProtection="1">
      <alignment horizontal="center" vertical="center" wrapText="1"/>
      <protection locked="0"/>
    </xf>
    <xf numFmtId="1" fontId="2" fillId="10" borderId="45" xfId="0" applyNumberFormat="1" applyFont="1" applyFill="1" applyBorder="1" applyAlignment="1" applyProtection="1">
      <alignment horizontal="center" vertical="center" wrapText="1"/>
      <protection locked="0"/>
    </xf>
    <xf numFmtId="1" fontId="2" fillId="10" borderId="47" xfId="0" applyNumberFormat="1" applyFont="1" applyFill="1" applyBorder="1" applyAlignment="1" applyProtection="1">
      <alignment horizontal="center" vertical="center" wrapText="1"/>
      <protection locked="0"/>
    </xf>
    <xf numFmtId="1" fontId="0" fillId="14" borderId="52" xfId="0" applyNumberFormat="1" applyFill="1" applyBorder="1" applyAlignment="1" applyProtection="1">
      <alignment horizontal="center" vertical="center" wrapText="1"/>
      <protection locked="0"/>
    </xf>
    <xf numFmtId="1" fontId="0" fillId="14" borderId="54" xfId="0" applyNumberFormat="1" applyFill="1" applyBorder="1" applyAlignment="1" applyProtection="1">
      <alignment horizontal="center" vertical="center" wrapText="1"/>
      <protection locked="0"/>
    </xf>
    <xf numFmtId="0" fontId="2" fillId="0" borderId="82" xfId="0" applyFont="1" applyBorder="1" applyAlignment="1" applyProtection="1">
      <alignment horizontal="center" vertical="center" wrapText="1"/>
      <protection locked="0"/>
    </xf>
    <xf numFmtId="1" fontId="0" fillId="14" borderId="52" xfId="0" applyNumberFormat="1" applyFill="1" applyBorder="1" applyAlignment="1" applyProtection="1">
      <alignment horizontal="center" vertical="center"/>
      <protection locked="0"/>
    </xf>
    <xf numFmtId="1" fontId="0" fillId="14" borderId="54" xfId="0" applyNumberFormat="1" applyFill="1" applyBorder="1" applyAlignment="1" applyProtection="1">
      <alignment horizontal="center" vertical="center"/>
      <protection locked="0"/>
    </xf>
    <xf numFmtId="3" fontId="0" fillId="0" borderId="62" xfId="0" applyNumberFormat="1" applyBorder="1" applyAlignment="1">
      <alignment horizontal="center" vertical="center" wrapText="1"/>
    </xf>
    <xf numFmtId="3" fontId="0" fillId="0" borderId="5" xfId="0" applyNumberFormat="1" applyBorder="1" applyAlignment="1">
      <alignment horizontal="center" vertical="center" wrapText="1"/>
    </xf>
    <xf numFmtId="0" fontId="0" fillId="0" borderId="5" xfId="0" applyBorder="1" applyAlignment="1">
      <alignment horizontal="center" wrapText="1"/>
    </xf>
    <xf numFmtId="1" fontId="2" fillId="15" borderId="52" xfId="1" applyNumberFormat="1" applyFont="1" applyFill="1" applyBorder="1" applyAlignment="1" applyProtection="1">
      <alignment horizontal="center"/>
    </xf>
    <xf numFmtId="1" fontId="2" fillId="15" borderId="54" xfId="1" applyNumberFormat="1" applyFont="1" applyFill="1" applyBorder="1" applyAlignment="1" applyProtection="1">
      <alignment horizontal="center"/>
    </xf>
    <xf numFmtId="0" fontId="0" fillId="0" borderId="29" xfId="0" applyBorder="1" applyAlignment="1">
      <alignment horizontal="center" wrapText="1"/>
    </xf>
    <xf numFmtId="0" fontId="0" fillId="0" borderId="28" xfId="0" applyBorder="1" applyAlignment="1">
      <alignment horizontal="center" wrapText="1"/>
    </xf>
    <xf numFmtId="0" fontId="0" fillId="0" borderId="57" xfId="0" applyBorder="1" applyAlignment="1">
      <alignment horizontal="center" wrapText="1"/>
    </xf>
    <xf numFmtId="0" fontId="0" fillId="0" borderId="91" xfId="0" applyBorder="1" applyAlignment="1">
      <alignment horizontal="center" wrapText="1"/>
    </xf>
    <xf numFmtId="1" fontId="0" fillId="0" borderId="74" xfId="0" applyNumberFormat="1" applyBorder="1" applyAlignment="1">
      <alignment horizontal="center" vertical="center"/>
    </xf>
    <xf numFmtId="1" fontId="0" fillId="0" borderId="72" xfId="0" applyNumberFormat="1" applyBorder="1" applyAlignment="1">
      <alignment horizontal="center" vertical="center"/>
    </xf>
    <xf numFmtId="0" fontId="8" fillId="25" borderId="29" xfId="0" applyFont="1" applyFill="1" applyBorder="1" applyAlignment="1">
      <alignment horizontal="center" vertical="center" wrapText="1"/>
    </xf>
    <xf numFmtId="0" fontId="8" fillId="25" borderId="18" xfId="0" applyFont="1" applyFill="1" applyBorder="1" applyAlignment="1">
      <alignment horizontal="center" vertical="center" wrapText="1"/>
    </xf>
    <xf numFmtId="0" fontId="8" fillId="25" borderId="48" xfId="0" applyFont="1" applyFill="1" applyBorder="1" applyAlignment="1">
      <alignment horizontal="center" vertical="center" wrapText="1"/>
    </xf>
    <xf numFmtId="0" fontId="8" fillId="25" borderId="25" xfId="0" applyFont="1" applyFill="1" applyBorder="1" applyAlignment="1">
      <alignment horizontal="center" vertical="center" wrapText="1"/>
    </xf>
    <xf numFmtId="0" fontId="8" fillId="25" borderId="26" xfId="0" applyFont="1" applyFill="1" applyBorder="1" applyAlignment="1">
      <alignment horizontal="center" vertical="center" wrapText="1"/>
    </xf>
    <xf numFmtId="0" fontId="8" fillId="25" borderId="33" xfId="0" applyFont="1" applyFill="1" applyBorder="1" applyAlignment="1">
      <alignment horizontal="center" vertical="center" wrapText="1"/>
    </xf>
    <xf numFmtId="0" fontId="0" fillId="0" borderId="110" xfId="0" applyBorder="1" applyAlignment="1">
      <alignment horizontal="center"/>
    </xf>
    <xf numFmtId="0" fontId="0" fillId="0" borderId="10" xfId="0" applyBorder="1" applyAlignment="1">
      <alignment horizontal="center"/>
    </xf>
    <xf numFmtId="0" fontId="0" fillId="0" borderId="25" xfId="0" applyBorder="1" applyAlignment="1">
      <alignment horizontal="center" wrapText="1"/>
    </xf>
    <xf numFmtId="0" fontId="0" fillId="0" borderId="102" xfId="0" applyBorder="1" applyAlignment="1">
      <alignment horizontal="center" wrapText="1"/>
    </xf>
    <xf numFmtId="1" fontId="0" fillId="0" borderId="70" xfId="0" applyNumberFormat="1" applyBorder="1" applyAlignment="1">
      <alignment horizontal="center" vertical="center"/>
    </xf>
    <xf numFmtId="0" fontId="0" fillId="0" borderId="5" xfId="0" applyBorder="1" applyAlignment="1">
      <alignment horizontal="center"/>
    </xf>
    <xf numFmtId="0" fontId="0" fillId="0" borderId="5" xfId="0" applyBorder="1" applyAlignment="1">
      <alignment horizontal="right"/>
    </xf>
    <xf numFmtId="0" fontId="2" fillId="0" borderId="39" xfId="0" applyFont="1" applyBorder="1" applyAlignment="1" applyProtection="1">
      <alignment horizontal="center" vertical="center" wrapText="1"/>
      <protection locked="0"/>
    </xf>
    <xf numFmtId="0" fontId="2" fillId="0" borderId="35" xfId="0" applyFont="1" applyBorder="1" applyAlignment="1" applyProtection="1">
      <alignment horizontal="center" vertical="center" wrapText="1"/>
      <protection locked="0"/>
    </xf>
    <xf numFmtId="0" fontId="3" fillId="2" borderId="29"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8" xfId="0" applyFont="1" applyFill="1" applyBorder="1" applyAlignment="1">
      <alignment horizontal="center" vertical="center"/>
    </xf>
    <xf numFmtId="3" fontId="2" fillId="0" borderId="34" xfId="0" applyNumberFormat="1" applyFont="1" applyBorder="1" applyAlignment="1">
      <alignment horizontal="center" wrapText="1"/>
    </xf>
    <xf numFmtId="3" fontId="2" fillId="0" borderId="10" xfId="0" applyNumberFormat="1" applyFont="1" applyBorder="1" applyAlignment="1">
      <alignment horizontal="center" wrapText="1"/>
    </xf>
    <xf numFmtId="0" fontId="2" fillId="0" borderId="23" xfId="0" applyFont="1" applyBorder="1" applyAlignment="1">
      <alignment horizontal="center" vertical="center" wrapText="1"/>
    </xf>
    <xf numFmtId="0" fontId="2" fillId="0" borderId="73" xfId="0" applyFont="1" applyBorder="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44" fillId="0" borderId="52" xfId="0" applyFont="1" applyBorder="1" applyAlignment="1" applyProtection="1">
      <alignment horizontal="left" vertical="top" wrapText="1"/>
      <protection locked="0"/>
    </xf>
    <xf numFmtId="0" fontId="44" fillId="0" borderId="53" xfId="0" applyFont="1" applyBorder="1" applyAlignment="1" applyProtection="1">
      <alignment horizontal="left" vertical="top" wrapText="1"/>
      <protection locked="0"/>
    </xf>
    <xf numFmtId="0" fontId="44" fillId="0" borderId="54" xfId="0" applyFont="1" applyBorder="1" applyAlignment="1" applyProtection="1">
      <alignment horizontal="left" vertical="top" wrapText="1"/>
      <protection locked="0"/>
    </xf>
    <xf numFmtId="37" fontId="2" fillId="15" borderId="52" xfId="1" applyNumberFormat="1" applyFont="1" applyFill="1" applyBorder="1" applyAlignment="1" applyProtection="1">
      <alignment horizontal="center" vertical="center"/>
    </xf>
    <xf numFmtId="37" fontId="2" fillId="15" borderId="54" xfId="1" applyNumberFormat="1" applyFont="1" applyFill="1" applyBorder="1" applyAlignment="1" applyProtection="1">
      <alignment horizontal="center" vertical="center"/>
    </xf>
    <xf numFmtId="1" fontId="0" fillId="15" borderId="52" xfId="0" applyNumberFormat="1" applyFill="1" applyBorder="1" applyAlignment="1" applyProtection="1">
      <alignment horizontal="center" vertical="center" wrapText="1"/>
      <protection locked="0"/>
    </xf>
    <xf numFmtId="1" fontId="0" fillId="15" borderId="54" xfId="0" applyNumberFormat="1" applyFill="1" applyBorder="1" applyAlignment="1" applyProtection="1">
      <alignment horizontal="center" vertical="center" wrapText="1"/>
      <protection locked="0"/>
    </xf>
    <xf numFmtId="0" fontId="2" fillId="0" borderId="61" xfId="0" applyFont="1" applyBorder="1" applyAlignment="1">
      <alignment horizontal="center" vertical="center" wrapText="1"/>
    </xf>
    <xf numFmtId="0" fontId="46" fillId="0" borderId="52" xfId="0" applyFont="1" applyBorder="1" applyAlignment="1" applyProtection="1">
      <alignment horizontal="left" vertical="center" wrapText="1"/>
      <protection locked="0"/>
    </xf>
    <xf numFmtId="0" fontId="46" fillId="0" borderId="53" xfId="0" applyFont="1" applyBorder="1" applyAlignment="1" applyProtection="1">
      <alignment horizontal="left" vertical="center" wrapText="1"/>
      <protection locked="0"/>
    </xf>
    <xf numFmtId="0" fontId="46" fillId="0" borderId="54" xfId="0" applyFont="1" applyBorder="1" applyAlignment="1" applyProtection="1">
      <alignment horizontal="left" vertical="center" wrapText="1"/>
      <protection locked="0"/>
    </xf>
    <xf numFmtId="0" fontId="87" fillId="0" borderId="38"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106" xfId="0" applyFont="1" applyBorder="1" applyAlignment="1" applyProtection="1">
      <alignment horizontal="center" vertical="center" wrapText="1"/>
      <protection locked="0"/>
    </xf>
    <xf numFmtId="0" fontId="2" fillId="0" borderId="31" xfId="0" applyFont="1" applyBorder="1" applyAlignment="1" applyProtection="1">
      <alignment horizontal="center" vertical="center" wrapText="1"/>
      <protection locked="0"/>
    </xf>
    <xf numFmtId="0" fontId="98" fillId="10" borderId="52" xfId="0" applyFont="1" applyFill="1" applyBorder="1" applyAlignment="1">
      <alignment horizontal="center" vertical="center" wrapText="1"/>
    </xf>
    <xf numFmtId="0" fontId="98" fillId="10" borderId="53" xfId="0" applyFont="1" applyFill="1" applyBorder="1" applyAlignment="1">
      <alignment horizontal="center" vertical="center" wrapText="1"/>
    </xf>
    <xf numFmtId="0" fontId="98" fillId="10" borderId="54" xfId="0" applyFont="1" applyFill="1" applyBorder="1" applyAlignment="1">
      <alignment horizontal="center" vertical="center" wrapText="1"/>
    </xf>
    <xf numFmtId="1" fontId="0" fillId="15" borderId="52" xfId="0" applyNumberFormat="1" applyFill="1" applyBorder="1" applyAlignment="1">
      <alignment horizontal="center" vertical="center" wrapText="1"/>
    </xf>
    <xf numFmtId="0" fontId="0" fillId="15" borderId="53" xfId="0" applyFill="1" applyBorder="1" applyAlignment="1">
      <alignment horizontal="center" vertical="center" wrapText="1"/>
    </xf>
    <xf numFmtId="0" fontId="0" fillId="15" borderId="54" xfId="0" applyFill="1" applyBorder="1" applyAlignment="1">
      <alignment horizontal="center" vertical="center" wrapText="1"/>
    </xf>
    <xf numFmtId="0" fontId="46" fillId="0" borderId="46" xfId="0" applyFont="1" applyBorder="1" applyAlignment="1" applyProtection="1">
      <alignment horizontal="left" vertical="center" wrapText="1"/>
      <protection locked="0"/>
    </xf>
    <xf numFmtId="3" fontId="0" fillId="0" borderId="40" xfId="0" applyNumberFormat="1" applyBorder="1" applyAlignment="1">
      <alignment horizontal="center"/>
    </xf>
    <xf numFmtId="3" fontId="0" fillId="0" borderId="41" xfId="0" applyNumberFormat="1" applyBorder="1" applyAlignment="1">
      <alignment horizontal="center"/>
    </xf>
    <xf numFmtId="3" fontId="0" fillId="0" borderId="37" xfId="0" applyNumberFormat="1" applyBorder="1" applyAlignment="1">
      <alignment horizontal="center"/>
    </xf>
    <xf numFmtId="0" fontId="2" fillId="0" borderId="19" xfId="0" applyFont="1" applyBorder="1" applyAlignment="1" applyProtection="1">
      <alignment horizontal="center" vertical="center"/>
      <protection locked="0"/>
    </xf>
    <xf numFmtId="0" fontId="2" fillId="0" borderId="22" xfId="0" applyFont="1" applyBorder="1" applyAlignment="1" applyProtection="1">
      <alignment horizontal="center" vertical="center"/>
      <protection locked="0"/>
    </xf>
    <xf numFmtId="0" fontId="2" fillId="0" borderId="22" xfId="0" applyFont="1" applyBorder="1" applyAlignment="1" applyProtection="1">
      <alignment horizontal="center" vertical="center" wrapText="1"/>
      <protection locked="0"/>
    </xf>
    <xf numFmtId="3" fontId="3" fillId="25" borderId="52" xfId="0" applyNumberFormat="1" applyFont="1" applyFill="1" applyBorder="1" applyAlignment="1">
      <alignment horizontal="center"/>
    </xf>
    <xf numFmtId="3" fontId="3" fillId="25" borderId="53" xfId="0" applyNumberFormat="1" applyFont="1" applyFill="1" applyBorder="1" applyAlignment="1">
      <alignment horizontal="center"/>
    </xf>
    <xf numFmtId="3" fontId="3" fillId="25" borderId="54" xfId="0" applyNumberFormat="1" applyFont="1" applyFill="1" applyBorder="1" applyAlignment="1">
      <alignment horizontal="center"/>
    </xf>
    <xf numFmtId="167" fontId="0" fillId="0" borderId="105" xfId="0" applyNumberFormat="1" applyBorder="1" applyAlignment="1">
      <alignment horizontal="left"/>
    </xf>
    <xf numFmtId="167" fontId="0" fillId="0" borderId="54" xfId="0" applyNumberFormat="1" applyBorder="1" applyAlignment="1">
      <alignment horizontal="left"/>
    </xf>
    <xf numFmtId="0" fontId="3" fillId="25" borderId="44" xfId="0" applyFont="1" applyFill="1" applyBorder="1" applyAlignment="1">
      <alignment horizontal="center" vertical="center"/>
    </xf>
    <xf numFmtId="0" fontId="3" fillId="25" borderId="106" xfId="0" applyFont="1" applyFill="1" applyBorder="1" applyAlignment="1">
      <alignment horizontal="center" vertical="center"/>
    </xf>
    <xf numFmtId="3" fontId="2" fillId="0" borderId="60" xfId="0" applyNumberFormat="1" applyFont="1" applyBorder="1" applyAlignment="1">
      <alignment horizontal="center" wrapText="1"/>
    </xf>
    <xf numFmtId="3" fontId="2" fillId="0" borderId="49" xfId="0" applyNumberFormat="1" applyFont="1" applyBorder="1" applyAlignment="1">
      <alignment horizontal="center" wrapText="1"/>
    </xf>
    <xf numFmtId="0" fontId="50" fillId="0" borderId="52" xfId="0" applyFont="1" applyBorder="1" applyAlignment="1" applyProtection="1">
      <alignment horizontal="left" vertical="top" wrapText="1"/>
      <protection locked="0"/>
    </xf>
    <xf numFmtId="0" fontId="50" fillId="0" borderId="53" xfId="0" applyFont="1" applyBorder="1" applyAlignment="1" applyProtection="1">
      <alignment horizontal="left" vertical="top" wrapText="1"/>
      <protection locked="0"/>
    </xf>
    <xf numFmtId="0" fontId="50" fillId="0" borderId="54" xfId="0" applyFont="1" applyBorder="1" applyAlignment="1" applyProtection="1">
      <alignment horizontal="left" vertical="top" wrapText="1"/>
      <protection locked="0"/>
    </xf>
    <xf numFmtId="0" fontId="44" fillId="0" borderId="83" xfId="0" applyFont="1" applyBorder="1" applyAlignment="1" applyProtection="1">
      <alignment horizontal="center" vertical="center" wrapText="1"/>
      <protection locked="0"/>
    </xf>
    <xf numFmtId="0" fontId="44" fillId="0" borderId="86" xfId="0" applyFont="1" applyBorder="1" applyAlignment="1" applyProtection="1">
      <alignment horizontal="center" vertical="center" wrapText="1"/>
      <protection locked="0"/>
    </xf>
    <xf numFmtId="0" fontId="2" fillId="0" borderId="84" xfId="0" applyFont="1" applyBorder="1" applyAlignment="1" applyProtection="1">
      <alignment horizontal="center" vertical="center" wrapText="1"/>
      <protection locked="0"/>
    </xf>
    <xf numFmtId="0" fontId="2" fillId="0" borderId="85" xfId="0" applyFont="1" applyBorder="1" applyAlignment="1" applyProtection="1">
      <alignment horizontal="center" vertical="center" wrapText="1"/>
      <protection locked="0"/>
    </xf>
    <xf numFmtId="0" fontId="3" fillId="25" borderId="55" xfId="0" applyFont="1" applyFill="1" applyBorder="1" applyAlignment="1">
      <alignment horizontal="center"/>
    </xf>
    <xf numFmtId="0" fontId="3" fillId="25" borderId="103" xfId="0" applyFont="1" applyFill="1" applyBorder="1" applyAlignment="1">
      <alignment horizontal="center"/>
    </xf>
    <xf numFmtId="3" fontId="0" fillId="0" borderId="62" xfId="0" applyNumberFormat="1" applyBorder="1" applyAlignment="1">
      <alignment horizontal="center" wrapText="1"/>
    </xf>
    <xf numFmtId="3" fontId="0" fillId="0" borderId="5" xfId="0" applyNumberFormat="1" applyBorder="1" applyAlignment="1">
      <alignment horizontal="center" wrapText="1"/>
    </xf>
    <xf numFmtId="37" fontId="2" fillId="15" borderId="79" xfId="1" applyNumberFormat="1" applyFont="1" applyFill="1" applyBorder="1" applyAlignment="1" applyProtection="1">
      <alignment horizontal="center"/>
    </xf>
    <xf numFmtId="37" fontId="2" fillId="15" borderId="81" xfId="1" applyNumberFormat="1" applyFont="1" applyFill="1" applyBorder="1" applyAlignment="1" applyProtection="1">
      <alignment horizontal="center"/>
    </xf>
    <xf numFmtId="0" fontId="2" fillId="0" borderId="48" xfId="0" applyFont="1" applyBorder="1" applyAlignment="1" applyProtection="1">
      <alignment horizontal="center" vertical="center" wrapText="1"/>
      <protection locked="0"/>
    </xf>
    <xf numFmtId="0" fontId="44" fillId="0" borderId="60" xfId="0" applyFont="1" applyBorder="1" applyAlignment="1" applyProtection="1">
      <alignment horizontal="center" vertical="center" wrapText="1"/>
      <protection locked="0"/>
    </xf>
    <xf numFmtId="0" fontId="44" fillId="0" borderId="50" xfId="0" applyFont="1" applyBorder="1" applyAlignment="1" applyProtection="1">
      <alignment horizontal="center" vertical="center" wrapText="1"/>
      <protection locked="0"/>
    </xf>
    <xf numFmtId="0" fontId="44" fillId="0" borderId="65" xfId="0" applyFont="1" applyBorder="1" applyAlignment="1" applyProtection="1">
      <alignment horizontal="center" vertical="center" wrapText="1"/>
      <protection locked="0"/>
    </xf>
    <xf numFmtId="0" fontId="44" fillId="0" borderId="66" xfId="0" applyFont="1" applyBorder="1" applyAlignment="1" applyProtection="1">
      <alignment horizontal="center" vertical="center" wrapText="1"/>
      <protection locked="0"/>
    </xf>
    <xf numFmtId="0" fontId="2" fillId="0" borderId="79" xfId="0" applyFont="1" applyBorder="1" applyAlignment="1" applyProtection="1">
      <alignment horizontal="center" vertical="center" wrapText="1"/>
      <protection locked="0"/>
    </xf>
    <xf numFmtId="0" fontId="2" fillId="0" borderId="81" xfId="0" applyFont="1" applyBorder="1" applyAlignment="1" applyProtection="1">
      <alignment horizontal="center" vertical="center" wrapText="1"/>
      <protection locked="0"/>
    </xf>
    <xf numFmtId="0" fontId="3" fillId="3" borderId="44" xfId="0" applyFont="1" applyFill="1" applyBorder="1" applyAlignment="1" applyProtection="1">
      <alignment horizontal="center" vertical="center"/>
      <protection locked="0"/>
    </xf>
    <xf numFmtId="0" fontId="3" fillId="3" borderId="20" xfId="0" applyFont="1" applyFill="1" applyBorder="1" applyAlignment="1" applyProtection="1">
      <alignment horizontal="center" vertical="center"/>
      <protection locked="0"/>
    </xf>
    <xf numFmtId="0" fontId="3" fillId="3" borderId="104" xfId="0" applyFont="1" applyFill="1" applyBorder="1" applyAlignment="1" applyProtection="1">
      <alignment horizontal="center" vertical="center"/>
      <protection locked="0"/>
    </xf>
    <xf numFmtId="0" fontId="2" fillId="0" borderId="27" xfId="0" applyFont="1" applyBorder="1" applyAlignment="1" applyProtection="1">
      <alignment horizontal="center" vertical="center" wrapText="1"/>
      <protection locked="0"/>
    </xf>
    <xf numFmtId="0" fontId="44" fillId="0" borderId="87" xfId="0" applyFont="1" applyBorder="1" applyAlignment="1" applyProtection="1">
      <alignment horizontal="center" vertical="center" wrapText="1"/>
      <protection locked="0"/>
    </xf>
    <xf numFmtId="0" fontId="44" fillId="0" borderId="88" xfId="0" applyFont="1" applyBorder="1" applyAlignment="1" applyProtection="1">
      <alignment horizontal="center" vertical="center" wrapText="1"/>
      <protection locked="0"/>
    </xf>
    <xf numFmtId="0" fontId="44" fillId="0" borderId="90" xfId="0" applyFont="1" applyBorder="1" applyAlignment="1" applyProtection="1">
      <alignment horizontal="center" vertical="center" wrapText="1"/>
      <protection locked="0"/>
    </xf>
    <xf numFmtId="0" fontId="44" fillId="0" borderId="89" xfId="0" applyFont="1" applyBorder="1" applyAlignment="1" applyProtection="1">
      <alignment horizontal="center" vertical="center" wrapText="1"/>
      <protection locked="0"/>
    </xf>
    <xf numFmtId="0" fontId="2" fillId="0" borderId="91" xfId="0" applyFont="1" applyBorder="1" applyAlignment="1" applyProtection="1">
      <alignment horizontal="center" vertical="center" wrapText="1"/>
      <protection locked="0"/>
    </xf>
    <xf numFmtId="0" fontId="2" fillId="0" borderId="72" xfId="0" applyFont="1" applyBorder="1" applyAlignment="1" applyProtection="1">
      <alignment horizontal="center" vertical="center" wrapText="1"/>
      <protection locked="0"/>
    </xf>
    <xf numFmtId="0" fontId="91" fillId="0" borderId="45" xfId="0" applyFont="1" applyBorder="1" applyAlignment="1">
      <alignment vertical="center" wrapText="1"/>
    </xf>
    <xf numFmtId="0" fontId="91" fillId="0" borderId="46" xfId="0" applyFont="1" applyBorder="1" applyAlignment="1">
      <alignment vertical="center" wrapText="1"/>
    </xf>
    <xf numFmtId="0" fontId="91" fillId="0" borderId="47" xfId="0" applyFont="1" applyBorder="1" applyAlignment="1">
      <alignment vertical="center" wrapText="1"/>
    </xf>
    <xf numFmtId="0" fontId="2" fillId="0" borderId="77" xfId="0" applyFont="1" applyBorder="1" applyAlignment="1">
      <alignment horizontal="center" vertical="center" wrapText="1"/>
    </xf>
    <xf numFmtId="0" fontId="2" fillId="15" borderId="52" xfId="0" applyFont="1" applyFill="1" applyBorder="1" applyAlignment="1" applyProtection="1">
      <alignment horizontal="center" vertical="center" wrapText="1"/>
      <protection locked="0"/>
    </xf>
    <xf numFmtId="0" fontId="2" fillId="15" borderId="54" xfId="0" applyFont="1" applyFill="1" applyBorder="1" applyAlignment="1" applyProtection="1">
      <alignment horizontal="center" vertical="center" wrapText="1"/>
      <protection locked="0"/>
    </xf>
    <xf numFmtId="0" fontId="92" fillId="25" borderId="109" xfId="0" applyFont="1" applyFill="1" applyBorder="1" applyAlignment="1">
      <alignment horizontal="center" vertical="center" wrapText="1"/>
    </xf>
    <xf numFmtId="0" fontId="92" fillId="25" borderId="108" xfId="0" applyFont="1" applyFill="1" applyBorder="1" applyAlignment="1">
      <alignment horizontal="center" vertical="center" wrapText="1"/>
    </xf>
    <xf numFmtId="0" fontId="92" fillId="25" borderId="52" xfId="0" applyFont="1" applyFill="1" applyBorder="1" applyAlignment="1">
      <alignment horizontal="center" vertical="center" wrapText="1"/>
    </xf>
    <xf numFmtId="0" fontId="92" fillId="25" borderId="58" xfId="0" applyFont="1" applyFill="1" applyBorder="1" applyAlignment="1">
      <alignment horizontal="center" vertical="center" wrapText="1"/>
    </xf>
    <xf numFmtId="0" fontId="92" fillId="25" borderId="107" xfId="0" applyFont="1" applyFill="1" applyBorder="1" applyAlignment="1">
      <alignment horizontal="center" vertical="center" wrapText="1"/>
    </xf>
    <xf numFmtId="0" fontId="2" fillId="0" borderId="44"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47" xfId="0" applyFont="1" applyBorder="1" applyAlignment="1">
      <alignment horizontal="center" vertical="center" wrapText="1"/>
    </xf>
    <xf numFmtId="0" fontId="91" fillId="0" borderId="44" xfId="0" applyFont="1" applyBorder="1" applyAlignment="1">
      <alignment vertical="center" wrapText="1"/>
    </xf>
    <xf numFmtId="0" fontId="91" fillId="0" borderId="20" xfId="0" applyFont="1" applyBorder="1" applyAlignment="1">
      <alignment vertical="center" wrapText="1"/>
    </xf>
    <xf numFmtId="0" fontId="91" fillId="0" borderId="21" xfId="0" applyFont="1" applyBorder="1" applyAlignment="1">
      <alignment vertical="center" wrapText="1"/>
    </xf>
    <xf numFmtId="0" fontId="0" fillId="15" borderId="52" xfId="0" applyFill="1" applyBorder="1" applyAlignment="1">
      <alignment horizontal="center" vertical="center" wrapText="1"/>
    </xf>
    <xf numFmtId="0" fontId="68" fillId="0" borderId="58" xfId="0" applyFont="1" applyBorder="1" applyAlignment="1" applyProtection="1">
      <alignment horizontal="center" vertical="center" wrapText="1"/>
      <protection locked="0"/>
    </xf>
    <xf numFmtId="0" fontId="83" fillId="0" borderId="77" xfId="0" applyFont="1" applyBorder="1" applyAlignment="1" applyProtection="1">
      <alignment horizontal="center" vertical="center" wrapText="1"/>
      <protection locked="0"/>
    </xf>
    <xf numFmtId="0" fontId="52" fillId="0" borderId="52" xfId="0" applyFont="1" applyBorder="1" applyAlignment="1" applyProtection="1">
      <alignment horizontal="left" vertical="center" wrapText="1"/>
      <protection locked="0"/>
    </xf>
    <xf numFmtId="0" fontId="52" fillId="0" borderId="53" xfId="0" applyFont="1" applyBorder="1" applyAlignment="1" applyProtection="1">
      <alignment horizontal="left" vertical="center" wrapText="1"/>
      <protection locked="0"/>
    </xf>
    <xf numFmtId="0" fontId="52" fillId="0" borderId="54" xfId="0" applyFont="1" applyBorder="1" applyAlignment="1" applyProtection="1">
      <alignment horizontal="left" vertical="center" wrapText="1"/>
      <protection locked="0"/>
    </xf>
    <xf numFmtId="0" fontId="50" fillId="0" borderId="58" xfId="0" applyFont="1" applyBorder="1" applyAlignment="1" applyProtection="1">
      <alignment horizontal="center" vertical="center" wrapText="1"/>
      <protection locked="0"/>
    </xf>
    <xf numFmtId="0" fontId="50" fillId="0" borderId="61" xfId="0" applyFont="1" applyBorder="1" applyAlignment="1" applyProtection="1">
      <alignment horizontal="center" vertical="center" wrapText="1"/>
      <protection locked="0"/>
    </xf>
    <xf numFmtId="0" fontId="51" fillId="0" borderId="52" xfId="0" applyFont="1" applyBorder="1" applyAlignment="1" applyProtection="1">
      <alignment horizontal="left" vertical="center" wrapText="1"/>
      <protection locked="0"/>
    </xf>
    <xf numFmtId="0" fontId="51" fillId="0" borderId="53" xfId="0" applyFont="1" applyBorder="1" applyAlignment="1" applyProtection="1">
      <alignment horizontal="left" vertical="center" wrapText="1"/>
      <protection locked="0"/>
    </xf>
    <xf numFmtId="0" fontId="51" fillId="0" borderId="54" xfId="0" applyFont="1" applyBorder="1" applyAlignment="1" applyProtection="1">
      <alignment horizontal="left" vertical="center" wrapText="1"/>
      <protection locked="0"/>
    </xf>
    <xf numFmtId="3" fontId="0" fillId="0" borderId="110" xfId="0" applyNumberFormat="1" applyBorder="1" applyAlignment="1">
      <alignment horizontal="center"/>
    </xf>
    <xf numFmtId="3" fontId="0" fillId="0" borderId="10" xfId="0" applyNumberFormat="1" applyBorder="1" applyAlignment="1">
      <alignment horizontal="center"/>
    </xf>
    <xf numFmtId="0" fontId="2" fillId="0" borderId="58" xfId="0" applyFont="1" applyBorder="1" applyAlignment="1" applyProtection="1">
      <alignment horizontal="center" vertical="center"/>
      <protection locked="0"/>
    </xf>
    <xf numFmtId="0" fontId="2" fillId="0" borderId="61" xfId="0" applyFont="1" applyBorder="1" applyAlignment="1" applyProtection="1">
      <alignment horizontal="center" vertical="center"/>
      <protection locked="0"/>
    </xf>
    <xf numFmtId="0" fontId="2" fillId="0" borderId="33" xfId="0" applyFont="1" applyBorder="1" applyAlignment="1" applyProtection="1">
      <alignment horizontal="center" vertical="center" wrapText="1"/>
      <protection locked="0"/>
    </xf>
    <xf numFmtId="3" fontId="2" fillId="0" borderId="110" xfId="0" applyNumberFormat="1" applyFont="1" applyBorder="1" applyAlignment="1">
      <alignment horizontal="center" wrapText="1"/>
    </xf>
    <xf numFmtId="3" fontId="0" fillId="0" borderId="110" xfId="0" applyNumberFormat="1" applyBorder="1" applyAlignment="1">
      <alignment horizontal="center" wrapText="1"/>
    </xf>
    <xf numFmtId="3" fontId="0" fillId="0" borderId="10" xfId="0" applyNumberFormat="1" applyBorder="1" applyAlignment="1">
      <alignment horizontal="center" wrapText="1"/>
    </xf>
    <xf numFmtId="0" fontId="3" fillId="26" borderId="60" xfId="0" applyFont="1" applyFill="1" applyBorder="1" applyAlignment="1">
      <alignment horizontal="center"/>
    </xf>
    <xf numFmtId="0" fontId="3" fillId="26" borderId="49" xfId="0" applyFont="1" applyFill="1" applyBorder="1" applyAlignment="1">
      <alignment horizontal="center"/>
    </xf>
    <xf numFmtId="0" fontId="3" fillId="26" borderId="50" xfId="0" applyFont="1" applyFill="1" applyBorder="1" applyAlignment="1">
      <alignment horizontal="center"/>
    </xf>
    <xf numFmtId="0" fontId="46" fillId="0" borderId="20" xfId="0" applyFont="1" applyBorder="1" applyAlignment="1" applyProtection="1">
      <alignment horizontal="left" vertical="top" wrapText="1"/>
      <protection locked="0"/>
    </xf>
    <xf numFmtId="0" fontId="2" fillId="0" borderId="52" xfId="0" applyFont="1" applyBorder="1" applyAlignment="1" applyProtection="1">
      <alignment horizontal="center" vertical="center" wrapText="1"/>
      <protection locked="0"/>
    </xf>
    <xf numFmtId="0" fontId="2" fillId="0" borderId="54" xfId="0" applyFont="1" applyBorder="1" applyAlignment="1" applyProtection="1">
      <alignment horizontal="center" vertical="center" wrapText="1"/>
      <protection locked="0"/>
    </xf>
    <xf numFmtId="37" fontId="2" fillId="15" borderId="45" xfId="1" applyNumberFormat="1" applyFont="1" applyFill="1" applyBorder="1" applyAlignment="1" applyProtection="1">
      <alignment horizontal="center"/>
    </xf>
    <xf numFmtId="37" fontId="2" fillId="15" borderId="46" xfId="1" applyNumberFormat="1" applyFont="1" applyFill="1" applyBorder="1" applyAlignment="1" applyProtection="1">
      <alignment horizontal="center"/>
    </xf>
    <xf numFmtId="0" fontId="0" fillId="0" borderId="62" xfId="0" applyBorder="1" applyAlignment="1">
      <alignment horizontal="center" wrapText="1"/>
    </xf>
    <xf numFmtId="0" fontId="1" fillId="19" borderId="34" xfId="0" applyFont="1" applyFill="1" applyBorder="1" applyAlignment="1">
      <alignment horizontal="center" wrapText="1"/>
    </xf>
    <xf numFmtId="0" fontId="1" fillId="19" borderId="11" xfId="0" applyFont="1" applyFill="1" applyBorder="1" applyAlignment="1">
      <alignment horizontal="center" wrapText="1"/>
    </xf>
    <xf numFmtId="0" fontId="1" fillId="19" borderId="35" xfId="0" applyFont="1" applyFill="1" applyBorder="1" applyAlignment="1">
      <alignment horizontal="center" wrapText="1"/>
    </xf>
    <xf numFmtId="4" fontId="0" fillId="0" borderId="5" xfId="0" applyNumberFormat="1" applyBorder="1" applyAlignment="1">
      <alignment horizontal="center"/>
    </xf>
    <xf numFmtId="4" fontId="0" fillId="0" borderId="63" xfId="0" applyNumberFormat="1" applyBorder="1" applyAlignment="1">
      <alignment horizontal="center"/>
    </xf>
    <xf numFmtId="0" fontId="74" fillId="3" borderId="52" xfId="0" applyFont="1" applyFill="1" applyBorder="1" applyAlignment="1" applyProtection="1">
      <alignment horizontal="center" vertical="center"/>
      <protection locked="0"/>
    </xf>
    <xf numFmtId="0" fontId="74" fillId="3" borderId="53" xfId="0" applyFont="1" applyFill="1" applyBorder="1" applyAlignment="1" applyProtection="1">
      <alignment horizontal="center" vertical="center"/>
      <protection locked="0"/>
    </xf>
    <xf numFmtId="0" fontId="74" fillId="3" borderId="54" xfId="0" applyFont="1" applyFill="1" applyBorder="1" applyAlignment="1" applyProtection="1">
      <alignment horizontal="center" vertical="center"/>
      <protection locked="0"/>
    </xf>
    <xf numFmtId="0" fontId="64" fillId="0" borderId="52" xfId="0" applyFont="1" applyBorder="1" applyAlignment="1">
      <alignment horizontal="left" vertical="top" wrapText="1"/>
    </xf>
    <xf numFmtId="0" fontId="64" fillId="0" borderId="53" xfId="0" applyFont="1" applyBorder="1" applyAlignment="1">
      <alignment horizontal="left" vertical="top" wrapText="1"/>
    </xf>
    <xf numFmtId="0" fontId="64" fillId="0" borderId="54" xfId="0" applyFont="1" applyBorder="1" applyAlignment="1">
      <alignment horizontal="left" vertical="top" wrapText="1"/>
    </xf>
    <xf numFmtId="0" fontId="0" fillId="14" borderId="52" xfId="0" applyFill="1" applyBorder="1" applyAlignment="1">
      <alignment horizontal="center" vertical="center" wrapText="1"/>
    </xf>
    <xf numFmtId="0" fontId="0" fillId="14" borderId="54" xfId="0" applyFill="1" applyBorder="1" applyAlignment="1">
      <alignment horizontal="center" vertical="center" wrapText="1"/>
    </xf>
    <xf numFmtId="0" fontId="2" fillId="7" borderId="0" xfId="0" applyFont="1" applyFill="1" applyAlignment="1">
      <alignment horizontal="center" vertical="center" wrapText="1"/>
    </xf>
    <xf numFmtId="0" fontId="0" fillId="7" borderId="0" xfId="0" applyFill="1" applyAlignment="1">
      <alignment horizontal="center" vertical="center" wrapText="1"/>
    </xf>
    <xf numFmtId="0" fontId="44" fillId="0" borderId="44" xfId="0" applyFont="1" applyBorder="1" applyAlignment="1" applyProtection="1">
      <alignment horizontal="left" vertical="top" wrapText="1"/>
      <protection locked="0"/>
    </xf>
    <xf numFmtId="0" fontId="44" fillId="0" borderId="20" xfId="0" applyFont="1" applyBorder="1" applyAlignment="1" applyProtection="1">
      <alignment horizontal="left" vertical="top" wrapText="1"/>
      <protection locked="0"/>
    </xf>
    <xf numFmtId="0" fontId="44" fillId="0" borderId="21" xfId="0" applyFont="1" applyBorder="1" applyAlignment="1" applyProtection="1">
      <alignment horizontal="left" vertical="top" wrapText="1"/>
      <protection locked="0"/>
    </xf>
    <xf numFmtId="0" fontId="44" fillId="0" borderId="45" xfId="0" applyFont="1" applyBorder="1" applyAlignment="1" applyProtection="1">
      <alignment horizontal="left" vertical="top" wrapText="1"/>
      <protection locked="0"/>
    </xf>
    <xf numFmtId="0" fontId="44" fillId="0" borderId="46" xfId="0" applyFont="1" applyBorder="1" applyAlignment="1" applyProtection="1">
      <alignment horizontal="left" vertical="top" wrapText="1"/>
      <protection locked="0"/>
    </xf>
    <xf numFmtId="0" fontId="44" fillId="0" borderId="47" xfId="0" applyFont="1" applyBorder="1" applyAlignment="1" applyProtection="1">
      <alignment horizontal="left" vertical="top" wrapText="1"/>
      <protection locked="0"/>
    </xf>
    <xf numFmtId="0" fontId="44" fillId="0" borderId="52" xfId="0" applyFont="1" applyBorder="1" applyAlignment="1" applyProtection="1">
      <alignment horizontal="center" vertical="center" wrapText="1"/>
      <protection locked="0"/>
    </xf>
    <xf numFmtId="0" fontId="44" fillId="0" borderId="54" xfId="0" applyFont="1" applyBorder="1" applyAlignment="1" applyProtection="1">
      <alignment horizontal="center" vertical="center" wrapText="1"/>
      <protection locked="0"/>
    </xf>
    <xf numFmtId="0" fontId="44" fillId="0" borderId="53" xfId="0" applyFont="1" applyBorder="1" applyAlignment="1" applyProtection="1">
      <alignment horizontal="center" vertical="center" wrapText="1"/>
      <protection locked="0"/>
    </xf>
    <xf numFmtId="37" fontId="2" fillId="15" borderId="53" xfId="1" applyNumberFormat="1" applyFont="1" applyFill="1" applyBorder="1" applyAlignment="1" applyProtection="1">
      <alignment horizontal="center" vertical="center"/>
    </xf>
    <xf numFmtId="0" fontId="44" fillId="0" borderId="0" xfId="0" applyFont="1" applyAlignment="1" applyProtection="1">
      <alignment horizontal="center" vertical="center" wrapText="1"/>
      <protection locked="0"/>
    </xf>
    <xf numFmtId="0" fontId="2" fillId="0" borderId="62"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63" xfId="0" applyFont="1" applyBorder="1" applyAlignment="1" applyProtection="1">
      <alignment horizontal="center" vertical="center" wrapText="1"/>
      <protection locked="0"/>
    </xf>
    <xf numFmtId="0" fontId="3" fillId="26" borderId="79" xfId="0" applyFont="1" applyFill="1" applyBorder="1" applyAlignment="1">
      <alignment horizontal="center"/>
    </xf>
    <xf numFmtId="0" fontId="3" fillId="26" borderId="80" xfId="0" applyFont="1" applyFill="1" applyBorder="1" applyAlignment="1">
      <alignment horizontal="center"/>
    </xf>
    <xf numFmtId="0" fontId="3" fillId="26" borderId="81" xfId="0" applyFont="1" applyFill="1" applyBorder="1" applyAlignment="1">
      <alignment horizontal="center"/>
    </xf>
    <xf numFmtId="0" fontId="2" fillId="0" borderId="69" xfId="0" applyFont="1" applyBorder="1" applyAlignment="1">
      <alignment horizontal="center" wrapText="1"/>
    </xf>
    <xf numFmtId="0" fontId="2" fillId="0" borderId="4" xfId="0" applyFont="1" applyBorder="1" applyAlignment="1">
      <alignment horizontal="center" wrapText="1"/>
    </xf>
    <xf numFmtId="0" fontId="2" fillId="0" borderId="70" xfId="0" applyFont="1" applyBorder="1" applyAlignment="1">
      <alignment horizontal="center" wrapText="1"/>
    </xf>
    <xf numFmtId="3" fontId="0" fillId="0" borderId="63" xfId="0" applyNumberFormat="1" applyBorder="1" applyAlignment="1">
      <alignment horizontal="center" vertical="center" wrapText="1"/>
    </xf>
    <xf numFmtId="3" fontId="0" fillId="0" borderId="5" xfId="0" applyNumberFormat="1" applyBorder="1" applyAlignment="1">
      <alignment horizontal="center"/>
    </xf>
    <xf numFmtId="3" fontId="0" fillId="0" borderId="63" xfId="0" applyNumberFormat="1" applyBorder="1" applyAlignment="1">
      <alignment horizontal="center"/>
    </xf>
    <xf numFmtId="3" fontId="0" fillId="0" borderId="52" xfId="0" applyNumberFormat="1" applyBorder="1" applyAlignment="1">
      <alignment horizontal="center"/>
    </xf>
    <xf numFmtId="3" fontId="0" fillId="0" borderId="54" xfId="0" applyNumberFormat="1" applyBorder="1" applyAlignment="1">
      <alignment horizontal="center"/>
    </xf>
    <xf numFmtId="3" fontId="0" fillId="0" borderId="43" xfId="0" applyNumberFormat="1" applyBorder="1" applyAlignment="1">
      <alignment horizontal="center"/>
    </xf>
    <xf numFmtId="3" fontId="0" fillId="0" borderId="66" xfId="0" applyNumberFormat="1" applyBorder="1" applyAlignment="1">
      <alignment horizontal="center"/>
    </xf>
    <xf numFmtId="0" fontId="0" fillId="0" borderId="52" xfId="0" applyBorder="1" applyAlignment="1">
      <alignment horizontal="center" wrapText="1"/>
    </xf>
    <xf numFmtId="0" fontId="0" fillId="0" borderId="53" xfId="0" applyBorder="1" applyAlignment="1">
      <alignment horizontal="center" wrapText="1"/>
    </xf>
    <xf numFmtId="0" fontId="0" fillId="0" borderId="54" xfId="0" applyBorder="1" applyAlignment="1">
      <alignment horizontal="center" wrapText="1"/>
    </xf>
    <xf numFmtId="0" fontId="0" fillId="0" borderId="19" xfId="0" applyBorder="1" applyAlignment="1">
      <alignment horizontal="left" vertical="center" wrapText="1"/>
    </xf>
    <xf numFmtId="0" fontId="0" fillId="0" borderId="22" xfId="0" applyBorder="1" applyAlignment="1">
      <alignment horizontal="left" vertical="center" wrapText="1"/>
    </xf>
    <xf numFmtId="0" fontId="0" fillId="0" borderId="51" xfId="0" applyBorder="1" applyAlignment="1">
      <alignment horizontal="left" vertical="center" wrapText="1"/>
    </xf>
    <xf numFmtId="167" fontId="0" fillId="0" borderId="5" xfId="0" applyNumberFormat="1" applyBorder="1" applyAlignment="1">
      <alignment horizontal="center"/>
    </xf>
    <xf numFmtId="167" fontId="0" fillId="0" borderId="63" xfId="0" applyNumberFormat="1" applyBorder="1" applyAlignment="1">
      <alignment horizontal="center"/>
    </xf>
    <xf numFmtId="3" fontId="0" fillId="0" borderId="38" xfId="0" applyNumberFormat="1" applyBorder="1" applyAlignment="1">
      <alignment horizontal="center"/>
    </xf>
    <xf numFmtId="3" fontId="0" fillId="0" borderId="102" xfId="0" applyNumberFormat="1" applyBorder="1" applyAlignment="1">
      <alignment horizontal="center"/>
    </xf>
    <xf numFmtId="0" fontId="29" fillId="0" borderId="52" xfId="0" applyFont="1" applyBorder="1" applyAlignment="1">
      <alignment horizontal="left" vertical="center" wrapText="1"/>
    </xf>
    <xf numFmtId="0" fontId="29" fillId="0" borderId="53" xfId="0" applyFont="1" applyBorder="1" applyAlignment="1">
      <alignment horizontal="left" vertical="center" wrapText="1"/>
    </xf>
    <xf numFmtId="0" fontId="29" fillId="0" borderId="54" xfId="0" applyFont="1" applyBorder="1" applyAlignment="1">
      <alignment horizontal="left" vertical="center" wrapText="1"/>
    </xf>
    <xf numFmtId="0" fontId="8" fillId="26" borderId="52" xfId="0" applyFont="1" applyFill="1" applyBorder="1" applyAlignment="1">
      <alignment horizontal="left" vertical="center" wrapText="1"/>
    </xf>
    <xf numFmtId="0" fontId="8" fillId="26" borderId="53" xfId="0" applyFont="1" applyFill="1" applyBorder="1" applyAlignment="1">
      <alignment horizontal="left" vertical="center" wrapText="1"/>
    </xf>
    <xf numFmtId="0" fontId="8" fillId="26" borderId="54" xfId="0" applyFont="1" applyFill="1" applyBorder="1" applyAlignment="1">
      <alignment horizontal="left" vertical="center" wrapText="1"/>
    </xf>
    <xf numFmtId="0" fontId="0" fillId="0" borderId="0" xfId="0" applyAlignment="1">
      <alignment horizontal="center" wrapText="1"/>
    </xf>
    <xf numFmtId="0" fontId="0" fillId="0" borderId="0" xfId="0" applyAlignment="1">
      <alignment horizontal="center"/>
    </xf>
    <xf numFmtId="0" fontId="3" fillId="26" borderId="52" xfId="0" applyFont="1" applyFill="1" applyBorder="1" applyAlignment="1">
      <alignment horizontal="center"/>
    </xf>
    <xf numFmtId="0" fontId="3" fillId="26" borderId="53" xfId="0" applyFont="1" applyFill="1" applyBorder="1" applyAlignment="1">
      <alignment horizontal="center"/>
    </xf>
    <xf numFmtId="0" fontId="3" fillId="26" borderId="54" xfId="0" applyFont="1" applyFill="1" applyBorder="1" applyAlignment="1">
      <alignment horizontal="center"/>
    </xf>
    <xf numFmtId="0" fontId="2" fillId="0" borderId="0" xfId="0" applyFont="1" applyAlignment="1">
      <alignment horizontal="center" wrapText="1"/>
    </xf>
    <xf numFmtId="3" fontId="0" fillId="0" borderId="0" xfId="0" applyNumberFormat="1" applyAlignment="1">
      <alignment horizontal="center" wrapText="1"/>
    </xf>
    <xf numFmtId="0" fontId="50" fillId="0" borderId="52" xfId="0" applyFont="1" applyBorder="1" applyAlignment="1" applyProtection="1">
      <alignment horizontal="left" vertical="center" wrapText="1"/>
      <protection locked="0"/>
    </xf>
    <xf numFmtId="0" fontId="50" fillId="0" borderId="53" xfId="0" applyFont="1" applyBorder="1" applyAlignment="1" applyProtection="1">
      <alignment horizontal="left" vertical="center" wrapText="1"/>
      <protection locked="0"/>
    </xf>
    <xf numFmtId="0" fontId="50" fillId="0" borderId="54" xfId="0" applyFont="1" applyBorder="1" applyAlignment="1" applyProtection="1">
      <alignment horizontal="left" vertical="center" wrapText="1"/>
      <protection locked="0"/>
    </xf>
    <xf numFmtId="0" fontId="86" fillId="0" borderId="59" xfId="0" applyFont="1" applyBorder="1" applyAlignment="1" applyProtection="1">
      <alignment horizontal="center" vertical="center" wrapText="1"/>
      <protection locked="0"/>
    </xf>
    <xf numFmtId="1" fontId="0" fillId="15" borderId="52" xfId="0" applyNumberFormat="1" applyFill="1" applyBorder="1" applyAlignment="1">
      <alignment horizontal="center" vertical="center"/>
    </xf>
    <xf numFmtId="1" fontId="0" fillId="15" borderId="54" xfId="0" applyNumberFormat="1" applyFill="1" applyBorder="1" applyAlignment="1">
      <alignment horizontal="center" vertical="center"/>
    </xf>
    <xf numFmtId="1" fontId="0" fillId="15" borderId="44" xfId="0" applyNumberFormat="1" applyFill="1" applyBorder="1" applyAlignment="1">
      <alignment horizontal="center" vertical="center"/>
    </xf>
    <xf numFmtId="1" fontId="0" fillId="15" borderId="21" xfId="0" applyNumberFormat="1" applyFill="1" applyBorder="1" applyAlignment="1">
      <alignment horizontal="center" vertical="center"/>
    </xf>
    <xf numFmtId="0" fontId="40" fillId="0" borderId="44" xfId="0" applyFont="1" applyBorder="1" applyAlignment="1">
      <alignment horizontal="center" wrapText="1"/>
    </xf>
    <xf numFmtId="0" fontId="40" fillId="0" borderId="20" xfId="0" applyFont="1" applyBorder="1" applyAlignment="1">
      <alignment horizontal="center" wrapText="1"/>
    </xf>
    <xf numFmtId="0" fontId="40" fillId="0" borderId="44" xfId="0" applyFont="1" applyBorder="1" applyAlignment="1">
      <alignment horizontal="center"/>
    </xf>
    <xf numFmtId="0" fontId="40" fillId="0" borderId="21" xfId="0" applyFont="1" applyBorder="1" applyAlignment="1">
      <alignment horizontal="center"/>
    </xf>
    <xf numFmtId="0" fontId="40" fillId="0" borderId="18" xfId="0" applyFont="1" applyBorder="1" applyAlignment="1">
      <alignment horizontal="center"/>
    </xf>
    <xf numFmtId="0" fontId="40" fillId="0" borderId="48" xfId="0" applyFont="1" applyBorder="1" applyAlignment="1">
      <alignment horizontal="center"/>
    </xf>
    <xf numFmtId="0" fontId="56" fillId="0" borderId="60" xfId="0" applyFont="1" applyBorder="1" applyAlignment="1">
      <alignment horizontal="center" vertical="center" wrapText="1"/>
    </xf>
    <xf numFmtId="0" fontId="56" fillId="0" borderId="50" xfId="0" applyFont="1" applyBorder="1" applyAlignment="1">
      <alignment horizontal="center" vertical="center" wrapText="1"/>
    </xf>
    <xf numFmtId="0" fontId="56" fillId="0" borderId="65" xfId="0" applyFont="1" applyBorder="1" applyAlignment="1">
      <alignment horizontal="center" vertical="center" wrapText="1"/>
    </xf>
    <xf numFmtId="0" fontId="56" fillId="0" borderId="66" xfId="0" applyFont="1" applyBorder="1" applyAlignment="1">
      <alignment horizontal="center" vertical="center" wrapText="1"/>
    </xf>
    <xf numFmtId="0" fontId="3" fillId="26" borderId="52" xfId="0" applyFont="1" applyFill="1" applyBorder="1" applyAlignment="1">
      <alignment horizontal="center" vertical="center"/>
    </xf>
    <xf numFmtId="0" fontId="3" fillId="26" borderId="53" xfId="0" applyFont="1" applyFill="1" applyBorder="1" applyAlignment="1">
      <alignment horizontal="center" vertical="center"/>
    </xf>
    <xf numFmtId="0" fontId="3" fillId="26" borderId="54" xfId="0" applyFont="1" applyFill="1" applyBorder="1" applyAlignment="1">
      <alignment horizontal="center" vertical="center"/>
    </xf>
    <xf numFmtId="0" fontId="89" fillId="0" borderId="59" xfId="0" applyFont="1" applyBorder="1" applyAlignment="1" applyProtection="1">
      <alignment horizontal="center" vertical="center" wrapText="1"/>
      <protection locked="0"/>
    </xf>
    <xf numFmtId="0" fontId="83" fillId="0" borderId="59" xfId="0" applyFont="1" applyBorder="1" applyAlignment="1" applyProtection="1">
      <alignment horizontal="center" vertical="center" wrapText="1"/>
      <protection locked="0"/>
    </xf>
    <xf numFmtId="0" fontId="68" fillId="0" borderId="64" xfId="0" applyFont="1" applyBorder="1" applyAlignment="1" applyProtection="1">
      <alignment horizontal="center" vertical="center" wrapText="1"/>
      <protection locked="0"/>
    </xf>
    <xf numFmtId="0" fontId="68" fillId="0" borderId="44" xfId="0" applyFont="1" applyBorder="1" applyAlignment="1" applyProtection="1">
      <alignment horizontal="center" vertical="center" wrapText="1"/>
      <protection locked="0"/>
    </xf>
    <xf numFmtId="0" fontId="68" fillId="0" borderId="21" xfId="0" applyFont="1" applyBorder="1" applyAlignment="1" applyProtection="1">
      <alignment horizontal="center" vertical="center" wrapText="1"/>
      <protection locked="0"/>
    </xf>
    <xf numFmtId="0" fontId="68" fillId="0" borderId="45" xfId="0" applyFont="1" applyBorder="1" applyAlignment="1" applyProtection="1">
      <alignment horizontal="center" vertical="center" wrapText="1"/>
      <protection locked="0"/>
    </xf>
    <xf numFmtId="0" fontId="68" fillId="0" borderId="47" xfId="0" applyFont="1" applyBorder="1" applyAlignment="1" applyProtection="1">
      <alignment horizontal="center" vertical="center" wrapText="1"/>
      <protection locked="0"/>
    </xf>
    <xf numFmtId="0" fontId="0" fillId="0" borderId="30" xfId="0" applyBorder="1" applyAlignment="1">
      <alignment horizontal="left" vertical="center" wrapText="1"/>
    </xf>
    <xf numFmtId="0" fontId="0" fillId="0" borderId="24" xfId="0" applyBorder="1" applyAlignment="1">
      <alignment horizontal="left" vertical="center" wrapText="1"/>
    </xf>
    <xf numFmtId="0" fontId="0" fillId="0" borderId="45" xfId="0" applyBorder="1" applyAlignment="1">
      <alignment horizontal="left" vertical="center" wrapText="1"/>
    </xf>
    <xf numFmtId="0" fontId="0" fillId="0" borderId="47" xfId="0" applyBorder="1" applyAlignment="1">
      <alignment horizontal="left" vertical="center" wrapText="1"/>
    </xf>
    <xf numFmtId="0" fontId="40" fillId="0" borderId="20" xfId="0" applyFont="1" applyBorder="1" applyAlignment="1">
      <alignment horizontal="center"/>
    </xf>
    <xf numFmtId="3" fontId="40" fillId="0" borderId="30" xfId="0" applyNumberFormat="1" applyFont="1" applyBorder="1" applyAlignment="1">
      <alignment horizontal="center" wrapText="1"/>
    </xf>
    <xf numFmtId="3" fontId="40" fillId="0" borderId="0" xfId="0" applyNumberFormat="1" applyFont="1" applyAlignment="1">
      <alignment horizontal="center" wrapText="1"/>
    </xf>
    <xf numFmtId="0" fontId="40" fillId="0" borderId="30" xfId="0" applyFont="1" applyBorder="1" applyAlignment="1">
      <alignment horizontal="center"/>
    </xf>
    <xf numFmtId="0" fontId="40" fillId="0" borderId="0" xfId="0" applyFont="1" applyAlignment="1">
      <alignment horizontal="center"/>
    </xf>
    <xf numFmtId="0" fontId="0" fillId="0" borderId="44" xfId="0" applyBorder="1" applyAlignment="1">
      <alignment horizontal="left" wrapText="1"/>
    </xf>
    <xf numFmtId="0" fontId="0" fillId="0" borderId="21" xfId="0" applyBorder="1" applyAlignment="1">
      <alignment horizontal="left" wrapText="1"/>
    </xf>
    <xf numFmtId="0" fontId="38" fillId="23" borderId="93" xfId="0" applyFont="1" applyFill="1" applyBorder="1" applyAlignment="1">
      <alignment horizontal="center"/>
    </xf>
    <xf numFmtId="0" fontId="38" fillId="23" borderId="94" xfId="0" applyFont="1" applyFill="1" applyBorder="1" applyAlignment="1">
      <alignment horizontal="center"/>
    </xf>
    <xf numFmtId="0" fontId="58" fillId="0" borderId="30" xfId="0" applyFont="1" applyBorder="1" applyAlignment="1">
      <alignment wrapText="1"/>
    </xf>
    <xf numFmtId="0" fontId="58" fillId="0" borderId="32" xfId="0" applyFont="1" applyBorder="1" applyAlignment="1">
      <alignment wrapText="1"/>
    </xf>
    <xf numFmtId="0" fontId="58" fillId="0" borderId="77" xfId="0" applyFont="1" applyBorder="1" applyAlignment="1">
      <alignment wrapText="1"/>
    </xf>
    <xf numFmtId="0" fontId="58" fillId="0" borderId="67" xfId="0" applyFont="1" applyBorder="1" applyAlignment="1">
      <alignment wrapText="1"/>
    </xf>
    <xf numFmtId="0" fontId="58" fillId="0" borderId="0" xfId="0" applyFont="1" applyAlignment="1">
      <alignment wrapText="1"/>
    </xf>
    <xf numFmtId="0" fontId="58" fillId="0" borderId="26" xfId="0" applyFont="1" applyBorder="1" applyAlignment="1">
      <alignment wrapText="1"/>
    </xf>
    <xf numFmtId="0" fontId="60" fillId="0" borderId="93" xfId="0" applyFont="1" applyBorder="1" applyAlignment="1">
      <alignment horizontal="left" vertical="top" wrapText="1"/>
    </xf>
    <xf numFmtId="0" fontId="60" fillId="0" borderId="99" xfId="0" applyFont="1" applyBorder="1" applyAlignment="1">
      <alignment horizontal="left" vertical="top" wrapText="1"/>
    </xf>
    <xf numFmtId="0" fontId="60" fillId="0" borderId="101" xfId="0" applyFont="1" applyBorder="1" applyAlignment="1">
      <alignment horizontal="left" vertical="top" wrapText="1"/>
    </xf>
    <xf numFmtId="0" fontId="60" fillId="0" borderId="86" xfId="0" applyFont="1" applyBorder="1" applyAlignment="1">
      <alignment horizontal="left" vertical="top" wrapText="1"/>
    </xf>
    <xf numFmtId="0" fontId="38" fillId="23" borderId="96" xfId="0" applyFont="1" applyFill="1" applyBorder="1" applyAlignment="1">
      <alignment horizontal="center"/>
    </xf>
    <xf numFmtId="0" fontId="38" fillId="23" borderId="86" xfId="0" applyFont="1" applyFill="1" applyBorder="1" applyAlignment="1">
      <alignment horizontal="center"/>
    </xf>
    <xf numFmtId="0" fontId="58" fillId="0" borderId="97" xfId="0" applyFont="1" applyBorder="1" applyAlignment="1">
      <alignment horizontal="center" wrapText="1"/>
    </xf>
    <xf numFmtId="0" fontId="58" fillId="0" borderId="0" xfId="0" applyFont="1" applyAlignment="1">
      <alignment horizontal="center" wrapText="1"/>
    </xf>
    <xf numFmtId="0" fontId="58" fillId="0" borderId="98" xfId="0" applyFont="1" applyBorder="1" applyAlignment="1">
      <alignment horizontal="center" wrapText="1"/>
    </xf>
    <xf numFmtId="0" fontId="60" fillId="0" borderId="30" xfId="0" applyFont="1" applyBorder="1" applyAlignment="1">
      <alignment horizontal="left" vertical="top" wrapText="1"/>
    </xf>
    <xf numFmtId="0" fontId="60" fillId="0" borderId="0" xfId="0" applyFont="1" applyAlignment="1">
      <alignment horizontal="left" vertical="top" wrapText="1"/>
    </xf>
    <xf numFmtId="0" fontId="60" fillId="0" borderId="24" xfId="0" applyFont="1" applyBorder="1" applyAlignment="1">
      <alignment horizontal="left" vertical="top" wrapText="1"/>
    </xf>
    <xf numFmtId="0" fontId="60" fillId="0" borderId="45" xfId="0" applyFont="1" applyBorder="1" applyAlignment="1">
      <alignment horizontal="left" vertical="top" wrapText="1"/>
    </xf>
    <xf numFmtId="0" fontId="60" fillId="0" borderId="46" xfId="0" applyFont="1" applyBorder="1" applyAlignment="1">
      <alignment horizontal="left" vertical="top" wrapText="1"/>
    </xf>
    <xf numFmtId="0" fontId="60" fillId="0" borderId="47" xfId="0" applyFont="1" applyBorder="1" applyAlignment="1">
      <alignment horizontal="left" vertical="top" wrapText="1"/>
    </xf>
    <xf numFmtId="0" fontId="58" fillId="0" borderId="92" xfId="0" applyFont="1" applyBorder="1" applyAlignment="1">
      <alignment wrapText="1"/>
    </xf>
    <xf numFmtId="0" fontId="58" fillId="0" borderId="70" xfId="0" applyFont="1" applyBorder="1" applyAlignment="1">
      <alignment wrapText="1"/>
    </xf>
    <xf numFmtId="0" fontId="58" fillId="0" borderId="96" xfId="0" applyFont="1" applyBorder="1" applyAlignment="1">
      <alignment horizontal="center" wrapText="1"/>
    </xf>
    <xf numFmtId="0" fontId="58" fillId="0" borderId="86" xfId="0" applyFont="1" applyBorder="1" applyAlignment="1">
      <alignment horizontal="center" wrapText="1"/>
    </xf>
    <xf numFmtId="0" fontId="73" fillId="3" borderId="93" xfId="0" applyFont="1" applyFill="1" applyBorder="1" applyAlignment="1">
      <alignment horizontal="center" vertical="center" wrapText="1"/>
    </xf>
    <xf numFmtId="0" fontId="73" fillId="3" borderId="99" xfId="0" applyFont="1" applyFill="1" applyBorder="1" applyAlignment="1">
      <alignment horizontal="center" vertical="center" wrapText="1"/>
    </xf>
    <xf numFmtId="0" fontId="73" fillId="3" borderId="94" xfId="0" applyFont="1" applyFill="1" applyBorder="1" applyAlignment="1">
      <alignment horizontal="center" vertical="center" wrapText="1"/>
    </xf>
    <xf numFmtId="0" fontId="60" fillId="0" borderId="44" xfId="0" applyFont="1" applyBorder="1" applyAlignment="1">
      <alignment horizontal="left" vertical="top" wrapText="1"/>
    </xf>
    <xf numFmtId="0" fontId="60" fillId="0" borderId="20" xfId="0" applyFont="1" applyBorder="1" applyAlignment="1">
      <alignment horizontal="left" vertical="top" wrapText="1"/>
    </xf>
    <xf numFmtId="0" fontId="60" fillId="0" borderId="21" xfId="0" applyFont="1" applyBorder="1" applyAlignment="1">
      <alignment horizontal="left" vertical="top" wrapText="1"/>
    </xf>
    <xf numFmtId="0" fontId="58" fillId="0" borderId="97" xfId="0" applyFont="1" applyBorder="1" applyAlignment="1">
      <alignment horizontal="center" vertical="center" wrapText="1"/>
    </xf>
    <xf numFmtId="0" fontId="58" fillId="0" borderId="0" xfId="0" applyFont="1" applyAlignment="1">
      <alignment horizontal="center" vertical="center" wrapText="1"/>
    </xf>
    <xf numFmtId="0" fontId="58" fillId="0" borderId="98" xfId="0" applyFont="1" applyBorder="1" applyAlignment="1">
      <alignment horizontal="center" vertical="center" wrapText="1"/>
    </xf>
    <xf numFmtId="0" fontId="69" fillId="17" borderId="98" xfId="0" applyFont="1" applyFill="1" applyBorder="1" applyAlignment="1">
      <alignment horizontal="center" vertical="center" wrapText="1"/>
    </xf>
    <xf numFmtId="3" fontId="2" fillId="0" borderId="30" xfId="0" applyNumberFormat="1" applyFont="1" applyBorder="1" applyAlignment="1">
      <alignment horizontal="center" wrapText="1"/>
    </xf>
    <xf numFmtId="3" fontId="2" fillId="0" borderId="0" xfId="0" applyNumberFormat="1" applyFont="1" applyAlignment="1">
      <alignment horizontal="center" wrapText="1"/>
    </xf>
    <xf numFmtId="3" fontId="0" fillId="0" borderId="110" xfId="0" applyNumberFormat="1" applyBorder="1" applyAlignment="1">
      <alignment horizontal="left" indent="1"/>
    </xf>
    <xf numFmtId="3" fontId="0" fillId="0" borderId="35" xfId="0" applyNumberFormat="1" applyBorder="1" applyAlignment="1">
      <alignment horizontal="left" indent="1"/>
    </xf>
    <xf numFmtId="3" fontId="0" fillId="0" borderId="23" xfId="0" applyNumberFormat="1" applyBorder="1" applyAlignment="1">
      <alignment horizontal="left" wrapText="1"/>
    </xf>
    <xf numFmtId="3" fontId="0" fillId="0" borderId="24" xfId="0" applyNumberFormat="1" applyBorder="1" applyAlignment="1">
      <alignment horizontal="left" wrapText="1"/>
    </xf>
    <xf numFmtId="3" fontId="0" fillId="0" borderId="57" xfId="0" applyNumberFormat="1" applyBorder="1" applyAlignment="1">
      <alignment horizontal="left" wrapText="1"/>
    </xf>
    <xf numFmtId="3" fontId="0" fillId="0" borderId="47" xfId="0" applyNumberFormat="1" applyBorder="1" applyAlignment="1">
      <alignment horizontal="left" wrapText="1"/>
    </xf>
    <xf numFmtId="3" fontId="2" fillId="0" borderId="62" xfId="0" applyNumberFormat="1" applyFont="1" applyBorder="1" applyAlignment="1">
      <alignment horizontal="center" vertical="center" wrapText="1"/>
    </xf>
    <xf numFmtId="3" fontId="2" fillId="0" borderId="5" xfId="0" applyNumberFormat="1" applyFont="1" applyBorder="1" applyAlignment="1">
      <alignment horizontal="center" vertical="center" wrapText="1"/>
    </xf>
    <xf numFmtId="0" fontId="44" fillId="0" borderId="52" xfId="0" applyFont="1" applyBorder="1" applyAlignment="1">
      <alignment horizontal="center" vertical="center" wrapText="1"/>
    </xf>
    <xf numFmtId="0" fontId="44" fillId="0" borderId="53" xfId="0" applyFont="1" applyBorder="1" applyAlignment="1">
      <alignment horizontal="center" vertical="center" wrapText="1"/>
    </xf>
    <xf numFmtId="0" fontId="44" fillId="0" borderId="54" xfId="0" applyFont="1" applyBorder="1" applyAlignment="1">
      <alignment horizontal="center" vertical="center" wrapText="1"/>
    </xf>
    <xf numFmtId="0" fontId="2" fillId="0" borderId="53" xfId="0" applyFont="1" applyBorder="1" applyAlignment="1">
      <alignment horizontal="center" vertical="center" wrapText="1"/>
    </xf>
    <xf numFmtId="0" fontId="0" fillId="22" borderId="52" xfId="0" applyFill="1" applyBorder="1" applyAlignment="1">
      <alignment horizontal="center" vertical="center" wrapText="1"/>
    </xf>
    <xf numFmtId="0" fontId="0" fillId="22" borderId="53" xfId="0" applyFill="1" applyBorder="1" applyAlignment="1">
      <alignment horizontal="center" vertical="center" wrapText="1"/>
    </xf>
    <xf numFmtId="0" fontId="0" fillId="22" borderId="54" xfId="0" applyFill="1" applyBorder="1" applyAlignment="1">
      <alignment horizontal="center" vertical="center" wrapText="1"/>
    </xf>
    <xf numFmtId="37" fontId="2" fillId="22" borderId="52" xfId="1" applyNumberFormat="1" applyFont="1" applyFill="1" applyBorder="1" applyAlignment="1" applyProtection="1">
      <alignment horizontal="center"/>
    </xf>
    <xf numFmtId="37" fontId="2" fillId="22" borderId="54" xfId="1" applyNumberFormat="1" applyFont="1" applyFill="1" applyBorder="1" applyAlignment="1" applyProtection="1">
      <alignment horizontal="center"/>
    </xf>
    <xf numFmtId="37" fontId="2" fillId="0" borderId="0" xfId="1" applyNumberFormat="1" applyFont="1" applyFill="1" applyBorder="1" applyAlignment="1" applyProtection="1">
      <alignment horizontal="center"/>
    </xf>
    <xf numFmtId="0" fontId="3" fillId="26" borderId="44" xfId="0" applyFont="1" applyFill="1" applyBorder="1" applyAlignment="1">
      <alignment horizontal="center"/>
    </xf>
    <xf numFmtId="0" fontId="3" fillId="26" borderId="20" xfId="0" applyFont="1" applyFill="1" applyBorder="1" applyAlignment="1">
      <alignment horizontal="center"/>
    </xf>
    <xf numFmtId="0" fontId="3" fillId="26" borderId="21" xfId="0" applyFont="1" applyFill="1" applyBorder="1" applyAlignment="1">
      <alignment horizontal="center"/>
    </xf>
    <xf numFmtId="3" fontId="0" fillId="0" borderId="30" xfId="0" applyNumberFormat="1" applyBorder="1" applyAlignment="1">
      <alignment horizontal="center" wrapText="1"/>
    </xf>
    <xf numFmtId="0" fontId="2" fillId="0" borderId="44" xfId="0" applyFont="1" applyBorder="1" applyAlignment="1">
      <alignment horizontal="center" wrapText="1"/>
    </xf>
    <xf numFmtId="0" fontId="2" fillId="0" borderId="20" xfId="0" applyFont="1" applyBorder="1" applyAlignment="1">
      <alignment horizontal="center" wrapText="1"/>
    </xf>
    <xf numFmtId="0" fontId="2" fillId="0" borderId="21" xfId="0" applyFont="1" applyBorder="1" applyAlignment="1">
      <alignment horizontal="center" wrapText="1"/>
    </xf>
    <xf numFmtId="3" fontId="0" fillId="0" borderId="63" xfId="0" applyNumberFormat="1" applyBorder="1" applyAlignment="1">
      <alignment horizontal="center" wrapText="1"/>
    </xf>
    <xf numFmtId="37" fontId="2" fillId="22" borderId="52" xfId="1" applyNumberFormat="1" applyFont="1" applyFill="1" applyBorder="1" applyAlignment="1" applyProtection="1">
      <alignment horizontal="center" vertical="center"/>
    </xf>
    <xf numFmtId="37" fontId="2" fillId="22" borderId="53" xfId="1" applyNumberFormat="1" applyFont="1" applyFill="1" applyBorder="1" applyAlignment="1" applyProtection="1">
      <alignment horizontal="center" vertical="center"/>
    </xf>
    <xf numFmtId="37" fontId="2" fillId="22" borderId="54" xfId="1" applyNumberFormat="1" applyFont="1" applyFill="1" applyBorder="1" applyAlignment="1" applyProtection="1">
      <alignment horizontal="center" vertical="center"/>
    </xf>
    <xf numFmtId="3" fontId="0" fillId="0" borderId="0" xfId="0" applyNumberFormat="1" applyAlignment="1">
      <alignment horizontal="center"/>
    </xf>
    <xf numFmtId="0" fontId="0" fillId="0" borderId="0" xfId="0" applyAlignment="1">
      <alignment horizontal="left" vertical="center" wrapText="1"/>
    </xf>
    <xf numFmtId="0" fontId="0" fillId="0" borderId="60" xfId="0" applyBorder="1" applyAlignment="1">
      <alignment horizontal="left" vertical="center" wrapText="1"/>
    </xf>
    <xf numFmtId="0" fontId="0" fillId="0" borderId="62" xfId="0" applyBorder="1" applyAlignment="1">
      <alignment horizontal="left" vertical="center" wrapText="1"/>
    </xf>
    <xf numFmtId="0" fontId="0" fillId="0" borderId="65" xfId="0" applyBorder="1" applyAlignment="1">
      <alignment horizontal="left" vertical="center" wrapText="1"/>
    </xf>
    <xf numFmtId="3" fontId="0" fillId="0" borderId="49" xfId="0" applyNumberFormat="1" applyBorder="1" applyAlignment="1">
      <alignment horizontal="center"/>
    </xf>
    <xf numFmtId="0" fontId="0" fillId="0" borderId="1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10" borderId="4" xfId="0" applyFill="1" applyBorder="1" applyAlignment="1">
      <alignment horizontal="left" vertical="center"/>
    </xf>
    <xf numFmtId="0" fontId="0" fillId="10" borderId="12" xfId="0" applyFill="1" applyBorder="1" applyAlignment="1">
      <alignment horizontal="left" vertical="center"/>
    </xf>
    <xf numFmtId="0" fontId="0" fillId="10" borderId="3" xfId="0" applyFill="1" applyBorder="1" applyAlignment="1">
      <alignment horizontal="left" vertical="center"/>
    </xf>
  </cellXfs>
  <cellStyles count="10">
    <cellStyle name="Comma" xfId="1" builtinId="3"/>
    <cellStyle name="Currency 2" xfId="4" xr:uid="{70E59BA2-B807-47AD-BD06-42036384CE0E}"/>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_5-6 digit" xfId="9" xr:uid="{36CF748F-C7A3-4E3E-8ACE-D21BE5097361}"/>
    <cellStyle name="Percent" xfId="8" builtinId="5"/>
  </cellStyles>
  <dxfs count="6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ertAlign val="baseline"/>
        <sz val="11"/>
        <color theme="1"/>
        <name val="Calibri"/>
        <family val="2"/>
        <scheme val="minor"/>
      </font>
    </dxf>
    <dxf>
      <alignment horizontal="center" vertical="center" textRotation="0" wrapText="0"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left style="thin">
          <color indexed="64"/>
        </left>
        <top style="thin">
          <color indexed="64"/>
        </top>
      </border>
    </dxf>
    <dxf>
      <fill>
        <patternFill patternType="none">
          <bgColor auto="1"/>
        </patternFill>
      </fill>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FFFF99"/>
      <color rgb="FF99000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55"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4045857</xdr:colOff>
      <xdr:row>3</xdr:row>
      <xdr:rowOff>63500</xdr:rowOff>
    </xdr:from>
    <xdr:to>
      <xdr:col>7</xdr:col>
      <xdr:colOff>362</xdr:colOff>
      <xdr:row>3</xdr:row>
      <xdr:rowOff>109219</xdr:rowOff>
    </xdr:to>
    <xdr:sp macro="" textlink="">
      <xdr:nvSpPr>
        <xdr:cNvPr id="3" name="Arrow: Bent 2">
          <a:extLst>
            <a:ext uri="{FF2B5EF4-FFF2-40B4-BE49-F238E27FC236}">
              <a16:creationId xmlns:a16="http://schemas.microsoft.com/office/drawing/2014/main" id="{F3CFD841-5CCF-D040-4A3D-644A9BFDC191}"/>
            </a:ext>
          </a:extLst>
        </xdr:cNvPr>
        <xdr:cNvSpPr/>
      </xdr:nvSpPr>
      <xdr:spPr>
        <a:xfrm>
          <a:off x="12872357" y="816429"/>
          <a:ext cx="45719" cy="45719"/>
        </a:xfrm>
        <a:prstGeom prst="ben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6:J71" totalsRowShown="0" headerRowDxfId="64" dataDxfId="62" headerRowBorderDxfId="63" tableBorderDxfId="61">
  <autoFilter ref="A6:J71" xr:uid="{00000000-0009-0000-0100-000002000000}"/>
  <tableColumns count="10">
    <tableColumn id="1" xr3:uid="{00000000-0010-0000-0000-000001000000}" name="UNIT" dataDxfId="60"/>
    <tableColumn id="2" xr3:uid="{00000000-0010-0000-0000-000002000000}" name="OSC" dataDxfId="59"/>
    <tableColumn id="3" xr3:uid="{00000000-0010-0000-0000-000003000000}" name="OSC TITLE" dataDxfId="58"/>
    <tableColumn id="4" xr3:uid="{00000000-0010-0000-0000-000004000000}" name="PSN NBR" dataDxfId="57"/>
    <tableColumn id="5" xr3:uid="{00000000-0010-0000-0000-000005000000}" name="AFSC" dataDxfId="56"/>
    <tableColumn id="11" xr3:uid="{00000000-0010-0000-0000-00000B000000}" name="AFSC TITLE" dataDxfId="55"/>
    <tableColumn id="6" xr3:uid="{00000000-0010-0000-0000-000006000000}" name="GRADE" dataDxfId="54"/>
    <tableColumn id="7" xr3:uid="{00000000-0010-0000-0000-000007000000}" name="RIC" dataDxfId="53"/>
    <tableColumn id="8" xr3:uid="{64B9E38B-A5E7-4F2F-8300-AF2F1D9F7F22}" name="Fund FYXX" dataDxfId="52"/>
    <tableColumn id="9" xr3:uid="{00000000-0010-0000-0000-000009000000}" name="WORKSHEET ASSIGNMENT" dataDxfId="5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50">
  <autoFilter ref="A1:B10" xr:uid="{00000000-0009-0000-0100-000001000000}"/>
  <sortState xmlns:xlrd2="http://schemas.microsoft.com/office/spreadsheetml/2017/richdata2" ref="A2:B10">
    <sortCondition ref="A1:A10"/>
  </sortState>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CATCodeListing" displayName="CATCodeListing" ref="L1:O1048576" totalsRowShown="0" tableBorderDxfId="49">
  <autoFilter ref="L1:O1048576" xr:uid="{00000000-0009-0000-0100-000003000000}"/>
  <tableColumns count="4">
    <tableColumn id="1" xr3:uid="{00000000-0010-0000-0400-000001000000}" name="CATCode" dataDxfId="48"/>
    <tableColumn id="2" xr3:uid="{00000000-0010-0000-0400-000002000000}" name="CATCode Long Name"/>
    <tableColumn id="3" xr3:uid="{48E1E1E7-AD5B-463C-BB99-68F106D5AC6F}" name="CATCode Description" dataDxfId="47"/>
    <tableColumn id="4" xr3:uid="{1FE42E82-5D52-406F-865C-905B35F6491A}" name="Standards/Criteria Reference (if available)" dataDxfId="4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45" dataDxfId="43" headerRowBorderDxfId="44" tableBorderDxfId="42">
  <tableColumns count="6">
    <tableColumn id="1" xr3:uid="{11D15AC3-B2EE-4462-BD99-0728019626AD}" name="# PN lower" dataDxfId="41"/>
    <tableColumn id="2" xr3:uid="{9836C31C-3EEC-4DAB-86BE-FB7FCE73A2FD}" name="#PN upper" dataDxfId="40"/>
    <tableColumn id="3" xr3:uid="{652E69B7-2F54-4BB9-888C-DBC8F5D02BD8}" name="Team ft2 _x000a_# Seats" dataDxfId="39"/>
    <tableColumn id="4" xr3:uid="{322778D5-C298-4964-B848-E48209D5891C}" name="Total Team Rm" dataDxfId="38"/>
    <tableColumn id="5" xr3:uid="{7D1354CD-8B17-4ECB-8289-15C7B468647D}" name="Total Confer (with 150 Speaker Area)" dataDxfId="37"/>
    <tableColumn id="6" xr3:uid="{B840E88C-F551-40EA-AB53-23A1312435B0}" name="Total Space NSF" dataDxfId="3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61:B85" totalsRowShown="0" headerRowDxfId="35" dataDxfId="33" headerRowBorderDxfId="34" tableBorderDxfId="32">
  <autoFilter ref="A61:B85" xr:uid="{BEA2A12D-2644-4152-A96E-377542873E81}"/>
  <sortState xmlns:xlrd2="http://schemas.microsoft.com/office/spreadsheetml/2017/richdata2" ref="A62:B85">
    <sortCondition ref="A61:A85"/>
  </sortState>
  <tableColumns count="2">
    <tableColumn id="1" xr3:uid="{1206826D-CE5F-4119-9001-7DB82D7FB573}" name="Position (or Equivalent)" dataDxfId="31"/>
    <tableColumn id="2" xr3:uid="{6F6749D0-2453-4854-B013-BC9C5F09B2AF}" name="Office Type" dataDxfId="3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48" totalsRowShown="0" headerRowDxfId="29" headerRowBorderDxfId="28" tableBorderDxfId="27">
  <autoFilter ref="H1:I48" xr:uid="{7F8EFAA5-4B8D-4B8B-B4E3-70A1DABA89DD}"/>
  <sortState xmlns:xlrd2="http://schemas.microsoft.com/office/spreadsheetml/2017/richdata2" ref="H2:I48">
    <sortCondition ref="H1:H48"/>
  </sortState>
  <tableColumns count="2">
    <tableColumn id="1" xr3:uid="{2D71B18A-A5B0-4771-81F9-4DCCAE3BEAAD}" name="Admin Special Purpose"/>
    <tableColumn id="2" xr3:uid="{D4E4A59E-6A89-4837-AB9A-821CD30A2C82}" name="SF" dataDxfId="2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57" totalsRowShown="0">
  <autoFilter ref="A13:B57" xr:uid="{8160CB57-FE51-46B9-A8B0-31899407118E}"/>
  <sortState xmlns:xlrd2="http://schemas.microsoft.com/office/spreadsheetml/2017/richdata2" ref="A14:B57">
    <sortCondition ref="A13:A57"/>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25" dataDxfId="24">
  <autoFilter ref="E1:E112" xr:uid="{563BC5D7-101C-4ADA-A13F-C13D1E83DEEB}"/>
  <tableColumns count="1">
    <tableColumn id="1" xr3:uid="{BB5972EB-1575-4345-AC93-0407A7DC8743}" name="Grades" dataDxfId="2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7" totalsRowShown="0" headerRowDxfId="22" dataDxfId="21">
  <autoFilter ref="Q30:S57" xr:uid="{BCE72531-EFB1-4A17-9913-CB2E1683EA20}"/>
  <tableColumns count="3">
    <tableColumn id="1" xr3:uid="{0593265C-EF00-46F4-831A-02C7B08DF30E}" name="# PN lower" dataDxfId="20"/>
    <tableColumn id="2" xr3:uid="{88FA36E9-1CAC-48FD-83D2-8C3EB3F8131A}" name="# PN upper" dataDxfId="19"/>
    <tableColumn id="5" xr3:uid="{642A5F75-7C4E-433E-871E-54571FCA96DC}" name="Total Space" dataDxfId="1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wbdg.org/ffc/af-afcec/manuals-afm/afman-32-108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wbdg.org/ffc/af-afcec/manuals-afm/afman-32-1084"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wbdg.org/ffc/af-afcec/manuals-afm/afman-32-1084"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wbdg.org/ffc/af-afcec/manuals-afm/afman-32-1084"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wbdg.org/ffc/af-afcec/manuals-afm/afman-32-1084"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wbdg.org/ffc/af-afcec/manuals-afm/afman-32-1084"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wbdg.org/ffc/af-afcec/manuals-afm/afman-32-1084"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wbdg.org/ffc/af-afcec/manuals-afm/afman-32-1084"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wbdg.org/ffc/af-afcec/manuals-afm/afman-32-1084"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wbdg.org/ffc/af-afcec/manuals-afm/afman-32-1084"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wbdg.org/ffc/af-afcec/manuals-afm/afman-32-1084"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wbdg.org/ffc/af-afcec/manuals-afm/afman-32-1084"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wbdg.org/ffc/af-afcec/manuals-afm/afman-32-1084"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wbdg.org/ffc/af-afcec/manuals-afm/afman-32-1084"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wbdg.org/ffc/af-afcec/manuals-afm/afman-32-1084"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wbdg.org/ffc/af-afcec/manuals-afm/afman-32-1084"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wbdg.org/ffc/af-afcec/manuals-afm/afman-32-1084"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wbdg.org/ffc/af-afcec/manuals-afm/afman-32-1084"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wbdg.org/ffc/af-afcec/manuals-afm/afman-32-1084"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wbdg.org/ffc/af-afcec/manuals-afm/afman-32-1084"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wbdg.org/ffc/af-afcec/manuals-afm/afman-32-1084"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wbdg.org/ffc/af-afcec/manuals-afm/afman-32-1084"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wbdg.org/ffc/af-afcec/manuals-afm/afman-32-1084"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wbdg.org/ffc/af-afcec/manuals-afm/afman-32-1084"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wbdg.org/ffc/af-afcec/manuals-afm/afman-32-1084"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wbdg.org/ffc/af-afcec/manuals-afm/afman-32-1084"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wbdg.org/ffc/af-afcec/manuals-afm/afman-32-1084"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wbdg.org/ffc/af-afcec/manuals-afm/afman-32-1084"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wbdg.org/ffc/af-afcec/manuals-afm/afman-32-1084"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wbdg.org/ffc/af-afcec/manuals-afm/afman-32-1084"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wbdg.org/ffc/af-afcec/manuals-afm/afman-32-1084"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bdg.org/ffc/af-afcec/manuals-afm/afman-32-1084"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wbdg.org/ffc/af-afcec/manuals-afm/afman-32-1084"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wbdg.org/ffc/af-afcec/manuals-afm/afman-32-1084"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wbdg.org/ffc/af-afcec/manuals-afm/afman-32-1084"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wbdg.org/ffc/af-afcec/manuals-afm/afman-32-1084" TargetMode="External"/></Relationships>
</file>

<file path=xl/worksheets/_rels/sheet4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wbdg.org/ffc/af-afcec/manuals-afm/afman-32-1084" TargetMode="External"/></Relationships>
</file>

<file path=xl/worksheets/_rels/sheet46.xml.rels><?xml version="1.0" encoding="UTF-8" standalone="yes"?>
<Relationships xmlns="http://schemas.openxmlformats.org/package/2006/relationships"><Relationship Id="rId8" Type="http://schemas.openxmlformats.org/officeDocument/2006/relationships/printerSettings" Target="../printerSettings/printerSettings46.bin"/><Relationship Id="rId13" Type="http://schemas.openxmlformats.org/officeDocument/2006/relationships/table" Target="../tables/table6.xml"/><Relationship Id="rId3" Type="http://schemas.openxmlformats.org/officeDocument/2006/relationships/hyperlink" Target="https://www.wbdg.org/FFC/AF/AFMAN/179024_Prisoner_of_War_Training_Area.pdf" TargetMode="External"/><Relationship Id="rId7" Type="http://schemas.openxmlformats.org/officeDocument/2006/relationships/hyperlink" Target="https://www.wbdg.org/FFC/AF/AFMAN/740664_Arts_and_Crafts_Center.pdf" TargetMode="External"/><Relationship Id="rId12" Type="http://schemas.openxmlformats.org/officeDocument/2006/relationships/table" Target="../tables/table5.xml"/><Relationship Id="rId2" Type="http://schemas.openxmlformats.org/officeDocument/2006/relationships/hyperlink" Target="https://www.wbdg.org/FFC/AF/AFMAN/179026_Combat_Trail.pdf" TargetMode="External"/><Relationship Id="rId16" Type="http://schemas.openxmlformats.org/officeDocument/2006/relationships/table" Target="../tables/table9.xm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11" Type="http://schemas.openxmlformats.org/officeDocument/2006/relationships/table" Target="../tables/table4.xml"/><Relationship Id="rId5" Type="http://schemas.openxmlformats.org/officeDocument/2006/relationships/hyperlink" Target="https://www.wbdg.org/FFC/AF/AFMAN/179019_Bayonet_Assault_Course.pdf" TargetMode="External"/><Relationship Id="rId15" Type="http://schemas.openxmlformats.org/officeDocument/2006/relationships/table" Target="../tables/table8.xml"/><Relationship Id="rId10" Type="http://schemas.openxmlformats.org/officeDocument/2006/relationships/table" Target="../tables/table3.xml"/><Relationship Id="rId4" Type="http://schemas.openxmlformats.org/officeDocument/2006/relationships/hyperlink" Target="https://www.wbdg.org/FFC/AF/AFMAN/179021_Mine_Warfare_Area.pdf" TargetMode="External"/><Relationship Id="rId9" Type="http://schemas.openxmlformats.org/officeDocument/2006/relationships/table" Target="../tables/table2.xml"/><Relationship Id="rId14" Type="http://schemas.openxmlformats.org/officeDocument/2006/relationships/table" Target="../tables/table7.xm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wbdg.org/FFC/AF/AFMAN/141454_Tactical_Operations.pdf"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bdg.org/ffc/af-afcec/manuals-afm/afman-32-1084"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wbdg.org/ffc/af-afcec/manuals-afm/afman-32-1084"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wbdg.org/ffc/af-afcec/manuals-afm/afman-32-1084"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wbdg.org/ffc/af-afcec/manuals-afm/afman-32-1084"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wbdg.org/ffc/af-afcec/manuals-afm/afman-32-108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59999389629810485"/>
    <pageSetUpPr fitToPage="1"/>
  </sheetPr>
  <dimension ref="A1:I61"/>
  <sheetViews>
    <sheetView zoomScaleNormal="100" workbookViewId="0">
      <selection activeCell="E9" sqref="E9"/>
    </sheetView>
  </sheetViews>
  <sheetFormatPr defaultColWidth="8.7265625" defaultRowHeight="14.5" x14ac:dyDescent="0.35"/>
  <cols>
    <col min="1" max="1" width="38.7265625" customWidth="1"/>
    <col min="2" max="2" width="56.7265625" customWidth="1"/>
    <col min="3" max="3" width="14.7265625" customWidth="1"/>
    <col min="4" max="4" width="19.453125" bestFit="1" customWidth="1"/>
  </cols>
  <sheetData>
    <row r="1" spans="1:9" ht="22.5" customHeight="1" x14ac:dyDescent="0.35">
      <c r="A1" s="563" t="s">
        <v>0</v>
      </c>
      <c r="B1" s="564"/>
      <c r="C1" s="574" t="s">
        <v>1</v>
      </c>
      <c r="D1" s="468"/>
    </row>
    <row r="2" spans="1:9" ht="18" customHeight="1" thickBot="1" x14ac:dyDescent="0.4">
      <c r="A2" s="573" t="s">
        <v>2</v>
      </c>
      <c r="B2" s="573"/>
      <c r="C2" s="575"/>
      <c r="D2" s="469"/>
      <c r="E2" s="449"/>
      <c r="F2" s="449"/>
      <c r="G2" s="449"/>
      <c r="H2" s="449"/>
      <c r="I2" s="449"/>
    </row>
    <row r="3" spans="1:9" ht="18" customHeight="1" thickBot="1" x14ac:dyDescent="0.5">
      <c r="A3" s="277" t="s">
        <v>3</v>
      </c>
      <c r="B3" s="277" t="s">
        <v>4</v>
      </c>
      <c r="C3" s="576"/>
      <c r="D3" s="467" t="s">
        <v>5</v>
      </c>
      <c r="E3" s="121"/>
    </row>
    <row r="4" spans="1:9" ht="14.5" customHeight="1" thickBot="1" x14ac:dyDescent="0.4">
      <c r="A4" s="255">
        <v>171815</v>
      </c>
      <c r="B4" s="276" t="str">
        <f>VLOOKUP(A4,CATCodeListing[[#All],[CATCode]:[CATCode Long Name]],2,FALSE)</f>
        <v>Enlisted Professional Military Education Center</v>
      </c>
      <c r="C4" s="447">
        <f>'171815_PME'!G45</f>
        <v>0</v>
      </c>
      <c r="D4" s="470" t="s">
        <v>6</v>
      </c>
    </row>
    <row r="5" spans="1:9" ht="14.5" customHeight="1" thickBot="1" x14ac:dyDescent="0.4">
      <c r="A5" s="255">
        <v>432283</v>
      </c>
      <c r="B5" s="276" t="str">
        <f>VLOOKUP(A5,CATCodeListing[[#All],[CATCode]:[CATCode Long Name]],2,FALSE)</f>
        <v>Cold Storage, Base</v>
      </c>
      <c r="C5" s="447">
        <f>'432283_Cold Storage'!G19</f>
        <v>0</v>
      </c>
      <c r="D5" s="470" t="s">
        <v>7</v>
      </c>
    </row>
    <row r="6" spans="1:9" ht="14.5" customHeight="1" thickBot="1" x14ac:dyDescent="0.4">
      <c r="A6" s="255">
        <v>441100</v>
      </c>
      <c r="B6" s="276" t="str">
        <f>VLOOKUP(A6,CATCodeListing[[#All],[CATCode]:[CATCode Long Name]],2,FALSE)</f>
        <v>General Purpose Warehouse</v>
      </c>
      <c r="C6" s="447">
        <f>'441100_Gen Storage'!G18</f>
        <v>0</v>
      </c>
      <c r="D6" s="470" t="s">
        <v>7</v>
      </c>
    </row>
    <row r="7" spans="1:9" ht="14.5" customHeight="1" thickBot="1" x14ac:dyDescent="0.4">
      <c r="A7" s="255">
        <v>442765</v>
      </c>
      <c r="B7" s="276" t="str">
        <f>VLOOKUP(A7,CATCodeListing[[#All],[CATCode]:[CATCode Long Name]],2,FALSE)</f>
        <v>Warehouse, Troop Subsistence</v>
      </c>
      <c r="C7" s="447">
        <f>'442765_Subsistence Whse'!G18</f>
        <v>0</v>
      </c>
      <c r="D7" s="470" t="s">
        <v>7</v>
      </c>
    </row>
    <row r="8" spans="1:9" ht="14.5" customHeight="1" thickBot="1" x14ac:dyDescent="0.4">
      <c r="A8" s="255">
        <v>730801</v>
      </c>
      <c r="B8" s="276" t="str">
        <f>VLOOKUP(A8,CATCodeListing[[#All],[CATCode]:[CATCode Long Name]],2,FALSE)</f>
        <v>Honor Guard</v>
      </c>
      <c r="C8" s="447">
        <f>'730801_HG_Admin'!G48</f>
        <v>0</v>
      </c>
      <c r="D8" s="470" t="s">
        <v>8</v>
      </c>
    </row>
    <row r="9" spans="1:9" ht="14.5" customHeight="1" thickBot="1" x14ac:dyDescent="0.4">
      <c r="A9" s="255">
        <v>610124</v>
      </c>
      <c r="B9" s="276" t="str">
        <f>VLOOKUP(A9,CATCodeListing[[#All],[CATCode]:[CATCode Long Name]],2,FALSE)</f>
        <v>Squadron / Company Headquarters Building</v>
      </c>
      <c r="C9" s="447">
        <f>'610124_Sq HQ'!G60</f>
        <v>0</v>
      </c>
      <c r="D9" s="470" t="s">
        <v>8</v>
      </c>
    </row>
    <row r="10" spans="1:9" ht="14.5" customHeight="1" thickBot="1" x14ac:dyDescent="0.4">
      <c r="A10" s="255">
        <v>610128</v>
      </c>
      <c r="B10" s="276" t="str">
        <f>VLOOKUP(A10,CATCodeListing[[#All],[CATCode]:[CATCode Long Name]],2,FALSE)</f>
        <v>Base Personnel Office</v>
      </c>
      <c r="C10" s="447">
        <f>'610128(FSP)'!G60+'610128(FSC)'!G60</f>
        <v>0</v>
      </c>
      <c r="D10" s="470" t="s">
        <v>8</v>
      </c>
    </row>
    <row r="11" spans="1:9" ht="14.5" customHeight="1" thickBot="1" x14ac:dyDescent="0.4">
      <c r="A11" s="255">
        <v>721215</v>
      </c>
      <c r="B11" s="276" t="str">
        <f>VLOOKUP(A11,CATCodeListing[[#All],[CATCode]:[CATCode Long Name]],2,FALSE)</f>
        <v>Dining Hall in Airman Dormitory</v>
      </c>
      <c r="C11" s="447">
        <f>'721215_DFAC(Dorm)'!G19</f>
        <v>0</v>
      </c>
      <c r="D11" s="470" t="s">
        <v>6</v>
      </c>
    </row>
    <row r="12" spans="1:9" ht="14.5" customHeight="1" thickBot="1" x14ac:dyDescent="0.4">
      <c r="A12" s="255">
        <v>722351</v>
      </c>
      <c r="B12" s="276" t="str">
        <f>VLOOKUP(A12,CATCodeListing[[#All],[CATCode]:[CATCode Long Name]],2,FALSE)</f>
        <v>Airman Dining Halls (Detached)</v>
      </c>
      <c r="C12" s="447">
        <f>'722351_DFAC'!G18</f>
        <v>0</v>
      </c>
      <c r="D12" s="470" t="s">
        <v>6</v>
      </c>
    </row>
    <row r="13" spans="1:9" ht="14.5" customHeight="1" thickBot="1" x14ac:dyDescent="0.4">
      <c r="A13" s="255">
        <v>722345</v>
      </c>
      <c r="B13" s="276" t="str">
        <f>VLOOKUP(A13,CATCodeListing[[#All],[CATCode]:[CATCode Long Name]],2,FALSE)</f>
        <v>Fast Food Service</v>
      </c>
      <c r="C13" s="447">
        <f>'722345_Fast Food'!G19</f>
        <v>0</v>
      </c>
      <c r="D13" s="470" t="s">
        <v>7</v>
      </c>
    </row>
    <row r="14" spans="1:9" ht="14.5" customHeight="1" thickBot="1" x14ac:dyDescent="0.4">
      <c r="A14" s="255">
        <v>723385</v>
      </c>
      <c r="B14" s="276" t="str">
        <f>VLOOKUP(A14,CATCodeListing[[#All],[CATCode]:[CATCode Long Name]],2,FALSE)</f>
        <v>Kitchen, Central Preparation</v>
      </c>
      <c r="C14" s="447">
        <f>'723385_Prep Kitchen'!G19</f>
        <v>0</v>
      </c>
      <c r="D14" s="470" t="s">
        <v>7</v>
      </c>
    </row>
    <row r="15" spans="1:9" ht="14.5" customHeight="1" thickBot="1" x14ac:dyDescent="0.4">
      <c r="A15" s="255">
        <v>723388</v>
      </c>
      <c r="B15" s="276" t="str">
        <f>VLOOKUP(A15,CATCodeListing[[#All],[CATCode]:[CATCode Long Name]],2,FALSE)</f>
        <v>Flight Kitchen</v>
      </c>
      <c r="C15" s="447">
        <f>'723388_Flt Kitchen'!G16</f>
        <v>0</v>
      </c>
      <c r="D15" s="470" t="s">
        <v>6</v>
      </c>
    </row>
    <row r="16" spans="1:9" ht="14.5" customHeight="1" thickBot="1" x14ac:dyDescent="0.4">
      <c r="A16" s="255">
        <v>730441</v>
      </c>
      <c r="B16" s="276" t="str">
        <f>VLOOKUP(A16,CATCodeListing[[#All],[CATCode]:[CATCode Long Name]],2,FALSE)</f>
        <v>Education Center</v>
      </c>
      <c r="C16" s="447">
        <f>'730441_Ed Ctr'!G66</f>
        <v>0</v>
      </c>
      <c r="D16" s="470" t="s">
        <v>8</v>
      </c>
    </row>
    <row r="17" spans="1:4" ht="14.5" customHeight="1" thickBot="1" x14ac:dyDescent="0.4">
      <c r="A17" s="255">
        <v>730443</v>
      </c>
      <c r="B17" s="276" t="str">
        <f>VLOOKUP(A17,CATCodeListing[[#All],[CATCode]:[CATCode Long Name]],2,FALSE)</f>
        <v>Post Office</v>
      </c>
      <c r="C17" s="447">
        <f>'730443_Postal'!G18</f>
        <v>0</v>
      </c>
      <c r="D17" s="470" t="s">
        <v>9</v>
      </c>
    </row>
    <row r="18" spans="1:4" ht="14.5" customHeight="1" thickBot="1" x14ac:dyDescent="0.4">
      <c r="A18" s="255">
        <v>738521</v>
      </c>
      <c r="B18" s="276" t="str">
        <f>VLOOKUP(A18,CATCodeListing[[#All],[CATCode]:[CATCode Long Name]],2,FALSE)</f>
        <v>Separate Toilet/Shower Building</v>
      </c>
      <c r="C18" s="447">
        <f>'738521_Toilet'!G19</f>
        <v>0</v>
      </c>
      <c r="D18" s="470" t="s">
        <v>7</v>
      </c>
    </row>
    <row r="19" spans="1:4" ht="14.5" customHeight="1" thickBot="1" x14ac:dyDescent="0.4">
      <c r="A19" s="255">
        <v>740253</v>
      </c>
      <c r="B19" s="276" t="str">
        <f>VLOOKUP(A19,CATCodeListing[[#All],[CATCode]:[CATCode Long Name]],2,FALSE)</f>
        <v>Family Support Center</v>
      </c>
      <c r="C19" s="447">
        <f>'740253_MFRC'!G52</f>
        <v>0</v>
      </c>
      <c r="D19" s="470" t="s">
        <v>8</v>
      </c>
    </row>
    <row r="20" spans="1:4" ht="14.5" customHeight="1" thickBot="1" x14ac:dyDescent="0.4">
      <c r="A20" s="255">
        <v>740255</v>
      </c>
      <c r="B20" s="276" t="str">
        <f>VLOOKUP(A20,CATCodeListing[[#All],[CATCode]:[CATCode Long Name]],2,FALSE)</f>
        <v>Thrift SHP</v>
      </c>
      <c r="C20" s="447">
        <f>'740255_Thrift Shop'!G18</f>
        <v>0</v>
      </c>
      <c r="D20" s="470" t="s">
        <v>6</v>
      </c>
    </row>
    <row r="21" spans="1:4" ht="14.5" customHeight="1" thickBot="1" x14ac:dyDescent="0.4">
      <c r="A21" s="255">
        <v>740315</v>
      </c>
      <c r="B21" s="276" t="str">
        <f>VLOOKUP(A21,CATCodeListing[[#All],[CATCode]:[CATCode Long Name]],2,FALSE)</f>
        <v>Rod and Gun Club</v>
      </c>
      <c r="C21" s="447">
        <f>'740315_Rod&amp;Gun Club'!G18</f>
        <v>0</v>
      </c>
      <c r="D21" s="470" t="s">
        <v>6</v>
      </c>
    </row>
    <row r="22" spans="1:4" ht="14.5" customHeight="1" thickBot="1" x14ac:dyDescent="0.4">
      <c r="A22" s="255">
        <v>740316</v>
      </c>
      <c r="B22" s="276" t="str">
        <f>VLOOKUP(A22,CATCodeListing[[#All],[CATCode]:[CATCode Long Name]],2,FALSE)</f>
        <v>Recreation/Community Center</v>
      </c>
      <c r="C22" s="447">
        <f>'740316_Rec Ctr'!G18</f>
        <v>0</v>
      </c>
      <c r="D22" s="470" t="s">
        <v>6</v>
      </c>
    </row>
    <row r="23" spans="1:4" ht="14.5" customHeight="1" thickBot="1" x14ac:dyDescent="0.4">
      <c r="A23" s="255">
        <v>740317</v>
      </c>
      <c r="B23" s="276" t="str">
        <f>VLOOKUP(A23,CATCodeListing[[#All],[CATCode]:[CATCode Long Name]],2,FALSE)</f>
        <v>AERO Club</v>
      </c>
      <c r="C23" s="447">
        <f>'740317_Aero Club'!G18</f>
        <v>0</v>
      </c>
      <c r="D23" s="470" t="s">
        <v>6</v>
      </c>
    </row>
    <row r="24" spans="1:4" ht="14.5" customHeight="1" thickBot="1" x14ac:dyDescent="0.4">
      <c r="A24" s="255">
        <v>740370</v>
      </c>
      <c r="B24" s="276" t="str">
        <f>VLOOKUP(A24,CATCodeListing[[#All],[CATCode]:[CATCode Long Name]],2,FALSE)</f>
        <v>MWR Outdoor Recreation Center</v>
      </c>
      <c r="C24" s="447">
        <f>'740370_ODR Ctr '!G41</f>
        <v>0</v>
      </c>
      <c r="D24" s="470" t="s">
        <v>8</v>
      </c>
    </row>
    <row r="25" spans="1:4" ht="14.5" customHeight="1" thickBot="1" x14ac:dyDescent="0.4">
      <c r="A25" s="255">
        <v>740615</v>
      </c>
      <c r="B25" s="276" t="str">
        <f>VLOOKUP(A25,CATCodeListing[[#All],[CATCode]:[CATCode Long Name]],2,FALSE)</f>
        <v>Consolidated Open Mess</v>
      </c>
      <c r="C25" s="447">
        <f>'740615_Club'!G18</f>
        <v>0</v>
      </c>
      <c r="D25" s="470" t="s">
        <v>6</v>
      </c>
    </row>
    <row r="26" spans="1:4" ht="14.5" customHeight="1" thickBot="1" x14ac:dyDescent="0.4">
      <c r="A26" s="255">
        <v>740664</v>
      </c>
      <c r="B26" s="276" t="str">
        <f>VLOOKUP(A26,CATCodeListing[[#All],[CATCode]:[CATCode Long Name]],2,FALSE)</f>
        <v>Arts and Crafts Center</v>
      </c>
      <c r="C26" s="447">
        <f>'740664_A&amp;C Ctr'!G18</f>
        <v>0</v>
      </c>
      <c r="D26" s="470" t="s">
        <v>6</v>
      </c>
    </row>
    <row r="27" spans="1:4" ht="14.5" customHeight="1" thickBot="1" x14ac:dyDescent="0.4">
      <c r="A27" s="255">
        <v>740665</v>
      </c>
      <c r="B27" s="276" t="str">
        <f>VLOOKUP(A27,CATCodeListing[[#All],[CATCode]:[CATCode Long Name]],2,FALSE)</f>
        <v>Hobby Shop Automotive</v>
      </c>
      <c r="C27" s="447">
        <f>'740665_Auto Hobby'!G18</f>
        <v>0</v>
      </c>
      <c r="D27" s="470" t="s">
        <v>6</v>
      </c>
    </row>
    <row r="28" spans="1:4" ht="14.5" customHeight="1" thickBot="1" x14ac:dyDescent="0.4">
      <c r="A28" s="255">
        <v>740668</v>
      </c>
      <c r="B28" s="276" t="str">
        <f>VLOOKUP(A28,CATCodeListing[[#All],[CATCode]:[CATCode Long Name]],2,FALSE)</f>
        <v>Recreation Support Facility</v>
      </c>
      <c r="C28" s="447">
        <f>'740668_Misc Rec'!G18</f>
        <v>0</v>
      </c>
      <c r="D28" s="470" t="s">
        <v>7</v>
      </c>
    </row>
    <row r="29" spans="1:4" ht="14.5" customHeight="1" thickBot="1" x14ac:dyDescent="0.4">
      <c r="A29" s="255">
        <v>740671</v>
      </c>
      <c r="B29" s="276" t="str">
        <f>VLOOKUP(A29,CATCodeListing[[#All],[CATCode]:[CATCode Long Name]],2,FALSE)</f>
        <v>Bowling Center</v>
      </c>
      <c r="C29" s="447">
        <f>'740671_Bowling Ctr'!G18</f>
        <v>0</v>
      </c>
      <c r="D29" s="470" t="s">
        <v>6</v>
      </c>
    </row>
    <row r="30" spans="1:4" ht="14.5" customHeight="1" thickBot="1" x14ac:dyDescent="0.4">
      <c r="A30" s="255">
        <v>740672</v>
      </c>
      <c r="B30" s="276" t="str">
        <f>VLOOKUP(A30,CATCodeListing[[#All],[CATCode]:[CATCode Long Name]],2,FALSE)</f>
        <v>MWR Supply and NAF Central Storage</v>
      </c>
      <c r="C30" s="447">
        <f>'740672_ODR Storage'!G16</f>
        <v>0</v>
      </c>
      <c r="D30" s="470" t="s">
        <v>6</v>
      </c>
    </row>
    <row r="31" spans="1:4" ht="14.5" customHeight="1" thickBot="1" x14ac:dyDescent="0.4">
      <c r="A31" s="255">
        <v>740674</v>
      </c>
      <c r="B31" s="276" t="str">
        <f>VLOOKUP(A31,CATCodeListing[[#All],[CATCode]:[CATCode Long Name]],2,FALSE)</f>
        <v>Gymnasium</v>
      </c>
      <c r="C31" s="447">
        <f>'740674_Gym'!G18</f>
        <v>0</v>
      </c>
      <c r="D31" s="470" t="s">
        <v>6</v>
      </c>
    </row>
    <row r="32" spans="1:4" ht="14.5" customHeight="1" thickBot="1" x14ac:dyDescent="0.4">
      <c r="A32" s="255">
        <v>740675</v>
      </c>
      <c r="B32" s="276" t="str">
        <f>VLOOKUP(A32,CATCodeListing[[#All],[CATCode]:[CATCode Long Name]],2,FALSE)</f>
        <v>Base Library</v>
      </c>
      <c r="C32" s="447">
        <f>'740675_Library'!G18</f>
        <v>0</v>
      </c>
      <c r="D32" s="470" t="s">
        <v>6</v>
      </c>
    </row>
    <row r="33" spans="1:4" ht="14.5" customHeight="1" thickBot="1" x14ac:dyDescent="0.4">
      <c r="A33" s="255">
        <v>740677</v>
      </c>
      <c r="B33" s="276" t="str">
        <f>VLOOKUP(A33,CATCodeListing[[#All],[CATCode]:[CATCode Long Name]],2,FALSE)</f>
        <v>Swimming Pool, Indoor</v>
      </c>
      <c r="C33" s="447">
        <f>'740677_Indoor Pool'!G18</f>
        <v>0</v>
      </c>
      <c r="D33" s="470" t="s">
        <v>6</v>
      </c>
    </row>
    <row r="34" spans="1:4" ht="14.5" customHeight="1" thickBot="1" x14ac:dyDescent="0.4">
      <c r="A34" s="255">
        <v>740735</v>
      </c>
      <c r="B34" s="276" t="str">
        <f>VLOOKUP(A34,CATCodeListing[[#All],[CATCode]:[CATCode Long Name]],2,FALSE)</f>
        <v>Restaurant, Base</v>
      </c>
      <c r="C34" s="447">
        <f>'740735_Restaurant'!G19</f>
        <v>0</v>
      </c>
      <c r="D34" s="470" t="s">
        <v>8</v>
      </c>
    </row>
    <row r="35" spans="1:4" ht="14.5" customHeight="1" thickBot="1" x14ac:dyDescent="0.4">
      <c r="A35" s="255">
        <v>740873</v>
      </c>
      <c r="B35" s="276" t="str">
        <f>VLOOKUP(A35,CATCodeListing[[#All],[CATCode]:[CATCode Long Name]],2,FALSE)</f>
        <v>Base Auditorium/Theater</v>
      </c>
      <c r="C35" s="447">
        <f>'740873_Theatre'!G18</f>
        <v>0</v>
      </c>
      <c r="D35" s="470" t="s">
        <v>7</v>
      </c>
    </row>
    <row r="36" spans="1:4" ht="14.5" customHeight="1" thickBot="1" x14ac:dyDescent="0.4">
      <c r="A36" s="255">
        <v>740874</v>
      </c>
      <c r="B36" s="276" t="str">
        <f>VLOOKUP(A36,CATCodeListing[[#All],[CATCode]:[CATCode Long Name]],2,FALSE)</f>
        <v>Conference Center</v>
      </c>
      <c r="C36" s="447">
        <f>'740874_Cmty Ctr'!G19</f>
        <v>0</v>
      </c>
      <c r="D36" s="470" t="s">
        <v>10</v>
      </c>
    </row>
    <row r="37" spans="1:4" ht="14.5" customHeight="1" thickBot="1" x14ac:dyDescent="0.4">
      <c r="A37" s="255">
        <v>740883</v>
      </c>
      <c r="B37" s="276" t="str">
        <f>VLOOKUP(A37,CATCodeListing[[#All],[CATCode]:[CATCode Long Name]],2,FALSE)</f>
        <v>Youth Center</v>
      </c>
      <c r="C37" s="447">
        <f>'740883_Youth Ctr'!G18</f>
        <v>0</v>
      </c>
      <c r="D37" s="470" t="s">
        <v>6</v>
      </c>
    </row>
    <row r="38" spans="1:4" ht="14.5" customHeight="1" thickBot="1" x14ac:dyDescent="0.4">
      <c r="A38" s="255">
        <v>740884</v>
      </c>
      <c r="B38" s="276" t="str">
        <f>VLOOKUP(A38,CATCodeListing[[#All],[CATCode]:[CATCode Long Name]],2,FALSE)</f>
        <v>Child Development Center</v>
      </c>
      <c r="C38" s="447">
        <f>'740884_CDC'!G19</f>
        <v>0</v>
      </c>
      <c r="D38" s="470" t="s">
        <v>6</v>
      </c>
    </row>
    <row r="39" spans="1:4" ht="14.5" customHeight="1" thickBot="1" x14ac:dyDescent="0.4">
      <c r="A39" s="255">
        <v>750422</v>
      </c>
      <c r="B39" s="276" t="str">
        <f>VLOOKUP(A39,CATCodeListing[[#All],[CATCode]:[CATCode Long Name]],2,FALSE)</f>
        <v>Golf Clubhouse</v>
      </c>
      <c r="C39" s="447">
        <f>'750422_Clubhouse'!G16</f>
        <v>0</v>
      </c>
      <c r="D39" s="470" t="s">
        <v>6</v>
      </c>
    </row>
    <row r="40" spans="1:4" ht="14.5" customHeight="1" thickBot="1" x14ac:dyDescent="0.4">
      <c r="A40" s="255">
        <v>750423</v>
      </c>
      <c r="B40" s="276" t="str">
        <f>VLOOKUP(A40,CATCodeListing[[#All],[CATCode]:[CATCode Long Name]],2,FALSE)</f>
        <v>Golf Equipment Building</v>
      </c>
      <c r="C40" s="447">
        <f>'750423_Golf Eqpt'!G16</f>
        <v>0</v>
      </c>
      <c r="D40" s="470" t="s">
        <v>6</v>
      </c>
    </row>
    <row r="41" spans="1:4" ht="14.5" customHeight="1" thickBot="1" x14ac:dyDescent="0.4">
      <c r="A41" s="255">
        <v>750583</v>
      </c>
      <c r="B41" s="276" t="str">
        <f>VLOOKUP(A41,CATCodeListing[[#All],[CATCode]:[CATCode Long Name]],2,FALSE)</f>
        <v>Riding Stables</v>
      </c>
      <c r="C41" s="447">
        <f>'750583_Stables'!G18</f>
        <v>0</v>
      </c>
      <c r="D41" s="470" t="s">
        <v>6</v>
      </c>
    </row>
    <row r="42" spans="1:4" ht="14.5" customHeight="1" thickBot="1" x14ac:dyDescent="0.4">
      <c r="A42" s="255">
        <v>750612</v>
      </c>
      <c r="B42" s="276" t="str">
        <f>VLOOKUP(A42,CATCodeListing[[#All],[CATCode]:[CATCode Long Name]],2,FALSE)</f>
        <v>Family Camping Support Facility</v>
      </c>
      <c r="C42" s="447">
        <f>'750612_Camp Spt'!G16</f>
        <v>0</v>
      </c>
      <c r="D42" s="470" t="s">
        <v>6</v>
      </c>
    </row>
    <row r="43" spans="1:4" ht="14.5" customHeight="1" thickBot="1" x14ac:dyDescent="0.4">
      <c r="A43" s="255">
        <v>750811</v>
      </c>
      <c r="B43" s="276" t="str">
        <f>VLOOKUP(A43,CATCodeListing[[#All],[CATCode]:[CATCode Long Name]],2,FALSE)</f>
        <v>Swimmers Bath House</v>
      </c>
      <c r="C43" s="447">
        <f>'750811_Bath House'!G19</f>
        <v>0</v>
      </c>
      <c r="D43" s="470" t="s">
        <v>6</v>
      </c>
    </row>
    <row r="44" spans="1:4" ht="14.5" customHeight="1" thickBot="1" x14ac:dyDescent="0.4">
      <c r="A44" s="570" t="s">
        <v>11</v>
      </c>
      <c r="B44" s="571"/>
      <c r="C44" s="448">
        <f>SUM(C4:C43)</f>
        <v>0</v>
      </c>
    </row>
    <row r="45" spans="1:4" ht="15" customHeight="1" thickBot="1" x14ac:dyDescent="0.4">
      <c r="A45" s="566"/>
      <c r="B45" s="566"/>
      <c r="C45" s="566"/>
    </row>
    <row r="46" spans="1:4" s="25" customFormat="1" ht="59.15" customHeight="1" thickBot="1" x14ac:dyDescent="0.4">
      <c r="A46" s="567" t="s">
        <v>12</v>
      </c>
      <c r="B46" s="568"/>
      <c r="C46" s="569"/>
    </row>
    <row r="47" spans="1:4" s="25" customFormat="1" ht="44.15" customHeight="1" thickBot="1" x14ac:dyDescent="0.4">
      <c r="A47" s="572" t="s">
        <v>13</v>
      </c>
      <c r="B47" s="568"/>
      <c r="C47" s="569"/>
    </row>
    <row r="48" spans="1:4" ht="15" customHeight="1" thickBot="1" x14ac:dyDescent="0.4">
      <c r="A48" s="565"/>
      <c r="B48" s="565"/>
      <c r="C48" s="565"/>
    </row>
    <row r="49" spans="1:3" ht="15" customHeight="1" thickBot="1" x14ac:dyDescent="0.4">
      <c r="A49" s="578" t="s">
        <v>14</v>
      </c>
      <c r="B49" s="579"/>
      <c r="C49" s="580"/>
    </row>
    <row r="50" spans="1:3" ht="15" customHeight="1" thickBot="1" x14ac:dyDescent="0.4">
      <c r="A50" s="273" t="s">
        <v>15</v>
      </c>
      <c r="B50" s="583"/>
      <c r="C50" s="584"/>
    </row>
    <row r="51" spans="1:3" ht="15" customHeight="1" thickBot="1" x14ac:dyDescent="0.4">
      <c r="A51" s="273" t="s">
        <v>16</v>
      </c>
      <c r="B51" s="581"/>
      <c r="C51" s="582"/>
    </row>
    <row r="52" spans="1:3" ht="15" customHeight="1" thickBot="1" x14ac:dyDescent="0.4">
      <c r="A52" s="273" t="s">
        <v>17</v>
      </c>
      <c r="B52" s="581"/>
      <c r="C52" s="582"/>
    </row>
    <row r="53" spans="1:3" ht="15" customHeight="1" thickBot="1" x14ac:dyDescent="0.4">
      <c r="A53" s="273" t="s">
        <v>18</v>
      </c>
      <c r="B53" s="583"/>
      <c r="C53" s="584"/>
    </row>
    <row r="54" spans="1:3" ht="15" customHeight="1" thickBot="1" x14ac:dyDescent="0.4">
      <c r="A54" s="273" t="s">
        <v>19</v>
      </c>
      <c r="B54" s="581"/>
      <c r="C54" s="582"/>
    </row>
    <row r="55" spans="1:3" ht="15" customHeight="1" x14ac:dyDescent="0.35">
      <c r="A55" s="577"/>
      <c r="B55" s="577"/>
      <c r="C55" s="577"/>
    </row>
    <row r="56" spans="1:3" ht="15" thickBot="1" x14ac:dyDescent="0.4">
      <c r="A56" s="9"/>
      <c r="B56" s="9"/>
      <c r="C56" s="9"/>
    </row>
    <row r="57" spans="1:3" ht="18.5" x14ac:dyDescent="0.35">
      <c r="B57" s="274" t="s">
        <v>20</v>
      </c>
    </row>
    <row r="58" spans="1:3" ht="18.5" x14ac:dyDescent="0.35">
      <c r="A58" s="167"/>
      <c r="B58" s="275" t="s">
        <v>21</v>
      </c>
    </row>
    <row r="59" spans="1:3" ht="18.5" x14ac:dyDescent="0.35">
      <c r="B59" s="275" t="s">
        <v>22</v>
      </c>
    </row>
    <row r="60" spans="1:3" ht="18.5" x14ac:dyDescent="0.35">
      <c r="B60" s="275" t="s">
        <v>23</v>
      </c>
    </row>
    <row r="61" spans="1:3" ht="19" thickBot="1" x14ac:dyDescent="0.4">
      <c r="B61" s="446" t="s">
        <v>24</v>
      </c>
    </row>
  </sheetData>
  <mergeCells count="15">
    <mergeCell ref="A55:C55"/>
    <mergeCell ref="A49:C49"/>
    <mergeCell ref="B54:C54"/>
    <mergeCell ref="B50:C50"/>
    <mergeCell ref="B53:C53"/>
    <mergeCell ref="B51:C51"/>
    <mergeCell ref="B52:C52"/>
    <mergeCell ref="A1:B1"/>
    <mergeCell ref="A48:C48"/>
    <mergeCell ref="A45:C45"/>
    <mergeCell ref="A46:C46"/>
    <mergeCell ref="A44:B44"/>
    <mergeCell ref="A47:C47"/>
    <mergeCell ref="A2:B2"/>
    <mergeCell ref="C1:C3"/>
  </mergeCells>
  <printOptions horizontalCentered="1"/>
  <pageMargins left="0.25" right="0.25" top="0.75" bottom="0.75" header="0.3" footer="0.3"/>
  <pageSetup scale="92" fitToHeight="0" orientation="portrait" r:id="rId1"/>
  <headerFooter>
    <oddHeader>&amp;C&amp;"-,Bold"&amp;14CUI</oddHeader>
    <oddFooter>&amp;C&amp;"-,Bold"&amp;14CUI</oddFooter>
  </headerFooter>
  <ignoredErrors>
    <ignoredError sqref="C36" 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486F8E3C-F59F-4CBD-839F-776F6D3670E0}">
          <x14:formula1>
            <xm:f>'Sheet References'!$L$2:$L$1010</xm:f>
          </x14:formula1>
          <xm:sqref>A4:A43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0547B-21AA-462F-9961-A726186D11BD}">
  <sheetPr>
    <tabColor rgb="FFFFFF99"/>
    <pageSetUpPr fitToPage="1"/>
  </sheetPr>
  <dimension ref="A1:H60"/>
  <sheetViews>
    <sheetView zoomScaleNormal="100" workbookViewId="0">
      <selection activeCell="A39" sqref="A39:D39"/>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78" customWidth="1"/>
    <col min="8" max="8" width="66.7265625" style="1" customWidth="1"/>
    <col min="9" max="9" width="39" style="1" customWidth="1"/>
    <col min="10" max="16384" width="9.26953125" style="1"/>
  </cols>
  <sheetData>
    <row r="1" spans="1:8" s="5" customFormat="1" ht="21" customHeight="1" x14ac:dyDescent="0.35">
      <c r="A1" s="675" t="s">
        <v>20</v>
      </c>
      <c r="B1" s="675"/>
      <c r="C1" s="36"/>
      <c r="D1" s="36" t="s">
        <v>106</v>
      </c>
      <c r="E1" s="37">
        <v>610128</v>
      </c>
      <c r="F1" s="38"/>
      <c r="G1" s="38"/>
      <c r="H1" s="38"/>
    </row>
    <row r="2" spans="1:8" ht="21" customHeight="1" x14ac:dyDescent="0.35">
      <c r="A2" s="676" t="s">
        <v>21</v>
      </c>
      <c r="B2" s="676"/>
      <c r="C2" s="38"/>
      <c r="D2" s="36" t="s">
        <v>107</v>
      </c>
      <c r="E2" s="37" t="str">
        <f>VLOOKUP(E1,'Sheet References'!L:M,2,FALSE)</f>
        <v>Base Personnel Office</v>
      </c>
      <c r="F2" s="38"/>
      <c r="G2" s="38"/>
      <c r="H2" s="38"/>
    </row>
    <row r="3" spans="1:8" ht="21" customHeight="1" x14ac:dyDescent="0.35">
      <c r="A3" s="676" t="s">
        <v>22</v>
      </c>
      <c r="B3" s="676"/>
      <c r="C3" s="36"/>
      <c r="D3" s="36" t="s">
        <v>108</v>
      </c>
      <c r="E3" s="37" t="str">
        <f>VLOOKUP(CATCode,'Sheet References'!L:O,4,FALSE)</f>
        <v>https://www.wbdg.org/FFC/AF/AFMAN/610128_Base_Personnel_Off.pdf</v>
      </c>
      <c r="F3" s="38"/>
      <c r="G3" s="38"/>
      <c r="H3" s="38"/>
    </row>
    <row r="4" spans="1:8" ht="21" customHeight="1" x14ac:dyDescent="0.35">
      <c r="A4" s="676" t="s">
        <v>23</v>
      </c>
      <c r="B4" s="676"/>
      <c r="C4" s="24"/>
      <c r="D4" s="24"/>
      <c r="E4" s="37" t="str">
        <f>'Customer Summary'!A2</f>
        <v>## Force Support Squadron (## FSS)</v>
      </c>
      <c r="F4" s="24"/>
      <c r="G4" s="24"/>
      <c r="H4" s="24"/>
    </row>
    <row r="5" spans="1:8" ht="21" customHeight="1" x14ac:dyDescent="0.35">
      <c r="A5" s="677" t="str">
        <f>'Customer Summary'!B61</f>
        <v>POC:</v>
      </c>
      <c r="B5" s="677"/>
      <c r="C5" s="24"/>
      <c r="D5" s="24"/>
      <c r="E5" s="37" t="s">
        <v>109</v>
      </c>
      <c r="F5" s="24"/>
      <c r="G5" s="24"/>
      <c r="H5" s="24"/>
    </row>
    <row r="6" spans="1:8" s="4" customFormat="1" ht="46.5" x14ac:dyDescent="0.35">
      <c r="A6" s="39" t="s">
        <v>110</v>
      </c>
      <c r="B6" s="39" t="s">
        <v>261</v>
      </c>
      <c r="C6" s="39" t="s">
        <v>262</v>
      </c>
      <c r="D6" s="39" t="s">
        <v>263</v>
      </c>
      <c r="E6" s="39" t="s">
        <v>264</v>
      </c>
      <c r="F6" s="39" t="s">
        <v>115</v>
      </c>
      <c r="G6" s="40" t="s">
        <v>116</v>
      </c>
      <c r="H6" s="41" t="s">
        <v>265</v>
      </c>
    </row>
    <row r="7" spans="1:8" s="4" customFormat="1" ht="39" customHeight="1" x14ac:dyDescent="0.35">
      <c r="A7" s="744" t="s">
        <v>118</v>
      </c>
      <c r="B7" s="744"/>
      <c r="C7" s="744"/>
      <c r="D7" s="744"/>
      <c r="E7" s="744"/>
      <c r="F7" s="744"/>
      <c r="G7" s="744"/>
      <c r="H7" s="74" t="s">
        <v>266</v>
      </c>
    </row>
    <row r="8" spans="1:8" x14ac:dyDescent="0.35">
      <c r="A8" s="42" t="s">
        <v>276</v>
      </c>
      <c r="B8" s="43" t="s">
        <v>305</v>
      </c>
      <c r="C8" s="43" t="str">
        <f>VLOOKUP(B8,'Sheet References'!$A$14:$B$57,2,FALSE)</f>
        <v>Office Type A (Private)</v>
      </c>
      <c r="D8" s="42" t="s">
        <v>272</v>
      </c>
      <c r="E8" s="44">
        <f>VLOOKUP(C8,OfficeTypeSF[],2,FALSE)</f>
        <v>300</v>
      </c>
      <c r="F8" s="42">
        <v>0</v>
      </c>
      <c r="G8" s="45">
        <f t="shared" ref="G8:G14" si="0">E8*F8</f>
        <v>0</v>
      </c>
      <c r="H8" s="35"/>
    </row>
    <row r="9" spans="1:8" x14ac:dyDescent="0.35">
      <c r="A9" s="42" t="s">
        <v>276</v>
      </c>
      <c r="B9" s="43" t="s">
        <v>306</v>
      </c>
      <c r="C9" s="43" t="str">
        <f>VLOOKUP(B9,'Sheet References'!$A$14:$B$57,2,FALSE)</f>
        <v>Office Type B (Private)</v>
      </c>
      <c r="D9" s="42" t="s">
        <v>272</v>
      </c>
      <c r="E9" s="44">
        <f>VLOOKUP(C9,OfficeTypeSF[],2,FALSE)</f>
        <v>160</v>
      </c>
      <c r="F9" s="42">
        <v>0</v>
      </c>
      <c r="G9" s="45">
        <f t="shared" si="0"/>
        <v>0</v>
      </c>
      <c r="H9" s="46"/>
    </row>
    <row r="10" spans="1:8" x14ac:dyDescent="0.35">
      <c r="A10" s="42" t="s">
        <v>276</v>
      </c>
      <c r="B10" s="43" t="s">
        <v>307</v>
      </c>
      <c r="C10" s="43" t="str">
        <f>VLOOKUP(B10,'Sheet References'!$A$14:$B$57,2,FALSE)</f>
        <v>Office Type C (Private)</v>
      </c>
      <c r="D10" s="42" t="s">
        <v>272</v>
      </c>
      <c r="E10" s="44">
        <f>VLOOKUP(C10,OfficeTypeSF[],2,FALSE)</f>
        <v>140</v>
      </c>
      <c r="F10" s="42">
        <v>0</v>
      </c>
      <c r="G10" s="45">
        <f t="shared" si="0"/>
        <v>0</v>
      </c>
      <c r="H10" s="46"/>
    </row>
    <row r="11" spans="1:8" x14ac:dyDescent="0.35">
      <c r="A11" s="42" t="s">
        <v>276</v>
      </c>
      <c r="B11" s="43" t="s">
        <v>308</v>
      </c>
      <c r="C11" s="43" t="str">
        <f>VLOOKUP(B11,'Sheet References'!$A$14:$B$57,2,FALSE)</f>
        <v>Office Type D (Private)</v>
      </c>
      <c r="D11" s="42" t="s">
        <v>272</v>
      </c>
      <c r="E11" s="44">
        <f>VLOOKUP(C11,OfficeTypeSF[],2,FALSE)</f>
        <v>100</v>
      </c>
      <c r="F11" s="42">
        <v>0</v>
      </c>
      <c r="G11" s="45">
        <f t="shared" si="0"/>
        <v>0</v>
      </c>
      <c r="H11" s="46"/>
    </row>
    <row r="12" spans="1:8" x14ac:dyDescent="0.35">
      <c r="A12" s="42" t="s">
        <v>276</v>
      </c>
      <c r="B12" s="43" t="s">
        <v>271</v>
      </c>
      <c r="C12" s="43" t="str">
        <f>VLOOKUP(B12,'Sheet References'!$A$14:$B$57,2,FALSE)</f>
        <v>Office Type D (Private)</v>
      </c>
      <c r="D12" s="42" t="s">
        <v>272</v>
      </c>
      <c r="E12" s="44">
        <f>VLOOKUP(C12,OfficeTypeSF[],2,FALSE)</f>
        <v>100</v>
      </c>
      <c r="F12" s="42">
        <v>0</v>
      </c>
      <c r="G12" s="45">
        <f t="shared" si="0"/>
        <v>0</v>
      </c>
      <c r="H12" s="46"/>
    </row>
    <row r="13" spans="1:8" x14ac:dyDescent="0.35">
      <c r="A13" s="42" t="s">
        <v>276</v>
      </c>
      <c r="B13" s="43" t="s">
        <v>271</v>
      </c>
      <c r="C13" s="43" t="str">
        <f>VLOOKUP(B13,'Sheet References'!$A$14:$B$57,2,FALSE)</f>
        <v>Office Type D (Private)</v>
      </c>
      <c r="D13" s="42" t="s">
        <v>272</v>
      </c>
      <c r="E13" s="44">
        <f>VLOOKUP(C13,OfficeTypeSF[],2,FALSE)</f>
        <v>100</v>
      </c>
      <c r="F13" s="42">
        <v>0</v>
      </c>
      <c r="G13" s="45">
        <f t="shared" si="0"/>
        <v>0</v>
      </c>
      <c r="H13" s="46"/>
    </row>
    <row r="14" spans="1:8" x14ac:dyDescent="0.35">
      <c r="A14" s="42" t="s">
        <v>276</v>
      </c>
      <c r="B14" s="43" t="s">
        <v>271</v>
      </c>
      <c r="C14" s="43" t="str">
        <f>VLOOKUP(B14,'Sheet References'!$A$14:$B$57,2,FALSE)</f>
        <v>Office Type D (Private)</v>
      </c>
      <c r="D14" s="42" t="s">
        <v>272</v>
      </c>
      <c r="E14" s="44">
        <f>VLOOKUP(C14,OfficeTypeSF[],2,FALSE)</f>
        <v>100</v>
      </c>
      <c r="F14" s="42">
        <v>0</v>
      </c>
      <c r="G14" s="45">
        <f t="shared" si="0"/>
        <v>0</v>
      </c>
      <c r="H14" s="46"/>
    </row>
    <row r="15" spans="1:8" x14ac:dyDescent="0.35">
      <c r="A15" s="757" t="s">
        <v>125</v>
      </c>
      <c r="B15" s="743"/>
      <c r="C15" s="743"/>
      <c r="D15" s="743"/>
      <c r="E15" s="47" t="s">
        <v>126</v>
      </c>
      <c r="F15" s="48">
        <f>SUM(F8:F14)</f>
        <v>0</v>
      </c>
      <c r="G15" s="49">
        <f>SUM(G8:G14)</f>
        <v>0</v>
      </c>
      <c r="H15" s="46"/>
    </row>
    <row r="16" spans="1:8" ht="14.5" customHeight="1" x14ac:dyDescent="0.35">
      <c r="A16" s="746" t="s">
        <v>268</v>
      </c>
      <c r="B16" s="753"/>
      <c r="C16" s="753"/>
      <c r="D16" s="753"/>
      <c r="E16" s="50">
        <v>0.4</v>
      </c>
      <c r="F16" s="42"/>
      <c r="G16" s="45">
        <f>G15*E16</f>
        <v>0</v>
      </c>
      <c r="H16" s="35" t="s">
        <v>269</v>
      </c>
    </row>
    <row r="17" spans="1:8" x14ac:dyDescent="0.35">
      <c r="A17" s="757" t="s">
        <v>129</v>
      </c>
      <c r="B17" s="743"/>
      <c r="C17" s="743"/>
      <c r="D17" s="743"/>
      <c r="E17" s="47" t="s">
        <v>126</v>
      </c>
      <c r="F17" s="47"/>
      <c r="G17" s="51">
        <f>G16+G15</f>
        <v>0</v>
      </c>
      <c r="H17" s="46"/>
    </row>
    <row r="18" spans="1:8" x14ac:dyDescent="0.35">
      <c r="A18" s="786"/>
      <c r="B18" s="780"/>
      <c r="C18" s="780"/>
      <c r="D18" s="780"/>
      <c r="E18" s="780"/>
      <c r="F18" s="780"/>
      <c r="G18" s="780"/>
      <c r="H18" s="781"/>
    </row>
    <row r="19" spans="1:8" s="15" customFormat="1" ht="39.65" customHeight="1" x14ac:dyDescent="0.35">
      <c r="A19" s="669" t="s">
        <v>130</v>
      </c>
      <c r="B19" s="670"/>
      <c r="C19" s="670"/>
      <c r="D19" s="670"/>
      <c r="E19" s="670"/>
      <c r="F19" s="670"/>
      <c r="G19" s="671"/>
      <c r="H19" s="74" t="s">
        <v>266</v>
      </c>
    </row>
    <row r="20" spans="1:8" s="15" customFormat="1" x14ac:dyDescent="0.35">
      <c r="A20" s="52" t="s">
        <v>276</v>
      </c>
      <c r="B20" s="53" t="s">
        <v>309</v>
      </c>
      <c r="C20" s="54" t="str">
        <f>VLOOKUP(B20,OpenOffices[],2,FALSE)</f>
        <v>Office Type E (Open)</v>
      </c>
      <c r="D20" s="52" t="s">
        <v>272</v>
      </c>
      <c r="E20" s="55">
        <f>VLOOKUP(C20,OfficeTypeSF[],2,FALSE)</f>
        <v>65</v>
      </c>
      <c r="F20" s="52">
        <v>0</v>
      </c>
      <c r="G20" s="45">
        <f t="shared" ref="G20:G29" si="1">E20*F20</f>
        <v>0</v>
      </c>
      <c r="H20" s="57"/>
    </row>
    <row r="21" spans="1:8" s="15" customFormat="1" x14ac:dyDescent="0.35">
      <c r="A21" s="52" t="s">
        <v>276</v>
      </c>
      <c r="B21" s="53" t="s">
        <v>310</v>
      </c>
      <c r="C21" s="54" t="str">
        <f>VLOOKUP(B21,OpenOffices[],2,FALSE)</f>
        <v>Office Type E (Open)</v>
      </c>
      <c r="D21" s="52" t="s">
        <v>272</v>
      </c>
      <c r="E21" s="55">
        <f>VLOOKUP(C21,OfficeTypeSF[],2,FALSE)</f>
        <v>65</v>
      </c>
      <c r="F21" s="52">
        <v>0</v>
      </c>
      <c r="G21" s="45">
        <f t="shared" si="1"/>
        <v>0</v>
      </c>
      <c r="H21" s="57"/>
    </row>
    <row r="22" spans="1:8" s="15" customFormat="1" x14ac:dyDescent="0.35">
      <c r="A22" s="52" t="s">
        <v>276</v>
      </c>
      <c r="B22" s="53" t="s">
        <v>311</v>
      </c>
      <c r="C22" s="54" t="str">
        <f>VLOOKUP(B22,OpenOffices[],2,FALSE)</f>
        <v>Office Type E (Open)</v>
      </c>
      <c r="D22" s="52" t="s">
        <v>272</v>
      </c>
      <c r="E22" s="55">
        <f>VLOOKUP(C22,OfficeTypeSF[],2,FALSE)</f>
        <v>65</v>
      </c>
      <c r="F22" s="52">
        <v>0</v>
      </c>
      <c r="G22" s="45">
        <f t="shared" si="1"/>
        <v>0</v>
      </c>
      <c r="H22" s="57"/>
    </row>
    <row r="23" spans="1:8" s="15" customFormat="1" x14ac:dyDescent="0.35">
      <c r="A23" s="52" t="s">
        <v>276</v>
      </c>
      <c r="B23" s="53" t="s">
        <v>277</v>
      </c>
      <c r="C23" s="54" t="str">
        <f>VLOOKUP(B23,OpenOffices[],2,FALSE)</f>
        <v>Office Type F (Open)</v>
      </c>
      <c r="D23" s="52" t="s">
        <v>272</v>
      </c>
      <c r="E23" s="55">
        <f>VLOOKUP(C23,OfficeTypeSF[],2,FALSE)</f>
        <v>36</v>
      </c>
      <c r="F23" s="52">
        <v>0</v>
      </c>
      <c r="G23" s="45">
        <f t="shared" si="1"/>
        <v>0</v>
      </c>
      <c r="H23" s="57"/>
    </row>
    <row r="24" spans="1:8" s="15" customFormat="1" x14ac:dyDescent="0.35">
      <c r="A24" s="52" t="s">
        <v>276</v>
      </c>
      <c r="B24" s="53" t="s">
        <v>277</v>
      </c>
      <c r="C24" s="54" t="str">
        <f>VLOOKUP(B24,OpenOffices[],2,FALSE)</f>
        <v>Office Type F (Open)</v>
      </c>
      <c r="D24" s="52" t="s">
        <v>272</v>
      </c>
      <c r="E24" s="55">
        <f>VLOOKUP(C24,OfficeTypeSF[],2,FALSE)</f>
        <v>36</v>
      </c>
      <c r="F24" s="52">
        <v>0</v>
      </c>
      <c r="G24" s="45">
        <f t="shared" si="1"/>
        <v>0</v>
      </c>
      <c r="H24" s="57"/>
    </row>
    <row r="25" spans="1:8" s="15" customFormat="1" x14ac:dyDescent="0.35">
      <c r="A25" s="52" t="s">
        <v>276</v>
      </c>
      <c r="B25" s="53" t="s">
        <v>277</v>
      </c>
      <c r="C25" s="54" t="str">
        <f>VLOOKUP(B25,OpenOffices[],2,FALSE)</f>
        <v>Office Type F (Open)</v>
      </c>
      <c r="D25" s="52" t="s">
        <v>272</v>
      </c>
      <c r="E25" s="55">
        <f>VLOOKUP(C25,OfficeTypeSF[],2,FALSE)</f>
        <v>36</v>
      </c>
      <c r="F25" s="52">
        <v>0</v>
      </c>
      <c r="G25" s="45">
        <f t="shared" si="1"/>
        <v>0</v>
      </c>
      <c r="H25" s="57"/>
    </row>
    <row r="26" spans="1:8" s="15" customFormat="1" x14ac:dyDescent="0.35">
      <c r="A26" s="52" t="s">
        <v>276</v>
      </c>
      <c r="B26" s="53" t="s">
        <v>277</v>
      </c>
      <c r="C26" s="54" t="str">
        <f>VLOOKUP(B26,OpenOffices[],2,FALSE)</f>
        <v>Office Type F (Open)</v>
      </c>
      <c r="D26" s="52" t="s">
        <v>272</v>
      </c>
      <c r="E26" s="55">
        <f>VLOOKUP(C26,OfficeTypeSF[],2,FALSE)</f>
        <v>36</v>
      </c>
      <c r="F26" s="52">
        <v>0</v>
      </c>
      <c r="G26" s="45">
        <f t="shared" si="1"/>
        <v>0</v>
      </c>
      <c r="H26" s="57"/>
    </row>
    <row r="27" spans="1:8" s="15" customFormat="1" x14ac:dyDescent="0.35">
      <c r="A27" s="52" t="s">
        <v>276</v>
      </c>
      <c r="B27" s="53" t="s">
        <v>277</v>
      </c>
      <c r="C27" s="54" t="str">
        <f>VLOOKUP(B27,OpenOffices[],2,FALSE)</f>
        <v>Office Type F (Open)</v>
      </c>
      <c r="D27" s="52" t="s">
        <v>272</v>
      </c>
      <c r="E27" s="55">
        <f>VLOOKUP(C27,OfficeTypeSF[],2,FALSE)</f>
        <v>36</v>
      </c>
      <c r="F27" s="52">
        <v>0</v>
      </c>
      <c r="G27" s="45">
        <f t="shared" si="1"/>
        <v>0</v>
      </c>
      <c r="H27" s="57"/>
    </row>
    <row r="28" spans="1:8" s="15" customFormat="1" x14ac:dyDescent="0.35">
      <c r="A28" s="52" t="s">
        <v>276</v>
      </c>
      <c r="B28" s="53" t="s">
        <v>277</v>
      </c>
      <c r="C28" s="54" t="str">
        <f>VLOOKUP(B28,OpenOffices[],2,FALSE)</f>
        <v>Office Type F (Open)</v>
      </c>
      <c r="D28" s="52" t="s">
        <v>272</v>
      </c>
      <c r="E28" s="55">
        <f>VLOOKUP(C28,OfficeTypeSF[],2,FALSE)</f>
        <v>36</v>
      </c>
      <c r="F28" s="52">
        <v>0</v>
      </c>
      <c r="G28" s="45">
        <f t="shared" si="1"/>
        <v>0</v>
      </c>
      <c r="H28" s="57"/>
    </row>
    <row r="29" spans="1:8" s="15" customFormat="1" x14ac:dyDescent="0.35">
      <c r="A29" s="52" t="s">
        <v>276</v>
      </c>
      <c r="B29" s="53" t="s">
        <v>277</v>
      </c>
      <c r="C29" s="54" t="str">
        <f>VLOOKUP(B29,OpenOffices[],2,FALSE)</f>
        <v>Office Type F (Open)</v>
      </c>
      <c r="D29" s="52" t="s">
        <v>272</v>
      </c>
      <c r="E29" s="55">
        <f>VLOOKUP(C29,OfficeTypeSF[],2,FALSE)</f>
        <v>36</v>
      </c>
      <c r="F29" s="52">
        <v>0</v>
      </c>
      <c r="G29" s="45">
        <f t="shared" si="1"/>
        <v>0</v>
      </c>
      <c r="H29" s="57"/>
    </row>
    <row r="30" spans="1:8" s="15" customFormat="1" x14ac:dyDescent="0.35">
      <c r="A30" s="681" t="s">
        <v>136</v>
      </c>
      <c r="B30" s="682"/>
      <c r="C30" s="682"/>
      <c r="D30" s="682"/>
      <c r="E30" s="58" t="s">
        <v>126</v>
      </c>
      <c r="F30" s="48">
        <f>SUM(F20:F29)</f>
        <v>0</v>
      </c>
      <c r="G30" s="59">
        <f>SUM(G20:G29)</f>
        <v>0</v>
      </c>
      <c r="H30" s="57"/>
    </row>
    <row r="31" spans="1:8" s="15" customFormat="1" ht="14.5" customHeight="1" x14ac:dyDescent="0.35">
      <c r="A31" s="785" t="s">
        <v>278</v>
      </c>
      <c r="B31" s="777"/>
      <c r="C31" s="777"/>
      <c r="D31" s="777"/>
      <c r="E31" s="60">
        <v>0.6</v>
      </c>
      <c r="F31" s="52"/>
      <c r="G31" s="61">
        <f>G30*E31</f>
        <v>0</v>
      </c>
      <c r="H31" s="57" t="s">
        <v>279</v>
      </c>
    </row>
    <row r="32" spans="1:8" s="16" customFormat="1" ht="15.65" customHeight="1" x14ac:dyDescent="0.35">
      <c r="A32" s="681" t="s">
        <v>138</v>
      </c>
      <c r="B32" s="682"/>
      <c r="C32" s="682"/>
      <c r="D32" s="682"/>
      <c r="E32" s="58" t="s">
        <v>126</v>
      </c>
      <c r="F32" s="58"/>
      <c r="G32" s="59">
        <f>G31+G30</f>
        <v>0</v>
      </c>
      <c r="H32" s="62"/>
    </row>
    <row r="33" spans="1:8" x14ac:dyDescent="0.35">
      <c r="A33" s="786"/>
      <c r="B33" s="780"/>
      <c r="C33" s="780"/>
      <c r="D33" s="780"/>
      <c r="E33" s="780"/>
      <c r="F33" s="780"/>
      <c r="G33" s="780"/>
      <c r="H33" s="781"/>
    </row>
    <row r="34" spans="1:8" s="4" customFormat="1" ht="39" customHeight="1" x14ac:dyDescent="0.35">
      <c r="A34" s="754" t="s">
        <v>139</v>
      </c>
      <c r="B34" s="678"/>
      <c r="C34" s="678"/>
      <c r="D34" s="678"/>
      <c r="E34" s="678"/>
      <c r="F34" s="678"/>
      <c r="G34" s="755"/>
      <c r="H34" s="73" t="s">
        <v>280</v>
      </c>
    </row>
    <row r="35" spans="1:8" s="4" customFormat="1" ht="87" customHeight="1" x14ac:dyDescent="0.35">
      <c r="A35" s="753" t="s">
        <v>281</v>
      </c>
      <c r="B35" s="753"/>
      <c r="C35" s="753"/>
      <c r="D35" s="753"/>
      <c r="E35" s="77">
        <f>VLOOKUP(A35,AdminSpecialPurpose[#All],2,FALSE)</f>
        <v>8</v>
      </c>
      <c r="F35" s="64">
        <f>F15+F30</f>
        <v>0</v>
      </c>
      <c r="G35" s="45">
        <f>E35*F35</f>
        <v>0</v>
      </c>
      <c r="H35" s="35" t="s">
        <v>282</v>
      </c>
    </row>
    <row r="36" spans="1:8" s="4" customFormat="1" ht="58" x14ac:dyDescent="0.35">
      <c r="A36" s="753" t="s">
        <v>283</v>
      </c>
      <c r="B36" s="753"/>
      <c r="C36" s="753"/>
      <c r="D36" s="753"/>
      <c r="E36" s="45" t="str">
        <f>VLOOKUP(A36,AdminSpecialPurpose[#All],2,FALSE)</f>
        <v>Table 6</v>
      </c>
      <c r="F36" s="64">
        <f>F15+F30</f>
        <v>0</v>
      </c>
      <c r="G36" s="45">
        <f>VLOOKUP(F36,MeetingSpace[#All],6,TRUE)</f>
        <v>0</v>
      </c>
      <c r="H36" s="35" t="s">
        <v>284</v>
      </c>
    </row>
    <row r="37" spans="1:8" s="4" customFormat="1" ht="43.5" x14ac:dyDescent="0.35">
      <c r="A37" s="753" t="s">
        <v>285</v>
      </c>
      <c r="B37" s="743"/>
      <c r="C37" s="743"/>
      <c r="D37" s="743"/>
      <c r="E37" s="45">
        <f>VLOOKUP(A37,AdminSpecialPurpose[#All],2,FALSE)</f>
        <v>3</v>
      </c>
      <c r="F37" s="64">
        <f>(F15+F30)</f>
        <v>0</v>
      </c>
      <c r="G37" s="45">
        <f>IF(F37&gt;0,MAX(E37*F37,50),0)</f>
        <v>0</v>
      </c>
      <c r="H37" s="35" t="s">
        <v>286</v>
      </c>
    </row>
    <row r="38" spans="1:8" x14ac:dyDescent="0.35">
      <c r="A38" s="753" t="s">
        <v>289</v>
      </c>
      <c r="B38" s="743"/>
      <c r="C38" s="743"/>
      <c r="D38" s="743"/>
      <c r="E38" s="45" t="str">
        <f>VLOOKUP(A38,AdminSpecialPurpose[#All],2,FALSE)</f>
        <v>SF</v>
      </c>
      <c r="F38" s="64">
        <v>0</v>
      </c>
      <c r="G38" s="45">
        <f>IFERROR(E38*F38,0)</f>
        <v>0</v>
      </c>
      <c r="H38" s="35" t="s">
        <v>290</v>
      </c>
    </row>
    <row r="39" spans="1:8" x14ac:dyDescent="0.35">
      <c r="A39" s="753" t="s">
        <v>289</v>
      </c>
      <c r="B39" s="743"/>
      <c r="C39" s="743"/>
      <c r="D39" s="743"/>
      <c r="E39" s="45" t="str">
        <f>VLOOKUP(A39,AdminSpecialPurpose[#All],2,FALSE)</f>
        <v>SF</v>
      </c>
      <c r="F39" s="64">
        <v>0</v>
      </c>
      <c r="G39" s="45">
        <f>IFERROR(E39*F39,0)</f>
        <v>0</v>
      </c>
      <c r="H39" s="35" t="s">
        <v>290</v>
      </c>
    </row>
    <row r="40" spans="1:8" x14ac:dyDescent="0.35">
      <c r="A40" s="753" t="s">
        <v>289</v>
      </c>
      <c r="B40" s="743"/>
      <c r="C40" s="743"/>
      <c r="D40" s="743"/>
      <c r="E40" s="45" t="str">
        <f>VLOOKUP(A40,AdminSpecialPurpose[#All],2,FALSE)</f>
        <v>SF</v>
      </c>
      <c r="F40" s="64">
        <v>0</v>
      </c>
      <c r="G40" s="45">
        <f>IFERROR(E40*F40,0)</f>
        <v>0</v>
      </c>
      <c r="H40" s="35" t="s">
        <v>290</v>
      </c>
    </row>
    <row r="41" spans="1:8" x14ac:dyDescent="0.35">
      <c r="A41" s="753" t="s">
        <v>289</v>
      </c>
      <c r="B41" s="743"/>
      <c r="C41" s="743"/>
      <c r="D41" s="743"/>
      <c r="E41" s="45" t="str">
        <f>VLOOKUP(A41,AdminSpecialPurpose[#All],2,FALSE)</f>
        <v>SF</v>
      </c>
      <c r="F41" s="64">
        <v>0</v>
      </c>
      <c r="G41" s="45">
        <f>IFERROR(E41*F41,0)</f>
        <v>0</v>
      </c>
      <c r="H41" s="35" t="s">
        <v>290</v>
      </c>
    </row>
    <row r="42" spans="1:8" x14ac:dyDescent="0.35">
      <c r="A42" s="753" t="s">
        <v>289</v>
      </c>
      <c r="B42" s="743"/>
      <c r="C42" s="743"/>
      <c r="D42" s="743"/>
      <c r="E42" s="45" t="str">
        <f>VLOOKUP(A42,AdminSpecialPurpose[#All],2,FALSE)</f>
        <v>SF</v>
      </c>
      <c r="F42" s="64">
        <v>0</v>
      </c>
      <c r="G42" s="45">
        <f>IFERROR(E42*F42,0)</f>
        <v>0</v>
      </c>
      <c r="H42" s="35" t="s">
        <v>290</v>
      </c>
    </row>
    <row r="43" spans="1:8" x14ac:dyDescent="0.35">
      <c r="A43" s="757" t="s">
        <v>174</v>
      </c>
      <c r="B43" s="757"/>
      <c r="C43" s="757"/>
      <c r="D43" s="757"/>
      <c r="E43" s="48" t="s">
        <v>126</v>
      </c>
      <c r="F43" s="65"/>
      <c r="G43" s="51">
        <f>SUM(G35:G42)</f>
        <v>0</v>
      </c>
      <c r="H43" s="35"/>
    </row>
    <row r="44" spans="1:8" x14ac:dyDescent="0.35">
      <c r="A44" s="758" t="s">
        <v>291</v>
      </c>
      <c r="B44" s="759"/>
      <c r="C44" s="759"/>
      <c r="D44" s="759"/>
      <c r="E44" s="50">
        <v>0.4</v>
      </c>
      <c r="F44" s="42"/>
      <c r="G44" s="66">
        <f>E44*G43</f>
        <v>0</v>
      </c>
      <c r="H44" s="35" t="s">
        <v>292</v>
      </c>
    </row>
    <row r="45" spans="1:8" x14ac:dyDescent="0.35">
      <c r="A45" s="757" t="s">
        <v>177</v>
      </c>
      <c r="B45" s="743"/>
      <c r="C45" s="743"/>
      <c r="D45" s="743"/>
      <c r="E45" s="47" t="s">
        <v>126</v>
      </c>
      <c r="F45" s="67"/>
      <c r="G45" s="51">
        <f>SUM(G43:G44)</f>
        <v>0</v>
      </c>
      <c r="H45" s="35"/>
    </row>
    <row r="46" spans="1:8" x14ac:dyDescent="0.35">
      <c r="A46" s="743"/>
      <c r="B46" s="743"/>
      <c r="C46" s="743"/>
      <c r="D46" s="743"/>
      <c r="E46" s="743"/>
      <c r="F46" s="743"/>
      <c r="G46" s="743"/>
      <c r="H46" s="743"/>
    </row>
    <row r="47" spans="1:8" s="4" customFormat="1" ht="15.65" customHeight="1" x14ac:dyDescent="0.35">
      <c r="A47" s="744" t="s">
        <v>178</v>
      </c>
      <c r="B47" s="745"/>
      <c r="C47" s="745"/>
      <c r="D47" s="745"/>
      <c r="E47" s="745"/>
      <c r="F47" s="745"/>
      <c r="G47" s="745"/>
      <c r="H47" s="745"/>
    </row>
    <row r="48" spans="1:8" x14ac:dyDescent="0.35">
      <c r="A48" s="753" t="s">
        <v>312</v>
      </c>
      <c r="B48" s="743"/>
      <c r="C48" s="743"/>
      <c r="D48" s="743"/>
      <c r="E48" s="42"/>
      <c r="F48" s="68"/>
      <c r="G48" s="45">
        <f>E48*F48</f>
        <v>0</v>
      </c>
      <c r="H48" s="35" t="s">
        <v>313</v>
      </c>
    </row>
    <row r="49" spans="1:8" x14ac:dyDescent="0.35">
      <c r="A49" s="753" t="s">
        <v>312</v>
      </c>
      <c r="B49" s="743"/>
      <c r="C49" s="743"/>
      <c r="D49" s="743"/>
      <c r="E49" s="42"/>
      <c r="F49" s="68"/>
      <c r="G49" s="45">
        <f>E49*F49</f>
        <v>0</v>
      </c>
      <c r="H49" s="35" t="s">
        <v>313</v>
      </c>
    </row>
    <row r="50" spans="1:8" x14ac:dyDescent="0.35">
      <c r="A50" s="753" t="s">
        <v>312</v>
      </c>
      <c r="B50" s="743"/>
      <c r="C50" s="743"/>
      <c r="D50" s="743"/>
      <c r="E50" s="42"/>
      <c r="F50" s="68"/>
      <c r="G50" s="45">
        <f>E50*F50</f>
        <v>0</v>
      </c>
      <c r="H50" s="35" t="s">
        <v>313</v>
      </c>
    </row>
    <row r="51" spans="1:8" x14ac:dyDescent="0.35">
      <c r="A51" s="753" t="s">
        <v>312</v>
      </c>
      <c r="B51" s="743"/>
      <c r="C51" s="743"/>
      <c r="D51" s="743"/>
      <c r="E51" s="42"/>
      <c r="F51" s="68"/>
      <c r="G51" s="45">
        <f>E51*F51</f>
        <v>0</v>
      </c>
      <c r="H51" s="35" t="s">
        <v>313</v>
      </c>
    </row>
    <row r="52" spans="1:8" x14ac:dyDescent="0.35">
      <c r="A52" s="753" t="s">
        <v>312</v>
      </c>
      <c r="B52" s="743"/>
      <c r="C52" s="743"/>
      <c r="D52" s="743"/>
      <c r="E52" s="42"/>
      <c r="F52" s="68"/>
      <c r="G52" s="45">
        <f>E52*F52</f>
        <v>0</v>
      </c>
      <c r="H52" s="35" t="s">
        <v>313</v>
      </c>
    </row>
    <row r="53" spans="1:8" x14ac:dyDescent="0.35">
      <c r="A53" s="757" t="s">
        <v>180</v>
      </c>
      <c r="B53" s="757"/>
      <c r="C53" s="757"/>
      <c r="D53" s="757"/>
      <c r="E53" s="48" t="s">
        <v>126</v>
      </c>
      <c r="F53" s="65"/>
      <c r="G53" s="51">
        <f>SUM(G48:G52)</f>
        <v>0</v>
      </c>
      <c r="H53" s="35"/>
    </row>
    <row r="54" spans="1:8" x14ac:dyDescent="0.35">
      <c r="A54" s="758" t="s">
        <v>249</v>
      </c>
      <c r="B54" s="759"/>
      <c r="C54" s="759"/>
      <c r="D54" s="759"/>
      <c r="E54" s="50">
        <v>0.4</v>
      </c>
      <c r="F54" s="42"/>
      <c r="G54" s="66">
        <f>E54*G53</f>
        <v>0</v>
      </c>
      <c r="H54" s="35" t="s">
        <v>292</v>
      </c>
    </row>
    <row r="55" spans="1:8" x14ac:dyDescent="0.35">
      <c r="A55" s="757" t="s">
        <v>182</v>
      </c>
      <c r="B55" s="743"/>
      <c r="C55" s="743"/>
      <c r="D55" s="743"/>
      <c r="E55" s="47" t="s">
        <v>126</v>
      </c>
      <c r="F55" s="67"/>
      <c r="G55" s="51">
        <f>SUM(G53:G54)</f>
        <v>0</v>
      </c>
      <c r="H55" s="35"/>
    </row>
    <row r="56" spans="1:8" x14ac:dyDescent="0.35">
      <c r="A56" s="743"/>
      <c r="B56" s="743"/>
      <c r="C56" s="743"/>
      <c r="D56" s="743"/>
      <c r="E56" s="743"/>
      <c r="F56" s="743"/>
      <c r="G56" s="743"/>
      <c r="H56" s="743"/>
    </row>
    <row r="57" spans="1:8" s="4" customFormat="1" ht="15.65" customHeight="1" x14ac:dyDescent="0.35">
      <c r="A57" s="744" t="s">
        <v>250</v>
      </c>
      <c r="B57" s="745"/>
      <c r="C57" s="745"/>
      <c r="D57" s="745"/>
      <c r="E57" s="745"/>
      <c r="F57" s="745"/>
      <c r="G57" s="745"/>
      <c r="H57" s="745"/>
    </row>
    <row r="58" spans="1:8" x14ac:dyDescent="0.35">
      <c r="A58" s="746" t="s">
        <v>251</v>
      </c>
      <c r="B58" s="743"/>
      <c r="C58" s="743"/>
      <c r="D58" s="743"/>
      <c r="E58" s="69" t="s">
        <v>252</v>
      </c>
      <c r="F58" s="70"/>
      <c r="G58" s="66">
        <f>G55+G45+G17+G32</f>
        <v>0</v>
      </c>
      <c r="H58" s="46"/>
    </row>
    <row r="59" spans="1:8" ht="14.5" customHeight="1" x14ac:dyDescent="0.35">
      <c r="A59" s="746" t="s">
        <v>303</v>
      </c>
      <c r="B59" s="753"/>
      <c r="C59" s="753"/>
      <c r="D59" s="753"/>
      <c r="E59" s="50">
        <v>0.42</v>
      </c>
      <c r="F59" s="43"/>
      <c r="G59" s="45">
        <f>G58*E59</f>
        <v>0</v>
      </c>
      <c r="H59" s="35" t="s">
        <v>304</v>
      </c>
    </row>
    <row r="60" spans="1:8" x14ac:dyDescent="0.35">
      <c r="E60" s="48" t="s">
        <v>254</v>
      </c>
      <c r="F60" s="71"/>
      <c r="G60" s="51">
        <f>SUM(G58:G59)</f>
        <v>0</v>
      </c>
    </row>
  </sheetData>
  <mergeCells count="41">
    <mergeCell ref="A30:D30"/>
    <mergeCell ref="A1:B1"/>
    <mergeCell ref="A2:B2"/>
    <mergeCell ref="A3:B3"/>
    <mergeCell ref="A4:B4"/>
    <mergeCell ref="A5:B5"/>
    <mergeCell ref="A7:G7"/>
    <mergeCell ref="A15:D15"/>
    <mergeCell ref="A16:D16"/>
    <mergeCell ref="A17:D17"/>
    <mergeCell ref="A18:H18"/>
    <mergeCell ref="A19:G19"/>
    <mergeCell ref="A42:D42"/>
    <mergeCell ref="A31:D31"/>
    <mergeCell ref="A32:D32"/>
    <mergeCell ref="A33:H33"/>
    <mergeCell ref="A34:G34"/>
    <mergeCell ref="A35:D35"/>
    <mergeCell ref="A36:D36"/>
    <mergeCell ref="A37:D37"/>
    <mergeCell ref="A38:D38"/>
    <mergeCell ref="A39:D39"/>
    <mergeCell ref="A40:D40"/>
    <mergeCell ref="A41:D41"/>
    <mergeCell ref="A54:D54"/>
    <mergeCell ref="A43:D43"/>
    <mergeCell ref="A44:D44"/>
    <mergeCell ref="A45:D45"/>
    <mergeCell ref="A46:H46"/>
    <mergeCell ref="A47:H47"/>
    <mergeCell ref="A48:D48"/>
    <mergeCell ref="A49:D49"/>
    <mergeCell ref="A50:D50"/>
    <mergeCell ref="A51:D51"/>
    <mergeCell ref="A52:D52"/>
    <mergeCell ref="A53:D53"/>
    <mergeCell ref="A55:D55"/>
    <mergeCell ref="A56:H56"/>
    <mergeCell ref="A57:H57"/>
    <mergeCell ref="A58:D58"/>
    <mergeCell ref="A59:D59"/>
  </mergeCells>
  <hyperlinks>
    <hyperlink ref="H6" r:id="rId1" display="WBDG - AFMAN 32-1084" xr:uid="{CEFD59CB-BBB7-4AF6-BAB3-24BE5DF338BB}"/>
  </hyperlinks>
  <printOptions horizontalCentered="1"/>
  <pageMargins left="0.25" right="0.25" top="0.75" bottom="0.75" header="0.3" footer="0.3"/>
  <pageSetup paperSize="17"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92F273D5-7082-4020-82FD-E729104B2662}">
          <x14:formula1>
            <xm:f>'Sheet References'!$H$1:$H$48</xm:f>
          </x14:formula1>
          <xm:sqref>A35:D42</xm:sqref>
        </x14:dataValidation>
        <x14:dataValidation type="list" allowBlank="1" showInputMessage="1" showErrorMessage="1" xr:uid="{9B815482-AB6A-4B33-A1A9-F973D7A25357}">
          <x14:formula1>
            <xm:f>'Sheet References'!$E$1:$E$112</xm:f>
          </x14:formula1>
          <xm:sqref>D8:D14 D20:D29</xm:sqref>
        </x14:dataValidation>
        <x14:dataValidation type="list" allowBlank="1" showInputMessage="1" showErrorMessage="1" xr:uid="{65E3C805-5A78-4F20-8205-76CF558196C7}">
          <x14:formula1>
            <xm:f>'Sheet References'!$A$14:$A$57</xm:f>
          </x14:formula1>
          <xm:sqref>B8:B14</xm:sqref>
        </x14:dataValidation>
        <x14:dataValidation type="list" allowBlank="1" showInputMessage="1" showErrorMessage="1" xr:uid="{3B1A4A89-E5BB-4C57-98A5-420B70114B86}">
          <x14:formula1>
            <xm:f>'Sheet References'!$L$1:$L$978</xm:f>
          </x14:formula1>
          <xm:sqref>E1</xm:sqref>
        </x14:dataValidation>
        <x14:dataValidation type="list" allowBlank="1" showInputMessage="1" showErrorMessage="1" xr:uid="{67705F69-E13C-4851-B245-7B75702AF64D}">
          <x14:formula1>
            <xm:f>'Sheet References'!$A$62:$A$85</xm:f>
          </x14:formula1>
          <xm:sqref>B20:B29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98CE9-DA78-4493-BF34-9F3776423E9F}">
  <sheetPr>
    <tabColor theme="5" tint="-0.249977111117893"/>
    <pageSetUpPr fitToPage="1"/>
  </sheetPr>
  <dimension ref="A1:P19"/>
  <sheetViews>
    <sheetView zoomScaleNormal="100" workbookViewId="0">
      <selection activeCell="H24" sqref="H24"/>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721215</v>
      </c>
      <c r="F1" s="38"/>
      <c r="G1" s="38"/>
      <c r="H1" s="38"/>
    </row>
    <row r="2" spans="1:8" ht="21" customHeight="1" x14ac:dyDescent="0.35">
      <c r="A2" s="676" t="s">
        <v>21</v>
      </c>
      <c r="B2" s="676"/>
      <c r="C2" s="38"/>
      <c r="D2" s="36" t="s">
        <v>107</v>
      </c>
      <c r="E2" s="37" t="str">
        <f>VLOOKUP(E1,'Sheet References'!L:M,2,FALSE)</f>
        <v>Dining Hall in Airman Dormitory</v>
      </c>
      <c r="F2" s="38"/>
      <c r="G2" s="38"/>
      <c r="H2" s="38"/>
    </row>
    <row r="3" spans="1:8" ht="21" customHeight="1" x14ac:dyDescent="0.35">
      <c r="A3" s="676" t="s">
        <v>22</v>
      </c>
      <c r="B3" s="676"/>
      <c r="C3" s="36"/>
      <c r="D3" s="36" t="s">
        <v>108</v>
      </c>
      <c r="E3" s="37" t="str">
        <f>VLOOKUP(CATCode,'Sheet References'!L:O,4,FALSE)</f>
        <v>https://www.wbdg.org/FFC/AF/AFMAN/721215_Dining_Hall-in_Airmen_Dorm.pdf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248</v>
      </c>
      <c r="B8" s="743"/>
      <c r="C8" s="743"/>
      <c r="D8" s="743"/>
      <c r="E8" s="42"/>
      <c r="F8" s="68"/>
      <c r="G8" s="45">
        <f>E8*F8</f>
        <v>0</v>
      </c>
      <c r="H8" s="35"/>
    </row>
    <row r="9" spans="1:8" x14ac:dyDescent="0.35">
      <c r="A9" s="753" t="s">
        <v>314</v>
      </c>
      <c r="B9" s="743"/>
      <c r="C9" s="743"/>
      <c r="D9" s="743"/>
      <c r="E9" s="42"/>
      <c r="F9" s="68"/>
      <c r="G9" s="45">
        <f>E9*F9</f>
        <v>0</v>
      </c>
      <c r="H9" s="35"/>
    </row>
    <row r="10" spans="1:8" x14ac:dyDescent="0.35">
      <c r="A10" s="753" t="s">
        <v>257</v>
      </c>
      <c r="B10" s="743"/>
      <c r="C10" s="743"/>
      <c r="D10" s="743"/>
      <c r="E10" s="42"/>
      <c r="F10" s="68"/>
      <c r="G10" s="45">
        <f>E10*F10</f>
        <v>0</v>
      </c>
      <c r="H10" s="46"/>
    </row>
    <row r="11" spans="1:8" x14ac:dyDescent="0.35">
      <c r="A11" s="753" t="s">
        <v>257</v>
      </c>
      <c r="B11" s="743"/>
      <c r="C11" s="743"/>
      <c r="D11" s="743"/>
      <c r="E11" s="42"/>
      <c r="F11" s="68"/>
      <c r="G11" s="45">
        <f>E11*F11</f>
        <v>0</v>
      </c>
      <c r="H11" s="46"/>
    </row>
    <row r="12" spans="1:8" x14ac:dyDescent="0.35">
      <c r="A12" s="757" t="s">
        <v>180</v>
      </c>
      <c r="B12" s="757"/>
      <c r="C12" s="757"/>
      <c r="D12" s="757"/>
      <c r="E12" s="48" t="s">
        <v>126</v>
      </c>
      <c r="F12" s="65"/>
      <c r="G12" s="51">
        <f>SUM(G8:G11)</f>
        <v>0</v>
      </c>
      <c r="H12" s="35"/>
    </row>
    <row r="13" spans="1:8" ht="43.5" x14ac:dyDescent="0.35">
      <c r="A13" s="758" t="s">
        <v>249</v>
      </c>
      <c r="B13" s="759"/>
      <c r="C13" s="759"/>
      <c r="D13" s="759"/>
      <c r="E13" s="50">
        <v>0.4</v>
      </c>
      <c r="F13" s="42"/>
      <c r="G13" s="66">
        <f>E13*G12</f>
        <v>0</v>
      </c>
      <c r="H13" s="35" t="s">
        <v>315</v>
      </c>
    </row>
    <row r="14" spans="1:8" x14ac:dyDescent="0.35">
      <c r="A14" s="757" t="s">
        <v>182</v>
      </c>
      <c r="B14" s="743"/>
      <c r="C14" s="743"/>
      <c r="D14" s="743"/>
      <c r="E14" s="47" t="s">
        <v>126</v>
      </c>
      <c r="F14" s="67"/>
      <c r="G14" s="51">
        <f>SUM(G12:G13)</f>
        <v>0</v>
      </c>
      <c r="H14" s="35"/>
    </row>
    <row r="15" spans="1:8" x14ac:dyDescent="0.35">
      <c r="A15" s="743"/>
      <c r="B15" s="743"/>
      <c r="C15" s="743"/>
      <c r="D15" s="743"/>
      <c r="E15" s="743"/>
      <c r="F15" s="743"/>
      <c r="G15" s="743"/>
      <c r="H15" s="743"/>
    </row>
    <row r="16" spans="1:8" s="4" customFormat="1" ht="15.5" x14ac:dyDescent="0.35">
      <c r="A16" s="744" t="s">
        <v>250</v>
      </c>
      <c r="B16" s="745"/>
      <c r="C16" s="745"/>
      <c r="D16" s="745"/>
      <c r="E16" s="745"/>
      <c r="F16" s="745"/>
      <c r="G16" s="745"/>
      <c r="H16" s="745"/>
    </row>
    <row r="17" spans="1:8" x14ac:dyDescent="0.35">
      <c r="A17" s="746" t="s">
        <v>251</v>
      </c>
      <c r="B17" s="743"/>
      <c r="C17" s="743"/>
      <c r="D17" s="743"/>
      <c r="E17" s="69" t="s">
        <v>252</v>
      </c>
      <c r="F17" s="70"/>
      <c r="G17" s="66">
        <f>G14</f>
        <v>0</v>
      </c>
      <c r="H17" s="46"/>
    </row>
    <row r="18" spans="1:8" ht="44.15" customHeight="1" x14ac:dyDescent="0.35">
      <c r="A18" s="746" t="s">
        <v>253</v>
      </c>
      <c r="B18" s="753"/>
      <c r="C18" s="753"/>
      <c r="D18" s="753"/>
      <c r="E18" s="50">
        <v>0.42</v>
      </c>
      <c r="F18" s="43"/>
      <c r="G18" s="45">
        <f>G17*E18</f>
        <v>0</v>
      </c>
      <c r="H18" s="35" t="s">
        <v>316</v>
      </c>
    </row>
    <row r="19" spans="1:8" x14ac:dyDescent="0.35">
      <c r="E19" s="48" t="s">
        <v>254</v>
      </c>
      <c r="F19" s="71"/>
      <c r="G19" s="51">
        <f>SUM(G17:G18)</f>
        <v>0</v>
      </c>
    </row>
  </sheetData>
  <mergeCells count="18">
    <mergeCell ref="A6:D6"/>
    <mergeCell ref="A1:B1"/>
    <mergeCell ref="A2:B2"/>
    <mergeCell ref="A3:B3"/>
    <mergeCell ref="A4:B4"/>
    <mergeCell ref="A5:B5"/>
    <mergeCell ref="A18:D18"/>
    <mergeCell ref="A7:G7"/>
    <mergeCell ref="A8:D8"/>
    <mergeCell ref="A9:D9"/>
    <mergeCell ref="A10:D10"/>
    <mergeCell ref="A11:D11"/>
    <mergeCell ref="A12:D12"/>
    <mergeCell ref="A13:D13"/>
    <mergeCell ref="A14:D14"/>
    <mergeCell ref="A15:H15"/>
    <mergeCell ref="A16:H16"/>
    <mergeCell ref="A17:D17"/>
  </mergeCells>
  <hyperlinks>
    <hyperlink ref="H6" r:id="rId1" display="WBDG - AFMAN 32-1084" xr:uid="{54E97F03-F9C0-49A5-8609-152C5B153BF7}"/>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0C3BAC2-BB27-482A-9368-CC89F2E4EEF5}">
          <x14:formula1>
            <xm:f>'Sheet References'!$L$1:$L$978</xm:f>
          </x14:formula1>
          <xm:sqref>E1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9651F-8473-4A9C-8E3B-9DAB6B936665}">
  <sheetPr>
    <tabColor rgb="FFFFFF99"/>
    <pageSetUpPr fitToPage="1"/>
  </sheetPr>
  <dimension ref="A1:P54"/>
  <sheetViews>
    <sheetView zoomScaleNormal="100" workbookViewId="0">
      <selection activeCell="A33" sqref="A33:C33"/>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722351</v>
      </c>
      <c r="F1" s="38"/>
      <c r="G1" s="38"/>
      <c r="H1" s="38"/>
    </row>
    <row r="2" spans="1:8" ht="21" customHeight="1" x14ac:dyDescent="0.35">
      <c r="A2" s="676" t="s">
        <v>21</v>
      </c>
      <c r="B2" s="676"/>
      <c r="C2" s="38"/>
      <c r="D2" s="36" t="s">
        <v>107</v>
      </c>
      <c r="E2" s="37" t="str">
        <f>VLOOKUP(E1,'Sheet References'!L:M,2,FALSE)</f>
        <v>Airman Dining Halls (Detached)</v>
      </c>
      <c r="F2" s="38"/>
      <c r="G2" s="38"/>
      <c r="H2" s="38"/>
    </row>
    <row r="3" spans="1:8" ht="21" customHeight="1" x14ac:dyDescent="0.35">
      <c r="A3" s="676" t="s">
        <v>22</v>
      </c>
      <c r="B3" s="676"/>
      <c r="C3" s="36"/>
      <c r="D3" s="36" t="s">
        <v>108</v>
      </c>
      <c r="E3" s="37" t="str">
        <f>VLOOKUP(CATCode,'Sheet References'!L:O,4,FALSE)</f>
        <v>https://www.wbdg.org/FFC/AF/AFMAN/722351_Airmen_Dining_Fac.pdf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314</v>
      </c>
      <c r="B8" s="743"/>
      <c r="C8" s="743"/>
      <c r="D8" s="743"/>
      <c r="E8" s="355">
        <f>I22</f>
        <v>0</v>
      </c>
      <c r="F8" s="68">
        <v>1</v>
      </c>
      <c r="G8" s="45">
        <f>E8*F8</f>
        <v>0</v>
      </c>
      <c r="H8" s="35"/>
    </row>
    <row r="9" spans="1:8" x14ac:dyDescent="0.35">
      <c r="A9" s="753" t="s">
        <v>257</v>
      </c>
      <c r="B9" s="743"/>
      <c r="C9" s="743"/>
      <c r="D9" s="743"/>
      <c r="E9" s="42"/>
      <c r="F9" s="68"/>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12" x14ac:dyDescent="0.35">
      <c r="A17" s="746" t="s">
        <v>253</v>
      </c>
      <c r="B17" s="753"/>
      <c r="C17" s="753"/>
      <c r="D17" s="753"/>
      <c r="E17" s="50">
        <v>0</v>
      </c>
      <c r="F17" s="43"/>
      <c r="G17" s="45">
        <f>G16*E17</f>
        <v>0</v>
      </c>
      <c r="H17" s="35" t="s">
        <v>176</v>
      </c>
    </row>
    <row r="18" spans="1:12" x14ac:dyDescent="0.35">
      <c r="E18" s="48" t="s">
        <v>254</v>
      </c>
      <c r="F18" s="71"/>
      <c r="G18" s="51">
        <f>SUM(G16:G17)</f>
        <v>0</v>
      </c>
    </row>
    <row r="19" spans="1:12" ht="15" thickBot="1" x14ac:dyDescent="0.4"/>
    <row r="20" spans="1:12" ht="19" customHeight="1" thickBot="1" x14ac:dyDescent="0.4">
      <c r="A20" s="711" t="s">
        <v>317</v>
      </c>
      <c r="B20" s="712"/>
      <c r="C20" s="712"/>
      <c r="D20" s="712"/>
      <c r="E20" s="712"/>
      <c r="F20" s="712"/>
      <c r="G20" s="712"/>
      <c r="H20" s="713"/>
      <c r="I20" s="653" t="s">
        <v>190</v>
      </c>
      <c r="K20" s="216"/>
      <c r="L20" s="216"/>
    </row>
    <row r="21" spans="1:12" ht="15" customHeight="1" thickBot="1" x14ac:dyDescent="0.4">
      <c r="A21" s="787" t="s">
        <v>318</v>
      </c>
      <c r="B21" s="727" t="s">
        <v>319</v>
      </c>
      <c r="C21" s="657" t="s">
        <v>320</v>
      </c>
      <c r="D21" s="656" t="s">
        <v>321</v>
      </c>
      <c r="E21" s="714"/>
      <c r="F21" s="656" t="s">
        <v>322</v>
      </c>
      <c r="G21" s="791"/>
      <c r="H21" s="714"/>
      <c r="I21" s="655"/>
      <c r="J21" s="216"/>
      <c r="K21" s="216"/>
      <c r="L21" s="216"/>
    </row>
    <row r="22" spans="1:12" ht="29.5" customHeight="1" thickBot="1" x14ac:dyDescent="0.4">
      <c r="A22" s="788"/>
      <c r="B22" s="727"/>
      <c r="C22" s="657"/>
      <c r="D22" s="789"/>
      <c r="E22" s="790"/>
      <c r="F22" s="789"/>
      <c r="G22" s="792"/>
      <c r="H22" s="790"/>
      <c r="I22" s="371">
        <f>IFERROR(SUM(IF(B26="Y",C54,0),VLOOKUP(F30,A37:C42,3,TRUE)),0)</f>
        <v>0</v>
      </c>
      <c r="K22" s="198"/>
      <c r="L22" s="198"/>
    </row>
    <row r="23" spans="1:12" ht="17" thickBot="1" x14ac:dyDescent="0.4">
      <c r="A23" s="384">
        <f>C30</f>
        <v>0</v>
      </c>
      <c r="B23" s="200" t="s">
        <v>191</v>
      </c>
      <c r="C23" s="385">
        <f>'Instructions &amp; Pop Data'!D18</f>
        <v>0</v>
      </c>
      <c r="D23" s="793" t="s">
        <v>323</v>
      </c>
      <c r="E23" s="794"/>
      <c r="F23" s="810">
        <f>IF(B23="Y",C23*0.9,C23*0.7)</f>
        <v>0</v>
      </c>
      <c r="G23" s="811"/>
      <c r="H23" s="813"/>
      <c r="I23" s="173" t="s">
        <v>324</v>
      </c>
      <c r="K23" s="217"/>
      <c r="L23" s="217"/>
    </row>
    <row r="24" spans="1:12" ht="15" customHeight="1" thickBot="1" x14ac:dyDescent="0.4">
      <c r="A24" s="235"/>
      <c r="B24" s="653" t="s">
        <v>325</v>
      </c>
      <c r="C24" s="385">
        <f>'Instructions &amp; Pop Data'!D17</f>
        <v>0</v>
      </c>
      <c r="D24" s="793" t="s">
        <v>326</v>
      </c>
      <c r="E24" s="794"/>
      <c r="F24" s="810">
        <f>C24*1.1</f>
        <v>0</v>
      </c>
      <c r="G24" s="811"/>
      <c r="H24" s="813"/>
      <c r="I24" s="795">
        <f>SUM(F30/B29)</f>
        <v>0</v>
      </c>
      <c r="K24" s="198"/>
      <c r="L24" s="198"/>
    </row>
    <row r="25" spans="1:12" ht="15" customHeight="1" thickBot="1" x14ac:dyDescent="0.4">
      <c r="A25" s="235"/>
      <c r="B25" s="655"/>
      <c r="C25" s="385" t="s">
        <v>327</v>
      </c>
      <c r="D25" s="793" t="s">
        <v>328</v>
      </c>
      <c r="E25" s="794"/>
      <c r="F25" s="810" t="s">
        <v>327</v>
      </c>
      <c r="G25" s="811"/>
      <c r="H25" s="813"/>
      <c r="I25" s="796"/>
      <c r="J25" s="198"/>
      <c r="K25" s="198"/>
      <c r="L25" s="198"/>
    </row>
    <row r="26" spans="1:12" ht="15" customHeight="1" thickBot="1" x14ac:dyDescent="0.4">
      <c r="A26" s="235"/>
      <c r="B26" s="168" t="s">
        <v>191</v>
      </c>
      <c r="C26" s="385">
        <f>'Instructions &amp; Pop Data'!D14</f>
        <v>0</v>
      </c>
      <c r="D26" s="793" t="s">
        <v>329</v>
      </c>
      <c r="E26" s="794"/>
      <c r="F26" s="810">
        <f>C26*0.95</f>
        <v>0</v>
      </c>
      <c r="G26" s="811"/>
      <c r="H26" s="812"/>
      <c r="I26" s="262"/>
      <c r="K26" s="218"/>
      <c r="L26" s="218"/>
    </row>
    <row r="27" spans="1:12" ht="15" thickBot="1" x14ac:dyDescent="0.4">
      <c r="A27" s="235"/>
      <c r="B27" s="653" t="s">
        <v>330</v>
      </c>
      <c r="C27" s="225">
        <v>0</v>
      </c>
      <c r="D27" s="793" t="s">
        <v>331</v>
      </c>
      <c r="E27" s="794"/>
      <c r="F27" s="810">
        <f>C27*0.95</f>
        <v>0</v>
      </c>
      <c r="G27" s="811"/>
      <c r="H27" s="812"/>
      <c r="I27" s="263"/>
      <c r="J27" s="114"/>
    </row>
    <row r="28" spans="1:12" ht="15" thickBot="1" x14ac:dyDescent="0.4">
      <c r="A28" s="235"/>
      <c r="B28" s="655"/>
      <c r="C28" s="225">
        <v>0</v>
      </c>
      <c r="D28" s="793" t="s">
        <v>332</v>
      </c>
      <c r="E28" s="794"/>
      <c r="F28" s="810">
        <f>C28*0.95</f>
        <v>0</v>
      </c>
      <c r="G28" s="811"/>
      <c r="H28" s="812"/>
      <c r="I28" s="263"/>
      <c r="J28" s="114"/>
    </row>
    <row r="29" spans="1:12" ht="15" thickBot="1" x14ac:dyDescent="0.4">
      <c r="A29" s="235"/>
      <c r="B29" s="169">
        <v>3</v>
      </c>
      <c r="C29" s="225">
        <v>0</v>
      </c>
      <c r="D29" s="793" t="s">
        <v>333</v>
      </c>
      <c r="E29" s="794"/>
      <c r="F29" s="810">
        <f>C29*0.85</f>
        <v>0</v>
      </c>
      <c r="G29" s="811"/>
      <c r="H29" s="812"/>
      <c r="I29" s="263"/>
      <c r="J29" s="114"/>
    </row>
    <row r="30" spans="1:12" ht="15" thickBot="1" x14ac:dyDescent="0.4">
      <c r="A30" s="235"/>
      <c r="B30" s="236"/>
      <c r="C30" s="510">
        <f>SUM(C23:C29)</f>
        <v>0</v>
      </c>
      <c r="D30" s="808" t="s">
        <v>334</v>
      </c>
      <c r="E30" s="809"/>
      <c r="F30" s="810">
        <f>SUM(F23:H29)</f>
        <v>0</v>
      </c>
      <c r="G30" s="811"/>
      <c r="H30" s="812"/>
      <c r="I30" s="246"/>
      <c r="J30" s="114"/>
    </row>
    <row r="31" spans="1:12" ht="16" customHeight="1" thickBot="1" x14ac:dyDescent="0.4">
      <c r="A31" s="805" t="s">
        <v>335</v>
      </c>
      <c r="B31" s="806"/>
      <c r="C31" s="806"/>
      <c r="D31" s="806"/>
      <c r="E31" s="806"/>
      <c r="F31" s="806"/>
      <c r="G31" s="806"/>
      <c r="H31" s="806"/>
      <c r="I31" s="807"/>
      <c r="J31" s="170"/>
    </row>
    <row r="32" spans="1:12" ht="15" thickBot="1" x14ac:dyDescent="0.4"/>
    <row r="33" spans="1:3" ht="18.5" x14ac:dyDescent="0.45">
      <c r="A33" s="797" t="s">
        <v>336</v>
      </c>
      <c r="B33" s="798"/>
      <c r="C33" s="799"/>
    </row>
    <row r="34" spans="1:3" x14ac:dyDescent="0.35">
      <c r="A34" s="800" t="s">
        <v>337</v>
      </c>
      <c r="B34" s="801"/>
      <c r="C34" s="802"/>
    </row>
    <row r="35" spans="1:3" x14ac:dyDescent="0.35">
      <c r="A35" s="125" t="s">
        <v>338</v>
      </c>
      <c r="B35" s="126"/>
      <c r="C35" s="127"/>
    </row>
    <row r="36" spans="1:3" x14ac:dyDescent="0.35">
      <c r="A36" s="803" t="s">
        <v>339</v>
      </c>
      <c r="B36" s="804"/>
      <c r="C36" s="128" t="s">
        <v>340</v>
      </c>
    </row>
    <row r="37" spans="1:3" x14ac:dyDescent="0.35">
      <c r="A37" s="129">
        <v>81</v>
      </c>
      <c r="B37" s="541">
        <v>150</v>
      </c>
      <c r="C37" s="130">
        <v>6300</v>
      </c>
    </row>
    <row r="38" spans="1:3" x14ac:dyDescent="0.35">
      <c r="A38" s="129">
        <v>151</v>
      </c>
      <c r="B38" s="541">
        <v>400</v>
      </c>
      <c r="C38" s="130">
        <v>10000</v>
      </c>
    </row>
    <row r="39" spans="1:3" x14ac:dyDescent="0.35">
      <c r="A39" s="129">
        <v>401</v>
      </c>
      <c r="B39" s="541">
        <v>650</v>
      </c>
      <c r="C39" s="130">
        <v>14000</v>
      </c>
    </row>
    <row r="40" spans="1:3" x14ac:dyDescent="0.35">
      <c r="A40" s="129">
        <v>651</v>
      </c>
      <c r="B40" s="541">
        <v>1000</v>
      </c>
      <c r="C40" s="130">
        <v>18400</v>
      </c>
    </row>
    <row r="41" spans="1:3" x14ac:dyDescent="0.35">
      <c r="A41" s="129">
        <v>1001</v>
      </c>
      <c r="B41" s="541">
        <v>1500</v>
      </c>
      <c r="C41" s="130">
        <v>24685</v>
      </c>
    </row>
    <row r="42" spans="1:3" x14ac:dyDescent="0.35">
      <c r="A42" s="129">
        <v>1501</v>
      </c>
      <c r="B42" s="541">
        <v>2200</v>
      </c>
      <c r="C42" s="130">
        <v>33484</v>
      </c>
    </row>
    <row r="43" spans="1:3" x14ac:dyDescent="0.35">
      <c r="A43" s="125" t="s">
        <v>341</v>
      </c>
      <c r="B43" s="126"/>
      <c r="C43" s="127"/>
    </row>
    <row r="44" spans="1:3" x14ac:dyDescent="0.35">
      <c r="A44" s="123" t="s">
        <v>342</v>
      </c>
      <c r="B44" s="298"/>
      <c r="C44" s="131" t="s">
        <v>343</v>
      </c>
    </row>
    <row r="45" spans="1:3" x14ac:dyDescent="0.35">
      <c r="A45" s="132"/>
      <c r="B45" s="299" t="s">
        <v>323</v>
      </c>
      <c r="C45" s="133">
        <v>0.7</v>
      </c>
    </row>
    <row r="46" spans="1:3" x14ac:dyDescent="0.35">
      <c r="A46" s="134"/>
      <c r="B46" s="299" t="s">
        <v>344</v>
      </c>
      <c r="C46" s="133">
        <v>0.9</v>
      </c>
    </row>
    <row r="47" spans="1:3" x14ac:dyDescent="0.35">
      <c r="A47" s="134"/>
      <c r="B47" s="299" t="s">
        <v>326</v>
      </c>
      <c r="C47" s="133">
        <v>1.1000000000000001</v>
      </c>
    </row>
    <row r="48" spans="1:3" x14ac:dyDescent="0.35">
      <c r="A48" s="134"/>
      <c r="B48" s="299" t="s">
        <v>328</v>
      </c>
      <c r="C48" s="133">
        <v>0.5</v>
      </c>
    </row>
    <row r="49" spans="1:3" x14ac:dyDescent="0.35">
      <c r="A49" s="132"/>
      <c r="B49" s="299" t="s">
        <v>345</v>
      </c>
      <c r="C49" s="133">
        <v>0.95</v>
      </c>
    </row>
    <row r="50" spans="1:3" x14ac:dyDescent="0.35">
      <c r="A50" s="132"/>
      <c r="B50" s="299" t="s">
        <v>346</v>
      </c>
      <c r="C50" s="133">
        <v>0.95</v>
      </c>
    </row>
    <row r="51" spans="1:3" x14ac:dyDescent="0.35">
      <c r="A51" s="132"/>
      <c r="B51" s="299" t="s">
        <v>347</v>
      </c>
      <c r="C51" s="133">
        <v>0.9</v>
      </c>
    </row>
    <row r="52" spans="1:3" x14ac:dyDescent="0.35">
      <c r="A52" s="132"/>
      <c r="B52" s="299" t="s">
        <v>333</v>
      </c>
      <c r="C52" s="133">
        <v>0.85</v>
      </c>
    </row>
    <row r="53" spans="1:3" x14ac:dyDescent="0.35">
      <c r="A53" s="125" t="s">
        <v>348</v>
      </c>
      <c r="B53" s="126"/>
      <c r="C53" s="127"/>
    </row>
    <row r="54" spans="1:3" ht="15" thickBot="1" x14ac:dyDescent="0.4">
      <c r="A54" s="135"/>
      <c r="B54" s="136" t="s">
        <v>349</v>
      </c>
      <c r="C54" s="137">
        <v>2400</v>
      </c>
    </row>
  </sheetData>
  <mergeCells count="47">
    <mergeCell ref="I24:I25"/>
    <mergeCell ref="A33:C33"/>
    <mergeCell ref="A34:C34"/>
    <mergeCell ref="A36:B36"/>
    <mergeCell ref="D23:E23"/>
    <mergeCell ref="D24:E24"/>
    <mergeCell ref="A31:I31"/>
    <mergeCell ref="D30:E30"/>
    <mergeCell ref="F30:H30"/>
    <mergeCell ref="F27:H27"/>
    <mergeCell ref="F28:H28"/>
    <mergeCell ref="F29:H29"/>
    <mergeCell ref="F23:H23"/>
    <mergeCell ref="F24:H24"/>
    <mergeCell ref="F25:H25"/>
    <mergeCell ref="F26:H26"/>
    <mergeCell ref="B24:B25"/>
    <mergeCell ref="B27:B28"/>
    <mergeCell ref="D29:E29"/>
    <mergeCell ref="D25:E25"/>
    <mergeCell ref="D26:E26"/>
    <mergeCell ref="D27:E27"/>
    <mergeCell ref="D28:E28"/>
    <mergeCell ref="I20:I21"/>
    <mergeCell ref="A21:A22"/>
    <mergeCell ref="B21:B22"/>
    <mergeCell ref="C21:C22"/>
    <mergeCell ref="D21:E22"/>
    <mergeCell ref="A20:H20"/>
    <mergeCell ref="F21:H22"/>
    <mergeCell ref="A6:D6"/>
    <mergeCell ref="A1:B1"/>
    <mergeCell ref="A2:B2"/>
    <mergeCell ref="A3:B3"/>
    <mergeCell ref="A4:B4"/>
    <mergeCell ref="A5:B5"/>
    <mergeCell ref="A17:D17"/>
    <mergeCell ref="A7:G7"/>
    <mergeCell ref="A8:D8"/>
    <mergeCell ref="A9:D9"/>
    <mergeCell ref="A10:D10"/>
    <mergeCell ref="A11:D11"/>
    <mergeCell ref="A12:D12"/>
    <mergeCell ref="A13:D13"/>
    <mergeCell ref="A14:H14"/>
    <mergeCell ref="A15:H15"/>
    <mergeCell ref="A16:D16"/>
  </mergeCells>
  <dataValidations count="2">
    <dataValidation type="list" allowBlank="1" showInputMessage="1" showErrorMessage="1" sqref="B29" xr:uid="{BD7A5C70-22E1-4BC6-A871-012882E598F9}">
      <formula1>"1,2,3,4"</formula1>
    </dataValidation>
    <dataValidation type="list" allowBlank="1" showInputMessage="1" showErrorMessage="1" sqref="B26 B23" xr:uid="{5FC49683-7B08-41D7-97CB-959F89695B48}">
      <formula1>"N,Y,-"</formula1>
    </dataValidation>
  </dataValidations>
  <hyperlinks>
    <hyperlink ref="H6" r:id="rId1" display="WBDG - AFMAN 32-1084" xr:uid="{5DE1171A-8DD6-4057-B706-AF710F77CEC3}"/>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A421C9B-770D-43D1-AD9E-A161C8C54267}">
          <x14:formula1>
            <xm:f>'Sheet References'!$L$1:$L$978</xm:f>
          </x14:formula1>
          <xm:sqref>E1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F6C3F-BC49-4ED2-852E-72CC410F2DF1}">
  <sheetPr>
    <tabColor rgb="FFFFFF99"/>
    <pageSetUpPr fitToPage="1"/>
  </sheetPr>
  <dimension ref="A1:P22"/>
  <sheetViews>
    <sheetView zoomScaleNormal="100" workbookViewId="0">
      <selection activeCell="H9" sqref="H9"/>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722345</v>
      </c>
      <c r="F1" s="38"/>
      <c r="G1" s="38"/>
      <c r="H1" s="38"/>
    </row>
    <row r="2" spans="1:8" ht="21" customHeight="1" x14ac:dyDescent="0.35">
      <c r="A2" s="676" t="s">
        <v>21</v>
      </c>
      <c r="B2" s="676"/>
      <c r="C2" s="38"/>
      <c r="D2" s="36" t="s">
        <v>107</v>
      </c>
      <c r="E2" s="37" t="str">
        <f>VLOOKUP(E1,'Sheet References'!L:M,2,FALSE)</f>
        <v>Fast Food Service</v>
      </c>
      <c r="F2" s="38"/>
      <c r="G2" s="38"/>
      <c r="H2" s="38"/>
    </row>
    <row r="3" spans="1:8" ht="21" customHeight="1" x14ac:dyDescent="0.35">
      <c r="A3" s="676" t="s">
        <v>22</v>
      </c>
      <c r="B3" s="676"/>
      <c r="C3" s="36"/>
      <c r="D3" s="36" t="s">
        <v>108</v>
      </c>
      <c r="E3" s="37" t="str">
        <f>VLOOKUP(CATCode,'Sheet References'!L:O,4,FALSE)</f>
        <v>https://www.wbdg.org/FFC/AF/AFMAN/722345_Fast_Food_Service_Fac.pdf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350</v>
      </c>
      <c r="B8" s="743"/>
      <c r="C8" s="743"/>
      <c r="D8" s="743"/>
      <c r="E8" s="365">
        <f>'740671_Bowling Ctr'!E26</f>
        <v>0</v>
      </c>
      <c r="F8" s="68">
        <v>1</v>
      </c>
      <c r="G8" s="45">
        <f>E8*F8</f>
        <v>0</v>
      </c>
      <c r="H8" s="35" t="s">
        <v>351</v>
      </c>
    </row>
    <row r="9" spans="1:8" ht="14.5" customHeight="1" x14ac:dyDescent="0.35">
      <c r="A9" s="756" t="s">
        <v>248</v>
      </c>
      <c r="B9" s="743"/>
      <c r="C9" s="743"/>
      <c r="D9" s="743"/>
      <c r="E9" s="42"/>
      <c r="F9" s="68"/>
      <c r="G9" s="45">
        <f>E9*F9</f>
        <v>0</v>
      </c>
      <c r="H9" s="35"/>
    </row>
    <row r="10" spans="1:8" x14ac:dyDescent="0.35">
      <c r="A10" s="756" t="s">
        <v>248</v>
      </c>
      <c r="B10" s="743"/>
      <c r="C10" s="743"/>
      <c r="D10" s="743"/>
      <c r="E10" s="42"/>
      <c r="F10" s="68"/>
      <c r="G10" s="45">
        <f>E10*F10</f>
        <v>0</v>
      </c>
      <c r="H10" s="46"/>
    </row>
    <row r="11" spans="1:8" x14ac:dyDescent="0.35">
      <c r="A11" s="756" t="s">
        <v>248</v>
      </c>
      <c r="B11" s="743"/>
      <c r="C11" s="743"/>
      <c r="D11" s="743"/>
      <c r="E11" s="42"/>
      <c r="F11" s="68"/>
      <c r="G11" s="45">
        <f>E11*F11</f>
        <v>0</v>
      </c>
      <c r="H11" s="46"/>
    </row>
    <row r="12" spans="1:8" x14ac:dyDescent="0.35">
      <c r="A12" s="757" t="s">
        <v>180</v>
      </c>
      <c r="B12" s="757"/>
      <c r="C12" s="757"/>
      <c r="D12" s="757"/>
      <c r="E12" s="48" t="s">
        <v>126</v>
      </c>
      <c r="F12" s="65"/>
      <c r="G12" s="51">
        <f>SUM(G8:G11)</f>
        <v>0</v>
      </c>
      <c r="H12" s="35"/>
    </row>
    <row r="13" spans="1:8" x14ac:dyDescent="0.35">
      <c r="A13" s="758" t="s">
        <v>249</v>
      </c>
      <c r="B13" s="759"/>
      <c r="C13" s="759"/>
      <c r="D13" s="759"/>
      <c r="E13" s="50">
        <v>0</v>
      </c>
      <c r="F13" s="42"/>
      <c r="G13" s="66">
        <f>E13*G12</f>
        <v>0</v>
      </c>
      <c r="H13" s="35" t="s">
        <v>176</v>
      </c>
    </row>
    <row r="14" spans="1:8" x14ac:dyDescent="0.35">
      <c r="A14" s="757" t="s">
        <v>182</v>
      </c>
      <c r="B14" s="743"/>
      <c r="C14" s="743"/>
      <c r="D14" s="743"/>
      <c r="E14" s="47" t="s">
        <v>126</v>
      </c>
      <c r="F14" s="67"/>
      <c r="G14" s="51">
        <f>SUM(G12:G13)</f>
        <v>0</v>
      </c>
      <c r="H14" s="35"/>
    </row>
    <row r="15" spans="1:8" x14ac:dyDescent="0.35">
      <c r="A15" s="743"/>
      <c r="B15" s="743"/>
      <c r="C15" s="743"/>
      <c r="D15" s="743"/>
      <c r="E15" s="743"/>
      <c r="F15" s="743"/>
      <c r="G15" s="743"/>
      <c r="H15" s="743"/>
    </row>
    <row r="16" spans="1:8" s="4" customFormat="1" ht="15.5" x14ac:dyDescent="0.35">
      <c r="A16" s="744" t="s">
        <v>250</v>
      </c>
      <c r="B16" s="745"/>
      <c r="C16" s="745"/>
      <c r="D16" s="745"/>
      <c r="E16" s="745"/>
      <c r="F16" s="745"/>
      <c r="G16" s="745"/>
      <c r="H16" s="745"/>
    </row>
    <row r="17" spans="1:8" x14ac:dyDescent="0.35">
      <c r="A17" s="746" t="s">
        <v>251</v>
      </c>
      <c r="B17" s="743"/>
      <c r="C17" s="743"/>
      <c r="D17" s="743"/>
      <c r="E17" s="69" t="s">
        <v>252</v>
      </c>
      <c r="F17" s="70"/>
      <c r="G17" s="66">
        <f>G14</f>
        <v>0</v>
      </c>
      <c r="H17" s="46"/>
    </row>
    <row r="18" spans="1:8" x14ac:dyDescent="0.35">
      <c r="A18" s="746" t="s">
        <v>253</v>
      </c>
      <c r="B18" s="753"/>
      <c r="C18" s="753"/>
      <c r="D18" s="753"/>
      <c r="E18" s="50">
        <v>0</v>
      </c>
      <c r="F18" s="43"/>
      <c r="G18" s="45">
        <f>G17*E18</f>
        <v>0</v>
      </c>
      <c r="H18" s="35" t="s">
        <v>176</v>
      </c>
    </row>
    <row r="19" spans="1:8" ht="15" thickBot="1" x14ac:dyDescent="0.4">
      <c r="E19" s="48" t="s">
        <v>254</v>
      </c>
      <c r="F19" s="71"/>
      <c r="G19" s="51">
        <f>SUM(G17:G18)</f>
        <v>0</v>
      </c>
    </row>
    <row r="20" spans="1:8" ht="16" thickBot="1" x14ac:dyDescent="0.4">
      <c r="A20" s="747" t="s">
        <v>255</v>
      </c>
      <c r="B20" s="748"/>
      <c r="C20" s="749"/>
    </row>
    <row r="21" spans="1:8" x14ac:dyDescent="0.35">
      <c r="A21" s="737" t="s">
        <v>352</v>
      </c>
      <c r="B21" s="738"/>
      <c r="C21" s="739"/>
    </row>
    <row r="22" spans="1:8" ht="15" thickBot="1" x14ac:dyDescent="0.4">
      <c r="A22" s="740"/>
      <c r="B22" s="741"/>
      <c r="C22" s="742"/>
    </row>
  </sheetData>
  <mergeCells count="20">
    <mergeCell ref="A6:D6"/>
    <mergeCell ref="A18:D18"/>
    <mergeCell ref="A7:G7"/>
    <mergeCell ref="A8:D8"/>
    <mergeCell ref="A9:D9"/>
    <mergeCell ref="A10:D10"/>
    <mergeCell ref="A11:D11"/>
    <mergeCell ref="A12:D12"/>
    <mergeCell ref="A13:D13"/>
    <mergeCell ref="A14:D14"/>
    <mergeCell ref="A1:B1"/>
    <mergeCell ref="A2:B2"/>
    <mergeCell ref="A3:B3"/>
    <mergeCell ref="A4:B4"/>
    <mergeCell ref="A5:B5"/>
    <mergeCell ref="A21:C22"/>
    <mergeCell ref="A15:H15"/>
    <mergeCell ref="A16:H16"/>
    <mergeCell ref="A17:D17"/>
    <mergeCell ref="A20:C20"/>
  </mergeCells>
  <hyperlinks>
    <hyperlink ref="H6" r:id="rId1" display="WBDG - AFMAN 32-1084" xr:uid="{192DD3A5-33B2-461A-973A-83D1FABF7AA9}"/>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ED0A750-7D59-4788-BD63-DC1F91FD8049}">
          <x14:formula1>
            <xm:f>'Sheet References'!$L$1:$L$978</xm:f>
          </x14:formula1>
          <xm:sqref>E1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B7601-629A-47AF-98C8-B50D7FE24AEC}">
  <sheetPr>
    <tabColor theme="5" tint="-0.249977111117893"/>
    <pageSetUpPr fitToPage="1"/>
  </sheetPr>
  <dimension ref="A1:P22"/>
  <sheetViews>
    <sheetView zoomScaleNormal="100" workbookViewId="0">
      <selection activeCell="A20" sqref="A20:C20"/>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723385</v>
      </c>
      <c r="F1" s="38"/>
      <c r="G1" s="38"/>
      <c r="H1" s="38"/>
    </row>
    <row r="2" spans="1:8" ht="21" customHeight="1" x14ac:dyDescent="0.35">
      <c r="A2" s="676" t="s">
        <v>21</v>
      </c>
      <c r="B2" s="676"/>
      <c r="C2" s="38"/>
      <c r="D2" s="36" t="s">
        <v>107</v>
      </c>
      <c r="E2" s="37" t="str">
        <f>VLOOKUP(E1,'Sheet References'!L:M,2,FALSE)</f>
        <v>Kitchen, Central Preparation</v>
      </c>
      <c r="F2" s="38"/>
      <c r="G2" s="38"/>
      <c r="H2" s="38"/>
    </row>
    <row r="3" spans="1:8" ht="21" customHeight="1" x14ac:dyDescent="0.35">
      <c r="A3" s="676" t="s">
        <v>22</v>
      </c>
      <c r="B3" s="676"/>
      <c r="C3" s="36"/>
      <c r="D3" s="36" t="s">
        <v>108</v>
      </c>
      <c r="E3" s="37" t="str">
        <f>VLOOKUP(CATCode,'Sheet References'!L:O,4,FALSE)</f>
        <v>https://www.wbdg.org/FFC/AF/AFMAN/723385_Kitchen_Central_Prep.pdf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248</v>
      </c>
      <c r="B8" s="743"/>
      <c r="C8" s="743"/>
      <c r="D8" s="743"/>
      <c r="E8" s="42"/>
      <c r="F8" s="68"/>
      <c r="G8" s="45">
        <f>E8*F8</f>
        <v>0</v>
      </c>
      <c r="H8" s="35"/>
    </row>
    <row r="9" spans="1:8" x14ac:dyDescent="0.35">
      <c r="A9" s="753" t="s">
        <v>314</v>
      </c>
      <c r="B9" s="743"/>
      <c r="C9" s="743"/>
      <c r="D9" s="743"/>
      <c r="E9" s="42"/>
      <c r="F9" s="68"/>
      <c r="G9" s="45">
        <f>E9*F9</f>
        <v>0</v>
      </c>
      <c r="H9" s="35"/>
    </row>
    <row r="10" spans="1:8" x14ac:dyDescent="0.35">
      <c r="A10" s="753" t="s">
        <v>257</v>
      </c>
      <c r="B10" s="743"/>
      <c r="C10" s="743"/>
      <c r="D10" s="743"/>
      <c r="E10" s="42"/>
      <c r="F10" s="68"/>
      <c r="G10" s="45">
        <f>E10*F10</f>
        <v>0</v>
      </c>
      <c r="H10" s="46"/>
    </row>
    <row r="11" spans="1:8" x14ac:dyDescent="0.35">
      <c r="A11" s="753" t="s">
        <v>257</v>
      </c>
      <c r="B11" s="743"/>
      <c r="C11" s="743"/>
      <c r="D11" s="743"/>
      <c r="E11" s="42"/>
      <c r="F11" s="68"/>
      <c r="G11" s="45">
        <f>E11*F11</f>
        <v>0</v>
      </c>
      <c r="H11" s="46"/>
    </row>
    <row r="12" spans="1:8" x14ac:dyDescent="0.35">
      <c r="A12" s="757" t="s">
        <v>180</v>
      </c>
      <c r="B12" s="757"/>
      <c r="C12" s="757"/>
      <c r="D12" s="757"/>
      <c r="E12" s="48" t="s">
        <v>126</v>
      </c>
      <c r="F12" s="65"/>
      <c r="G12" s="51">
        <f>SUM(G8:G11)</f>
        <v>0</v>
      </c>
      <c r="H12" s="35"/>
    </row>
    <row r="13" spans="1:8" ht="43.5" x14ac:dyDescent="0.35">
      <c r="A13" s="758" t="s">
        <v>249</v>
      </c>
      <c r="B13" s="759"/>
      <c r="C13" s="759"/>
      <c r="D13" s="759"/>
      <c r="E13" s="50">
        <v>0.4</v>
      </c>
      <c r="F13" s="42"/>
      <c r="G13" s="66">
        <f>E13*G12</f>
        <v>0</v>
      </c>
      <c r="H13" s="35" t="s">
        <v>315</v>
      </c>
    </row>
    <row r="14" spans="1:8" x14ac:dyDescent="0.35">
      <c r="A14" s="757" t="s">
        <v>182</v>
      </c>
      <c r="B14" s="743"/>
      <c r="C14" s="743"/>
      <c r="D14" s="743"/>
      <c r="E14" s="47" t="s">
        <v>126</v>
      </c>
      <c r="F14" s="67"/>
      <c r="G14" s="51">
        <f>SUM(G12:G13)</f>
        <v>0</v>
      </c>
      <c r="H14" s="35"/>
    </row>
    <row r="15" spans="1:8" x14ac:dyDescent="0.35">
      <c r="A15" s="743"/>
      <c r="B15" s="743"/>
      <c r="C15" s="743"/>
      <c r="D15" s="743"/>
      <c r="E15" s="743"/>
      <c r="F15" s="743"/>
      <c r="G15" s="743"/>
      <c r="H15" s="743"/>
    </row>
    <row r="16" spans="1:8" s="4" customFormat="1" ht="15.5" x14ac:dyDescent="0.35">
      <c r="A16" s="744" t="s">
        <v>250</v>
      </c>
      <c r="B16" s="745"/>
      <c r="C16" s="745"/>
      <c r="D16" s="745"/>
      <c r="E16" s="745"/>
      <c r="F16" s="745"/>
      <c r="G16" s="745"/>
      <c r="H16" s="745"/>
    </row>
    <row r="17" spans="1:8" x14ac:dyDescent="0.35">
      <c r="A17" s="746" t="s">
        <v>251</v>
      </c>
      <c r="B17" s="743"/>
      <c r="C17" s="743"/>
      <c r="D17" s="743"/>
      <c r="E17" s="69" t="s">
        <v>252</v>
      </c>
      <c r="F17" s="70"/>
      <c r="G17" s="66">
        <f>G14</f>
        <v>0</v>
      </c>
      <c r="H17" s="46"/>
    </row>
    <row r="18" spans="1:8" ht="44.15" customHeight="1" x14ac:dyDescent="0.35">
      <c r="A18" s="746" t="s">
        <v>253</v>
      </c>
      <c r="B18" s="753"/>
      <c r="C18" s="753"/>
      <c r="D18" s="753"/>
      <c r="E18" s="50">
        <v>0.42</v>
      </c>
      <c r="F18" s="43"/>
      <c r="G18" s="45">
        <f>G17*E18</f>
        <v>0</v>
      </c>
      <c r="H18" s="35" t="s">
        <v>316</v>
      </c>
    </row>
    <row r="19" spans="1:8" ht="15" thickBot="1" x14ac:dyDescent="0.4">
      <c r="E19" s="48" t="s">
        <v>254</v>
      </c>
      <c r="F19" s="71"/>
      <c r="G19" s="51">
        <f>SUM(G17:G18)</f>
        <v>0</v>
      </c>
    </row>
    <row r="20" spans="1:8" ht="16" thickBot="1" x14ac:dyDescent="0.4">
      <c r="A20" s="747" t="s">
        <v>353</v>
      </c>
      <c r="B20" s="748"/>
      <c r="C20" s="749"/>
    </row>
    <row r="21" spans="1:8" x14ac:dyDescent="0.35">
      <c r="A21" s="737" t="s">
        <v>354</v>
      </c>
      <c r="B21" s="738"/>
      <c r="C21" s="739"/>
    </row>
    <row r="22" spans="1:8" ht="15" thickBot="1" x14ac:dyDescent="0.4">
      <c r="A22" s="740"/>
      <c r="B22" s="741"/>
      <c r="C22" s="742"/>
    </row>
  </sheetData>
  <mergeCells count="20">
    <mergeCell ref="A12:D12"/>
    <mergeCell ref="A13:D13"/>
    <mergeCell ref="A14:D14"/>
    <mergeCell ref="A7:G7"/>
    <mergeCell ref="A8:D8"/>
    <mergeCell ref="A9:D9"/>
    <mergeCell ref="A10:D10"/>
    <mergeCell ref="A11:D11"/>
    <mergeCell ref="A6:D6"/>
    <mergeCell ref="A1:B1"/>
    <mergeCell ref="A2:B2"/>
    <mergeCell ref="A3:B3"/>
    <mergeCell ref="A4:B4"/>
    <mergeCell ref="A5:B5"/>
    <mergeCell ref="A15:H15"/>
    <mergeCell ref="A16:H16"/>
    <mergeCell ref="A17:D17"/>
    <mergeCell ref="A20:C20"/>
    <mergeCell ref="A21:C22"/>
    <mergeCell ref="A18:D18"/>
  </mergeCells>
  <hyperlinks>
    <hyperlink ref="H6" r:id="rId1" display="WBDG - AFMAN 32-1084" xr:uid="{F636C3F0-6C04-4354-A518-86511B985CB0}"/>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D93C684-AF97-4C66-9426-9B7962E60F18}">
          <x14:formula1>
            <xm:f>'Sheet References'!$L$1:$L$978</xm:f>
          </x14:formula1>
          <xm:sqref>E1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DB334-38D1-4CD3-BF82-4E927AE9B257}">
  <sheetPr>
    <tabColor rgb="FFFFFF99"/>
    <pageSetUpPr fitToPage="1"/>
  </sheetPr>
  <dimension ref="A1:P31"/>
  <sheetViews>
    <sheetView zoomScaleNormal="100" workbookViewId="0">
      <selection activeCell="A22" sqref="A22"/>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723388</v>
      </c>
      <c r="F1" s="38"/>
      <c r="G1" s="38"/>
      <c r="H1" s="38"/>
    </row>
    <row r="2" spans="1:8" ht="21" customHeight="1" x14ac:dyDescent="0.35">
      <c r="A2" s="676" t="s">
        <v>21</v>
      </c>
      <c r="B2" s="676"/>
      <c r="C2" s="38"/>
      <c r="D2" s="36" t="s">
        <v>107</v>
      </c>
      <c r="E2" s="37" t="str">
        <f>VLOOKUP(E1,'Sheet References'!L:M,2,FALSE)</f>
        <v>Flight Kitchen</v>
      </c>
      <c r="F2" s="38"/>
      <c r="G2" s="38"/>
      <c r="H2" s="38"/>
    </row>
    <row r="3" spans="1:8" ht="21" customHeight="1" x14ac:dyDescent="0.35">
      <c r="A3" s="676" t="s">
        <v>22</v>
      </c>
      <c r="B3" s="676"/>
      <c r="C3" s="36"/>
      <c r="D3" s="36" t="s">
        <v>108</v>
      </c>
      <c r="E3" s="37" t="str">
        <f>VLOOKUP(CATCode,'Sheet References'!L:O,4,FALSE)</f>
        <v>https://www.wbdg.org/FFC/AF/AFMAN/723388_Flight_Kitchen.pdf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355</v>
      </c>
      <c r="B8" s="743"/>
      <c r="C8" s="743"/>
      <c r="D8" s="743"/>
      <c r="E8" s="355">
        <f>B21</f>
        <v>0</v>
      </c>
      <c r="F8" s="68">
        <v>1</v>
      </c>
      <c r="G8" s="45">
        <f>E8*F8</f>
        <v>0</v>
      </c>
      <c r="H8" s="35"/>
    </row>
    <row r="9" spans="1:8" x14ac:dyDescent="0.35">
      <c r="A9" s="757" t="s">
        <v>180</v>
      </c>
      <c r="B9" s="757"/>
      <c r="C9" s="757"/>
      <c r="D9" s="757"/>
      <c r="E9" s="48" t="s">
        <v>126</v>
      </c>
      <c r="F9" s="65"/>
      <c r="G9" s="51">
        <f>SUM(G8:G8)</f>
        <v>0</v>
      </c>
      <c r="H9" s="35"/>
    </row>
    <row r="10" spans="1:8" x14ac:dyDescent="0.35">
      <c r="A10" s="758" t="s">
        <v>249</v>
      </c>
      <c r="B10" s="759"/>
      <c r="C10" s="759"/>
      <c r="D10" s="759"/>
      <c r="E10" s="50">
        <v>0</v>
      </c>
      <c r="F10" s="42"/>
      <c r="G10" s="66">
        <f>E10*G9</f>
        <v>0</v>
      </c>
      <c r="H10" s="35" t="s">
        <v>176</v>
      </c>
    </row>
    <row r="11" spans="1:8" x14ac:dyDescent="0.35">
      <c r="A11" s="757" t="s">
        <v>182</v>
      </c>
      <c r="B11" s="743"/>
      <c r="C11" s="743"/>
      <c r="D11" s="743"/>
      <c r="E11" s="47" t="s">
        <v>126</v>
      </c>
      <c r="F11" s="67"/>
      <c r="G11" s="51">
        <f>SUM(G9:G10)</f>
        <v>0</v>
      </c>
      <c r="H11" s="35"/>
    </row>
    <row r="12" spans="1:8" x14ac:dyDescent="0.35">
      <c r="A12" s="743"/>
      <c r="B12" s="743"/>
      <c r="C12" s="743"/>
      <c r="D12" s="743"/>
      <c r="E12" s="743"/>
      <c r="F12" s="743"/>
      <c r="G12" s="743"/>
      <c r="H12" s="743"/>
    </row>
    <row r="13" spans="1:8" s="4" customFormat="1" ht="15.5" x14ac:dyDescent="0.35">
      <c r="A13" s="744" t="s">
        <v>250</v>
      </c>
      <c r="B13" s="745"/>
      <c r="C13" s="745"/>
      <c r="D13" s="745"/>
      <c r="E13" s="745"/>
      <c r="F13" s="745"/>
      <c r="G13" s="745"/>
      <c r="H13" s="745"/>
    </row>
    <row r="14" spans="1:8" x14ac:dyDescent="0.35">
      <c r="A14" s="746" t="s">
        <v>251</v>
      </c>
      <c r="B14" s="743"/>
      <c r="C14" s="743"/>
      <c r="D14" s="743"/>
      <c r="E14" s="69" t="s">
        <v>252</v>
      </c>
      <c r="F14" s="70"/>
      <c r="G14" s="66">
        <f>G11</f>
        <v>0</v>
      </c>
      <c r="H14" s="46"/>
    </row>
    <row r="15" spans="1:8" x14ac:dyDescent="0.35">
      <c r="A15" s="746" t="s">
        <v>253</v>
      </c>
      <c r="B15" s="753"/>
      <c r="C15" s="753"/>
      <c r="D15" s="753"/>
      <c r="E15" s="50">
        <v>0</v>
      </c>
      <c r="F15" s="43"/>
      <c r="G15" s="45">
        <f>G14*E15</f>
        <v>0</v>
      </c>
      <c r="H15" s="35" t="s">
        <v>176</v>
      </c>
    </row>
    <row r="16" spans="1:8" x14ac:dyDescent="0.35">
      <c r="E16" s="48" t="s">
        <v>254</v>
      </c>
      <c r="F16" s="71"/>
      <c r="G16" s="51">
        <f>SUM(G14:G15)</f>
        <v>0</v>
      </c>
    </row>
    <row r="17" spans="1:3" ht="15" thickBot="1" x14ac:dyDescent="0.4"/>
    <row r="18" spans="1:3" ht="19" thickBot="1" x14ac:dyDescent="0.4">
      <c r="A18" s="711" t="s">
        <v>356</v>
      </c>
      <c r="B18" s="713"/>
    </row>
    <row r="19" spans="1:3" ht="15" customHeight="1" x14ac:dyDescent="0.35">
      <c r="A19" s="653" t="s">
        <v>357</v>
      </c>
      <c r="B19" s="816" t="s">
        <v>358</v>
      </c>
    </row>
    <row r="20" spans="1:3" ht="15" thickBot="1" x14ac:dyDescent="0.4">
      <c r="A20" s="655"/>
      <c r="B20" s="817"/>
    </row>
    <row r="21" spans="1:3" ht="15" thickBot="1" x14ac:dyDescent="0.4">
      <c r="A21" s="169">
        <v>0</v>
      </c>
      <c r="B21" s="297" cm="1">
        <f t="array" ref="B21">_xlfn.IFS(A21&lt;751,A21*0.5,A21&gt;4000,A21*0.5,A21&gt;750,VLOOKUP(A21,A27:C30,3,TRUE))</f>
        <v>0</v>
      </c>
    </row>
    <row r="22" spans="1:3" ht="15" thickBot="1" x14ac:dyDescent="0.4"/>
    <row r="23" spans="1:3" ht="18.5" x14ac:dyDescent="0.45">
      <c r="A23" s="716" t="s">
        <v>359</v>
      </c>
      <c r="B23" s="717"/>
      <c r="C23" s="718"/>
    </row>
    <row r="24" spans="1:3" x14ac:dyDescent="0.35">
      <c r="A24" s="719" t="s">
        <v>360</v>
      </c>
      <c r="B24" s="720"/>
      <c r="C24" s="721"/>
    </row>
    <row r="25" spans="1:3" x14ac:dyDescent="0.35">
      <c r="A25" s="814" t="s">
        <v>361</v>
      </c>
      <c r="B25" s="815"/>
      <c r="C25" s="339" t="s">
        <v>340</v>
      </c>
    </row>
    <row r="26" spans="1:3" x14ac:dyDescent="0.35">
      <c r="A26" s="305">
        <v>0</v>
      </c>
      <c r="B26" s="526">
        <v>750</v>
      </c>
      <c r="C26" s="527" t="s">
        <v>362</v>
      </c>
    </row>
    <row r="27" spans="1:3" x14ac:dyDescent="0.35">
      <c r="A27" s="305">
        <v>751</v>
      </c>
      <c r="B27" s="526">
        <v>1500</v>
      </c>
      <c r="C27" s="527">
        <v>1025</v>
      </c>
    </row>
    <row r="28" spans="1:3" x14ac:dyDescent="0.35">
      <c r="A28" s="305">
        <v>1501</v>
      </c>
      <c r="B28" s="526">
        <v>2500</v>
      </c>
      <c r="C28" s="527">
        <v>1250</v>
      </c>
    </row>
    <row r="29" spans="1:3" x14ac:dyDescent="0.35">
      <c r="A29" s="305">
        <v>2501</v>
      </c>
      <c r="B29" s="526">
        <v>3000</v>
      </c>
      <c r="C29" s="527">
        <v>1500</v>
      </c>
    </row>
    <row r="30" spans="1:3" x14ac:dyDescent="0.35">
      <c r="A30" s="305">
        <v>3001</v>
      </c>
      <c r="B30" s="526">
        <v>4000</v>
      </c>
      <c r="C30" s="527">
        <v>2000</v>
      </c>
    </row>
    <row r="31" spans="1:3" ht="15" thickBot="1" x14ac:dyDescent="0.4">
      <c r="A31" s="348">
        <v>4001</v>
      </c>
      <c r="B31" s="528">
        <v>1000000</v>
      </c>
      <c r="C31" s="529" t="s">
        <v>362</v>
      </c>
    </row>
  </sheetData>
  <mergeCells count="21">
    <mergeCell ref="A23:C23"/>
    <mergeCell ref="A24:C24"/>
    <mergeCell ref="A25:B25"/>
    <mergeCell ref="B19:B20"/>
    <mergeCell ref="A12:H12"/>
    <mergeCell ref="A13:H13"/>
    <mergeCell ref="A14:D14"/>
    <mergeCell ref="A6:D6"/>
    <mergeCell ref="A19:A20"/>
    <mergeCell ref="A15:D15"/>
    <mergeCell ref="A7:G7"/>
    <mergeCell ref="A8:D8"/>
    <mergeCell ref="A9:D9"/>
    <mergeCell ref="A10:D10"/>
    <mergeCell ref="A11:D11"/>
    <mergeCell ref="A18:B18"/>
    <mergeCell ref="A1:B1"/>
    <mergeCell ref="A2:B2"/>
    <mergeCell ref="A3:B3"/>
    <mergeCell ref="A4:B4"/>
    <mergeCell ref="A5:B5"/>
  </mergeCells>
  <hyperlinks>
    <hyperlink ref="H6" r:id="rId1" display="WBDG - AFMAN 32-1084" xr:uid="{2D0B519D-A95A-4C65-B59F-CF2D1831CF80}"/>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E3E25C6-D4D4-4448-80CF-7684FFA2F057}">
          <x14:formula1>
            <xm:f>'Sheet References'!$L$1:$L$978</xm:f>
          </x14:formula1>
          <xm:sqref>E1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C0C6C-E2EC-48EC-9411-E4CCE01064D0}">
  <sheetPr>
    <tabColor rgb="FFFFFF99"/>
    <pageSetUpPr fitToPage="1"/>
  </sheetPr>
  <dimension ref="A1:P66"/>
  <sheetViews>
    <sheetView zoomScaleNormal="100" workbookViewId="0">
      <selection activeCell="I39" sqref="I39"/>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730441</v>
      </c>
      <c r="F1" s="38"/>
      <c r="G1" s="38"/>
      <c r="H1" s="38"/>
    </row>
    <row r="2" spans="1:8" ht="21" customHeight="1" x14ac:dyDescent="0.35">
      <c r="A2" s="676" t="s">
        <v>21</v>
      </c>
      <c r="B2" s="676"/>
      <c r="C2" s="38"/>
      <c r="D2" s="36" t="s">
        <v>107</v>
      </c>
      <c r="E2" s="37" t="str">
        <f>VLOOKUP(E1,'Sheet References'!L:M,2,FALSE)</f>
        <v>Education Center</v>
      </c>
      <c r="F2" s="38"/>
      <c r="G2" s="38"/>
      <c r="H2" s="38"/>
    </row>
    <row r="3" spans="1:8" ht="21" customHeight="1" x14ac:dyDescent="0.35">
      <c r="A3" s="676" t="s">
        <v>22</v>
      </c>
      <c r="B3" s="676"/>
      <c r="C3" s="36"/>
      <c r="D3" s="36" t="s">
        <v>108</v>
      </c>
      <c r="E3" s="37" t="str">
        <f>VLOOKUP(CATCode,'Sheet References'!L:O,4,FALSE)</f>
        <v>https://www.wbdg.org/FFC/AF/AFMAN/730441_Education_Center.pdf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195" t="s">
        <v>110</v>
      </c>
      <c r="B6" s="195" t="s">
        <v>111</v>
      </c>
      <c r="C6" s="195" t="s">
        <v>112</v>
      </c>
      <c r="D6" s="195" t="s">
        <v>113</v>
      </c>
      <c r="E6" s="195" t="s">
        <v>114</v>
      </c>
      <c r="F6" s="195" t="s">
        <v>115</v>
      </c>
      <c r="G6" s="196" t="s">
        <v>116</v>
      </c>
      <c r="H6" s="552" t="s">
        <v>117</v>
      </c>
    </row>
    <row r="7" spans="1:8" s="4" customFormat="1" ht="43.5" customHeight="1" x14ac:dyDescent="0.35">
      <c r="A7" s="669" t="s">
        <v>118</v>
      </c>
      <c r="B7" s="670"/>
      <c r="C7" s="670"/>
      <c r="D7" s="670"/>
      <c r="E7" s="670"/>
      <c r="F7" s="670"/>
      <c r="G7" s="671"/>
      <c r="H7" s="175" t="s">
        <v>119</v>
      </c>
    </row>
    <row r="8" spans="1:8" x14ac:dyDescent="0.35">
      <c r="A8" s="42" t="s">
        <v>363</v>
      </c>
      <c r="B8" s="176" t="s">
        <v>271</v>
      </c>
      <c r="C8" s="43" t="str">
        <f>VLOOKUP(B8,PrivateOffices[],2,TRUE)</f>
        <v>Office Type D (Private)</v>
      </c>
      <c r="D8" s="52"/>
      <c r="E8" s="56">
        <f>VLOOKUP(C8,OfficeTypeSF[],2,TRUE)</f>
        <v>100</v>
      </c>
      <c r="F8" s="52">
        <v>0</v>
      </c>
      <c r="G8" s="56">
        <f>E8*F8</f>
        <v>0</v>
      </c>
      <c r="H8" s="57"/>
    </row>
    <row r="9" spans="1:8" x14ac:dyDescent="0.35">
      <c r="A9" s="42" t="s">
        <v>364</v>
      </c>
      <c r="B9" s="176" t="s">
        <v>271</v>
      </c>
      <c r="C9" s="43" t="str">
        <f>VLOOKUP(B9,PrivateOffices[],2,TRUE)</f>
        <v>Office Type D (Private)</v>
      </c>
      <c r="D9" s="52"/>
      <c r="E9" s="56">
        <f>VLOOKUP(C9,OfficeTypeSF[],2,TRUE)</f>
        <v>100</v>
      </c>
      <c r="F9" s="52">
        <v>0</v>
      </c>
      <c r="G9" s="56">
        <f>E9*F9</f>
        <v>0</v>
      </c>
      <c r="H9" s="57"/>
    </row>
    <row r="10" spans="1:8" x14ac:dyDescent="0.35">
      <c r="A10" s="42" t="s">
        <v>365</v>
      </c>
      <c r="B10" s="176" t="s">
        <v>271</v>
      </c>
      <c r="C10" s="43" t="str">
        <f>VLOOKUP(B10,PrivateOffices[],2,TRUE)</f>
        <v>Office Type D (Private)</v>
      </c>
      <c r="D10" s="52"/>
      <c r="E10" s="56">
        <f>VLOOKUP(C10,OfficeTypeSF[],2,TRUE)</f>
        <v>100</v>
      </c>
      <c r="F10" s="52">
        <v>0</v>
      </c>
      <c r="G10" s="56">
        <f>E10*F10</f>
        <v>0</v>
      </c>
      <c r="H10" s="62" t="s">
        <v>366</v>
      </c>
    </row>
    <row r="11" spans="1:8" ht="43.5" x14ac:dyDescent="0.35">
      <c r="A11" s="42" t="s">
        <v>367</v>
      </c>
      <c r="B11" s="176" t="s">
        <v>271</v>
      </c>
      <c r="C11" s="43" t="str">
        <f>VLOOKUP(B11,PrivateOffices[],2,TRUE)</f>
        <v>Office Type D (Private)</v>
      </c>
      <c r="D11" s="52"/>
      <c r="E11" s="56">
        <f>VLOOKUP(C11,OfficeTypeSF[],2,TRUE)</f>
        <v>100</v>
      </c>
      <c r="F11" s="42">
        <v>0</v>
      </c>
      <c r="G11" s="56">
        <f>E11*F11</f>
        <v>0</v>
      </c>
      <c r="H11" s="62" t="s">
        <v>368</v>
      </c>
    </row>
    <row r="12" spans="1:8" x14ac:dyDescent="0.35">
      <c r="A12" s="52" t="s">
        <v>369</v>
      </c>
      <c r="B12" s="176" t="s">
        <v>271</v>
      </c>
      <c r="C12" s="43" t="str">
        <f>VLOOKUP(B12,PrivateOffices[],2,TRUE)</f>
        <v>Office Type D (Private)</v>
      </c>
      <c r="D12" s="52"/>
      <c r="E12" s="56">
        <f>VLOOKUP(C12,OfficeTypeSF[],2,TRUE)</f>
        <v>100</v>
      </c>
      <c r="F12" s="52">
        <v>0</v>
      </c>
      <c r="G12" s="56">
        <f>E12*F12</f>
        <v>0</v>
      </c>
      <c r="H12" s="62"/>
    </row>
    <row r="13" spans="1:8" x14ac:dyDescent="0.35">
      <c r="A13" s="685" t="s">
        <v>125</v>
      </c>
      <c r="B13" s="686"/>
      <c r="C13" s="686"/>
      <c r="D13" s="686"/>
      <c r="E13" s="58" t="s">
        <v>126</v>
      </c>
      <c r="F13" s="48">
        <f>SUM(F8:F12)</f>
        <v>0</v>
      </c>
      <c r="G13" s="178">
        <f>SUM(G8:G12)</f>
        <v>0</v>
      </c>
      <c r="H13" s="62"/>
    </row>
    <row r="14" spans="1:8" x14ac:dyDescent="0.35">
      <c r="A14" s="672" t="s">
        <v>127</v>
      </c>
      <c r="B14" s="673"/>
      <c r="C14" s="673"/>
      <c r="D14" s="674"/>
      <c r="E14" s="60">
        <v>0.4</v>
      </c>
      <c r="F14" s="52"/>
      <c r="G14" s="56">
        <f>G13*E14</f>
        <v>0</v>
      </c>
      <c r="H14" s="57" t="s">
        <v>128</v>
      </c>
    </row>
    <row r="15" spans="1:8" x14ac:dyDescent="0.35">
      <c r="A15" s="681" t="s">
        <v>129</v>
      </c>
      <c r="B15" s="682"/>
      <c r="C15" s="682"/>
      <c r="D15" s="682"/>
      <c r="E15" s="58" t="s">
        <v>126</v>
      </c>
      <c r="F15" s="58"/>
      <c r="G15" s="179">
        <f>G14+G13</f>
        <v>0</v>
      </c>
      <c r="H15" s="62"/>
    </row>
    <row r="16" spans="1:8" s="4" customFormat="1" ht="15.5" x14ac:dyDescent="0.35">
      <c r="A16" s="694"/>
      <c r="B16" s="694"/>
      <c r="C16" s="823"/>
      <c r="D16" s="694"/>
      <c r="E16" s="203"/>
      <c r="F16" s="180"/>
      <c r="G16" s="204"/>
      <c r="H16" s="182"/>
    </row>
    <row r="17" spans="1:8" ht="15.5" x14ac:dyDescent="0.35">
      <c r="A17" s="680" t="s">
        <v>130</v>
      </c>
      <c r="B17" s="680"/>
      <c r="C17" s="680"/>
      <c r="D17" s="680"/>
      <c r="E17" s="680"/>
      <c r="F17" s="744"/>
      <c r="G17" s="744"/>
      <c r="H17" s="680"/>
    </row>
    <row r="18" spans="1:8" ht="44.15" customHeight="1" x14ac:dyDescent="0.35">
      <c r="A18" s="52" t="s">
        <v>370</v>
      </c>
      <c r="B18" s="53" t="s">
        <v>277</v>
      </c>
      <c r="C18" s="43" t="str">
        <f>VLOOKUP(B18,OpenOffices[],2,TRUE)</f>
        <v>Office Type F (Open)</v>
      </c>
      <c r="D18" s="52" t="s">
        <v>272</v>
      </c>
      <c r="E18" s="56">
        <f>VLOOKUP(C18,OfficeTypeSF[],2,TRUE)</f>
        <v>36</v>
      </c>
      <c r="F18" s="52">
        <v>0</v>
      </c>
      <c r="G18" s="56">
        <f>E18*F18</f>
        <v>0</v>
      </c>
      <c r="H18" s="57" t="s">
        <v>371</v>
      </c>
    </row>
    <row r="19" spans="1:8" x14ac:dyDescent="0.35">
      <c r="A19" s="52" t="s">
        <v>372</v>
      </c>
      <c r="B19" s="53" t="s">
        <v>277</v>
      </c>
      <c r="C19" s="43" t="str">
        <f>VLOOKUP(B19,OpenOffices[],2,TRUE)</f>
        <v>Office Type F (Open)</v>
      </c>
      <c r="D19" s="52" t="s">
        <v>272</v>
      </c>
      <c r="E19" s="56">
        <v>36</v>
      </c>
      <c r="F19" s="52">
        <v>0</v>
      </c>
      <c r="G19" s="56">
        <f>E19*F19</f>
        <v>0</v>
      </c>
      <c r="H19" s="57" t="s">
        <v>373</v>
      </c>
    </row>
    <row r="20" spans="1:8" x14ac:dyDescent="0.35">
      <c r="A20" s="685" t="s">
        <v>136</v>
      </c>
      <c r="B20" s="686"/>
      <c r="C20" s="686"/>
      <c r="D20" s="686"/>
      <c r="E20" s="58" t="s">
        <v>126</v>
      </c>
      <c r="F20" s="48">
        <f>SUM(F18:F18)</f>
        <v>0</v>
      </c>
      <c r="G20" s="59">
        <f>SUM(G18:G18)</f>
        <v>0</v>
      </c>
      <c r="H20" s="57"/>
    </row>
    <row r="21" spans="1:8" x14ac:dyDescent="0.35">
      <c r="A21" s="672" t="s">
        <v>137</v>
      </c>
      <c r="B21" s="673"/>
      <c r="C21" s="673"/>
      <c r="D21" s="674"/>
      <c r="E21" s="60">
        <v>0.6</v>
      </c>
      <c r="F21" s="52"/>
      <c r="G21" s="61">
        <f>G20*E21</f>
        <v>0</v>
      </c>
      <c r="H21" s="57" t="s">
        <v>128</v>
      </c>
    </row>
    <row r="22" spans="1:8" x14ac:dyDescent="0.35">
      <c r="A22" s="681" t="s">
        <v>138</v>
      </c>
      <c r="B22" s="682"/>
      <c r="C22" s="682"/>
      <c r="D22" s="682"/>
      <c r="E22" s="58" t="s">
        <v>126</v>
      </c>
      <c r="F22" s="58"/>
      <c r="G22" s="59">
        <f>G21+G20</f>
        <v>0</v>
      </c>
      <c r="H22" s="62"/>
    </row>
    <row r="23" spans="1:8" x14ac:dyDescent="0.35">
      <c r="A23" s="683"/>
      <c r="B23" s="684"/>
      <c r="C23" s="684"/>
      <c r="D23" s="684"/>
      <c r="E23" s="203"/>
      <c r="F23" s="203"/>
      <c r="G23" s="204"/>
      <c r="H23" s="182"/>
    </row>
    <row r="24" spans="1:8" ht="15.5" x14ac:dyDescent="0.35">
      <c r="A24" s="669" t="s">
        <v>139</v>
      </c>
      <c r="B24" s="670"/>
      <c r="C24" s="670"/>
      <c r="D24" s="670"/>
      <c r="E24" s="678"/>
      <c r="F24" s="678"/>
      <c r="G24" s="678"/>
      <c r="H24" s="671"/>
    </row>
    <row r="25" spans="1:8" ht="58" x14ac:dyDescent="0.35">
      <c r="A25" s="695" t="s">
        <v>281</v>
      </c>
      <c r="B25" s="673"/>
      <c r="C25" s="673"/>
      <c r="D25" s="674"/>
      <c r="E25" s="56">
        <f>VLOOKUP(A25,AdminSpecialPurpose[],2,TRUE)</f>
        <v>8</v>
      </c>
      <c r="F25" s="183">
        <f>F13+F20</f>
        <v>0</v>
      </c>
      <c r="G25" s="56">
        <f>E25*F25</f>
        <v>0</v>
      </c>
      <c r="H25" s="57" t="s">
        <v>374</v>
      </c>
    </row>
    <row r="26" spans="1:8" ht="29" x14ac:dyDescent="0.35">
      <c r="A26" s="679" t="s">
        <v>285</v>
      </c>
      <c r="B26" s="673"/>
      <c r="C26" s="673"/>
      <c r="D26" s="674"/>
      <c r="E26" s="56">
        <f>VLOOKUP(A26,AdminSpecialPurpose[],2,TRUE)</f>
        <v>3</v>
      </c>
      <c r="F26" s="184">
        <f>F25</f>
        <v>0</v>
      </c>
      <c r="G26" s="56">
        <f>IF(F26=0,0,MAX(E26*F26,50))</f>
        <v>0</v>
      </c>
      <c r="H26" s="57" t="s">
        <v>375</v>
      </c>
    </row>
    <row r="27" spans="1:8" ht="29" x14ac:dyDescent="0.35">
      <c r="A27" s="695" t="s">
        <v>376</v>
      </c>
      <c r="B27" s="686"/>
      <c r="C27" s="686"/>
      <c r="D27" s="687"/>
      <c r="E27" s="56">
        <f>VLOOKUP(A27,AdminSpecialPurpose[],2,TRUE)</f>
        <v>20</v>
      </c>
      <c r="F27" s="184">
        <f>(F13+F20)</f>
        <v>0</v>
      </c>
      <c r="G27" s="56">
        <f t="shared" ref="G27:G52" si="0">IFERROR(E27*F27,0)</f>
        <v>0</v>
      </c>
      <c r="H27" s="57" t="s">
        <v>375</v>
      </c>
    </row>
    <row r="28" spans="1:8" ht="29" x14ac:dyDescent="0.35">
      <c r="A28" s="695" t="s">
        <v>377</v>
      </c>
      <c r="B28" s="821"/>
      <c r="C28" s="821"/>
      <c r="D28" s="822"/>
      <c r="E28" s="56">
        <f>VLOOKUP(A28,AdminSpecialPurpose[],2,TRUE)</f>
        <v>80</v>
      </c>
      <c r="F28" s="185">
        <v>0</v>
      </c>
      <c r="G28" s="56">
        <f t="shared" si="0"/>
        <v>0</v>
      </c>
      <c r="H28" s="57" t="s">
        <v>378</v>
      </c>
    </row>
    <row r="29" spans="1:8" x14ac:dyDescent="0.35">
      <c r="A29" s="695" t="s">
        <v>379</v>
      </c>
      <c r="B29" s="821"/>
      <c r="C29" s="821"/>
      <c r="D29" s="822"/>
      <c r="E29" s="56">
        <f>VLOOKUP(A29,AdminSpecialPurpose[],2,TRUE)</f>
        <v>30</v>
      </c>
      <c r="F29" s="185">
        <v>0</v>
      </c>
      <c r="G29" s="56">
        <f t="shared" si="0"/>
        <v>0</v>
      </c>
      <c r="H29" s="57" t="s">
        <v>380</v>
      </c>
    </row>
    <row r="30" spans="1:8" x14ac:dyDescent="0.35">
      <c r="A30" s="695" t="s">
        <v>379</v>
      </c>
      <c r="B30" s="821"/>
      <c r="C30" s="821"/>
      <c r="D30" s="822"/>
      <c r="E30" s="56">
        <f>VLOOKUP(A30,AdminSpecialPurpose[],2,TRUE)</f>
        <v>30</v>
      </c>
      <c r="F30" s="185">
        <v>0</v>
      </c>
      <c r="G30" s="56">
        <f t="shared" si="0"/>
        <v>0</v>
      </c>
      <c r="H30" s="57" t="s">
        <v>381</v>
      </c>
    </row>
    <row r="31" spans="1:8" x14ac:dyDescent="0.35">
      <c r="A31" s="695" t="s">
        <v>382</v>
      </c>
      <c r="B31" s="821"/>
      <c r="C31" s="821"/>
      <c r="D31" s="822"/>
      <c r="E31" s="56">
        <f>VLOOKUP(A31,AdminSpecialPurpose[],2,TRUE)</f>
        <v>25</v>
      </c>
      <c r="F31" s="185">
        <v>0</v>
      </c>
      <c r="G31" s="56">
        <f t="shared" si="0"/>
        <v>0</v>
      </c>
      <c r="H31" s="57" t="s">
        <v>383</v>
      </c>
    </row>
    <row r="32" spans="1:8" x14ac:dyDescent="0.35">
      <c r="A32" s="695" t="s">
        <v>382</v>
      </c>
      <c r="B32" s="821"/>
      <c r="C32" s="821"/>
      <c r="D32" s="822"/>
      <c r="E32" s="56">
        <f>VLOOKUP(A32,AdminSpecialPurpose[],2,TRUE)</f>
        <v>25</v>
      </c>
      <c r="F32" s="185">
        <v>0</v>
      </c>
      <c r="G32" s="56">
        <f t="shared" si="0"/>
        <v>0</v>
      </c>
      <c r="H32" s="57" t="s">
        <v>384</v>
      </c>
    </row>
    <row r="33" spans="1:8" ht="14.5" customHeight="1" x14ac:dyDescent="0.35">
      <c r="A33" s="695" t="s">
        <v>379</v>
      </c>
      <c r="B33" s="821"/>
      <c r="C33" s="821"/>
      <c r="D33" s="822"/>
      <c r="E33" s="56">
        <f>VLOOKUP(A33,AdminSpecialPurpose[],2,TRUE)</f>
        <v>30</v>
      </c>
      <c r="F33" s="185">
        <v>0</v>
      </c>
      <c r="G33" s="56">
        <f>IFERROR(E33*F33,0)</f>
        <v>0</v>
      </c>
      <c r="H33" s="57" t="s">
        <v>385</v>
      </c>
    </row>
    <row r="34" spans="1:8" ht="14.5" customHeight="1" x14ac:dyDescent="0.35">
      <c r="A34" s="695" t="s">
        <v>379</v>
      </c>
      <c r="B34" s="821"/>
      <c r="C34" s="821"/>
      <c r="D34" s="822"/>
      <c r="E34" s="56">
        <f>VLOOKUP(A34,AdminSpecialPurpose[],2,TRUE)</f>
        <v>30</v>
      </c>
      <c r="F34" s="185">
        <v>0</v>
      </c>
      <c r="G34" s="56">
        <f t="shared" si="0"/>
        <v>0</v>
      </c>
      <c r="H34" s="57" t="s">
        <v>386</v>
      </c>
    </row>
    <row r="35" spans="1:8" ht="14.5" customHeight="1" x14ac:dyDescent="0.35">
      <c r="A35" s="695" t="s">
        <v>379</v>
      </c>
      <c r="B35" s="821"/>
      <c r="C35" s="821"/>
      <c r="D35" s="822"/>
      <c r="E35" s="56">
        <f>VLOOKUP(A35,AdminSpecialPurpose[],2,TRUE)</f>
        <v>30</v>
      </c>
      <c r="F35" s="185">
        <v>0</v>
      </c>
      <c r="G35" s="56">
        <f t="shared" si="0"/>
        <v>0</v>
      </c>
      <c r="H35" s="57" t="s">
        <v>387</v>
      </c>
    </row>
    <row r="36" spans="1:8" ht="14.5" customHeight="1" x14ac:dyDescent="0.35">
      <c r="A36" s="695" t="s">
        <v>379</v>
      </c>
      <c r="B36" s="821"/>
      <c r="C36" s="821"/>
      <c r="D36" s="822"/>
      <c r="E36" s="56">
        <f>VLOOKUP(A36,AdminSpecialPurpose[],2,TRUE)</f>
        <v>30</v>
      </c>
      <c r="F36" s="185">
        <v>0</v>
      </c>
      <c r="G36" s="56">
        <f t="shared" si="0"/>
        <v>0</v>
      </c>
      <c r="H36" s="57" t="s">
        <v>388</v>
      </c>
    </row>
    <row r="37" spans="1:8" ht="14.5" customHeight="1" x14ac:dyDescent="0.35">
      <c r="A37" s="695" t="s">
        <v>379</v>
      </c>
      <c r="B37" s="821"/>
      <c r="C37" s="821"/>
      <c r="D37" s="822"/>
      <c r="E37" s="56">
        <f>VLOOKUP(A37,AdminSpecialPurpose[],2,TRUE)</f>
        <v>30</v>
      </c>
      <c r="F37" s="185">
        <v>0</v>
      </c>
      <c r="G37" s="56">
        <f t="shared" si="0"/>
        <v>0</v>
      </c>
      <c r="H37" s="57" t="s">
        <v>389</v>
      </c>
    </row>
    <row r="38" spans="1:8" ht="29" x14ac:dyDescent="0.35">
      <c r="A38" s="695" t="s">
        <v>390</v>
      </c>
      <c r="B38" s="821"/>
      <c r="C38" s="821"/>
      <c r="D38" s="822"/>
      <c r="E38" s="56">
        <f>VLOOKUP(A38,AdminSpecialPurpose[],2,TRUE)</f>
        <v>4</v>
      </c>
      <c r="F38" s="185">
        <v>0</v>
      </c>
      <c r="G38" s="56">
        <f t="shared" si="0"/>
        <v>0</v>
      </c>
      <c r="H38" s="57" t="s">
        <v>391</v>
      </c>
    </row>
    <row r="39" spans="1:8" ht="72.5" x14ac:dyDescent="0.35">
      <c r="A39" s="695" t="s">
        <v>392</v>
      </c>
      <c r="B39" s="821"/>
      <c r="C39" s="821"/>
      <c r="D39" s="822"/>
      <c r="E39" s="56">
        <f>VLOOKUP(A39,AdminSpecialPurpose[],2,TRUE)</f>
        <v>0</v>
      </c>
      <c r="F39" s="185">
        <v>0</v>
      </c>
      <c r="G39" s="56">
        <f>IFERROR((SUM(E39*F39*0.75)),0)</f>
        <v>0</v>
      </c>
      <c r="H39" s="57" t="s">
        <v>393</v>
      </c>
    </row>
    <row r="40" spans="1:8" x14ac:dyDescent="0.35">
      <c r="A40" s="695" t="s">
        <v>382</v>
      </c>
      <c r="B40" s="821"/>
      <c r="C40" s="821"/>
      <c r="D40" s="822"/>
      <c r="E40" s="56">
        <f>VLOOKUP(A40,AdminSpecialPurpose[],2,TRUE)</f>
        <v>25</v>
      </c>
      <c r="F40" s="185">
        <v>0</v>
      </c>
      <c r="G40" s="56">
        <f t="shared" si="0"/>
        <v>0</v>
      </c>
      <c r="H40" s="57" t="s">
        <v>394</v>
      </c>
    </row>
    <row r="41" spans="1:8" ht="29" x14ac:dyDescent="0.35">
      <c r="A41" s="695" t="s">
        <v>382</v>
      </c>
      <c r="B41" s="821"/>
      <c r="C41" s="821"/>
      <c r="D41" s="822"/>
      <c r="E41" s="56">
        <f>VLOOKUP(A41,AdminSpecialPurpose[],2,TRUE)</f>
        <v>25</v>
      </c>
      <c r="F41" s="185">
        <v>0</v>
      </c>
      <c r="G41" s="56">
        <f>IFERROR(E41*F41,0)</f>
        <v>0</v>
      </c>
      <c r="H41" s="57" t="s">
        <v>395</v>
      </c>
    </row>
    <row r="42" spans="1:8" ht="29" x14ac:dyDescent="0.35">
      <c r="A42" s="695" t="s">
        <v>396</v>
      </c>
      <c r="B42" s="821"/>
      <c r="C42" s="821"/>
      <c r="D42" s="822"/>
      <c r="E42" s="56">
        <f>VLOOKUP(A42,AdminSpecialPurpose[],2,TRUE)</f>
        <v>30</v>
      </c>
      <c r="F42" s="185">
        <v>0</v>
      </c>
      <c r="G42" s="56">
        <f>IFERROR(E42*F42,0)</f>
        <v>0</v>
      </c>
      <c r="H42" s="57" t="s">
        <v>397</v>
      </c>
    </row>
    <row r="43" spans="1:8" ht="58" x14ac:dyDescent="0.35">
      <c r="A43" s="695" t="s">
        <v>396</v>
      </c>
      <c r="B43" s="821"/>
      <c r="C43" s="821"/>
      <c r="D43" s="822"/>
      <c r="E43" s="56">
        <f>VLOOKUP(A43,AdminSpecialPurpose[],2,TRUE)</f>
        <v>30</v>
      </c>
      <c r="F43" s="185">
        <v>0</v>
      </c>
      <c r="G43" s="56">
        <f>IFERROR(E43*F43,0)</f>
        <v>0</v>
      </c>
      <c r="H43" s="57" t="s">
        <v>398</v>
      </c>
    </row>
    <row r="44" spans="1:8" ht="43.5" x14ac:dyDescent="0.35">
      <c r="A44" s="695" t="s">
        <v>399</v>
      </c>
      <c r="B44" s="821"/>
      <c r="C44" s="821"/>
      <c r="D44" s="822"/>
      <c r="E44" s="56" t="str">
        <f>VLOOKUP(A44,AdminSpecialPurpose[],2,TRUE)</f>
        <v>UJ</v>
      </c>
      <c r="F44" s="185">
        <v>0</v>
      </c>
      <c r="G44" s="56">
        <f t="shared" si="0"/>
        <v>0</v>
      </c>
      <c r="H44" s="57" t="s">
        <v>400</v>
      </c>
    </row>
    <row r="45" spans="1:8" ht="29" x14ac:dyDescent="0.35">
      <c r="A45" s="695" t="s">
        <v>281</v>
      </c>
      <c r="B45" s="821"/>
      <c r="C45" s="821"/>
      <c r="D45" s="822"/>
      <c r="E45" s="56">
        <f>VLOOKUP(A45,AdminSpecialPurpose[],2,TRUE)</f>
        <v>8</v>
      </c>
      <c r="F45" s="185">
        <v>0</v>
      </c>
      <c r="G45" s="56">
        <f t="shared" si="0"/>
        <v>0</v>
      </c>
      <c r="H45" s="57" t="s">
        <v>401</v>
      </c>
    </row>
    <row r="46" spans="1:8" ht="58" x14ac:dyDescent="0.35">
      <c r="A46" s="695" t="s">
        <v>287</v>
      </c>
      <c r="B46" s="821"/>
      <c r="C46" s="821"/>
      <c r="D46" s="822"/>
      <c r="E46" s="56">
        <f>VLOOKUP(A46,AdminSpecialPurpose[],2,TRUE)</f>
        <v>20</v>
      </c>
      <c r="F46" s="185">
        <v>0</v>
      </c>
      <c r="G46" s="56">
        <f t="shared" si="0"/>
        <v>0</v>
      </c>
      <c r="H46" s="57" t="s">
        <v>402</v>
      </c>
    </row>
    <row r="47" spans="1:8" x14ac:dyDescent="0.35">
      <c r="A47" s="695" t="s">
        <v>403</v>
      </c>
      <c r="B47" s="821"/>
      <c r="C47" s="821"/>
      <c r="D47" s="822"/>
      <c r="E47" s="56" t="str">
        <f>VLOOKUP(A47,AdminSpecialPurpose[],2,TRUE)</f>
        <v>UJ</v>
      </c>
      <c r="F47" s="185">
        <v>0</v>
      </c>
      <c r="G47" s="56">
        <f t="shared" si="0"/>
        <v>0</v>
      </c>
      <c r="H47" s="57" t="s">
        <v>404</v>
      </c>
    </row>
    <row r="48" spans="1:8" ht="29" x14ac:dyDescent="0.35">
      <c r="A48" s="695" t="s">
        <v>403</v>
      </c>
      <c r="B48" s="821"/>
      <c r="C48" s="821"/>
      <c r="D48" s="822"/>
      <c r="E48" s="56" t="str">
        <f>VLOOKUP(A48,AdminSpecialPurpose[],2,TRUE)</f>
        <v>UJ</v>
      </c>
      <c r="F48" s="185">
        <v>0</v>
      </c>
      <c r="G48" s="56">
        <f t="shared" si="0"/>
        <v>0</v>
      </c>
      <c r="H48" s="57" t="s">
        <v>405</v>
      </c>
    </row>
    <row r="49" spans="1:8" ht="29" x14ac:dyDescent="0.35">
      <c r="A49" s="695" t="s">
        <v>392</v>
      </c>
      <c r="B49" s="821"/>
      <c r="C49" s="821"/>
      <c r="D49" s="822"/>
      <c r="E49" s="56">
        <v>15</v>
      </c>
      <c r="F49" s="185">
        <v>0</v>
      </c>
      <c r="G49" s="56">
        <f t="shared" si="0"/>
        <v>0</v>
      </c>
      <c r="H49" s="57" t="s">
        <v>406</v>
      </c>
    </row>
    <row r="50" spans="1:8" ht="72.5" x14ac:dyDescent="0.35">
      <c r="A50" s="695" t="s">
        <v>407</v>
      </c>
      <c r="B50" s="821"/>
      <c r="C50" s="821"/>
      <c r="D50" s="822"/>
      <c r="E50" s="56">
        <v>50</v>
      </c>
      <c r="F50" s="185">
        <v>0</v>
      </c>
      <c r="G50" s="56">
        <f t="shared" si="0"/>
        <v>0</v>
      </c>
      <c r="H50" s="57" t="s">
        <v>408</v>
      </c>
    </row>
    <row r="51" spans="1:8" ht="101.5" x14ac:dyDescent="0.35">
      <c r="A51" s="695" t="s">
        <v>409</v>
      </c>
      <c r="B51" s="821"/>
      <c r="C51" s="821"/>
      <c r="D51" s="822"/>
      <c r="E51" s="56">
        <v>130</v>
      </c>
      <c r="F51" s="185">
        <v>0</v>
      </c>
      <c r="G51" s="56">
        <f t="shared" si="0"/>
        <v>0</v>
      </c>
      <c r="H51" s="57" t="s">
        <v>410</v>
      </c>
    </row>
    <row r="52" spans="1:8" ht="116" x14ac:dyDescent="0.35">
      <c r="A52" s="695" t="s">
        <v>411</v>
      </c>
      <c r="B52" s="821"/>
      <c r="C52" s="821"/>
      <c r="D52" s="822"/>
      <c r="E52" s="56">
        <v>250</v>
      </c>
      <c r="F52" s="185">
        <v>0</v>
      </c>
      <c r="G52" s="56">
        <f t="shared" si="0"/>
        <v>0</v>
      </c>
      <c r="H52" s="62" t="s">
        <v>412</v>
      </c>
    </row>
    <row r="53" spans="1:8" x14ac:dyDescent="0.35">
      <c r="A53" s="685" t="s">
        <v>174</v>
      </c>
      <c r="B53" s="688"/>
      <c r="C53" s="688"/>
      <c r="D53" s="689"/>
      <c r="E53" s="187" t="s">
        <v>126</v>
      </c>
      <c r="F53" s="188"/>
      <c r="G53" s="179">
        <f>SUM(G25:G52)</f>
        <v>0</v>
      </c>
      <c r="H53" s="57"/>
    </row>
    <row r="54" spans="1:8" x14ac:dyDescent="0.35">
      <c r="A54" s="690" t="s">
        <v>175</v>
      </c>
      <c r="B54" s="691"/>
      <c r="C54" s="691"/>
      <c r="D54" s="692"/>
      <c r="E54" s="60">
        <v>0.4</v>
      </c>
      <c r="F54" s="52"/>
      <c r="G54" s="189">
        <f>E54*G53</f>
        <v>0</v>
      </c>
      <c r="H54" s="57" t="s">
        <v>128</v>
      </c>
    </row>
    <row r="55" spans="1:8" x14ac:dyDescent="0.35">
      <c r="A55" s="685" t="s">
        <v>177</v>
      </c>
      <c r="B55" s="686"/>
      <c r="C55" s="686"/>
      <c r="D55" s="686"/>
      <c r="E55" s="58" t="s">
        <v>126</v>
      </c>
      <c r="F55" s="190"/>
      <c r="G55" s="179">
        <f>SUM(G53:G54)</f>
        <v>0</v>
      </c>
      <c r="H55" s="57"/>
    </row>
    <row r="56" spans="1:8" x14ac:dyDescent="0.35">
      <c r="A56" s="820"/>
      <c r="B56" s="686"/>
      <c r="C56" s="686"/>
      <c r="D56" s="686"/>
      <c r="E56" s="686"/>
      <c r="F56" s="706"/>
      <c r="G56" s="706"/>
      <c r="H56" s="686"/>
    </row>
    <row r="57" spans="1:8" ht="15.5" x14ac:dyDescent="0.35">
      <c r="A57" s="680" t="s">
        <v>178</v>
      </c>
      <c r="B57" s="819"/>
      <c r="C57" s="819"/>
      <c r="D57" s="819"/>
      <c r="E57" s="819"/>
      <c r="F57" s="819"/>
      <c r="G57" s="745"/>
      <c r="H57" s="819"/>
    </row>
    <row r="58" spans="1:8" x14ac:dyDescent="0.35">
      <c r="A58" s="679" t="s">
        <v>179</v>
      </c>
      <c r="B58" s="686"/>
      <c r="C58" s="686"/>
      <c r="D58" s="687"/>
      <c r="E58" s="52">
        <v>0</v>
      </c>
      <c r="F58" s="197">
        <v>0</v>
      </c>
      <c r="G58" s="56">
        <f>E58*F58</f>
        <v>0</v>
      </c>
      <c r="H58" s="57"/>
    </row>
    <row r="59" spans="1:8" x14ac:dyDescent="0.35">
      <c r="A59" s="685" t="s">
        <v>180</v>
      </c>
      <c r="B59" s="688"/>
      <c r="C59" s="688"/>
      <c r="D59" s="689"/>
      <c r="E59" s="187" t="s">
        <v>126</v>
      </c>
      <c r="F59" s="65">
        <f>SUM(F58:F58)</f>
        <v>0</v>
      </c>
      <c r="G59" s="179">
        <f>SUM(G58:G58)</f>
        <v>0</v>
      </c>
      <c r="H59" s="57"/>
    </row>
    <row r="60" spans="1:8" x14ac:dyDescent="0.35">
      <c r="A60" s="690" t="s">
        <v>181</v>
      </c>
      <c r="B60" s="691"/>
      <c r="C60" s="691"/>
      <c r="D60" s="692"/>
      <c r="E60" s="60">
        <v>0.4</v>
      </c>
      <c r="F60" s="52"/>
      <c r="G60" s="189">
        <f>E60*G59</f>
        <v>0</v>
      </c>
      <c r="H60" s="57" t="s">
        <v>128</v>
      </c>
    </row>
    <row r="61" spans="1:8" x14ac:dyDescent="0.35">
      <c r="A61" s="693" t="s">
        <v>182</v>
      </c>
      <c r="B61" s="706"/>
      <c r="C61" s="686"/>
      <c r="D61" s="686"/>
      <c r="E61" s="58" t="s">
        <v>126</v>
      </c>
      <c r="F61" s="190"/>
      <c r="G61" s="179">
        <f>SUM(G59:G60)</f>
        <v>0</v>
      </c>
      <c r="H61" s="57"/>
    </row>
    <row r="62" spans="1:8" x14ac:dyDescent="0.35">
      <c r="A62" s="818"/>
      <c r="B62" s="706"/>
      <c r="C62" s="686"/>
      <c r="D62" s="686"/>
      <c r="E62" s="686"/>
      <c r="F62" s="686"/>
      <c r="G62" s="706"/>
      <c r="H62" s="686"/>
    </row>
    <row r="63" spans="1:8" ht="15.5" x14ac:dyDescent="0.35">
      <c r="A63" s="744" t="s">
        <v>250</v>
      </c>
      <c r="B63" s="745"/>
      <c r="C63" s="819"/>
      <c r="D63" s="819"/>
      <c r="E63" s="819"/>
      <c r="F63" s="819"/>
      <c r="G63" s="745"/>
      <c r="H63" s="819"/>
    </row>
    <row r="64" spans="1:8" x14ac:dyDescent="0.35">
      <c r="A64" s="672" t="s">
        <v>251</v>
      </c>
      <c r="B64" s="706"/>
      <c r="C64" s="686"/>
      <c r="D64" s="686"/>
      <c r="E64" s="205" t="s">
        <v>252</v>
      </c>
      <c r="F64" s="206"/>
      <c r="G64" s="189">
        <f>G61+G55+G15+G22</f>
        <v>0</v>
      </c>
      <c r="H64" s="62"/>
    </row>
    <row r="65" spans="1:8" ht="15" thickBot="1" x14ac:dyDescent="0.4">
      <c r="A65" s="672" t="s">
        <v>413</v>
      </c>
      <c r="B65" s="673"/>
      <c r="C65" s="673"/>
      <c r="D65" s="673"/>
      <c r="E65" s="60">
        <v>0.42</v>
      </c>
      <c r="F65" s="176"/>
      <c r="G65" s="56">
        <f>G64*E65</f>
        <v>0</v>
      </c>
      <c r="H65" s="57" t="s">
        <v>414</v>
      </c>
    </row>
    <row r="66" spans="1:8" ht="15" thickBot="1" x14ac:dyDescent="0.4">
      <c r="A66" s="15"/>
      <c r="B66" s="15"/>
      <c r="C66" s="15"/>
      <c r="D66" s="207"/>
      <c r="E66" s="208" t="s">
        <v>254</v>
      </c>
      <c r="F66" s="209"/>
      <c r="G66" s="210">
        <f>SUM(G64:G65)</f>
        <v>0</v>
      </c>
      <c r="H66" s="15"/>
    </row>
  </sheetData>
  <mergeCells count="57">
    <mergeCell ref="A17:H17"/>
    <mergeCell ref="A1:B1"/>
    <mergeCell ref="A2:B2"/>
    <mergeCell ref="A3:B3"/>
    <mergeCell ref="A4:B4"/>
    <mergeCell ref="A5:B5"/>
    <mergeCell ref="A7:G7"/>
    <mergeCell ref="A13:D13"/>
    <mergeCell ref="A14:D14"/>
    <mergeCell ref="A15:D15"/>
    <mergeCell ref="A16:D16"/>
    <mergeCell ref="A20:D20"/>
    <mergeCell ref="A21:D21"/>
    <mergeCell ref="A22:D22"/>
    <mergeCell ref="A23:D23"/>
    <mergeCell ref="A24:H24"/>
    <mergeCell ref="A25:D25"/>
    <mergeCell ref="A26:D26"/>
    <mergeCell ref="A27:D27"/>
    <mergeCell ref="A28:D28"/>
    <mergeCell ref="A29:D29"/>
    <mergeCell ref="A30:D30"/>
    <mergeCell ref="A31:D31"/>
    <mergeCell ref="A32:D32"/>
    <mergeCell ref="A33:D33"/>
    <mergeCell ref="A34:D34"/>
    <mergeCell ref="A35:D35"/>
    <mergeCell ref="A36:D36"/>
    <mergeCell ref="A37:D37"/>
    <mergeCell ref="A38:D38"/>
    <mergeCell ref="A39:D39"/>
    <mergeCell ref="A40:D40"/>
    <mergeCell ref="A41:D41"/>
    <mergeCell ref="A42:D42"/>
    <mergeCell ref="A43:D43"/>
    <mergeCell ref="A44:D44"/>
    <mergeCell ref="A45:D45"/>
    <mergeCell ref="A46:D46"/>
    <mergeCell ref="A47:D47"/>
    <mergeCell ref="A48:D48"/>
    <mergeCell ref="A49:D49"/>
    <mergeCell ref="A50:D50"/>
    <mergeCell ref="A51:D51"/>
    <mergeCell ref="A52:D52"/>
    <mergeCell ref="A53:D53"/>
    <mergeCell ref="A54:D54"/>
    <mergeCell ref="A55:D55"/>
    <mergeCell ref="A56:H56"/>
    <mergeCell ref="A57:H57"/>
    <mergeCell ref="A58:D58"/>
    <mergeCell ref="A59:D59"/>
    <mergeCell ref="A65:D65"/>
    <mergeCell ref="A60:D60"/>
    <mergeCell ref="A61:D61"/>
    <mergeCell ref="A62:H62"/>
    <mergeCell ref="A63:H63"/>
    <mergeCell ref="A64:D64"/>
  </mergeCells>
  <hyperlinks>
    <hyperlink ref="H6" r:id="rId1" display="WBDG - AFMAN 32-1084" xr:uid="{7D7A89F5-0780-47A0-8164-9B722FEDE717}"/>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6D65AB18-5D13-4E49-BAA9-7665203410BE}">
          <x14:formula1>
            <xm:f>'Sheet References'!$L$1:$L$978</xm:f>
          </x14:formula1>
          <xm:sqref>E1</xm:sqref>
        </x14:dataValidation>
        <x14:dataValidation type="list" allowBlank="1" showInputMessage="1" showErrorMessage="1" xr:uid="{0C675847-19FD-455C-8C90-A6B2B237DFD5}">
          <x14:formula1>
            <xm:f>'Sheet References'!$A$14:$A$85</xm:f>
          </x14:formula1>
          <xm:sqref>B8:B12</xm:sqref>
        </x14:dataValidation>
        <x14:dataValidation type="list" allowBlank="1" showInputMessage="1" showErrorMessage="1" xr:uid="{F18FECB2-AF8E-49DB-96F3-530D9D3D3ABE}">
          <x14:formula1>
            <xm:f>'Sheet References'!$E$2:$E$112</xm:f>
          </x14:formula1>
          <xm:sqref>D8:D12 D18:D19</xm:sqref>
        </x14:dataValidation>
        <x14:dataValidation type="list" allowBlank="1" showInputMessage="1" showErrorMessage="1" xr:uid="{8FFE23C2-E3AA-492C-A413-1D0A21EE25F1}">
          <x14:formula1>
            <xm:f>'Sheet References'!$A$62:$A$85</xm:f>
          </x14:formula1>
          <xm:sqref>B18:B19</xm:sqref>
        </x14:dataValidation>
        <x14:dataValidation type="list" allowBlank="1" showInputMessage="1" showErrorMessage="1" xr:uid="{C0A64BBE-BB82-4A57-800F-CE291EC54FBE}">
          <x14:formula1>
            <xm:f>'Sheet References'!$H$2:$H$48</xm:f>
          </x14:formula1>
          <xm:sqref>A25:D48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D4AD3-CEC3-4899-AB05-9F419E981D3B}">
  <sheetPr>
    <tabColor rgb="FFFFFF99"/>
    <pageSetUpPr fitToPage="1"/>
  </sheetPr>
  <dimension ref="A1:P54"/>
  <sheetViews>
    <sheetView tabSelected="1" zoomScaleNormal="100" workbookViewId="0">
      <selection activeCell="I17" sqref="I17"/>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730443</v>
      </c>
      <c r="F1" s="38"/>
      <c r="G1" s="38"/>
      <c r="H1" s="38"/>
    </row>
    <row r="2" spans="1:8" ht="21" customHeight="1" x14ac:dyDescent="0.35">
      <c r="A2" s="676" t="s">
        <v>21</v>
      </c>
      <c r="B2" s="676"/>
      <c r="C2" s="38"/>
      <c r="D2" s="36" t="s">
        <v>107</v>
      </c>
      <c r="E2" s="37" t="str">
        <f>VLOOKUP(E1,'Sheet References'!L:M,2,FALSE)</f>
        <v>Post Office</v>
      </c>
      <c r="F2" s="38"/>
      <c r="G2" s="38"/>
      <c r="H2" s="38"/>
    </row>
    <row r="3" spans="1:8" ht="21" customHeight="1" x14ac:dyDescent="0.35">
      <c r="A3" s="676" t="s">
        <v>22</v>
      </c>
      <c r="B3" s="676"/>
      <c r="C3" s="36"/>
      <c r="D3" s="36" t="s">
        <v>108</v>
      </c>
      <c r="E3" s="37" t="str">
        <f>VLOOKUP(CATCode,'Sheet References'!L:O,4,FALSE)</f>
        <v>https://www.wbdg.org/FFC/AF/AFMAN/730443_Central_Post_Office.pdf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314</v>
      </c>
      <c r="B8" s="743"/>
      <c r="C8" s="743"/>
      <c r="D8" s="743"/>
      <c r="E8" s="355">
        <f>H33</f>
        <v>0</v>
      </c>
      <c r="F8" s="68">
        <v>1</v>
      </c>
      <c r="G8" s="45">
        <f>E8*F8</f>
        <v>0</v>
      </c>
      <c r="H8" s="35"/>
    </row>
    <row r="9" spans="1:8" x14ac:dyDescent="0.35">
      <c r="A9" s="753" t="s">
        <v>257</v>
      </c>
      <c r="B9" s="743"/>
      <c r="C9" s="743"/>
      <c r="D9" s="743"/>
      <c r="E9" s="42"/>
      <c r="F9" s="68"/>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9" x14ac:dyDescent="0.35">
      <c r="A17" s="746" t="s">
        <v>253</v>
      </c>
      <c r="B17" s="753"/>
      <c r="C17" s="753"/>
      <c r="D17" s="753"/>
      <c r="E17" s="50">
        <v>0</v>
      </c>
      <c r="F17" s="43"/>
      <c r="G17" s="45">
        <f>G16*E17</f>
        <v>0</v>
      </c>
      <c r="H17" s="35" t="s">
        <v>176</v>
      </c>
    </row>
    <row r="18" spans="1:9" x14ac:dyDescent="0.35">
      <c r="E18" s="48" t="s">
        <v>254</v>
      </c>
      <c r="F18" s="71"/>
      <c r="G18" s="51">
        <f>SUM(G16:G17)</f>
        <v>0</v>
      </c>
    </row>
    <row r="19" spans="1:9" ht="15" thickBot="1" x14ac:dyDescent="0.4"/>
    <row r="20" spans="1:9" ht="19" thickBot="1" x14ac:dyDescent="0.4">
      <c r="A20" s="711" t="s">
        <v>415</v>
      </c>
      <c r="B20" s="712"/>
      <c r="C20" s="712"/>
      <c r="D20" s="712"/>
      <c r="E20" s="712"/>
      <c r="F20" s="712"/>
      <c r="G20" s="713"/>
      <c r="H20" s="653" t="s">
        <v>416</v>
      </c>
    </row>
    <row r="21" spans="1:9" ht="15" customHeight="1" thickBot="1" x14ac:dyDescent="0.4">
      <c r="A21" s="653" t="s">
        <v>417</v>
      </c>
      <c r="B21" s="653" t="s">
        <v>418</v>
      </c>
      <c r="C21" s="653" t="s">
        <v>419</v>
      </c>
      <c r="D21" s="653" t="s">
        <v>420</v>
      </c>
      <c r="E21" s="824" t="s">
        <v>421</v>
      </c>
      <c r="F21" s="826" t="s">
        <v>422</v>
      </c>
      <c r="G21" s="827"/>
      <c r="H21" s="655"/>
      <c r="I21" s="198"/>
    </row>
    <row r="22" spans="1:9" ht="15" thickBot="1" x14ac:dyDescent="0.4">
      <c r="A22" s="655"/>
      <c r="B22" s="655"/>
      <c r="C22" s="655"/>
      <c r="D22" s="655"/>
      <c r="E22" s="825"/>
      <c r="F22" s="828"/>
      <c r="G22" s="829"/>
      <c r="H22" s="427">
        <f>SUM((F29*0.5)+(D32+D35+E26+E29+E32+E35+F35+H28+F23))</f>
        <v>0</v>
      </c>
    </row>
    <row r="23" spans="1:9" ht="15" thickBot="1" x14ac:dyDescent="0.4">
      <c r="A23" s="427">
        <f>IF(E23="NO",'Instructions &amp; Pop Data'!D8,'Instructions &amp; Pop Data'!D8+'Instructions &amp; Pop Data'!D10)</f>
        <v>0</v>
      </c>
      <c r="B23" s="427">
        <f>IF(E245="NO",'Instructions &amp; Pop Data'!D27,'Instructions &amp; Pop Data'!D28)</f>
        <v>0</v>
      </c>
      <c r="C23" s="427">
        <f>'Instructions &amp; Pop Data'!D23</f>
        <v>0</v>
      </c>
      <c r="D23" s="427">
        <f>IF(E23="NO",C23,SUM(A23+B23))</f>
        <v>0</v>
      </c>
      <c r="E23" s="442">
        <f>'Instructions &amp; Pop Data'!K4</f>
        <v>0</v>
      </c>
      <c r="F23" s="832">
        <f>VLOOKUP(D23,A40:C54,3,TRUE)</f>
        <v>0</v>
      </c>
      <c r="G23" s="833"/>
      <c r="H23" s="830" t="s">
        <v>423</v>
      </c>
    </row>
    <row r="24" spans="1:9" ht="15" thickBot="1" x14ac:dyDescent="0.4">
      <c r="A24" s="656" t="s">
        <v>424</v>
      </c>
      <c r="B24" s="791"/>
      <c r="C24" s="714"/>
      <c r="D24" s="653" t="s">
        <v>425</v>
      </c>
      <c r="E24" s="653" t="s">
        <v>426</v>
      </c>
      <c r="F24" s="834" t="s">
        <v>427</v>
      </c>
      <c r="G24" s="835"/>
      <c r="H24" s="831"/>
    </row>
    <row r="25" spans="1:9" ht="20.149999999999999" customHeight="1" thickBot="1" x14ac:dyDescent="0.4">
      <c r="A25" s="789"/>
      <c r="B25" s="792"/>
      <c r="C25" s="790"/>
      <c r="D25" s="727"/>
      <c r="E25" s="655"/>
      <c r="F25" s="836"/>
      <c r="G25" s="837"/>
      <c r="H25" s="200">
        <v>0</v>
      </c>
    </row>
    <row r="26" spans="1:9" ht="15" thickBot="1" x14ac:dyDescent="0.4">
      <c r="A26" s="265" t="s">
        <v>428</v>
      </c>
      <c r="B26" s="265" t="s">
        <v>429</v>
      </c>
      <c r="C26" s="265" t="s">
        <v>430</v>
      </c>
      <c r="D26" s="427">
        <f>IF(E23="NO",(C23*1.25),SUM((A23+B23)*1.25))</f>
        <v>0</v>
      </c>
      <c r="E26" s="200">
        <v>0</v>
      </c>
      <c r="F26" s="838">
        <v>0</v>
      </c>
      <c r="G26" s="839"/>
      <c r="H26" s="662" t="s">
        <v>431</v>
      </c>
    </row>
    <row r="27" spans="1:9" ht="14.5" customHeight="1" thickBot="1" x14ac:dyDescent="0.4">
      <c r="A27" s="266" t="s">
        <v>432</v>
      </c>
      <c r="B27" s="268">
        <v>0</v>
      </c>
      <c r="C27" s="268">
        <v>0</v>
      </c>
      <c r="D27" s="830" t="s">
        <v>433</v>
      </c>
      <c r="E27" s="653" t="s">
        <v>434</v>
      </c>
      <c r="F27" s="656" t="s">
        <v>435</v>
      </c>
      <c r="G27" s="714"/>
      <c r="H27" s="663"/>
    </row>
    <row r="28" spans="1:9" ht="30" customHeight="1" thickBot="1" x14ac:dyDescent="0.4">
      <c r="A28" s="266" t="s">
        <v>436</v>
      </c>
      <c r="B28" s="268">
        <v>0</v>
      </c>
      <c r="C28" s="268">
        <v>0</v>
      </c>
      <c r="D28" s="831"/>
      <c r="E28" s="655"/>
      <c r="F28" s="789"/>
      <c r="G28" s="790"/>
      <c r="H28" s="427">
        <f>SUM(H25*H53)</f>
        <v>0</v>
      </c>
    </row>
    <row r="29" spans="1:9" ht="15" thickBot="1" x14ac:dyDescent="0.4">
      <c r="A29" s="266" t="s">
        <v>437</v>
      </c>
      <c r="B29" s="268">
        <v>0</v>
      </c>
      <c r="C29" s="268">
        <v>0</v>
      </c>
      <c r="D29" s="264">
        <v>0</v>
      </c>
      <c r="E29" s="169">
        <v>0</v>
      </c>
      <c r="F29" s="832" cm="1">
        <f t="array" ref="F29">SUM(C27:C35+D29+F26)*H50</f>
        <v>0</v>
      </c>
      <c r="G29" s="833"/>
      <c r="H29" s="653" t="s">
        <v>438</v>
      </c>
    </row>
    <row r="30" spans="1:9" ht="14.5" customHeight="1" thickBot="1" x14ac:dyDescent="0.4">
      <c r="A30" s="266" t="s">
        <v>439</v>
      </c>
      <c r="B30" s="268">
        <v>0</v>
      </c>
      <c r="C30" s="268">
        <v>0</v>
      </c>
      <c r="D30" s="653" t="s">
        <v>440</v>
      </c>
      <c r="E30" s="653" t="s">
        <v>441</v>
      </c>
      <c r="F30" s="656" t="s">
        <v>442</v>
      </c>
      <c r="G30" s="714"/>
      <c r="H30" s="655"/>
    </row>
    <row r="31" spans="1:9" ht="48" customHeight="1" thickBot="1" x14ac:dyDescent="0.4">
      <c r="A31" s="266" t="s">
        <v>443</v>
      </c>
      <c r="B31" s="268">
        <v>0</v>
      </c>
      <c r="C31" s="268">
        <v>0</v>
      </c>
      <c r="D31" s="655"/>
      <c r="E31" s="655"/>
      <c r="F31" s="789"/>
      <c r="G31" s="790"/>
      <c r="H31" s="427">
        <f>H22*H52</f>
        <v>0</v>
      </c>
    </row>
    <row r="32" spans="1:9" ht="18" customHeight="1" thickBot="1" x14ac:dyDescent="0.4">
      <c r="A32" s="267" t="s">
        <v>444</v>
      </c>
      <c r="B32" s="269">
        <v>0</v>
      </c>
      <c r="C32" s="268">
        <v>0</v>
      </c>
      <c r="D32" s="431">
        <f>SUM((IFERROR(D26*IF(F95="N",(VLOOKUP(D23,A40:E54,4,TRUE)),(VLOOKUP(D23,A40:E54,5,TRUE))),0))+(SUM(D29*H50)))</f>
        <v>0</v>
      </c>
      <c r="E32" s="169">
        <v>0</v>
      </c>
      <c r="F32" s="841">
        <v>0</v>
      </c>
      <c r="G32" s="842"/>
      <c r="H32" s="221" t="s">
        <v>445</v>
      </c>
    </row>
    <row r="33" spans="1:8" ht="17.25" customHeight="1" thickBot="1" x14ac:dyDescent="0.4">
      <c r="A33" s="267" t="s">
        <v>446</v>
      </c>
      <c r="B33" s="269">
        <v>0</v>
      </c>
      <c r="C33" s="268">
        <v>0</v>
      </c>
      <c r="D33" s="662" t="s">
        <v>447</v>
      </c>
      <c r="E33" s="662" t="s">
        <v>448</v>
      </c>
      <c r="F33" s="656" t="s">
        <v>449</v>
      </c>
      <c r="G33" s="714"/>
      <c r="H33" s="174">
        <f>IF(E23="Y","Use PSC-OMC Tab (A=A)",SUM(H22+H31))</f>
        <v>0</v>
      </c>
    </row>
    <row r="34" spans="1:8" ht="30.75" customHeight="1" thickBot="1" x14ac:dyDescent="0.4">
      <c r="A34" s="267" t="s">
        <v>450</v>
      </c>
      <c r="B34" s="269">
        <v>0</v>
      </c>
      <c r="C34" s="268">
        <v>0</v>
      </c>
      <c r="D34" s="840"/>
      <c r="E34" s="840"/>
      <c r="F34" s="789"/>
      <c r="G34" s="790"/>
      <c r="H34" s="432"/>
    </row>
    <row r="35" spans="1:8" ht="15" thickBot="1" x14ac:dyDescent="0.4">
      <c r="A35" s="267" t="s">
        <v>451</v>
      </c>
      <c r="B35" s="269">
        <v>0</v>
      </c>
      <c r="C35" s="268">
        <v>0</v>
      </c>
      <c r="D35" s="427">
        <f>SUM(B27:B35)</f>
        <v>0</v>
      </c>
      <c r="E35" s="200">
        <v>0</v>
      </c>
      <c r="F35" s="846">
        <f>VLOOKUP(F32,F40:H46,2,TRUE)</f>
        <v>0</v>
      </c>
      <c r="G35" s="847"/>
      <c r="H35" s="433"/>
    </row>
    <row r="36" spans="1:8" ht="15" thickBot="1" x14ac:dyDescent="0.4">
      <c r="H36" s="114"/>
    </row>
    <row r="37" spans="1:8" ht="18.5" x14ac:dyDescent="0.45">
      <c r="A37" s="716" t="s">
        <v>452</v>
      </c>
      <c r="B37" s="717"/>
      <c r="C37" s="717"/>
      <c r="D37" s="717"/>
      <c r="E37" s="717"/>
      <c r="F37" s="717"/>
      <c r="G37" s="717"/>
      <c r="H37" s="718"/>
    </row>
    <row r="38" spans="1:8" x14ac:dyDescent="0.35">
      <c r="A38" s="719" t="s">
        <v>453</v>
      </c>
      <c r="B38" s="720"/>
      <c r="C38" s="720"/>
      <c r="D38" s="720"/>
      <c r="E38" s="720"/>
      <c r="F38" s="720" t="s">
        <v>454</v>
      </c>
      <c r="G38" s="720"/>
      <c r="H38" s="721"/>
    </row>
    <row r="39" spans="1:8" ht="29" x14ac:dyDescent="0.35">
      <c r="A39" s="843" t="s">
        <v>455</v>
      </c>
      <c r="B39" s="844"/>
      <c r="C39" s="35" t="s">
        <v>456</v>
      </c>
      <c r="D39" s="513" t="s">
        <v>457</v>
      </c>
      <c r="E39" s="522" t="s">
        <v>458</v>
      </c>
      <c r="F39" s="845" t="s">
        <v>459</v>
      </c>
      <c r="G39" s="845"/>
      <c r="H39" s="324" t="s">
        <v>460</v>
      </c>
    </row>
    <row r="40" spans="1:8" x14ac:dyDescent="0.35">
      <c r="A40" s="305">
        <v>0</v>
      </c>
      <c r="B40" s="526">
        <v>0</v>
      </c>
      <c r="C40" s="526">
        <v>0</v>
      </c>
      <c r="D40" s="524">
        <v>0</v>
      </c>
      <c r="E40" s="524">
        <v>0</v>
      </c>
      <c r="F40" s="860">
        <v>0</v>
      </c>
      <c r="G40" s="861"/>
      <c r="H40" s="325">
        <v>0</v>
      </c>
    </row>
    <row r="41" spans="1:8" x14ac:dyDescent="0.35">
      <c r="A41" s="305">
        <v>1</v>
      </c>
      <c r="B41" s="526">
        <v>500</v>
      </c>
      <c r="C41" s="526">
        <v>400</v>
      </c>
      <c r="D41" s="524">
        <v>0.06</v>
      </c>
      <c r="E41" s="524">
        <v>0.06</v>
      </c>
      <c r="F41" s="860">
        <v>1</v>
      </c>
      <c r="G41" s="861"/>
      <c r="H41" s="325">
        <v>250</v>
      </c>
    </row>
    <row r="42" spans="1:8" x14ac:dyDescent="0.35">
      <c r="A42" s="305">
        <v>501</v>
      </c>
      <c r="B42" s="526">
        <v>1000</v>
      </c>
      <c r="C42" s="526">
        <v>600</v>
      </c>
      <c r="D42" s="524">
        <v>0.06</v>
      </c>
      <c r="E42" s="524">
        <v>0.06</v>
      </c>
      <c r="F42" s="860">
        <v>2</v>
      </c>
      <c r="G42" s="861"/>
      <c r="H42" s="325">
        <v>550</v>
      </c>
    </row>
    <row r="43" spans="1:8" x14ac:dyDescent="0.35">
      <c r="A43" s="305">
        <v>1001</v>
      </c>
      <c r="B43" s="526">
        <v>2500</v>
      </c>
      <c r="C43" s="526">
        <v>1755</v>
      </c>
      <c r="D43" s="524">
        <v>0.06</v>
      </c>
      <c r="E43" s="524">
        <v>0.05</v>
      </c>
      <c r="F43" s="860">
        <v>3</v>
      </c>
      <c r="G43" s="861"/>
      <c r="H43" s="325">
        <v>875</v>
      </c>
    </row>
    <row r="44" spans="1:8" x14ac:dyDescent="0.35">
      <c r="A44" s="305">
        <v>2501</v>
      </c>
      <c r="B44" s="526">
        <v>4500</v>
      </c>
      <c r="C44" s="526">
        <v>2925</v>
      </c>
      <c r="D44" s="524">
        <v>0.06</v>
      </c>
      <c r="E44" s="524">
        <v>0.05</v>
      </c>
      <c r="F44" s="860">
        <v>4</v>
      </c>
      <c r="G44" s="861"/>
      <c r="H44" s="325">
        <v>1125</v>
      </c>
    </row>
    <row r="45" spans="1:8" x14ac:dyDescent="0.35">
      <c r="A45" s="305">
        <v>4501</v>
      </c>
      <c r="B45" s="526">
        <v>7500</v>
      </c>
      <c r="C45" s="526">
        <v>4500</v>
      </c>
      <c r="D45" s="524">
        <v>0.06</v>
      </c>
      <c r="E45" s="524">
        <v>0.04</v>
      </c>
      <c r="F45" s="860">
        <v>5</v>
      </c>
      <c r="G45" s="861"/>
      <c r="H45" s="325">
        <v>1375</v>
      </c>
    </row>
    <row r="46" spans="1:8" x14ac:dyDescent="0.35">
      <c r="A46" s="305">
        <v>7501</v>
      </c>
      <c r="B46" s="526">
        <v>11500</v>
      </c>
      <c r="C46" s="526">
        <v>6325</v>
      </c>
      <c r="D46" s="524">
        <v>0.06</v>
      </c>
      <c r="E46" s="524">
        <v>0.04</v>
      </c>
      <c r="F46" s="860">
        <v>6</v>
      </c>
      <c r="G46" s="861"/>
      <c r="H46" s="325">
        <v>1575</v>
      </c>
    </row>
    <row r="47" spans="1:8" x14ac:dyDescent="0.35">
      <c r="A47" s="305">
        <v>11501</v>
      </c>
      <c r="B47" s="526">
        <v>16500</v>
      </c>
      <c r="C47" s="526">
        <v>8250</v>
      </c>
      <c r="D47" s="524">
        <v>0.06</v>
      </c>
      <c r="E47" s="524">
        <v>0.04</v>
      </c>
      <c r="F47" s="854" t="s">
        <v>461</v>
      </c>
      <c r="G47" s="855"/>
      <c r="H47" s="856"/>
    </row>
    <row r="48" spans="1:8" ht="14.5" customHeight="1" x14ac:dyDescent="0.35">
      <c r="A48" s="305">
        <v>16501</v>
      </c>
      <c r="B48" s="526">
        <v>22500</v>
      </c>
      <c r="C48" s="526">
        <v>10125</v>
      </c>
      <c r="D48" s="524">
        <v>0.06</v>
      </c>
      <c r="E48" s="524">
        <v>0.04</v>
      </c>
      <c r="F48" s="857"/>
      <c r="G48" s="858"/>
      <c r="H48" s="859"/>
    </row>
    <row r="49" spans="1:8" x14ac:dyDescent="0.35">
      <c r="A49" s="305">
        <v>22501</v>
      </c>
      <c r="B49" s="526">
        <v>28500</v>
      </c>
      <c r="C49" s="526">
        <v>12525</v>
      </c>
      <c r="D49" s="524">
        <v>0.06</v>
      </c>
      <c r="E49" s="524">
        <v>0.04</v>
      </c>
      <c r="F49" s="865" t="s">
        <v>462</v>
      </c>
      <c r="G49" s="865"/>
      <c r="H49" s="495" t="s">
        <v>460</v>
      </c>
    </row>
    <row r="50" spans="1:8" x14ac:dyDescent="0.35">
      <c r="A50" s="305">
        <v>28501</v>
      </c>
      <c r="B50" s="526">
        <v>34500</v>
      </c>
      <c r="C50" s="526">
        <v>14925</v>
      </c>
      <c r="D50" s="524">
        <v>0.06</v>
      </c>
      <c r="E50" s="524">
        <v>0.04</v>
      </c>
      <c r="F50" s="848" t="s">
        <v>463</v>
      </c>
      <c r="G50" s="849"/>
      <c r="H50" s="852">
        <v>140</v>
      </c>
    </row>
    <row r="51" spans="1:8" x14ac:dyDescent="0.35">
      <c r="A51" s="305">
        <v>34501</v>
      </c>
      <c r="B51" s="526">
        <v>40500</v>
      </c>
      <c r="C51" s="526">
        <v>17325</v>
      </c>
      <c r="D51" s="524">
        <v>0.06</v>
      </c>
      <c r="E51" s="524">
        <v>0.04</v>
      </c>
      <c r="F51" s="862"/>
      <c r="G51" s="863"/>
      <c r="H51" s="864"/>
    </row>
    <row r="52" spans="1:8" x14ac:dyDescent="0.35">
      <c r="A52" s="305">
        <v>40501</v>
      </c>
      <c r="B52" s="526">
        <v>46500</v>
      </c>
      <c r="C52" s="526">
        <v>19725</v>
      </c>
      <c r="D52" s="524">
        <v>0.06</v>
      </c>
      <c r="E52" s="524">
        <v>0.04</v>
      </c>
      <c r="F52" s="866" t="s">
        <v>464</v>
      </c>
      <c r="G52" s="866"/>
      <c r="H52" s="326">
        <v>1.1000000000000001</v>
      </c>
    </row>
    <row r="53" spans="1:8" x14ac:dyDescent="0.35">
      <c r="A53" s="305">
        <v>46501</v>
      </c>
      <c r="B53" s="526">
        <v>52500</v>
      </c>
      <c r="C53" s="526">
        <v>22125</v>
      </c>
      <c r="D53" s="524">
        <v>0.06</v>
      </c>
      <c r="E53" s="524">
        <v>0.04</v>
      </c>
      <c r="F53" s="848" t="s">
        <v>465</v>
      </c>
      <c r="G53" s="849"/>
      <c r="H53" s="852">
        <v>1500</v>
      </c>
    </row>
    <row r="54" spans="1:8" ht="15" thickBot="1" x14ac:dyDescent="0.4">
      <c r="A54" s="348">
        <v>52501</v>
      </c>
      <c r="B54" s="528">
        <v>58500</v>
      </c>
      <c r="C54" s="528">
        <v>24525</v>
      </c>
      <c r="D54" s="317">
        <v>0.06</v>
      </c>
      <c r="E54" s="317">
        <v>0.04</v>
      </c>
      <c r="F54" s="850"/>
      <c r="G54" s="851"/>
      <c r="H54" s="853"/>
    </row>
  </sheetData>
  <mergeCells count="65">
    <mergeCell ref="A24:C25"/>
    <mergeCell ref="F53:G54"/>
    <mergeCell ref="H53:H54"/>
    <mergeCell ref="F47:H48"/>
    <mergeCell ref="F45:G45"/>
    <mergeCell ref="F46:G46"/>
    <mergeCell ref="F50:G51"/>
    <mergeCell ref="H50:H51"/>
    <mergeCell ref="F49:G49"/>
    <mergeCell ref="F52:G52"/>
    <mergeCell ref="F40:G40"/>
    <mergeCell ref="F41:G41"/>
    <mergeCell ref="F42:G42"/>
    <mergeCell ref="F43:G43"/>
    <mergeCell ref="F44:G44"/>
    <mergeCell ref="A37:H37"/>
    <mergeCell ref="A38:E38"/>
    <mergeCell ref="F38:H38"/>
    <mergeCell ref="A39:B39"/>
    <mergeCell ref="F39:G39"/>
    <mergeCell ref="F35:G35"/>
    <mergeCell ref="D30:D31"/>
    <mergeCell ref="E30:E31"/>
    <mergeCell ref="H29:H30"/>
    <mergeCell ref="D33:D34"/>
    <mergeCell ref="E33:E34"/>
    <mergeCell ref="F29:G29"/>
    <mergeCell ref="F30:G31"/>
    <mergeCell ref="F32:G32"/>
    <mergeCell ref="F33:G34"/>
    <mergeCell ref="D24:D25"/>
    <mergeCell ref="E24:E25"/>
    <mergeCell ref="H23:H24"/>
    <mergeCell ref="D27:D28"/>
    <mergeCell ref="E27:E28"/>
    <mergeCell ref="H26:H27"/>
    <mergeCell ref="F23:G23"/>
    <mergeCell ref="F24:G25"/>
    <mergeCell ref="F26:G26"/>
    <mergeCell ref="F27:G28"/>
    <mergeCell ref="A6:D6"/>
    <mergeCell ref="A21:A22"/>
    <mergeCell ref="B21:B22"/>
    <mergeCell ref="C21:C22"/>
    <mergeCell ref="D21:D22"/>
    <mergeCell ref="E21:E22"/>
    <mergeCell ref="H20:H21"/>
    <mergeCell ref="F21:G22"/>
    <mergeCell ref="A17:D17"/>
    <mergeCell ref="A7:G7"/>
    <mergeCell ref="A8:D8"/>
    <mergeCell ref="A9:D9"/>
    <mergeCell ref="A10:D10"/>
    <mergeCell ref="A11:D11"/>
    <mergeCell ref="A20:G20"/>
    <mergeCell ref="A12:D12"/>
    <mergeCell ref="A13:D13"/>
    <mergeCell ref="A14:H14"/>
    <mergeCell ref="A15:H15"/>
    <mergeCell ref="A16:D16"/>
    <mergeCell ref="A1:B1"/>
    <mergeCell ref="A2:B2"/>
    <mergeCell ref="A3:B3"/>
    <mergeCell ref="A4:B4"/>
    <mergeCell ref="A5:B5"/>
  </mergeCells>
  <dataValidations count="2">
    <dataValidation type="list" allowBlank="1" showInputMessage="1" showErrorMessage="1" sqref="D29 F32:F33" xr:uid="{669B4943-7FDE-428E-8D3B-83EE52D97F15}">
      <formula1>"0,1,2,3,4,5,6"</formula1>
    </dataValidation>
    <dataValidation type="list" allowBlank="1" showInputMessage="1" showErrorMessage="1" sqref="C27:C35 H25 F26" xr:uid="{B5A7410D-CAAC-489D-A34F-CA67D53BEE81}">
      <formula1>"0,1,2,3"</formula1>
    </dataValidation>
  </dataValidations>
  <hyperlinks>
    <hyperlink ref="H6" r:id="rId1" display="WBDG - AFMAN 32-1084" xr:uid="{7275387B-E0CA-45C3-A455-C5FCA331264C}"/>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2879EC4-A42B-4453-AD42-4A972B89C05E}">
          <x14:formula1>
            <xm:f>'Sheet References'!$L$1:$L$978</xm:f>
          </x14:formula1>
          <xm:sqref>E1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06812-7E77-459C-9487-2158D36F78F6}">
  <sheetPr>
    <tabColor rgb="FFFFFF99"/>
    <pageSetUpPr fitToPage="1"/>
  </sheetPr>
  <dimension ref="A1:P20"/>
  <sheetViews>
    <sheetView zoomScaleNormal="100" workbookViewId="0">
      <selection activeCell="A20" sqref="A20:C20"/>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738521</v>
      </c>
      <c r="F1" s="38"/>
      <c r="G1" s="38"/>
      <c r="H1" s="38"/>
    </row>
    <row r="2" spans="1:8" ht="21" customHeight="1" x14ac:dyDescent="0.35">
      <c r="A2" s="676" t="s">
        <v>21</v>
      </c>
      <c r="B2" s="676"/>
      <c r="C2" s="38"/>
      <c r="D2" s="36" t="s">
        <v>107</v>
      </c>
      <c r="E2" s="37" t="str">
        <f>VLOOKUP(E1,'Sheet References'!L:M,2,FALSE)</f>
        <v>Separate Toilet/Shower Building</v>
      </c>
      <c r="F2" s="38"/>
      <c r="G2" s="38"/>
      <c r="H2" s="38"/>
    </row>
    <row r="3" spans="1:8" ht="21" customHeight="1" x14ac:dyDescent="0.35">
      <c r="A3" s="676" t="s">
        <v>22</v>
      </c>
      <c r="B3" s="676"/>
      <c r="C3" s="36"/>
      <c r="D3" s="36" t="s">
        <v>108</v>
      </c>
      <c r="E3" s="37" t="str">
        <f>VLOOKUP(CATCode,'Sheet References'!L:O,4,FALSE)</f>
        <v>https://www.wbdg.org/FFC/AF/AFMAN/738521_Separate_Toilet%20_Shower_Bldg.pdf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248</v>
      </c>
      <c r="B8" s="743"/>
      <c r="C8" s="743"/>
      <c r="D8" s="743"/>
      <c r="E8" s="42"/>
      <c r="F8" s="68"/>
      <c r="G8" s="45">
        <f>E8*F8</f>
        <v>0</v>
      </c>
      <c r="H8" s="35"/>
    </row>
    <row r="9" spans="1:8" ht="14.5" customHeight="1" x14ac:dyDescent="0.35">
      <c r="A9" s="756" t="s">
        <v>248</v>
      </c>
      <c r="B9" s="743"/>
      <c r="C9" s="743"/>
      <c r="D9" s="743"/>
      <c r="E9" s="42"/>
      <c r="F9" s="68"/>
      <c r="G9" s="45">
        <f>E9*F9</f>
        <v>0</v>
      </c>
      <c r="H9" s="35"/>
    </row>
    <row r="10" spans="1:8" x14ac:dyDescent="0.35">
      <c r="A10" s="756" t="s">
        <v>248</v>
      </c>
      <c r="B10" s="743"/>
      <c r="C10" s="743"/>
      <c r="D10" s="743"/>
      <c r="E10" s="42"/>
      <c r="F10" s="68"/>
      <c r="G10" s="45">
        <f>E10*F10</f>
        <v>0</v>
      </c>
      <c r="H10" s="46"/>
    </row>
    <row r="11" spans="1:8" x14ac:dyDescent="0.35">
      <c r="A11" s="756" t="s">
        <v>248</v>
      </c>
      <c r="B11" s="743"/>
      <c r="C11" s="743"/>
      <c r="D11" s="743"/>
      <c r="E11" s="42"/>
      <c r="F11" s="68"/>
      <c r="G11" s="45">
        <f>E11*F11</f>
        <v>0</v>
      </c>
      <c r="H11" s="46"/>
    </row>
    <row r="12" spans="1:8" x14ac:dyDescent="0.35">
      <c r="A12" s="757" t="s">
        <v>180</v>
      </c>
      <c r="B12" s="757"/>
      <c r="C12" s="757"/>
      <c r="D12" s="757"/>
      <c r="E12" s="48" t="s">
        <v>126</v>
      </c>
      <c r="F12" s="65"/>
      <c r="G12" s="51">
        <f>SUM(G8:G11)</f>
        <v>0</v>
      </c>
      <c r="H12" s="35"/>
    </row>
    <row r="13" spans="1:8" x14ac:dyDescent="0.35">
      <c r="A13" s="758" t="s">
        <v>249</v>
      </c>
      <c r="B13" s="759"/>
      <c r="C13" s="759"/>
      <c r="D13" s="759"/>
      <c r="E13" s="50">
        <v>0</v>
      </c>
      <c r="F13" s="42"/>
      <c r="G13" s="66">
        <f>E13*G12</f>
        <v>0</v>
      </c>
      <c r="H13" s="35" t="s">
        <v>176</v>
      </c>
    </row>
    <row r="14" spans="1:8" x14ac:dyDescent="0.35">
      <c r="A14" s="757" t="s">
        <v>182</v>
      </c>
      <c r="B14" s="743"/>
      <c r="C14" s="743"/>
      <c r="D14" s="743"/>
      <c r="E14" s="47" t="s">
        <v>126</v>
      </c>
      <c r="F14" s="67"/>
      <c r="G14" s="51">
        <f>SUM(G12:G13)</f>
        <v>0</v>
      </c>
      <c r="H14" s="35"/>
    </row>
    <row r="15" spans="1:8" x14ac:dyDescent="0.35">
      <c r="A15" s="743"/>
      <c r="B15" s="743"/>
      <c r="C15" s="743"/>
      <c r="D15" s="743"/>
      <c r="E15" s="743"/>
      <c r="F15" s="743"/>
      <c r="G15" s="743"/>
      <c r="H15" s="743"/>
    </row>
    <row r="16" spans="1:8" s="4" customFormat="1" ht="15.5" x14ac:dyDescent="0.35">
      <c r="A16" s="744" t="s">
        <v>250</v>
      </c>
      <c r="B16" s="745"/>
      <c r="C16" s="745"/>
      <c r="D16" s="745"/>
      <c r="E16" s="745"/>
      <c r="F16" s="745"/>
      <c r="G16" s="745"/>
      <c r="H16" s="745"/>
    </row>
    <row r="17" spans="1:8" x14ac:dyDescent="0.35">
      <c r="A17" s="746" t="s">
        <v>251</v>
      </c>
      <c r="B17" s="743"/>
      <c r="C17" s="743"/>
      <c r="D17" s="743"/>
      <c r="E17" s="69" t="s">
        <v>252</v>
      </c>
      <c r="F17" s="70"/>
      <c r="G17" s="66">
        <f>G14</f>
        <v>0</v>
      </c>
      <c r="H17" s="46"/>
    </row>
    <row r="18" spans="1:8" x14ac:dyDescent="0.35">
      <c r="A18" s="746" t="s">
        <v>253</v>
      </c>
      <c r="B18" s="753"/>
      <c r="C18" s="753"/>
      <c r="D18" s="753"/>
      <c r="E18" s="50">
        <v>0</v>
      </c>
      <c r="F18" s="43"/>
      <c r="G18" s="45">
        <f>G17*E18</f>
        <v>0</v>
      </c>
      <c r="H18" s="35" t="s">
        <v>176</v>
      </c>
    </row>
    <row r="19" spans="1:8" ht="15" thickBot="1" x14ac:dyDescent="0.4">
      <c r="E19" s="48" t="s">
        <v>254</v>
      </c>
      <c r="F19" s="71"/>
      <c r="G19" s="51">
        <f>SUM(G17:G18)</f>
        <v>0</v>
      </c>
    </row>
    <row r="20" spans="1:8" ht="16" thickBot="1" x14ac:dyDescent="0.4">
      <c r="A20" s="747" t="s">
        <v>466</v>
      </c>
      <c r="B20" s="748"/>
      <c r="C20" s="749"/>
    </row>
  </sheetData>
  <mergeCells count="19">
    <mergeCell ref="A1:B1"/>
    <mergeCell ref="A2:B2"/>
    <mergeCell ref="A3:B3"/>
    <mergeCell ref="A4:B4"/>
    <mergeCell ref="A5:B5"/>
    <mergeCell ref="A15:H15"/>
    <mergeCell ref="A16:H16"/>
    <mergeCell ref="A17:D17"/>
    <mergeCell ref="A20:C20"/>
    <mergeCell ref="A6:D6"/>
    <mergeCell ref="A18:D18"/>
    <mergeCell ref="A7:G7"/>
    <mergeCell ref="A8:D8"/>
    <mergeCell ref="A9:D9"/>
    <mergeCell ref="A10:D10"/>
    <mergeCell ref="A11:D11"/>
    <mergeCell ref="A12:D12"/>
    <mergeCell ref="A13:D13"/>
    <mergeCell ref="A14:D14"/>
  </mergeCells>
  <hyperlinks>
    <hyperlink ref="H6" r:id="rId1" display="WBDG - AFMAN 32-1084" xr:uid="{6A7FC459-6354-4F4D-BA4A-C0BB3198F927}"/>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2B8ADC1-BA3B-4545-A7F8-15AA9612C26D}">
          <x14:formula1>
            <xm:f>'Sheet References'!$L$1:$L$978</xm:f>
          </x14:formula1>
          <xm:sqref>E1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6B82E-E7B8-48C3-BDAF-5AAC931C3352}">
  <sheetPr>
    <tabColor rgb="FFFFFF99"/>
    <pageSetUpPr fitToPage="1"/>
  </sheetPr>
  <dimension ref="A1:P52"/>
  <sheetViews>
    <sheetView zoomScaleNormal="100" workbookViewId="0">
      <selection activeCell="A24" sqref="A24:D24"/>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740253</v>
      </c>
      <c r="F1" s="38"/>
      <c r="G1" s="38"/>
      <c r="H1" s="38"/>
    </row>
    <row r="2" spans="1:8" ht="21" customHeight="1" x14ac:dyDescent="0.35">
      <c r="A2" s="676" t="s">
        <v>21</v>
      </c>
      <c r="B2" s="676"/>
      <c r="C2" s="38"/>
      <c r="D2" s="36" t="s">
        <v>107</v>
      </c>
      <c r="E2" s="37" t="str">
        <f>VLOOKUP(E1,'Sheet References'!L:M,2,FALSE)</f>
        <v>Family Support Center</v>
      </c>
      <c r="F2" s="38"/>
      <c r="G2" s="38"/>
      <c r="H2" s="38"/>
    </row>
    <row r="3" spans="1:8" ht="21" customHeight="1" x14ac:dyDescent="0.35">
      <c r="A3" s="676" t="s">
        <v>22</v>
      </c>
      <c r="B3" s="676"/>
      <c r="C3" s="36"/>
      <c r="D3" s="36" t="s">
        <v>108</v>
      </c>
      <c r="E3" s="37" t="str">
        <f>VLOOKUP(CATCode,'Sheet References'!L:O,4,FALSE)</f>
        <v>https://www.wbdg.org/FFC/AF/AFMAN/740253_Airman_and_Family_Readiness_Center.pdf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195" t="s">
        <v>110</v>
      </c>
      <c r="B6" s="195" t="s">
        <v>111</v>
      </c>
      <c r="C6" s="195" t="s">
        <v>112</v>
      </c>
      <c r="D6" s="195" t="s">
        <v>113</v>
      </c>
      <c r="E6" s="195" t="s">
        <v>114</v>
      </c>
      <c r="F6" s="195" t="s">
        <v>115</v>
      </c>
      <c r="G6" s="196" t="s">
        <v>116</v>
      </c>
      <c r="H6" s="552" t="s">
        <v>117</v>
      </c>
    </row>
    <row r="7" spans="1:8" s="4" customFormat="1" ht="43.5" customHeight="1" x14ac:dyDescent="0.35">
      <c r="A7" s="669" t="s">
        <v>118</v>
      </c>
      <c r="B7" s="670"/>
      <c r="C7" s="670"/>
      <c r="D7" s="670"/>
      <c r="E7" s="670"/>
      <c r="F7" s="670"/>
      <c r="G7" s="671"/>
      <c r="H7" s="175" t="s">
        <v>119</v>
      </c>
    </row>
    <row r="8" spans="1:8" x14ac:dyDescent="0.35">
      <c r="A8" s="211" t="s">
        <v>310</v>
      </c>
      <c r="B8" s="176" t="s">
        <v>467</v>
      </c>
      <c r="C8" s="43" t="str">
        <f>VLOOKUP(B8,PrivateOffices[],2,TRUE)</f>
        <v>Office Type D (Private)</v>
      </c>
      <c r="D8" s="52" t="s">
        <v>468</v>
      </c>
      <c r="E8" s="56">
        <f>VLOOKUP(C8,OfficeTypeSF[],2,TRUE)</f>
        <v>100</v>
      </c>
      <c r="F8" s="52">
        <v>0</v>
      </c>
      <c r="G8" s="56">
        <f>E8*F8</f>
        <v>0</v>
      </c>
      <c r="H8" s="57"/>
    </row>
    <row r="9" spans="1:8" x14ac:dyDescent="0.35">
      <c r="A9" s="42" t="s">
        <v>469</v>
      </c>
      <c r="B9" s="176" t="s">
        <v>271</v>
      </c>
      <c r="C9" s="43" t="str">
        <f>VLOOKUP(B9,PrivateOffices[],2,TRUE)</f>
        <v>Office Type D (Private)</v>
      </c>
      <c r="D9" s="52" t="s">
        <v>470</v>
      </c>
      <c r="E9" s="56">
        <f>VLOOKUP(C9,OfficeTypeSF[],2,TRUE)</f>
        <v>100</v>
      </c>
      <c r="F9" s="52">
        <v>0</v>
      </c>
      <c r="G9" s="56">
        <f>E9*F9</f>
        <v>0</v>
      </c>
      <c r="H9" s="57"/>
    </row>
    <row r="10" spans="1:8" x14ac:dyDescent="0.35">
      <c r="A10" s="42" t="s">
        <v>471</v>
      </c>
      <c r="B10" s="176" t="s">
        <v>271</v>
      </c>
      <c r="C10" s="43" t="str">
        <f>VLOOKUP(B10,PrivateOffices[],2,TRUE)</f>
        <v>Office Type D (Private)</v>
      </c>
      <c r="D10" s="52" t="s">
        <v>472</v>
      </c>
      <c r="E10" s="56">
        <f>VLOOKUP(C10,OfficeTypeSF[],2,TRUE)</f>
        <v>100</v>
      </c>
      <c r="F10" s="42">
        <v>0</v>
      </c>
      <c r="G10" s="56">
        <f>E10*F10</f>
        <v>0</v>
      </c>
      <c r="H10" s="57"/>
    </row>
    <row r="11" spans="1:8" x14ac:dyDescent="0.35">
      <c r="A11" s="685" t="s">
        <v>125</v>
      </c>
      <c r="B11" s="686"/>
      <c r="C11" s="686"/>
      <c r="D11" s="686"/>
      <c r="E11" s="58" t="s">
        <v>126</v>
      </c>
      <c r="F11" s="48">
        <f>SUM(F8:F10)</f>
        <v>0</v>
      </c>
      <c r="G11" s="178">
        <f>SUM(G8:G10)</f>
        <v>0</v>
      </c>
      <c r="H11" s="62"/>
    </row>
    <row r="12" spans="1:8" x14ac:dyDescent="0.35">
      <c r="A12" s="672" t="s">
        <v>127</v>
      </c>
      <c r="B12" s="673"/>
      <c r="C12" s="673"/>
      <c r="D12" s="674"/>
      <c r="E12" s="60">
        <v>0.4</v>
      </c>
      <c r="F12" s="52"/>
      <c r="G12" s="56">
        <f>G11*E12</f>
        <v>0</v>
      </c>
      <c r="H12" s="57" t="s">
        <v>128</v>
      </c>
    </row>
    <row r="13" spans="1:8" x14ac:dyDescent="0.35">
      <c r="A13" s="681" t="s">
        <v>129</v>
      </c>
      <c r="B13" s="682"/>
      <c r="C13" s="682"/>
      <c r="D13" s="682"/>
      <c r="E13" s="58" t="s">
        <v>126</v>
      </c>
      <c r="F13" s="58"/>
      <c r="G13" s="179">
        <f>G12+G11</f>
        <v>0</v>
      </c>
      <c r="H13" s="62"/>
    </row>
    <row r="14" spans="1:8" x14ac:dyDescent="0.35">
      <c r="A14" s="694"/>
      <c r="B14" s="694"/>
      <c r="C14" s="694"/>
      <c r="D14" s="694"/>
      <c r="E14" s="180"/>
      <c r="F14" s="180"/>
      <c r="G14" s="181"/>
      <c r="H14" s="182"/>
    </row>
    <row r="15" spans="1:8" ht="15.5" x14ac:dyDescent="0.35">
      <c r="A15" s="669" t="s">
        <v>130</v>
      </c>
      <c r="B15" s="670"/>
      <c r="C15" s="670"/>
      <c r="D15" s="670"/>
      <c r="E15" s="670"/>
      <c r="F15" s="670"/>
      <c r="G15" s="678"/>
      <c r="H15" s="671"/>
    </row>
    <row r="16" spans="1:8" s="4" customFormat="1" ht="15.5" x14ac:dyDescent="0.35">
      <c r="A16" s="52" t="s">
        <v>473</v>
      </c>
      <c r="B16" s="53" t="s">
        <v>277</v>
      </c>
      <c r="C16" s="43" t="str">
        <f>VLOOKUP(B16,OpenOffices[],2,TRUE)</f>
        <v>Office Type F (Open)</v>
      </c>
      <c r="D16" s="52" t="s">
        <v>272</v>
      </c>
      <c r="E16" s="56">
        <f>VLOOKUP(C16,OfficeTypeSF[],2,TRUE)</f>
        <v>36</v>
      </c>
      <c r="F16" s="52">
        <v>0</v>
      </c>
      <c r="G16" s="56">
        <f>E16*F16</f>
        <v>0</v>
      </c>
      <c r="H16" s="57"/>
    </row>
    <row r="17" spans="1:8" ht="29" x14ac:dyDescent="0.35">
      <c r="A17" s="52" t="s">
        <v>474</v>
      </c>
      <c r="B17" s="53" t="s">
        <v>277</v>
      </c>
      <c r="C17" s="43" t="str">
        <f>VLOOKUP(B17,OpenOffices[],2,TRUE)</f>
        <v>Office Type F (Open)</v>
      </c>
      <c r="D17" s="52" t="s">
        <v>272</v>
      </c>
      <c r="E17" s="56">
        <f>VLOOKUP(C17,OfficeTypeSF[],2,TRUE)</f>
        <v>36</v>
      </c>
      <c r="F17" s="52">
        <v>0</v>
      </c>
      <c r="G17" s="56">
        <f>E17*F17</f>
        <v>0</v>
      </c>
      <c r="H17" s="212"/>
    </row>
    <row r="18" spans="1:8" ht="44.15" customHeight="1" x14ac:dyDescent="0.35">
      <c r="A18" s="52" t="s">
        <v>475</v>
      </c>
      <c r="B18" s="53" t="s">
        <v>277</v>
      </c>
      <c r="C18" s="43" t="str">
        <f>VLOOKUP(B18,OpenOffices[],2,TRUE)</f>
        <v>Office Type F (Open)</v>
      </c>
      <c r="D18" s="52" t="s">
        <v>272</v>
      </c>
      <c r="E18" s="56">
        <f>VLOOKUP(C18,OfficeTypeSF[],2,TRUE)</f>
        <v>36</v>
      </c>
      <c r="F18" s="52">
        <v>0</v>
      </c>
      <c r="G18" s="56">
        <f>E18*F18</f>
        <v>0</v>
      </c>
      <c r="H18" s="57"/>
    </row>
    <row r="19" spans="1:8" x14ac:dyDescent="0.35">
      <c r="A19" s="685" t="s">
        <v>136</v>
      </c>
      <c r="B19" s="686"/>
      <c r="C19" s="686"/>
      <c r="D19" s="686"/>
      <c r="E19" s="58" t="s">
        <v>126</v>
      </c>
      <c r="F19" s="48">
        <f>SUM(F16:F18)</f>
        <v>0</v>
      </c>
      <c r="G19" s="59">
        <f>SUM(G16:G18)</f>
        <v>0</v>
      </c>
      <c r="H19" s="57"/>
    </row>
    <row r="20" spans="1:8" x14ac:dyDescent="0.35">
      <c r="A20" s="672" t="s">
        <v>137</v>
      </c>
      <c r="B20" s="673"/>
      <c r="C20" s="673"/>
      <c r="D20" s="674"/>
      <c r="E20" s="60">
        <v>0.6</v>
      </c>
      <c r="F20" s="52"/>
      <c r="G20" s="61">
        <f>G19*E20</f>
        <v>0</v>
      </c>
      <c r="H20" s="57" t="s">
        <v>128</v>
      </c>
    </row>
    <row r="21" spans="1:8" x14ac:dyDescent="0.35">
      <c r="A21" s="681" t="s">
        <v>138</v>
      </c>
      <c r="B21" s="682"/>
      <c r="C21" s="682"/>
      <c r="D21" s="682"/>
      <c r="E21" s="58" t="s">
        <v>126</v>
      </c>
      <c r="F21" s="58"/>
      <c r="G21" s="59">
        <f>G20+G19</f>
        <v>0</v>
      </c>
      <c r="H21" s="62"/>
    </row>
    <row r="22" spans="1:8" x14ac:dyDescent="0.35">
      <c r="A22" s="683"/>
      <c r="B22" s="684"/>
      <c r="C22" s="684"/>
      <c r="D22" s="684"/>
      <c r="E22" s="180"/>
      <c r="F22" s="203"/>
      <c r="G22" s="204"/>
      <c r="H22" s="182"/>
    </row>
    <row r="23" spans="1:8" ht="15.5" x14ac:dyDescent="0.35">
      <c r="A23" s="669" t="s">
        <v>139</v>
      </c>
      <c r="B23" s="670"/>
      <c r="C23" s="670"/>
      <c r="D23" s="670"/>
      <c r="E23" s="670"/>
      <c r="F23" s="670"/>
      <c r="G23" s="678"/>
      <c r="H23" s="671"/>
    </row>
    <row r="24" spans="1:8" ht="58" x14ac:dyDescent="0.35">
      <c r="A24" s="679" t="s">
        <v>281</v>
      </c>
      <c r="B24" s="673"/>
      <c r="C24" s="673"/>
      <c r="D24" s="674"/>
      <c r="E24" s="56">
        <v>8</v>
      </c>
      <c r="F24" s="183">
        <f>F11+F19</f>
        <v>0</v>
      </c>
      <c r="G24" s="56">
        <f>E24*F24</f>
        <v>0</v>
      </c>
      <c r="H24" s="57" t="s">
        <v>374</v>
      </c>
    </row>
    <row r="25" spans="1:8" ht="58" x14ac:dyDescent="0.35">
      <c r="A25" s="679" t="s">
        <v>283</v>
      </c>
      <c r="B25" s="673"/>
      <c r="C25" s="673"/>
      <c r="D25" s="674"/>
      <c r="E25" s="56" t="str">
        <f>VLOOKUP(A25,'Sheet References'!H11:I48,2,TRUE)</f>
        <v>Table 6</v>
      </c>
      <c r="F25" s="185">
        <f>F19+F11</f>
        <v>0</v>
      </c>
      <c r="G25" s="56">
        <f>VLOOKUP(F25,MeetingSpace[],6,TRUE)</f>
        <v>0</v>
      </c>
      <c r="H25" s="57" t="s">
        <v>476</v>
      </c>
    </row>
    <row r="26" spans="1:8" ht="29" x14ac:dyDescent="0.35">
      <c r="A26" s="679" t="s">
        <v>285</v>
      </c>
      <c r="B26" s="673"/>
      <c r="C26" s="673"/>
      <c r="D26" s="674"/>
      <c r="E26" s="56">
        <v>3</v>
      </c>
      <c r="F26" s="184">
        <f>F24</f>
        <v>0</v>
      </c>
      <c r="G26" s="56">
        <f>IF(F26=0,0,MAX(E26*F26,50))</f>
        <v>0</v>
      </c>
      <c r="H26" s="57" t="s">
        <v>375</v>
      </c>
    </row>
    <row r="27" spans="1:8" x14ac:dyDescent="0.35">
      <c r="A27" s="679" t="s">
        <v>399</v>
      </c>
      <c r="B27" s="673"/>
      <c r="C27" s="673"/>
      <c r="D27" s="674"/>
      <c r="E27" s="56">
        <v>25</v>
      </c>
      <c r="F27" s="185">
        <v>0</v>
      </c>
      <c r="G27" s="56">
        <f t="shared" ref="G27:G32" si="0">IFERROR(E27*F27,0)</f>
        <v>0</v>
      </c>
      <c r="H27" s="57" t="s">
        <v>477</v>
      </c>
    </row>
    <row r="28" spans="1:8" x14ac:dyDescent="0.35">
      <c r="A28" s="679" t="s">
        <v>399</v>
      </c>
      <c r="B28" s="673"/>
      <c r="C28" s="673"/>
      <c r="D28" s="674"/>
      <c r="E28" s="56">
        <v>25</v>
      </c>
      <c r="F28" s="185">
        <v>0</v>
      </c>
      <c r="G28" s="56">
        <f t="shared" si="0"/>
        <v>0</v>
      </c>
      <c r="H28" s="57" t="s">
        <v>477</v>
      </c>
    </row>
    <row r="29" spans="1:8" x14ac:dyDescent="0.35">
      <c r="A29" s="679" t="s">
        <v>399</v>
      </c>
      <c r="B29" s="673"/>
      <c r="C29" s="673"/>
      <c r="D29" s="674"/>
      <c r="E29" s="56">
        <v>25</v>
      </c>
      <c r="F29" s="185">
        <v>0</v>
      </c>
      <c r="G29" s="56">
        <f t="shared" si="0"/>
        <v>0</v>
      </c>
      <c r="H29" s="57" t="s">
        <v>477</v>
      </c>
    </row>
    <row r="30" spans="1:8" ht="29" x14ac:dyDescent="0.35">
      <c r="A30" s="679" t="s">
        <v>399</v>
      </c>
      <c r="B30" s="673"/>
      <c r="C30" s="673"/>
      <c r="D30" s="674"/>
      <c r="E30" s="56">
        <v>80</v>
      </c>
      <c r="F30" s="186">
        <v>0</v>
      </c>
      <c r="G30" s="56">
        <f t="shared" si="0"/>
        <v>0</v>
      </c>
      <c r="H30" s="57" t="s">
        <v>478</v>
      </c>
    </row>
    <row r="31" spans="1:8" x14ac:dyDescent="0.35">
      <c r="A31" s="679" t="s">
        <v>399</v>
      </c>
      <c r="B31" s="673"/>
      <c r="C31" s="673"/>
      <c r="D31" s="674"/>
      <c r="E31" s="56">
        <v>20</v>
      </c>
      <c r="F31" s="186">
        <v>0</v>
      </c>
      <c r="G31" s="56">
        <f t="shared" si="0"/>
        <v>0</v>
      </c>
      <c r="H31" s="57" t="s">
        <v>479</v>
      </c>
    </row>
    <row r="32" spans="1:8" ht="29" x14ac:dyDescent="0.35">
      <c r="A32" s="679" t="s">
        <v>399</v>
      </c>
      <c r="B32" s="673"/>
      <c r="C32" s="673"/>
      <c r="D32" s="674"/>
      <c r="E32" s="56">
        <v>100</v>
      </c>
      <c r="F32" s="185">
        <v>0</v>
      </c>
      <c r="G32" s="56">
        <f t="shared" si="0"/>
        <v>0</v>
      </c>
      <c r="H32" s="57" t="s">
        <v>480</v>
      </c>
    </row>
    <row r="33" spans="1:8" x14ac:dyDescent="0.35">
      <c r="A33" s="679" t="s">
        <v>399</v>
      </c>
      <c r="B33" s="673"/>
      <c r="C33" s="673"/>
      <c r="D33" s="674"/>
      <c r="E33" s="56">
        <v>35</v>
      </c>
      <c r="F33" s="185">
        <v>0</v>
      </c>
      <c r="G33" s="56">
        <f>IFERROR(E33*F33,0)</f>
        <v>0</v>
      </c>
      <c r="H33" s="57" t="s">
        <v>481</v>
      </c>
    </row>
    <row r="34" spans="1:8" x14ac:dyDescent="0.35">
      <c r="A34" s="685" t="s">
        <v>174</v>
      </c>
      <c r="B34" s="703"/>
      <c r="C34" s="688"/>
      <c r="D34" s="689"/>
      <c r="E34" s="187" t="s">
        <v>126</v>
      </c>
      <c r="F34" s="188"/>
      <c r="G34" s="179">
        <f>SUM(G24:G33)</f>
        <v>0</v>
      </c>
      <c r="H34" s="57"/>
    </row>
    <row r="35" spans="1:8" x14ac:dyDescent="0.35">
      <c r="A35" s="690" t="s">
        <v>175</v>
      </c>
      <c r="B35" s="691"/>
      <c r="C35" s="691"/>
      <c r="D35" s="692"/>
      <c r="E35" s="60">
        <v>0.4</v>
      </c>
      <c r="F35" s="52"/>
      <c r="G35" s="189">
        <f>E35*G34</f>
        <v>0</v>
      </c>
      <c r="H35" s="57" t="s">
        <v>128</v>
      </c>
    </row>
    <row r="36" spans="1:8" x14ac:dyDescent="0.35">
      <c r="A36" s="685" t="s">
        <v>177</v>
      </c>
      <c r="B36" s="686"/>
      <c r="C36" s="686"/>
      <c r="D36" s="686"/>
      <c r="E36" s="58" t="s">
        <v>126</v>
      </c>
      <c r="F36" s="190"/>
      <c r="G36" s="179">
        <f>SUM(G34:G35)</f>
        <v>0</v>
      </c>
      <c r="H36" s="57"/>
    </row>
    <row r="37" spans="1:8" x14ac:dyDescent="0.35">
      <c r="A37" s="820"/>
      <c r="B37" s="686"/>
      <c r="C37" s="686"/>
      <c r="D37" s="686"/>
      <c r="E37" s="686"/>
      <c r="F37" s="686"/>
      <c r="G37" s="686"/>
      <c r="H37" s="686"/>
    </row>
    <row r="38" spans="1:8" ht="15.5" x14ac:dyDescent="0.35">
      <c r="A38" s="680" t="s">
        <v>178</v>
      </c>
      <c r="B38" s="819"/>
      <c r="C38" s="819"/>
      <c r="D38" s="819"/>
      <c r="E38" s="819"/>
      <c r="F38" s="819"/>
      <c r="G38" s="819"/>
      <c r="H38" s="819"/>
    </row>
    <row r="39" spans="1:8" x14ac:dyDescent="0.35">
      <c r="A39" s="679" t="s">
        <v>482</v>
      </c>
      <c r="B39" s="686"/>
      <c r="C39" s="686"/>
      <c r="D39" s="687"/>
      <c r="E39" s="52">
        <v>300</v>
      </c>
      <c r="F39" s="197">
        <v>0</v>
      </c>
      <c r="G39" s="56">
        <f t="shared" ref="G39:G44" si="1">E39*F39</f>
        <v>0</v>
      </c>
      <c r="H39" s="57" t="s">
        <v>483</v>
      </c>
    </row>
    <row r="40" spans="1:8" ht="29" x14ac:dyDescent="0.35">
      <c r="A40" s="679" t="s">
        <v>484</v>
      </c>
      <c r="B40" s="686"/>
      <c r="C40" s="686"/>
      <c r="D40" s="687"/>
      <c r="E40" s="52">
        <v>200</v>
      </c>
      <c r="F40" s="197">
        <v>0</v>
      </c>
      <c r="G40" s="56">
        <f t="shared" si="1"/>
        <v>0</v>
      </c>
      <c r="H40" s="57" t="s">
        <v>485</v>
      </c>
    </row>
    <row r="41" spans="1:8" x14ac:dyDescent="0.35">
      <c r="A41" s="679" t="s">
        <v>486</v>
      </c>
      <c r="B41" s="686"/>
      <c r="C41" s="686"/>
      <c r="D41" s="687"/>
      <c r="E41" s="52">
        <v>400</v>
      </c>
      <c r="F41" s="197">
        <v>0</v>
      </c>
      <c r="G41" s="56">
        <f t="shared" si="1"/>
        <v>0</v>
      </c>
      <c r="H41" s="57"/>
    </row>
    <row r="42" spans="1:8" x14ac:dyDescent="0.35">
      <c r="A42" s="679" t="s">
        <v>487</v>
      </c>
      <c r="B42" s="686"/>
      <c r="C42" s="686"/>
      <c r="D42" s="687"/>
      <c r="E42" s="52">
        <v>300</v>
      </c>
      <c r="F42" s="197">
        <v>0</v>
      </c>
      <c r="G42" s="56">
        <f t="shared" si="1"/>
        <v>0</v>
      </c>
      <c r="H42" s="57"/>
    </row>
    <row r="43" spans="1:8" x14ac:dyDescent="0.35">
      <c r="A43" s="679" t="s">
        <v>488</v>
      </c>
      <c r="B43" s="686"/>
      <c r="C43" s="686"/>
      <c r="D43" s="687"/>
      <c r="E43" s="52">
        <v>400</v>
      </c>
      <c r="F43" s="197">
        <v>0</v>
      </c>
      <c r="G43" s="56">
        <f t="shared" si="1"/>
        <v>0</v>
      </c>
      <c r="H43" s="57"/>
    </row>
    <row r="44" spans="1:8" x14ac:dyDescent="0.35">
      <c r="A44" s="679" t="s">
        <v>489</v>
      </c>
      <c r="B44" s="686"/>
      <c r="C44" s="686"/>
      <c r="D44" s="687"/>
      <c r="E44" s="52">
        <v>0</v>
      </c>
      <c r="F44" s="197">
        <v>0</v>
      </c>
      <c r="G44" s="56">
        <f t="shared" si="1"/>
        <v>0</v>
      </c>
      <c r="H44" s="57"/>
    </row>
    <row r="45" spans="1:8" x14ac:dyDescent="0.35">
      <c r="A45" s="685" t="s">
        <v>180</v>
      </c>
      <c r="B45" s="688"/>
      <c r="C45" s="688"/>
      <c r="D45" s="689"/>
      <c r="E45" s="187" t="s">
        <v>126</v>
      </c>
      <c r="F45" s="188"/>
      <c r="G45" s="179">
        <f>SUM(G39:G44)</f>
        <v>0</v>
      </c>
      <c r="H45" s="57"/>
    </row>
    <row r="46" spans="1:8" x14ac:dyDescent="0.35">
      <c r="A46" s="690" t="s">
        <v>181</v>
      </c>
      <c r="B46" s="691"/>
      <c r="C46" s="691"/>
      <c r="D46" s="692"/>
      <c r="E46" s="60">
        <v>0.4</v>
      </c>
      <c r="F46" s="52"/>
      <c r="G46" s="189">
        <f>E46*G45</f>
        <v>0</v>
      </c>
      <c r="H46" s="57" t="s">
        <v>128</v>
      </c>
    </row>
    <row r="47" spans="1:8" x14ac:dyDescent="0.35">
      <c r="A47" s="685" t="s">
        <v>182</v>
      </c>
      <c r="B47" s="686"/>
      <c r="C47" s="686"/>
      <c r="D47" s="686"/>
      <c r="E47" s="58" t="s">
        <v>126</v>
      </c>
      <c r="F47" s="190"/>
      <c r="G47" s="179">
        <f>SUM(G45:G46)</f>
        <v>0</v>
      </c>
      <c r="H47" s="57"/>
    </row>
    <row r="48" spans="1:8" x14ac:dyDescent="0.35">
      <c r="A48" s="820"/>
      <c r="B48" s="686"/>
      <c r="C48" s="686"/>
      <c r="D48" s="686"/>
      <c r="E48" s="686"/>
      <c r="F48" s="686"/>
      <c r="G48" s="686"/>
      <c r="H48" s="686"/>
    </row>
    <row r="49" spans="1:8" ht="15.5" x14ac:dyDescent="0.35">
      <c r="A49" s="680" t="s">
        <v>250</v>
      </c>
      <c r="B49" s="819"/>
      <c r="C49" s="819"/>
      <c r="D49" s="819"/>
      <c r="E49" s="819"/>
      <c r="F49" s="819"/>
      <c r="G49" s="819"/>
      <c r="H49" s="819"/>
    </row>
    <row r="50" spans="1:8" x14ac:dyDescent="0.35">
      <c r="A50" s="672" t="s">
        <v>251</v>
      </c>
      <c r="B50" s="686"/>
      <c r="C50" s="686"/>
      <c r="D50" s="686"/>
      <c r="E50" s="205" t="s">
        <v>252</v>
      </c>
      <c r="F50" s="206"/>
      <c r="G50" s="189">
        <f>G47+G36+G13+G21</f>
        <v>0</v>
      </c>
      <c r="H50" s="62"/>
    </row>
    <row r="51" spans="1:8" ht="15" thickBot="1" x14ac:dyDescent="0.4">
      <c r="A51" s="672" t="s">
        <v>413</v>
      </c>
      <c r="B51" s="673"/>
      <c r="C51" s="673"/>
      <c r="D51" s="673"/>
      <c r="E51" s="60">
        <v>0.42</v>
      </c>
      <c r="F51" s="176"/>
      <c r="G51" s="56">
        <f>G50*E51</f>
        <v>0</v>
      </c>
      <c r="H51" s="57" t="s">
        <v>414</v>
      </c>
    </row>
    <row r="52" spans="1:8" ht="15" thickBot="1" x14ac:dyDescent="0.4">
      <c r="A52" s="15"/>
      <c r="B52" s="15"/>
      <c r="C52" s="15"/>
      <c r="D52" s="207"/>
      <c r="E52" s="208" t="s">
        <v>254</v>
      </c>
      <c r="F52" s="209"/>
      <c r="G52" s="210">
        <f>SUM(G50:G51)</f>
        <v>0</v>
      </c>
      <c r="H52" s="15"/>
    </row>
  </sheetData>
  <mergeCells count="44">
    <mergeCell ref="A15:H15"/>
    <mergeCell ref="A1:B1"/>
    <mergeCell ref="A2:B2"/>
    <mergeCell ref="A3:B3"/>
    <mergeCell ref="A4:B4"/>
    <mergeCell ref="A5:B5"/>
    <mergeCell ref="A7:G7"/>
    <mergeCell ref="A11:D11"/>
    <mergeCell ref="A12:D12"/>
    <mergeCell ref="A13:D13"/>
    <mergeCell ref="A14:D14"/>
    <mergeCell ref="A19:D19"/>
    <mergeCell ref="A20:D20"/>
    <mergeCell ref="A21:D21"/>
    <mergeCell ref="A22:D22"/>
    <mergeCell ref="A23:H23"/>
    <mergeCell ref="A24:D24"/>
    <mergeCell ref="A25:D25"/>
    <mergeCell ref="A26:D26"/>
    <mergeCell ref="A27:D27"/>
    <mergeCell ref="A28:D28"/>
    <mergeCell ref="A29:D29"/>
    <mergeCell ref="A30:D30"/>
    <mergeCell ref="A31:D31"/>
    <mergeCell ref="A32:D32"/>
    <mergeCell ref="A33:D33"/>
    <mergeCell ref="A34:D34"/>
    <mergeCell ref="A35:D35"/>
    <mergeCell ref="A36:D36"/>
    <mergeCell ref="A37:H37"/>
    <mergeCell ref="A38:H38"/>
    <mergeCell ref="A39:D39"/>
    <mergeCell ref="A40:D40"/>
    <mergeCell ref="A41:D41"/>
    <mergeCell ref="A42:D42"/>
    <mergeCell ref="A43:D43"/>
    <mergeCell ref="A49:H49"/>
    <mergeCell ref="A50:D50"/>
    <mergeCell ref="A51:D51"/>
    <mergeCell ref="A44:D44"/>
    <mergeCell ref="A45:D45"/>
    <mergeCell ref="A46:D46"/>
    <mergeCell ref="A47:D47"/>
    <mergeCell ref="A48:H48"/>
  </mergeCells>
  <phoneticPr fontId="24" type="noConversion"/>
  <hyperlinks>
    <hyperlink ref="H6" r:id="rId1" display="WBDG - AFMAN 32-1084" xr:uid="{5E96FA38-6495-47CA-A560-641DBA8C9A92}"/>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5608AB1E-100F-4BE9-BE53-9827B4E495D6}">
          <x14:formula1>
            <xm:f>'Sheet References'!$L$1:$L$978</xm:f>
          </x14:formula1>
          <xm:sqref>E1</xm:sqref>
        </x14:dataValidation>
        <x14:dataValidation type="list" allowBlank="1" showInputMessage="1" showErrorMessage="1" xr:uid="{E2BC9248-A0CF-47D1-8DB4-0CF85FB37C2A}">
          <x14:formula1>
            <xm:f>'Sheet References'!$E$2:$E$112</xm:f>
          </x14:formula1>
          <xm:sqref>D8:D10 D16:D18</xm:sqref>
        </x14:dataValidation>
        <x14:dataValidation type="list" allowBlank="1" showInputMessage="1" showErrorMessage="1" xr:uid="{E0DD6663-3F21-492D-8659-2AA8261E8A27}">
          <x14:formula1>
            <xm:f>'Sheet References'!$A$14:$A$85</xm:f>
          </x14:formula1>
          <xm:sqref>B8:B10</xm:sqref>
        </x14:dataValidation>
        <x14:dataValidation type="list" allowBlank="1" showInputMessage="1" showErrorMessage="1" xr:uid="{AD46D9B0-747E-4756-A16E-869B6AB2B970}">
          <x14:formula1>
            <xm:f>'Sheet References'!$A$62:$A$85</xm:f>
          </x14:formula1>
          <xm:sqref>B16:B18</xm:sqref>
        </x14:dataValidation>
        <x14:dataValidation type="list" allowBlank="1" showInputMessage="1" showErrorMessage="1" xr:uid="{34AB8898-03F1-45D5-BBEB-46A51A3144CE}">
          <x14:formula1>
            <xm:f>'Sheet References'!$H$2:$H$48</xm:f>
          </x14:formula1>
          <xm:sqref>A27:D33 A24:D24 A25:D25 A26:D26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039C2-B70D-4AFA-8F5D-68716A71E610}">
  <sheetPr>
    <pageSetUpPr fitToPage="1"/>
  </sheetPr>
  <dimension ref="A1:L48"/>
  <sheetViews>
    <sheetView zoomScale="85" zoomScaleNormal="85" zoomScaleSheetLayoutView="100" workbookViewId="0">
      <pane ySplit="7" topLeftCell="A8" activePane="bottomLeft" state="frozen"/>
      <selection pane="bottomLeft" activeCell="P12" sqref="P12"/>
    </sheetView>
  </sheetViews>
  <sheetFormatPr defaultColWidth="9.1796875" defaultRowHeight="14.5" x14ac:dyDescent="0.35"/>
  <cols>
    <col min="1" max="1" width="9.81640625" style="118" customWidth="1"/>
    <col min="2" max="2" width="15" style="118" customWidth="1"/>
    <col min="3" max="3" width="15.7265625" style="114" customWidth="1"/>
    <col min="4" max="4" width="10.1796875" style="114" customWidth="1"/>
    <col min="5" max="5" width="13.81640625" style="114" bestFit="1" customWidth="1"/>
    <col min="6" max="6" width="35.81640625" style="114" customWidth="1"/>
    <col min="7" max="7" width="48.453125" style="114" customWidth="1"/>
    <col min="8" max="8" width="9.26953125" style="114" customWidth="1"/>
    <col min="9" max="12" width="9.54296875" style="114" customWidth="1"/>
    <col min="13" max="23" width="12.81640625" style="114" customWidth="1"/>
    <col min="24" max="16384" width="9.1796875" style="114"/>
  </cols>
  <sheetData>
    <row r="1" spans="1:12" s="113" customFormat="1" ht="21" customHeight="1" x14ac:dyDescent="0.35">
      <c r="A1" s="621" t="s">
        <v>20</v>
      </c>
      <c r="B1" s="622"/>
      <c r="C1" s="622"/>
      <c r="D1" s="622"/>
      <c r="E1" s="622"/>
      <c r="F1" s="634" t="s">
        <v>25</v>
      </c>
      <c r="G1" s="634"/>
      <c r="I1" s="644" t="s">
        <v>26</v>
      </c>
      <c r="J1" s="645"/>
      <c r="K1" s="645"/>
      <c r="L1" s="646"/>
    </row>
    <row r="2" spans="1:12" s="15" customFormat="1" ht="19" customHeight="1" x14ac:dyDescent="0.35">
      <c r="A2" s="623" t="s">
        <v>27</v>
      </c>
      <c r="B2" s="624"/>
      <c r="C2" s="624"/>
      <c r="D2" s="624"/>
      <c r="E2" s="624"/>
      <c r="F2" s="635" t="str">
        <f>'Customer Summary'!A2</f>
        <v>## Force Support Squadron (## FSS)</v>
      </c>
      <c r="G2" s="635"/>
      <c r="I2" s="649" t="s">
        <v>28</v>
      </c>
      <c r="J2" s="619"/>
      <c r="K2" s="619"/>
      <c r="L2" s="650"/>
    </row>
    <row r="3" spans="1:12" s="15" customFormat="1" ht="19.5" customHeight="1" thickBot="1" x14ac:dyDescent="0.4">
      <c r="A3" s="623" t="s">
        <v>22</v>
      </c>
      <c r="B3" s="624"/>
      <c r="C3" s="624"/>
      <c r="D3" s="624"/>
      <c r="E3" s="624"/>
      <c r="F3" s="441"/>
      <c r="G3" s="441"/>
      <c r="I3" s="647" t="s">
        <v>29</v>
      </c>
      <c r="J3" s="648"/>
      <c r="K3" s="640"/>
      <c r="L3" s="641"/>
    </row>
    <row r="4" spans="1:12" s="15" customFormat="1" ht="19" customHeight="1" thickBot="1" x14ac:dyDescent="0.4">
      <c r="A4" s="625" t="s">
        <v>23</v>
      </c>
      <c r="B4" s="626"/>
      <c r="C4" s="626"/>
      <c r="D4" s="626"/>
      <c r="E4" s="626"/>
      <c r="F4" s="636" t="s">
        <v>30</v>
      </c>
      <c r="G4" s="466" t="s">
        <v>31</v>
      </c>
      <c r="I4" s="647" t="s">
        <v>32</v>
      </c>
      <c r="J4" s="648"/>
      <c r="K4" s="640"/>
      <c r="L4" s="641"/>
    </row>
    <row r="5" spans="1:12" s="15" customFormat="1" ht="19" thickBot="1" x14ac:dyDescent="0.4">
      <c r="A5" s="625" t="str">
        <f>'Customer Summary'!B61</f>
        <v>POC:</v>
      </c>
      <c r="B5" s="626"/>
      <c r="C5" s="626"/>
      <c r="D5" s="626"/>
      <c r="E5" s="626"/>
      <c r="F5" s="637"/>
      <c r="G5" s="450" t="s">
        <v>33</v>
      </c>
      <c r="I5" s="638" t="s">
        <v>34</v>
      </c>
      <c r="J5" s="639"/>
      <c r="K5" s="642"/>
      <c r="L5" s="643"/>
    </row>
    <row r="6" spans="1:12" s="15" customFormat="1" ht="25" customHeight="1" thickBot="1" x14ac:dyDescent="0.4">
      <c r="A6" s="619" t="s">
        <v>35</v>
      </c>
      <c r="B6" s="619"/>
      <c r="C6" s="619"/>
      <c r="D6" s="619" t="s">
        <v>36</v>
      </c>
      <c r="E6" s="620" t="s">
        <v>37</v>
      </c>
      <c r="F6" s="627" t="s">
        <v>38</v>
      </c>
      <c r="G6" s="628"/>
      <c r="I6" s="631" t="s">
        <v>39</v>
      </c>
      <c r="J6" s="632"/>
      <c r="K6" s="632"/>
      <c r="L6" s="633"/>
    </row>
    <row r="7" spans="1:12" s="15" customFormat="1" ht="24.65" customHeight="1" thickBot="1" x14ac:dyDescent="0.4">
      <c r="A7" s="619"/>
      <c r="B7" s="619"/>
      <c r="C7" s="619"/>
      <c r="D7" s="619"/>
      <c r="E7" s="620"/>
      <c r="F7" s="629"/>
      <c r="G7" s="630"/>
    </row>
    <row r="8" spans="1:12" ht="38.15" customHeight="1" thickBot="1" x14ac:dyDescent="0.4">
      <c r="A8" s="607" t="s">
        <v>40</v>
      </c>
      <c r="B8" s="608"/>
      <c r="C8" s="609"/>
      <c r="D8" s="551"/>
      <c r="E8" s="115" t="s">
        <v>41</v>
      </c>
      <c r="F8" s="617" t="s">
        <v>42</v>
      </c>
      <c r="G8" s="618"/>
      <c r="I8" s="589" t="s">
        <v>43</v>
      </c>
      <c r="J8" s="590"/>
      <c r="K8" s="590"/>
      <c r="L8" s="591"/>
    </row>
    <row r="9" spans="1:12" ht="38.15" customHeight="1" x14ac:dyDescent="0.35">
      <c r="A9" s="607" t="s">
        <v>44</v>
      </c>
      <c r="B9" s="608"/>
      <c r="C9" s="609"/>
      <c r="D9" s="551"/>
      <c r="E9" s="115" t="s">
        <v>41</v>
      </c>
      <c r="F9" s="615" t="s">
        <v>42</v>
      </c>
      <c r="G9" s="616"/>
      <c r="H9" s="116"/>
      <c r="I9" s="592" t="s">
        <v>45</v>
      </c>
      <c r="J9" s="593"/>
      <c r="K9" s="593"/>
      <c r="L9" s="594"/>
    </row>
    <row r="10" spans="1:12" ht="38.15" customHeight="1" x14ac:dyDescent="0.35">
      <c r="A10" s="607" t="s">
        <v>46</v>
      </c>
      <c r="B10" s="608"/>
      <c r="C10" s="609"/>
      <c r="D10" s="551"/>
      <c r="E10" s="115" t="s">
        <v>41</v>
      </c>
      <c r="F10" s="615" t="s">
        <v>42</v>
      </c>
      <c r="G10" s="616"/>
      <c r="H10" s="116"/>
      <c r="I10" s="595"/>
      <c r="J10" s="596"/>
      <c r="K10" s="596"/>
      <c r="L10" s="597"/>
    </row>
    <row r="11" spans="1:12" ht="38.15" customHeight="1" x14ac:dyDescent="0.35">
      <c r="A11" s="607" t="s">
        <v>47</v>
      </c>
      <c r="B11" s="608"/>
      <c r="C11" s="609"/>
      <c r="D11" s="270"/>
      <c r="E11" s="115" t="s">
        <v>41</v>
      </c>
      <c r="F11" s="615" t="s">
        <v>48</v>
      </c>
      <c r="G11" s="616"/>
      <c r="I11" s="595"/>
      <c r="J11" s="596"/>
      <c r="K11" s="596"/>
      <c r="L11" s="597"/>
    </row>
    <row r="12" spans="1:12" ht="38.15" customHeight="1" x14ac:dyDescent="0.35">
      <c r="A12" s="607" t="s">
        <v>49</v>
      </c>
      <c r="B12" s="608"/>
      <c r="C12" s="609"/>
      <c r="D12" s="270"/>
      <c r="E12" s="115" t="s">
        <v>50</v>
      </c>
      <c r="F12" s="615"/>
      <c r="G12" s="616"/>
      <c r="I12" s="595"/>
      <c r="J12" s="596"/>
      <c r="K12" s="596"/>
      <c r="L12" s="597"/>
    </row>
    <row r="13" spans="1:12" ht="38.15" customHeight="1" x14ac:dyDescent="0.35">
      <c r="A13" s="607" t="s">
        <v>51</v>
      </c>
      <c r="B13" s="608"/>
      <c r="C13" s="609"/>
      <c r="D13" s="270"/>
      <c r="E13" s="115" t="s">
        <v>50</v>
      </c>
      <c r="F13" s="615" t="s">
        <v>52</v>
      </c>
      <c r="G13" s="616"/>
      <c r="H13" s="116"/>
      <c r="I13" s="595"/>
      <c r="J13" s="596"/>
      <c r="K13" s="596"/>
      <c r="L13" s="597"/>
    </row>
    <row r="14" spans="1:12" ht="38.15" customHeight="1" x14ac:dyDescent="0.35">
      <c r="A14" s="607" t="s">
        <v>53</v>
      </c>
      <c r="B14" s="608"/>
      <c r="C14" s="609"/>
      <c r="D14" s="270"/>
      <c r="E14" s="115" t="s">
        <v>50</v>
      </c>
      <c r="F14" s="615" t="s">
        <v>54</v>
      </c>
      <c r="G14" s="616"/>
      <c r="I14" s="595"/>
      <c r="J14" s="596"/>
      <c r="K14" s="596"/>
      <c r="L14" s="597"/>
    </row>
    <row r="15" spans="1:12" ht="38.15" customHeight="1" thickBot="1" x14ac:dyDescent="0.4">
      <c r="A15" s="607" t="s">
        <v>55</v>
      </c>
      <c r="B15" s="608"/>
      <c r="C15" s="609"/>
      <c r="D15" s="270"/>
      <c r="E15" s="115" t="s">
        <v>50</v>
      </c>
      <c r="F15" s="615" t="s">
        <v>56</v>
      </c>
      <c r="G15" s="616"/>
      <c r="I15" s="598"/>
      <c r="J15" s="599"/>
      <c r="K15" s="599"/>
      <c r="L15" s="600"/>
    </row>
    <row r="16" spans="1:12" ht="38.15" customHeight="1" x14ac:dyDescent="0.35">
      <c r="A16" s="607" t="s">
        <v>57</v>
      </c>
      <c r="B16" s="608"/>
      <c r="C16" s="609"/>
      <c r="D16" s="270"/>
      <c r="E16" s="115" t="s">
        <v>50</v>
      </c>
      <c r="F16" s="615" t="s">
        <v>56</v>
      </c>
      <c r="G16" s="616"/>
      <c r="H16" s="116"/>
      <c r="I16" s="601" t="s">
        <v>58</v>
      </c>
      <c r="J16" s="602"/>
      <c r="K16" s="602"/>
      <c r="L16" s="603"/>
    </row>
    <row r="17" spans="1:12" ht="38.15" customHeight="1" thickBot="1" x14ac:dyDescent="0.4">
      <c r="A17" s="607" t="s">
        <v>59</v>
      </c>
      <c r="B17" s="608"/>
      <c r="C17" s="609"/>
      <c r="D17" s="270"/>
      <c r="E17" s="115" t="s">
        <v>50</v>
      </c>
      <c r="F17" s="615" t="s">
        <v>54</v>
      </c>
      <c r="G17" s="616"/>
      <c r="H17" s="116"/>
      <c r="I17" s="604"/>
      <c r="J17" s="605"/>
      <c r="K17" s="605"/>
      <c r="L17" s="606"/>
    </row>
    <row r="18" spans="1:12" ht="65.150000000000006" customHeight="1" x14ac:dyDescent="0.35">
      <c r="A18" s="607" t="s">
        <v>60</v>
      </c>
      <c r="B18" s="608"/>
      <c r="C18" s="609"/>
      <c r="D18" s="379">
        <f>D8*0.419</f>
        <v>0</v>
      </c>
      <c r="E18" s="117" t="s">
        <v>61</v>
      </c>
      <c r="F18" s="615" t="s">
        <v>62</v>
      </c>
      <c r="G18" s="616"/>
      <c r="H18" s="116"/>
      <c r="I18" s="465"/>
      <c r="J18" s="465"/>
      <c r="K18" s="465"/>
      <c r="L18" s="465"/>
    </row>
    <row r="19" spans="1:12" ht="42" customHeight="1" x14ac:dyDescent="0.35">
      <c r="A19" s="607" t="s">
        <v>63</v>
      </c>
      <c r="B19" s="608"/>
      <c r="C19" s="609"/>
      <c r="D19" s="379">
        <f>D8*0.388</f>
        <v>0</v>
      </c>
      <c r="E19" s="117" t="s">
        <v>61</v>
      </c>
      <c r="F19" s="615" t="s">
        <v>64</v>
      </c>
      <c r="G19" s="616"/>
      <c r="H19" s="116"/>
      <c r="I19" s="465"/>
      <c r="J19" s="465"/>
      <c r="K19" s="465"/>
      <c r="L19" s="465"/>
    </row>
    <row r="20" spans="1:12" ht="43" customHeight="1" x14ac:dyDescent="0.35">
      <c r="A20" s="607" t="s">
        <v>65</v>
      </c>
      <c r="B20" s="608"/>
      <c r="C20" s="609"/>
      <c r="D20" s="379">
        <f>D8*0.194</f>
        <v>0</v>
      </c>
      <c r="E20" s="117" t="s">
        <v>61</v>
      </c>
      <c r="F20" s="615" t="s">
        <v>66</v>
      </c>
      <c r="G20" s="616"/>
      <c r="H20" s="116"/>
      <c r="I20" s="465"/>
      <c r="J20" s="465"/>
      <c r="K20" s="465"/>
      <c r="L20" s="465"/>
    </row>
    <row r="21" spans="1:12" ht="57" customHeight="1" x14ac:dyDescent="0.35">
      <c r="A21" s="607" t="s">
        <v>67</v>
      </c>
      <c r="B21" s="608"/>
      <c r="C21" s="609"/>
      <c r="D21" s="379">
        <f>D12*0.32</f>
        <v>0</v>
      </c>
      <c r="E21" s="117" t="s">
        <v>61</v>
      </c>
      <c r="F21" s="615" t="s">
        <v>68</v>
      </c>
      <c r="G21" s="616"/>
      <c r="H21" s="116"/>
      <c r="I21" s="465"/>
      <c r="J21" s="465"/>
      <c r="K21" s="465"/>
      <c r="L21" s="465"/>
    </row>
    <row r="22" spans="1:12" ht="72.650000000000006" customHeight="1" x14ac:dyDescent="0.35">
      <c r="A22" s="607" t="s">
        <v>69</v>
      </c>
      <c r="B22" s="608"/>
      <c r="C22" s="609"/>
      <c r="D22" s="379">
        <f>D12*0.68</f>
        <v>0</v>
      </c>
      <c r="E22" s="117" t="s">
        <v>61</v>
      </c>
      <c r="F22" s="615" t="s">
        <v>70</v>
      </c>
      <c r="G22" s="616"/>
      <c r="H22" s="116"/>
      <c r="I22" s="465"/>
      <c r="J22" s="465"/>
      <c r="K22" s="465"/>
      <c r="L22" s="465"/>
    </row>
    <row r="23" spans="1:12" ht="74.5" customHeight="1" x14ac:dyDescent="0.35">
      <c r="A23" s="607" t="s">
        <v>71</v>
      </c>
      <c r="B23" s="608"/>
      <c r="C23" s="609"/>
      <c r="D23" s="379">
        <f>IF(K4="YES",(D8+D10)*0.436,D8*0.436)</f>
        <v>0</v>
      </c>
      <c r="E23" s="117" t="s">
        <v>61</v>
      </c>
      <c r="F23" s="615" t="s">
        <v>72</v>
      </c>
      <c r="G23" s="616"/>
      <c r="H23" s="116"/>
      <c r="I23" s="465"/>
      <c r="J23" s="465"/>
      <c r="K23" s="465"/>
      <c r="L23" s="465"/>
    </row>
    <row r="24" spans="1:12" ht="68.150000000000006" customHeight="1" x14ac:dyDescent="0.35">
      <c r="A24" s="607" t="s">
        <v>73</v>
      </c>
      <c r="B24" s="608"/>
      <c r="C24" s="609"/>
      <c r="D24" s="379">
        <f>IF(K5="YES",D8*0.224,0)</f>
        <v>0</v>
      </c>
      <c r="E24" s="117" t="s">
        <v>61</v>
      </c>
      <c r="F24" s="615" t="s">
        <v>74</v>
      </c>
      <c r="G24" s="616"/>
      <c r="H24" s="116"/>
      <c r="I24" s="465"/>
      <c r="J24" s="465"/>
      <c r="K24" s="465"/>
      <c r="L24" s="465"/>
    </row>
    <row r="25" spans="1:12" ht="58" customHeight="1" x14ac:dyDescent="0.35">
      <c r="A25" s="607" t="s">
        <v>75</v>
      </c>
      <c r="B25" s="608"/>
      <c r="C25" s="609"/>
      <c r="D25" s="379">
        <f>IF(K5="YES",D8*0.698,0)</f>
        <v>0</v>
      </c>
      <c r="E25" s="117" t="s">
        <v>61</v>
      </c>
      <c r="F25" s="615" t="s">
        <v>76</v>
      </c>
      <c r="G25" s="616"/>
      <c r="H25" s="116"/>
      <c r="I25" s="465"/>
      <c r="J25" s="465"/>
      <c r="K25" s="465"/>
      <c r="L25" s="465"/>
    </row>
    <row r="26" spans="1:12" ht="66" customHeight="1" x14ac:dyDescent="0.35">
      <c r="A26" s="607" t="s">
        <v>77</v>
      </c>
      <c r="B26" s="608"/>
      <c r="C26" s="609"/>
      <c r="D26" s="379">
        <f>IF(K5="YES",D8*0.762,0)</f>
        <v>0</v>
      </c>
      <c r="E26" s="117" t="s">
        <v>61</v>
      </c>
      <c r="F26" s="615" t="s">
        <v>78</v>
      </c>
      <c r="G26" s="616"/>
      <c r="H26" s="116"/>
      <c r="I26" s="465"/>
      <c r="J26" s="465"/>
      <c r="K26" s="465"/>
      <c r="L26" s="465"/>
    </row>
    <row r="27" spans="1:12" ht="63.65" customHeight="1" x14ac:dyDescent="0.35">
      <c r="A27" s="607" t="s">
        <v>79</v>
      </c>
      <c r="B27" s="608"/>
      <c r="C27" s="609"/>
      <c r="D27" s="379">
        <f>IF(K5="YES",D8*1.2,0)</f>
        <v>0</v>
      </c>
      <c r="E27" s="117" t="s">
        <v>61</v>
      </c>
      <c r="F27" s="615" t="s">
        <v>80</v>
      </c>
      <c r="G27" s="616"/>
      <c r="H27" s="116"/>
    </row>
    <row r="28" spans="1:12" ht="59.15" customHeight="1" x14ac:dyDescent="0.35">
      <c r="A28" s="607" t="s">
        <v>81</v>
      </c>
      <c r="B28" s="608"/>
      <c r="C28" s="609"/>
      <c r="D28" s="379">
        <f>IF(K5="YES",(D8+D10)*1.2,0)</f>
        <v>0</v>
      </c>
      <c r="E28" s="117" t="s">
        <v>61</v>
      </c>
      <c r="F28" s="615" t="s">
        <v>82</v>
      </c>
      <c r="G28" s="616"/>
      <c r="H28" s="116"/>
    </row>
    <row r="29" spans="1:12" ht="77.150000000000006" customHeight="1" thickBot="1" x14ac:dyDescent="0.4">
      <c r="A29" s="607" t="s">
        <v>83</v>
      </c>
      <c r="B29" s="608"/>
      <c r="C29" s="609"/>
      <c r="D29" s="380">
        <f>IF(K5="YES",D27*0.52,0)</f>
        <v>0</v>
      </c>
      <c r="E29" s="117" t="s">
        <v>61</v>
      </c>
      <c r="F29" s="610" t="s">
        <v>84</v>
      </c>
      <c r="G29" s="611"/>
      <c r="H29" s="116"/>
    </row>
    <row r="30" spans="1:12" ht="75.650000000000006" customHeight="1" thickBot="1" x14ac:dyDescent="0.4">
      <c r="A30" s="607" t="s">
        <v>85</v>
      </c>
      <c r="B30" s="608"/>
      <c r="C30" s="609"/>
      <c r="D30" s="380">
        <f>IF(K5="YES",D28*0.57,0)</f>
        <v>0</v>
      </c>
      <c r="E30" s="117" t="s">
        <v>61</v>
      </c>
      <c r="F30" s="610" t="s">
        <v>86</v>
      </c>
      <c r="G30" s="611"/>
      <c r="H30" s="116"/>
    </row>
    <row r="31" spans="1:12" ht="50.5" customHeight="1" x14ac:dyDescent="0.35">
      <c r="A31" s="607" t="s">
        <v>87</v>
      </c>
      <c r="B31" s="608"/>
      <c r="C31" s="609"/>
      <c r="D31" s="270"/>
      <c r="E31" s="115" t="s">
        <v>88</v>
      </c>
      <c r="F31" s="587" t="s">
        <v>89</v>
      </c>
      <c r="G31" s="588"/>
      <c r="H31" s="116"/>
    </row>
    <row r="32" spans="1:12" ht="80.150000000000006" customHeight="1" thickBot="1" x14ac:dyDescent="0.4">
      <c r="A32" s="607" t="s">
        <v>90</v>
      </c>
      <c r="B32" s="608"/>
      <c r="C32" s="609"/>
      <c r="D32" s="271"/>
      <c r="E32" s="115" t="s">
        <v>88</v>
      </c>
      <c r="F32" s="610" t="s">
        <v>91</v>
      </c>
      <c r="G32" s="611"/>
      <c r="H32" s="116"/>
    </row>
    <row r="33" spans="1:8" ht="46.5" customHeight="1" x14ac:dyDescent="0.35">
      <c r="A33" s="607" t="s">
        <v>92</v>
      </c>
      <c r="B33" s="608"/>
      <c r="C33" s="609"/>
      <c r="D33" s="270"/>
      <c r="E33" s="115" t="s">
        <v>88</v>
      </c>
      <c r="F33" s="587" t="s">
        <v>89</v>
      </c>
      <c r="G33" s="588"/>
      <c r="H33" s="116"/>
    </row>
    <row r="34" spans="1:8" ht="75" customHeight="1" thickBot="1" x14ac:dyDescent="0.4">
      <c r="A34" s="607" t="s">
        <v>93</v>
      </c>
      <c r="B34" s="608"/>
      <c r="C34" s="609"/>
      <c r="D34" s="271"/>
      <c r="E34" s="115" t="s">
        <v>88</v>
      </c>
      <c r="F34" s="610" t="s">
        <v>91</v>
      </c>
      <c r="G34" s="611"/>
      <c r="H34" s="116"/>
    </row>
    <row r="35" spans="1:8" ht="49.5" customHeight="1" x14ac:dyDescent="0.35">
      <c r="A35" s="607" t="s">
        <v>94</v>
      </c>
      <c r="B35" s="608"/>
      <c r="C35" s="609"/>
      <c r="D35" s="270"/>
      <c r="E35" s="115" t="s">
        <v>88</v>
      </c>
      <c r="F35" s="587" t="s">
        <v>89</v>
      </c>
      <c r="G35" s="588"/>
      <c r="H35" s="116"/>
    </row>
    <row r="36" spans="1:8" ht="79.5" customHeight="1" thickBot="1" x14ac:dyDescent="0.4">
      <c r="A36" s="607" t="s">
        <v>95</v>
      </c>
      <c r="B36" s="608"/>
      <c r="C36" s="609"/>
      <c r="D36" s="271"/>
      <c r="E36" s="115" t="s">
        <v>88</v>
      </c>
      <c r="F36" s="610" t="s">
        <v>91</v>
      </c>
      <c r="G36" s="611"/>
      <c r="H36" s="116"/>
    </row>
    <row r="37" spans="1:8" ht="46" customHeight="1" x14ac:dyDescent="0.35">
      <c r="A37" s="607" t="s">
        <v>96</v>
      </c>
      <c r="B37" s="608"/>
      <c r="C37" s="609"/>
      <c r="D37" s="270"/>
      <c r="E37" s="115" t="s">
        <v>88</v>
      </c>
      <c r="F37" s="587" t="s">
        <v>89</v>
      </c>
      <c r="G37" s="588"/>
    </row>
    <row r="38" spans="1:8" ht="78" customHeight="1" thickBot="1" x14ac:dyDescent="0.4">
      <c r="A38" s="607" t="s">
        <v>97</v>
      </c>
      <c r="B38" s="608"/>
      <c r="C38" s="609"/>
      <c r="D38" s="271"/>
      <c r="E38" s="115" t="s">
        <v>88</v>
      </c>
      <c r="F38" s="610" t="s">
        <v>91</v>
      </c>
      <c r="G38" s="611"/>
    </row>
    <row r="39" spans="1:8" ht="44.5" customHeight="1" x14ac:dyDescent="0.35">
      <c r="A39" s="607" t="s">
        <v>98</v>
      </c>
      <c r="B39" s="608"/>
      <c r="C39" s="609"/>
      <c r="D39" s="270"/>
      <c r="E39" s="115" t="s">
        <v>88</v>
      </c>
      <c r="F39" s="587" t="s">
        <v>99</v>
      </c>
      <c r="G39" s="588"/>
      <c r="H39" s="116"/>
    </row>
    <row r="40" spans="1:8" ht="76.5" customHeight="1" thickBot="1" x14ac:dyDescent="0.4">
      <c r="A40" s="607" t="s">
        <v>100</v>
      </c>
      <c r="B40" s="608"/>
      <c r="C40" s="609"/>
      <c r="D40" s="271"/>
      <c r="E40" s="115" t="s">
        <v>88</v>
      </c>
      <c r="F40" s="610" t="s">
        <v>91</v>
      </c>
      <c r="G40" s="611"/>
      <c r="H40" s="116"/>
    </row>
    <row r="41" spans="1:8" ht="46.5" customHeight="1" x14ac:dyDescent="0.35">
      <c r="A41" s="607" t="s">
        <v>101</v>
      </c>
      <c r="B41" s="608"/>
      <c r="C41" s="609"/>
      <c r="D41" s="270"/>
      <c r="E41" s="115" t="s">
        <v>88</v>
      </c>
      <c r="F41" s="587" t="s">
        <v>99</v>
      </c>
      <c r="G41" s="588"/>
      <c r="H41" s="116"/>
    </row>
    <row r="42" spans="1:8" ht="84.65" customHeight="1" thickBot="1" x14ac:dyDescent="0.4">
      <c r="A42" s="607" t="s">
        <v>102</v>
      </c>
      <c r="B42" s="608"/>
      <c r="C42" s="609"/>
      <c r="D42" s="271"/>
      <c r="E42" s="115" t="s">
        <v>88</v>
      </c>
      <c r="F42" s="610" t="s">
        <v>103</v>
      </c>
      <c r="G42" s="611"/>
      <c r="H42" s="116"/>
    </row>
    <row r="43" spans="1:8" ht="47.15" customHeight="1" x14ac:dyDescent="0.35">
      <c r="A43" s="607" t="s">
        <v>104</v>
      </c>
      <c r="B43" s="608"/>
      <c r="C43" s="609"/>
      <c r="D43" s="270"/>
      <c r="E43" s="115" t="s">
        <v>88</v>
      </c>
      <c r="F43" s="587" t="s">
        <v>99</v>
      </c>
      <c r="G43" s="588"/>
    </row>
    <row r="44" spans="1:8" ht="88" customHeight="1" thickBot="1" x14ac:dyDescent="0.4">
      <c r="A44" s="612" t="s">
        <v>105</v>
      </c>
      <c r="B44" s="613"/>
      <c r="C44" s="614"/>
      <c r="D44" s="272"/>
      <c r="E44" s="115" t="s">
        <v>88</v>
      </c>
      <c r="F44" s="610" t="s">
        <v>103</v>
      </c>
      <c r="G44" s="611"/>
    </row>
    <row r="45" spans="1:8" x14ac:dyDescent="0.35">
      <c r="B45" s="119"/>
      <c r="C45" s="116"/>
    </row>
    <row r="46" spans="1:8" x14ac:dyDescent="0.35">
      <c r="B46" s="119"/>
      <c r="C46" s="116"/>
      <c r="F46" s="120"/>
      <c r="G46" s="120"/>
    </row>
    <row r="47" spans="1:8" ht="15" customHeight="1" x14ac:dyDescent="0.35">
      <c r="B47" s="119"/>
      <c r="C47" s="116"/>
      <c r="F47" s="585"/>
      <c r="G47" s="585"/>
    </row>
    <row r="48" spans="1:8" ht="15" customHeight="1" x14ac:dyDescent="0.35">
      <c r="C48" s="116"/>
      <c r="F48" s="586"/>
      <c r="G48" s="586"/>
    </row>
  </sheetData>
  <mergeCells count="100">
    <mergeCell ref="F6:G7"/>
    <mergeCell ref="I6:L6"/>
    <mergeCell ref="F1:G1"/>
    <mergeCell ref="F2:G2"/>
    <mergeCell ref="F4:F5"/>
    <mergeCell ref="I5:J5"/>
    <mergeCell ref="K3:L3"/>
    <mergeCell ref="K4:L4"/>
    <mergeCell ref="K5:L5"/>
    <mergeCell ref="I1:L1"/>
    <mergeCell ref="I3:J3"/>
    <mergeCell ref="I4:J4"/>
    <mergeCell ref="I2:L2"/>
    <mergeCell ref="A6:C7"/>
    <mergeCell ref="D6:D7"/>
    <mergeCell ref="E6:E7"/>
    <mergeCell ref="A1:E1"/>
    <mergeCell ref="A2:E2"/>
    <mergeCell ref="A3:E3"/>
    <mergeCell ref="A4:E4"/>
    <mergeCell ref="A5:E5"/>
    <mergeCell ref="A8:C8"/>
    <mergeCell ref="F8:G8"/>
    <mergeCell ref="A9:C9"/>
    <mergeCell ref="F9:G9"/>
    <mergeCell ref="A10:C10"/>
    <mergeCell ref="F10:G10"/>
    <mergeCell ref="A16:C16"/>
    <mergeCell ref="F16:G16"/>
    <mergeCell ref="A11:C11"/>
    <mergeCell ref="F11:G11"/>
    <mergeCell ref="A12:C12"/>
    <mergeCell ref="F12:G12"/>
    <mergeCell ref="A13:C13"/>
    <mergeCell ref="F13:G13"/>
    <mergeCell ref="A14:C14"/>
    <mergeCell ref="F14:G14"/>
    <mergeCell ref="A15:C15"/>
    <mergeCell ref="F15:G15"/>
    <mergeCell ref="A17:C17"/>
    <mergeCell ref="F17:G17"/>
    <mergeCell ref="A18:C18"/>
    <mergeCell ref="F18:G18"/>
    <mergeCell ref="A19:C19"/>
    <mergeCell ref="F19:G19"/>
    <mergeCell ref="A20:C20"/>
    <mergeCell ref="F20:G20"/>
    <mergeCell ref="A21:C21"/>
    <mergeCell ref="F21:G21"/>
    <mergeCell ref="A22:C22"/>
    <mergeCell ref="F22:G22"/>
    <mergeCell ref="A23:C23"/>
    <mergeCell ref="F23:G23"/>
    <mergeCell ref="A24:C24"/>
    <mergeCell ref="F24:G24"/>
    <mergeCell ref="A25:C25"/>
    <mergeCell ref="F25:G25"/>
    <mergeCell ref="A26:C26"/>
    <mergeCell ref="F26:G26"/>
    <mergeCell ref="A27:C27"/>
    <mergeCell ref="F27:G27"/>
    <mergeCell ref="A28:C28"/>
    <mergeCell ref="F28:G28"/>
    <mergeCell ref="A29:C29"/>
    <mergeCell ref="F29:G29"/>
    <mergeCell ref="A31:C31"/>
    <mergeCell ref="F31:G31"/>
    <mergeCell ref="A32:C32"/>
    <mergeCell ref="F32:G32"/>
    <mergeCell ref="A30:C30"/>
    <mergeCell ref="F30:G30"/>
    <mergeCell ref="A44:C44"/>
    <mergeCell ref="F44:G44"/>
    <mergeCell ref="A39:C39"/>
    <mergeCell ref="F39:G39"/>
    <mergeCell ref="A40:C40"/>
    <mergeCell ref="F40:G40"/>
    <mergeCell ref="A41:C41"/>
    <mergeCell ref="F41:G41"/>
    <mergeCell ref="A42:C42"/>
    <mergeCell ref="F42:G42"/>
    <mergeCell ref="A43:C43"/>
    <mergeCell ref="F43:G43"/>
    <mergeCell ref="A36:C36"/>
    <mergeCell ref="F36:G36"/>
    <mergeCell ref="A37:C37"/>
    <mergeCell ref="F37:G37"/>
    <mergeCell ref="A38:C38"/>
    <mergeCell ref="F38:G38"/>
    <mergeCell ref="A33:C33"/>
    <mergeCell ref="F33:G33"/>
    <mergeCell ref="A34:C34"/>
    <mergeCell ref="F34:G34"/>
    <mergeCell ref="A35:C35"/>
    <mergeCell ref="F47:G47"/>
    <mergeCell ref="F48:G48"/>
    <mergeCell ref="F35:G35"/>
    <mergeCell ref="I8:L8"/>
    <mergeCell ref="I9:L15"/>
    <mergeCell ref="I16:L17"/>
  </mergeCells>
  <conditionalFormatting sqref="D9">
    <cfRule type="expression" dxfId="17" priority="5">
      <formula>$K$4="YES"</formula>
    </cfRule>
    <cfRule type="expression" dxfId="16" priority="13">
      <formula>$K$3="NO"</formula>
    </cfRule>
  </conditionalFormatting>
  <conditionalFormatting sqref="D10">
    <cfRule type="expression" dxfId="15" priority="6">
      <formula>$K$3="YES"</formula>
    </cfRule>
    <cfRule type="expression" dxfId="14" priority="8">
      <formula>$K$4="NO"</formula>
    </cfRule>
  </conditionalFormatting>
  <conditionalFormatting sqref="D24:D44">
    <cfRule type="expression" dxfId="13" priority="7">
      <formula>$K$5="NO"</formula>
    </cfRule>
  </conditionalFormatting>
  <conditionalFormatting sqref="D27">
    <cfRule type="expression" dxfId="12" priority="4">
      <formula>$K$3="NO"</formula>
    </cfRule>
    <cfRule type="expression" dxfId="11" priority="12">
      <formula>$K$4="YES"</formula>
    </cfRule>
  </conditionalFormatting>
  <conditionalFormatting sqref="D28">
    <cfRule type="expression" dxfId="10" priority="3">
      <formula>$K$4="NO"</formula>
    </cfRule>
    <cfRule type="expression" dxfId="9" priority="11">
      <formula>$K$3="YES"</formula>
    </cfRule>
  </conditionalFormatting>
  <conditionalFormatting sqref="D29">
    <cfRule type="expression" dxfId="8" priority="2">
      <formula>$K$3="NO"</formula>
    </cfRule>
    <cfRule type="expression" dxfId="7" priority="10">
      <formula>$K$4="YES"</formula>
    </cfRule>
  </conditionalFormatting>
  <conditionalFormatting sqref="D30">
    <cfRule type="expression" dxfId="6" priority="1">
      <formula>$K$4="NO"</formula>
    </cfRule>
    <cfRule type="expression" dxfId="5" priority="9">
      <formula>$K$3="YES"</formula>
    </cfRule>
  </conditionalFormatting>
  <dataValidations count="1">
    <dataValidation type="list" allowBlank="1" showInputMessage="1" showErrorMessage="1" sqref="K3:L5" xr:uid="{C8431CD7-3504-419C-9038-40BBF43FDB3B}">
      <formula1>"-, YES, NO"</formula1>
    </dataValidation>
  </dataValidations>
  <pageMargins left="0.25" right="0" top="0.75" bottom="1" header="0.3" footer="0.25"/>
  <pageSetup scale="73" fitToHeight="0" orientation="landscape" horizontalDpi="1200" verticalDpi="1200" r:id="rId1"/>
  <headerFooter>
    <oddFooter>&amp;L&amp;G</oddFooter>
  </headerFooter>
  <rowBreaks count="4" manualBreakCount="4">
    <brk id="17" max="16383" man="1"/>
    <brk id="30" max="16383" man="1"/>
    <brk id="38" max="16383" man="1"/>
    <brk id="44" max="16383" man="1"/>
  </rowBreaks>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B31C2-8D2F-4252-88C5-3C63A44B9E5C}">
  <sheetPr>
    <tabColor rgb="FFFFFF99"/>
    <pageSetUpPr fitToPage="1"/>
  </sheetPr>
  <dimension ref="A1:P41"/>
  <sheetViews>
    <sheetView zoomScaleNormal="100" workbookViewId="0">
      <selection activeCell="H18" sqref="H1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740255</v>
      </c>
      <c r="F1" s="38"/>
      <c r="G1" s="38"/>
      <c r="H1" s="38"/>
    </row>
    <row r="2" spans="1:8" ht="21" customHeight="1" x14ac:dyDescent="0.35">
      <c r="A2" s="676" t="s">
        <v>21</v>
      </c>
      <c r="B2" s="676"/>
      <c r="C2" s="38"/>
      <c r="D2" s="36" t="s">
        <v>107</v>
      </c>
      <c r="E2" s="37" t="str">
        <f>VLOOKUP(E1,'Sheet References'!L:M,2,FALSE)</f>
        <v>Thrift SHP</v>
      </c>
      <c r="F2" s="38"/>
      <c r="G2" s="38"/>
      <c r="H2" s="38"/>
    </row>
    <row r="3" spans="1:8" ht="21" customHeight="1" x14ac:dyDescent="0.35">
      <c r="A3" s="676" t="s">
        <v>22</v>
      </c>
      <c r="B3" s="676"/>
      <c r="C3" s="36"/>
      <c r="D3" s="36" t="s">
        <v>108</v>
      </c>
      <c r="E3" s="37" t="str">
        <f>VLOOKUP(CATCode,'Sheet References'!L:O,4,FALSE)</f>
        <v>https://www.wbdg.org/FFC/AF/AFMAN/740255_Thrift_Shop.pdf</v>
      </c>
      <c r="F3" s="38"/>
      <c r="G3" s="38"/>
      <c r="H3" s="38"/>
    </row>
    <row r="4" spans="1:8" ht="21" customHeight="1" x14ac:dyDescent="0.35">
      <c r="A4" s="676" t="s">
        <v>23</v>
      </c>
      <c r="B4" s="676"/>
      <c r="C4" s="24"/>
      <c r="D4" s="869" t="str">
        <f>'Customer Summary'!A2</f>
        <v>## Force Support Squadron (## FSS)</v>
      </c>
      <c r="E4" s="870"/>
      <c r="F4" s="870"/>
      <c r="G4" s="871"/>
      <c r="H4" s="24"/>
    </row>
    <row r="5" spans="1:8" ht="21" customHeight="1" x14ac:dyDescent="0.35">
      <c r="A5" s="677" t="str">
        <f>'Customer Summary'!B61</f>
        <v>POC:</v>
      </c>
      <c r="B5" s="677"/>
      <c r="C5" s="24"/>
      <c r="D5" s="76"/>
      <c r="E5" s="37" t="s">
        <v>109</v>
      </c>
      <c r="F5" s="76"/>
      <c r="G5" s="76"/>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314</v>
      </c>
      <c r="B8" s="743"/>
      <c r="C8" s="743"/>
      <c r="D8" s="743"/>
      <c r="E8" s="355">
        <f>F23</f>
        <v>0</v>
      </c>
      <c r="F8" s="68">
        <v>1</v>
      </c>
      <c r="G8" s="45">
        <f>E8*F8</f>
        <v>0</v>
      </c>
      <c r="H8" s="35"/>
    </row>
    <row r="9" spans="1:8" x14ac:dyDescent="0.35">
      <c r="A9" s="753" t="s">
        <v>257</v>
      </c>
      <c r="B9" s="743"/>
      <c r="C9" s="743"/>
      <c r="D9" s="743"/>
      <c r="E9" s="42"/>
      <c r="F9" s="68"/>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x14ac:dyDescent="0.35">
      <c r="A17" s="746" t="s">
        <v>253</v>
      </c>
      <c r="B17" s="753"/>
      <c r="C17" s="753"/>
      <c r="D17" s="753"/>
      <c r="E17" s="50">
        <v>0</v>
      </c>
      <c r="F17" s="43"/>
      <c r="G17" s="45">
        <f>G16*E17</f>
        <v>0</v>
      </c>
      <c r="H17" s="35" t="s">
        <v>176</v>
      </c>
    </row>
    <row r="18" spans="1:8" x14ac:dyDescent="0.35">
      <c r="E18" s="48" t="s">
        <v>254</v>
      </c>
      <c r="F18" s="71"/>
      <c r="G18" s="51">
        <f>SUM(G16:G17)</f>
        <v>0</v>
      </c>
    </row>
    <row r="19" spans="1:8" ht="15" thickBot="1" x14ac:dyDescent="0.4"/>
    <row r="20" spans="1:8" ht="19" thickBot="1" x14ac:dyDescent="0.4">
      <c r="A20" s="711" t="s">
        <v>490</v>
      </c>
      <c r="B20" s="712"/>
      <c r="C20" s="712"/>
      <c r="D20" s="712"/>
      <c r="E20" s="712"/>
      <c r="F20" s="712"/>
      <c r="G20" s="713"/>
    </row>
    <row r="21" spans="1:8" ht="14.5" customHeight="1" x14ac:dyDescent="0.35">
      <c r="A21" s="668" t="s">
        <v>491</v>
      </c>
      <c r="B21" s="874" t="s">
        <v>492</v>
      </c>
      <c r="C21" s="654" t="s">
        <v>493</v>
      </c>
      <c r="D21" s="684" t="s">
        <v>494</v>
      </c>
      <c r="E21" s="653" t="s">
        <v>495</v>
      </c>
      <c r="F21" s="656" t="s">
        <v>190</v>
      </c>
      <c r="G21" s="714"/>
      <c r="H21" s="198"/>
    </row>
    <row r="22" spans="1:8" ht="15" customHeight="1" thickBot="1" x14ac:dyDescent="0.4">
      <c r="A22" s="875"/>
      <c r="B22" s="874"/>
      <c r="C22" s="663"/>
      <c r="D22" s="876"/>
      <c r="E22" s="655"/>
      <c r="F22" s="789"/>
      <c r="G22" s="790"/>
      <c r="H22" s="198"/>
    </row>
    <row r="23" spans="1:8" ht="19" customHeight="1" thickBot="1" x14ac:dyDescent="0.4">
      <c r="A23" s="429">
        <f>IF(A26="YES",0,'Instructions &amp; Pop Data'!D8)</f>
        <v>0</v>
      </c>
      <c r="B23" s="428">
        <f>IF(A26="YES",'Instructions &amp; Pop Data'!D8+'Instructions &amp; Pop Data'!D10,0)</f>
        <v>0</v>
      </c>
      <c r="C23" s="429">
        <f>IF(A26="YES",'Instructions &amp; Pop Data'!D28,'Instructions &amp; Pop Data'!D27)</f>
        <v>0</v>
      </c>
      <c r="D23" s="427">
        <f>'Instructions &amp; Pop Data'!$D$12</f>
        <v>0</v>
      </c>
      <c r="E23" s="427">
        <f>IF(A26="YES",B23+(C23*0.5)+(D23*0.1),A23+(C23*0.5)+(D23*0.1))</f>
        <v>0</v>
      </c>
      <c r="F23" s="880">
        <f>SUM(C26*E26)*IF(A26="YES",1.1,1)</f>
        <v>0</v>
      </c>
      <c r="G23" s="881"/>
      <c r="H23" s="199"/>
    </row>
    <row r="24" spans="1:8" ht="15" customHeight="1" x14ac:dyDescent="0.35">
      <c r="A24" s="653" t="s">
        <v>496</v>
      </c>
      <c r="B24" s="237"/>
      <c r="C24" s="653" t="s">
        <v>497</v>
      </c>
      <c r="D24" s="867" t="s">
        <v>498</v>
      </c>
      <c r="E24" s="653" t="s">
        <v>499</v>
      </c>
      <c r="F24" s="226"/>
      <c r="G24" s="424"/>
      <c r="H24" s="198"/>
    </row>
    <row r="25" spans="1:8" ht="15" thickBot="1" x14ac:dyDescent="0.4">
      <c r="A25" s="655"/>
      <c r="B25" s="226"/>
      <c r="C25" s="655"/>
      <c r="D25" s="868"/>
      <c r="E25" s="655"/>
      <c r="F25" s="423"/>
      <c r="G25" s="424"/>
    </row>
    <row r="26" spans="1:8" ht="15" thickBot="1" x14ac:dyDescent="0.4">
      <c r="A26" s="472">
        <f>'Instructions &amp; Pop Data'!K4</f>
        <v>0</v>
      </c>
      <c r="B26" s="226"/>
      <c r="C26" s="429">
        <f>VLOOKUP(E23,A33:C41,3,TRUE)</f>
        <v>0</v>
      </c>
      <c r="D26" s="202" t="s">
        <v>500</v>
      </c>
      <c r="E26" s="430">
        <f>VLOOKUP(D26,D33:E36,2,TRUE)</f>
        <v>0.7</v>
      </c>
      <c r="F26" s="425"/>
      <c r="G26" s="426"/>
    </row>
    <row r="27" spans="1:8" ht="18.649999999999999" customHeight="1" thickBot="1" x14ac:dyDescent="0.4">
      <c r="A27" s="877" t="s">
        <v>501</v>
      </c>
      <c r="B27" s="878"/>
      <c r="C27" s="878"/>
      <c r="D27" s="878"/>
      <c r="E27" s="878"/>
      <c r="F27" s="878"/>
      <c r="G27" s="879"/>
    </row>
    <row r="28" spans="1:8" ht="16.5" customHeight="1" thickBot="1" x14ac:dyDescent="0.4">
      <c r="A28" s="877" t="s">
        <v>502</v>
      </c>
      <c r="B28" s="878"/>
      <c r="C28" s="878"/>
      <c r="D28" s="878"/>
      <c r="E28" s="878"/>
      <c r="F28" s="878"/>
      <c r="G28" s="879"/>
    </row>
    <row r="29" spans="1:8" ht="15" thickBot="1" x14ac:dyDescent="0.4"/>
    <row r="30" spans="1:8" ht="18.5" x14ac:dyDescent="0.45">
      <c r="A30" s="716" t="s">
        <v>503</v>
      </c>
      <c r="B30" s="717"/>
      <c r="C30" s="717"/>
      <c r="D30" s="717"/>
      <c r="E30" s="718"/>
    </row>
    <row r="31" spans="1:8" x14ac:dyDescent="0.35">
      <c r="A31" s="719" t="s">
        <v>504</v>
      </c>
      <c r="B31" s="720"/>
      <c r="C31" s="720"/>
      <c r="D31" s="720" t="s">
        <v>505</v>
      </c>
      <c r="E31" s="721"/>
    </row>
    <row r="32" spans="1:8" x14ac:dyDescent="0.35">
      <c r="A32" s="872" t="s">
        <v>455</v>
      </c>
      <c r="B32" s="873"/>
      <c r="C32" s="341" t="s">
        <v>340</v>
      </c>
      <c r="D32" s="511" t="s">
        <v>506</v>
      </c>
      <c r="E32" s="340" t="s">
        <v>507</v>
      </c>
    </row>
    <row r="33" spans="1:5" x14ac:dyDescent="0.35">
      <c r="A33" s="305">
        <v>0</v>
      </c>
      <c r="B33" s="526">
        <v>0</v>
      </c>
      <c r="C33" s="526">
        <v>0</v>
      </c>
      <c r="D33" s="323" t="s">
        <v>500</v>
      </c>
      <c r="E33" s="525">
        <v>0.7</v>
      </c>
    </row>
    <row r="34" spans="1:5" x14ac:dyDescent="0.35">
      <c r="A34" s="305">
        <v>1</v>
      </c>
      <c r="B34" s="526">
        <v>2000</v>
      </c>
      <c r="C34" s="526">
        <v>1400</v>
      </c>
      <c r="D34" s="323" t="s">
        <v>508</v>
      </c>
      <c r="E34" s="525">
        <v>0.8</v>
      </c>
    </row>
    <row r="35" spans="1:5" x14ac:dyDescent="0.35">
      <c r="A35" s="305">
        <v>2001</v>
      </c>
      <c r="B35" s="526">
        <v>4000</v>
      </c>
      <c r="C35" s="526">
        <v>2000</v>
      </c>
      <c r="D35" s="323" t="s">
        <v>509</v>
      </c>
      <c r="E35" s="525">
        <v>0.95</v>
      </c>
    </row>
    <row r="36" spans="1:5" x14ac:dyDescent="0.35">
      <c r="A36" s="305">
        <v>4001</v>
      </c>
      <c r="B36" s="526">
        <v>6000</v>
      </c>
      <c r="C36" s="526">
        <v>2700</v>
      </c>
      <c r="D36" s="323" t="s">
        <v>510</v>
      </c>
      <c r="E36" s="525">
        <v>1</v>
      </c>
    </row>
    <row r="37" spans="1:5" x14ac:dyDescent="0.35">
      <c r="A37" s="305">
        <v>6001</v>
      </c>
      <c r="B37" s="526">
        <v>8000</v>
      </c>
      <c r="C37" s="526">
        <v>3400</v>
      </c>
      <c r="D37" s="526"/>
      <c r="E37" s="525"/>
    </row>
    <row r="38" spans="1:5" x14ac:dyDescent="0.35">
      <c r="A38" s="305">
        <v>8001</v>
      </c>
      <c r="B38" s="526">
        <v>10000</v>
      </c>
      <c r="C38" s="526">
        <v>4000</v>
      </c>
      <c r="D38" s="526"/>
      <c r="E38" s="525"/>
    </row>
    <row r="39" spans="1:5" x14ac:dyDescent="0.35">
      <c r="A39" s="305">
        <v>10001</v>
      </c>
      <c r="B39" s="526">
        <v>12000</v>
      </c>
      <c r="C39" s="526">
        <v>4500</v>
      </c>
      <c r="D39" s="526"/>
      <c r="E39" s="527"/>
    </row>
    <row r="40" spans="1:5" x14ac:dyDescent="0.35">
      <c r="A40" s="305">
        <v>12001</v>
      </c>
      <c r="B40" s="526">
        <v>14000</v>
      </c>
      <c r="C40" s="526">
        <v>4905</v>
      </c>
      <c r="D40" s="526"/>
      <c r="E40" s="527"/>
    </row>
    <row r="41" spans="1:5" ht="15" thickBot="1" x14ac:dyDescent="0.4">
      <c r="A41" s="348">
        <v>14001</v>
      </c>
      <c r="B41" s="528">
        <v>999999999</v>
      </c>
      <c r="C41" s="528">
        <v>5350</v>
      </c>
      <c r="D41" s="528"/>
      <c r="E41" s="529"/>
    </row>
  </sheetData>
  <mergeCells count="36">
    <mergeCell ref="A30:E30"/>
    <mergeCell ref="A31:C31"/>
    <mergeCell ref="D31:E31"/>
    <mergeCell ref="A32:B32"/>
    <mergeCell ref="A14:H14"/>
    <mergeCell ref="A15:H15"/>
    <mergeCell ref="A16:D16"/>
    <mergeCell ref="B21:B22"/>
    <mergeCell ref="F21:G22"/>
    <mergeCell ref="A21:A22"/>
    <mergeCell ref="C21:C22"/>
    <mergeCell ref="D21:D22"/>
    <mergeCell ref="A27:G27"/>
    <mergeCell ref="A28:G28"/>
    <mergeCell ref="F23:G23"/>
    <mergeCell ref="A20:G20"/>
    <mergeCell ref="A6:D6"/>
    <mergeCell ref="A17:D17"/>
    <mergeCell ref="A7:G7"/>
    <mergeCell ref="A8:D8"/>
    <mergeCell ref="A1:B1"/>
    <mergeCell ref="A2:B2"/>
    <mergeCell ref="A3:B3"/>
    <mergeCell ref="A4:B4"/>
    <mergeCell ref="A5:B5"/>
    <mergeCell ref="A9:D9"/>
    <mergeCell ref="A10:D10"/>
    <mergeCell ref="A11:D11"/>
    <mergeCell ref="A12:D12"/>
    <mergeCell ref="A13:D13"/>
    <mergeCell ref="D4:G4"/>
    <mergeCell ref="E21:E22"/>
    <mergeCell ref="E24:E25"/>
    <mergeCell ref="A24:A25"/>
    <mergeCell ref="C24:C25"/>
    <mergeCell ref="D24:D25"/>
  </mergeCells>
  <dataValidations count="1">
    <dataValidation type="list" allowBlank="1" showInputMessage="1" showErrorMessage="1" sqref="D26" xr:uid="{78560696-BA53-46E9-9672-88EF8ECB3CE1}">
      <formula1>$D$33:$D$36</formula1>
    </dataValidation>
  </dataValidations>
  <hyperlinks>
    <hyperlink ref="H6" r:id="rId1" display="WBDG - AFMAN 32-1084" xr:uid="{D48D8CB3-3C0A-40B1-A265-685B07C8474F}"/>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8C488AD-FBEA-4BD6-BC48-3152F0FCAE31}">
          <x14:formula1>
            <xm:f>'Sheet References'!$L$1:$L$978</xm:f>
          </x14:formula1>
          <xm:sqref>E1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D8862-5264-4BDB-A4DA-755B145E3E49}">
  <sheetPr>
    <tabColor rgb="FFFFFF99"/>
    <pageSetUpPr fitToPage="1"/>
  </sheetPr>
  <dimension ref="A1:P35"/>
  <sheetViews>
    <sheetView zoomScaleNormal="100" workbookViewId="0">
      <selection activeCell="H24" sqref="H24"/>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740315</v>
      </c>
      <c r="F1" s="38"/>
      <c r="G1" s="38"/>
      <c r="H1" s="38"/>
    </row>
    <row r="2" spans="1:8" ht="21" customHeight="1" x14ac:dyDescent="0.35">
      <c r="A2" s="676" t="s">
        <v>21</v>
      </c>
      <c r="B2" s="676"/>
      <c r="C2" s="38"/>
      <c r="D2" s="36" t="s">
        <v>107</v>
      </c>
      <c r="E2" s="37" t="str">
        <f>VLOOKUP(E1,'Sheet References'!L:M,2,FALSE)</f>
        <v>Rod and Gun Club</v>
      </c>
      <c r="F2" s="38"/>
      <c r="G2" s="38"/>
      <c r="H2" s="38"/>
    </row>
    <row r="3" spans="1:8" ht="21" customHeight="1" x14ac:dyDescent="0.35">
      <c r="A3" s="676" t="s">
        <v>22</v>
      </c>
      <c r="B3" s="676"/>
      <c r="C3" s="36"/>
      <c r="D3" s="36" t="s">
        <v>108</v>
      </c>
      <c r="E3" s="37" t="str">
        <f>VLOOKUP(CATCode,'Sheet References'!L:O,4,FALSE)</f>
        <v>https://www.wbdg.org/FFC/AF/AFMAN/740315_Rod_and_Gun_Club.pdf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314</v>
      </c>
      <c r="B8" s="743"/>
      <c r="C8" s="743"/>
      <c r="D8" s="743"/>
      <c r="E8" s="355">
        <f>H22</f>
        <v>0</v>
      </c>
      <c r="F8" s="68">
        <v>1</v>
      </c>
      <c r="G8" s="45">
        <f>E8*F8</f>
        <v>0</v>
      </c>
      <c r="H8" s="35"/>
    </row>
    <row r="9" spans="1:8" x14ac:dyDescent="0.35">
      <c r="A9" s="753" t="s">
        <v>257</v>
      </c>
      <c r="B9" s="743"/>
      <c r="C9" s="743"/>
      <c r="D9" s="743"/>
      <c r="E9" s="42"/>
      <c r="F9" s="68"/>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x14ac:dyDescent="0.35">
      <c r="A17" s="746" t="s">
        <v>253</v>
      </c>
      <c r="B17" s="753"/>
      <c r="C17" s="753"/>
      <c r="D17" s="753"/>
      <c r="E17" s="50">
        <v>0</v>
      </c>
      <c r="F17" s="43"/>
      <c r="G17" s="45">
        <f>G16*E17</f>
        <v>0</v>
      </c>
      <c r="H17" s="35" t="s">
        <v>176</v>
      </c>
    </row>
    <row r="18" spans="1:8" x14ac:dyDescent="0.35">
      <c r="E18" s="48" t="s">
        <v>254</v>
      </c>
      <c r="F18" s="71"/>
      <c r="G18" s="51">
        <f>SUM(G16:G17)</f>
        <v>0</v>
      </c>
    </row>
    <row r="20" spans="1:8" ht="15" thickBot="1" x14ac:dyDescent="0.4"/>
    <row r="21" spans="1:8" ht="19" customHeight="1" thickBot="1" x14ac:dyDescent="0.4">
      <c r="A21" s="711" t="s">
        <v>511</v>
      </c>
      <c r="B21" s="712"/>
      <c r="C21" s="712"/>
      <c r="D21" s="712"/>
      <c r="E21" s="712"/>
      <c r="F21" s="712"/>
      <c r="G21" s="712"/>
      <c r="H21" s="229" t="s">
        <v>190</v>
      </c>
    </row>
    <row r="22" spans="1:8" ht="15" customHeight="1" thickBot="1" x14ac:dyDescent="0.4">
      <c r="A22" s="662" t="s">
        <v>512</v>
      </c>
      <c r="B22" s="662" t="s">
        <v>513</v>
      </c>
      <c r="C22" s="707" t="s">
        <v>514</v>
      </c>
      <c r="D22" s="653" t="s">
        <v>494</v>
      </c>
      <c r="E22" s="653" t="s">
        <v>495</v>
      </c>
      <c r="F22" s="656" t="s">
        <v>421</v>
      </c>
      <c r="G22" s="714"/>
      <c r="H22" s="219">
        <f>VLOOKUP(E24,A28:C35,3,TRUE)</f>
        <v>0</v>
      </c>
    </row>
    <row r="23" spans="1:8" ht="13" customHeight="1" thickBot="1" x14ac:dyDescent="0.4">
      <c r="A23" s="663"/>
      <c r="B23" s="663"/>
      <c r="C23" s="884"/>
      <c r="D23" s="655"/>
      <c r="E23" s="655"/>
      <c r="F23" s="657"/>
      <c r="G23" s="715"/>
    </row>
    <row r="24" spans="1:8" ht="15" thickBot="1" x14ac:dyDescent="0.4">
      <c r="A24" s="427">
        <f>IF(F24="YES",0,'Instructions &amp; Pop Data'!D8)</f>
        <v>0</v>
      </c>
      <c r="B24" s="427">
        <f>IF(F24="YES",'Instructions &amp; Pop Data'!D8+'Instructions &amp; Pop Data'!D10,0)</f>
        <v>0</v>
      </c>
      <c r="C24" s="428">
        <f>IF(F24="YES",'Instructions &amp; Pop Data'!D28,'Instructions &amp; Pop Data'!D27)</f>
        <v>0</v>
      </c>
      <c r="D24" s="427">
        <f>'Instructions &amp; Pop Data'!$D$12</f>
        <v>0</v>
      </c>
      <c r="E24" s="427">
        <f>IF(F24="YES",B24+(C24*0.05)+(D24*0.15),A24+(C24*0.05)+(D24*0.15))</f>
        <v>0</v>
      </c>
      <c r="F24" s="882">
        <f>'Instructions &amp; Pop Data'!K4</f>
        <v>0</v>
      </c>
      <c r="G24" s="883"/>
    </row>
    <row r="25" spans="1:8" ht="15" thickBot="1" x14ac:dyDescent="0.4"/>
    <row r="26" spans="1:8" ht="18.5" x14ac:dyDescent="0.45">
      <c r="A26" s="716" t="s">
        <v>515</v>
      </c>
      <c r="B26" s="717"/>
      <c r="C26" s="718"/>
    </row>
    <row r="27" spans="1:8" x14ac:dyDescent="0.35">
      <c r="A27" s="814" t="s">
        <v>455</v>
      </c>
      <c r="B27" s="815"/>
      <c r="C27" s="507" t="s">
        <v>516</v>
      </c>
    </row>
    <row r="28" spans="1:8" x14ac:dyDescent="0.35">
      <c r="A28" s="305">
        <v>0</v>
      </c>
      <c r="B28" s="526">
        <v>100</v>
      </c>
      <c r="C28" s="527">
        <v>0</v>
      </c>
    </row>
    <row r="29" spans="1:8" x14ac:dyDescent="0.35">
      <c r="A29" s="305">
        <v>101</v>
      </c>
      <c r="B29" s="526">
        <v>10000</v>
      </c>
      <c r="C29" s="527">
        <v>3950</v>
      </c>
    </row>
    <row r="30" spans="1:8" x14ac:dyDescent="0.35">
      <c r="A30" s="305">
        <v>10001</v>
      </c>
      <c r="B30" s="526">
        <v>15000</v>
      </c>
      <c r="C30" s="527">
        <v>4300</v>
      </c>
    </row>
    <row r="31" spans="1:8" x14ac:dyDescent="0.35">
      <c r="A31" s="305">
        <v>15001</v>
      </c>
      <c r="B31" s="526">
        <v>20000</v>
      </c>
      <c r="C31" s="527">
        <v>4550</v>
      </c>
    </row>
    <row r="32" spans="1:8" x14ac:dyDescent="0.35">
      <c r="A32" s="305">
        <v>20001</v>
      </c>
      <c r="B32" s="526">
        <v>25000</v>
      </c>
      <c r="C32" s="527">
        <v>4800</v>
      </c>
    </row>
    <row r="33" spans="1:3" x14ac:dyDescent="0.35">
      <c r="A33" s="521">
        <v>25001</v>
      </c>
      <c r="B33" s="526">
        <v>30000</v>
      </c>
      <c r="C33" s="527">
        <v>5100</v>
      </c>
    </row>
    <row r="34" spans="1:3" x14ac:dyDescent="0.35">
      <c r="A34" s="521">
        <v>30001</v>
      </c>
      <c r="B34" s="526">
        <v>40000</v>
      </c>
      <c r="C34" s="527">
        <v>5300</v>
      </c>
    </row>
    <row r="35" spans="1:3" ht="15" thickBot="1" x14ac:dyDescent="0.4">
      <c r="A35" s="338">
        <v>40001</v>
      </c>
      <c r="B35" s="528">
        <v>10000000</v>
      </c>
      <c r="C35" s="529">
        <v>5500</v>
      </c>
    </row>
  </sheetData>
  <mergeCells count="27">
    <mergeCell ref="A26:C26"/>
    <mergeCell ref="A27:B27"/>
    <mergeCell ref="F24:G24"/>
    <mergeCell ref="A6:D6"/>
    <mergeCell ref="A22:A23"/>
    <mergeCell ref="B22:B23"/>
    <mergeCell ref="C22:C23"/>
    <mergeCell ref="D22:D23"/>
    <mergeCell ref="E22:E23"/>
    <mergeCell ref="A17:D17"/>
    <mergeCell ref="A7:G7"/>
    <mergeCell ref="A8:D8"/>
    <mergeCell ref="A9:D9"/>
    <mergeCell ref="A10:D10"/>
    <mergeCell ref="A11:D11"/>
    <mergeCell ref="A12:D12"/>
    <mergeCell ref="A1:B1"/>
    <mergeCell ref="A2:B2"/>
    <mergeCell ref="A3:B3"/>
    <mergeCell ref="A4:B4"/>
    <mergeCell ref="A5:B5"/>
    <mergeCell ref="A13:D13"/>
    <mergeCell ref="A14:H14"/>
    <mergeCell ref="A15:H15"/>
    <mergeCell ref="A16:D16"/>
    <mergeCell ref="F22:G23"/>
    <mergeCell ref="A21:G21"/>
  </mergeCells>
  <hyperlinks>
    <hyperlink ref="H6" r:id="rId1" display="WBDG - AFMAN 32-1084" xr:uid="{82BECC15-BCEC-43A3-8C4D-70B026B4370C}"/>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F85DD01-E141-4C44-85BC-C1F26DA2CFE1}">
          <x14:formula1>
            <xm:f>'Sheet References'!$L$1:$L$978</xm:f>
          </x14:formula1>
          <xm:sqref>E1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F226D-0E9B-4423-AC51-7CF6BA727385}">
  <sheetPr>
    <tabColor rgb="FFFFFF99"/>
    <pageSetUpPr fitToPage="1"/>
  </sheetPr>
  <dimension ref="A1:P45"/>
  <sheetViews>
    <sheetView topLeftCell="A5" zoomScaleNormal="100" workbookViewId="0">
      <selection activeCell="I17" sqref="I17"/>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740316</v>
      </c>
      <c r="F1" s="38"/>
      <c r="G1" s="38"/>
      <c r="H1" s="38"/>
    </row>
    <row r="2" spans="1:8" ht="21" customHeight="1" x14ac:dyDescent="0.35">
      <c r="A2" s="676" t="s">
        <v>21</v>
      </c>
      <c r="B2" s="676"/>
      <c r="C2" s="38"/>
      <c r="D2" s="36" t="s">
        <v>107</v>
      </c>
      <c r="E2" s="37" t="str">
        <f>VLOOKUP(E1,'Sheet References'!L:M,2,FALSE)</f>
        <v>Recreation/Community Center</v>
      </c>
      <c r="F2" s="38"/>
      <c r="G2" s="38"/>
      <c r="H2" s="38"/>
    </row>
    <row r="3" spans="1:8" ht="21" customHeight="1" x14ac:dyDescent="0.35">
      <c r="A3" s="676" t="s">
        <v>22</v>
      </c>
      <c r="B3" s="676"/>
      <c r="C3" s="36"/>
      <c r="D3" s="36" t="s">
        <v>108</v>
      </c>
      <c r="E3" s="37" t="str">
        <f>VLOOKUP(CATCode,'Sheet References'!L:O,4,FALSE)</f>
        <v>https://www.wbdg.org/FFC/AF/AFMAN/740316_Recreation_Center.pdf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517</v>
      </c>
      <c r="B8" s="743"/>
      <c r="C8" s="743"/>
      <c r="D8" s="743"/>
      <c r="E8" s="355">
        <f>H22</f>
        <v>0</v>
      </c>
      <c r="F8" s="68">
        <v>1</v>
      </c>
      <c r="G8" s="45">
        <f>E8*F8</f>
        <v>0</v>
      </c>
      <c r="H8" s="35" t="s">
        <v>8455</v>
      </c>
    </row>
    <row r="9" spans="1:8" x14ac:dyDescent="0.35">
      <c r="A9" s="753" t="s">
        <v>518</v>
      </c>
      <c r="B9" s="743"/>
      <c r="C9" s="743"/>
      <c r="D9" s="743"/>
      <c r="E9" s="355">
        <f>F22</f>
        <v>0</v>
      </c>
      <c r="F9" s="68">
        <v>1</v>
      </c>
      <c r="G9" s="45">
        <f>E9*F9</f>
        <v>0</v>
      </c>
      <c r="H9" s="46" t="s">
        <v>519</v>
      </c>
    </row>
    <row r="10" spans="1:8" x14ac:dyDescent="0.35">
      <c r="A10" s="753" t="s">
        <v>8458</v>
      </c>
      <c r="B10" s="743"/>
      <c r="C10" s="743"/>
      <c r="D10" s="743"/>
      <c r="E10" s="365">
        <f>F24</f>
        <v>0</v>
      </c>
      <c r="F10" s="68">
        <v>1</v>
      </c>
      <c r="G10" s="45">
        <f>E10*F10</f>
        <v>0</v>
      </c>
      <c r="H10" s="46" t="s">
        <v>8456</v>
      </c>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x14ac:dyDescent="0.35">
      <c r="A17" s="746" t="s">
        <v>253</v>
      </c>
      <c r="B17" s="753"/>
      <c r="C17" s="753"/>
      <c r="D17" s="753"/>
      <c r="E17" s="50">
        <v>0</v>
      </c>
      <c r="F17" s="43"/>
      <c r="G17" s="45">
        <f>G16*E17</f>
        <v>0</v>
      </c>
      <c r="H17" s="35" t="s">
        <v>176</v>
      </c>
    </row>
    <row r="18" spans="1:8" x14ac:dyDescent="0.35">
      <c r="E18" s="48" t="s">
        <v>254</v>
      </c>
      <c r="F18" s="71"/>
      <c r="G18" s="51">
        <f>SUM(G16:G17)</f>
        <v>0</v>
      </c>
    </row>
    <row r="19" spans="1:8" ht="15" thickBot="1" x14ac:dyDescent="0.4"/>
    <row r="20" spans="1:8" ht="19" customHeight="1" thickBot="1" x14ac:dyDescent="0.4">
      <c r="A20" s="711" t="s">
        <v>520</v>
      </c>
      <c r="B20" s="712"/>
      <c r="C20" s="712"/>
      <c r="D20" s="712"/>
      <c r="E20" s="712"/>
      <c r="F20" s="697" t="s">
        <v>521</v>
      </c>
      <c r="G20" s="698"/>
      <c r="H20" s="816" t="s">
        <v>522</v>
      </c>
    </row>
    <row r="21" spans="1:8" ht="15" customHeight="1" thickBot="1" x14ac:dyDescent="0.4">
      <c r="A21" s="662" t="s">
        <v>523</v>
      </c>
      <c r="B21" s="662" t="s">
        <v>514</v>
      </c>
      <c r="C21" s="656" t="s">
        <v>524</v>
      </c>
      <c r="D21" s="890"/>
      <c r="E21" s="888" t="s">
        <v>525</v>
      </c>
      <c r="F21" s="699"/>
      <c r="G21" s="700"/>
      <c r="H21" s="817"/>
    </row>
    <row r="22" spans="1:8" ht="15" thickBot="1" x14ac:dyDescent="0.4">
      <c r="A22" s="663"/>
      <c r="B22" s="663"/>
      <c r="C22" s="657"/>
      <c r="D22" s="891"/>
      <c r="E22" s="889"/>
      <c r="F22" s="880">
        <f>SUM(E23:E26)</f>
        <v>0</v>
      </c>
      <c r="G22" s="881"/>
      <c r="H22" s="219">
        <f>VLOOKUP(B25,A33:D45,4,TRUE)-SUM(D24:E26)</f>
        <v>0</v>
      </c>
    </row>
    <row r="23" spans="1:8" ht="16" thickBot="1" x14ac:dyDescent="0.4">
      <c r="A23" s="412">
        <f>IF(A25="YES",'Instructions &amp; Pop Data'!$D$8+'Instructions &amp; Pop Data'!$D$10,'Instructions &amp; Pop Data'!$D$8)</f>
        <v>0</v>
      </c>
      <c r="B23" s="533">
        <f>'Instructions &amp; Pop Data'!$D$27</f>
        <v>0</v>
      </c>
      <c r="C23" s="451" t="s">
        <v>526</v>
      </c>
      <c r="D23" s="452" t="s">
        <v>527</v>
      </c>
      <c r="E23" s="453" t="s">
        <v>527</v>
      </c>
      <c r="F23" s="892" t="s">
        <v>8457</v>
      </c>
      <c r="G23" s="893"/>
      <c r="H23" s="894"/>
    </row>
    <row r="24" spans="1:8" ht="15" thickBot="1" x14ac:dyDescent="0.4">
      <c r="A24" s="214" t="s">
        <v>528</v>
      </c>
      <c r="B24" s="221" t="s">
        <v>455</v>
      </c>
      <c r="C24" s="215"/>
      <c r="D24" s="516"/>
      <c r="E24" s="200"/>
      <c r="F24" s="895">
        <f>SUM(D24:D26)</f>
        <v>0</v>
      </c>
      <c r="G24" s="896"/>
      <c r="H24" s="897"/>
    </row>
    <row r="25" spans="1:8" ht="15" thickBot="1" x14ac:dyDescent="0.4">
      <c r="A25" s="402">
        <f>'Instructions &amp; Pop Data'!K4</f>
        <v>0</v>
      </c>
      <c r="B25" s="402">
        <f>A23+B23*0.1</f>
        <v>0</v>
      </c>
      <c r="C25" s="215"/>
      <c r="D25" s="516"/>
      <c r="E25" s="200"/>
      <c r="F25" s="558"/>
      <c r="G25" s="226"/>
      <c r="H25" s="228"/>
    </row>
    <row r="26" spans="1:8" ht="15" thickBot="1" x14ac:dyDescent="0.4">
      <c r="A26" s="238"/>
      <c r="B26" s="239"/>
      <c r="C26" s="215"/>
      <c r="D26" s="372"/>
      <c r="E26" s="201"/>
      <c r="F26" s="559"/>
      <c r="G26" s="560"/>
      <c r="H26" s="561"/>
    </row>
    <row r="27" spans="1:8" ht="19.5" customHeight="1" thickBot="1" x14ac:dyDescent="0.4">
      <c r="A27" s="885" t="s">
        <v>529</v>
      </c>
      <c r="B27" s="886"/>
      <c r="C27" s="898"/>
      <c r="D27" s="886"/>
      <c r="E27" s="886"/>
      <c r="F27" s="886"/>
      <c r="G27" s="886"/>
      <c r="H27" s="887"/>
    </row>
    <row r="28" spans="1:8" ht="16.5" customHeight="1" thickBot="1" x14ac:dyDescent="0.4">
      <c r="A28" s="885" t="s">
        <v>530</v>
      </c>
      <c r="B28" s="886"/>
      <c r="C28" s="886"/>
      <c r="D28" s="886"/>
      <c r="E28" s="886"/>
      <c r="F28" s="886"/>
      <c r="G28" s="886"/>
      <c r="H28" s="887"/>
    </row>
    <row r="29" spans="1:8" ht="15" thickBot="1" x14ac:dyDescent="0.4"/>
    <row r="30" spans="1:8" ht="18.5" x14ac:dyDescent="0.45">
      <c r="A30" s="797" t="s">
        <v>531</v>
      </c>
      <c r="B30" s="798"/>
      <c r="C30" s="798"/>
      <c r="D30" s="799"/>
    </row>
    <row r="31" spans="1:8" x14ac:dyDescent="0.35">
      <c r="A31" s="719" t="s">
        <v>532</v>
      </c>
      <c r="B31" s="720"/>
      <c r="C31" s="720"/>
      <c r="D31" s="721"/>
    </row>
    <row r="32" spans="1:8" x14ac:dyDescent="0.35">
      <c r="A32" s="814" t="s">
        <v>495</v>
      </c>
      <c r="B32" s="815"/>
      <c r="C32" s="511" t="s">
        <v>190</v>
      </c>
      <c r="D32" s="507" t="s">
        <v>533</v>
      </c>
    </row>
    <row r="33" spans="1:4" x14ac:dyDescent="0.35">
      <c r="A33" s="305">
        <v>0</v>
      </c>
      <c r="B33" s="526">
        <v>250</v>
      </c>
      <c r="C33" s="526">
        <v>0</v>
      </c>
      <c r="D33" s="527">
        <v>0</v>
      </c>
    </row>
    <row r="34" spans="1:4" x14ac:dyDescent="0.35">
      <c r="A34" s="305">
        <v>251</v>
      </c>
      <c r="B34" s="526">
        <v>500</v>
      </c>
      <c r="C34" s="526">
        <v>4000</v>
      </c>
      <c r="D34" s="527">
        <f t="shared" ref="D34:D45" si="0">C34*1.1</f>
        <v>4400</v>
      </c>
    </row>
    <row r="35" spans="1:4" x14ac:dyDescent="0.35">
      <c r="A35" s="305">
        <v>501</v>
      </c>
      <c r="B35" s="526">
        <v>2000</v>
      </c>
      <c r="C35" s="526">
        <v>12700</v>
      </c>
      <c r="D35" s="527">
        <f t="shared" si="0"/>
        <v>13970.000000000002</v>
      </c>
    </row>
    <row r="36" spans="1:4" x14ac:dyDescent="0.35">
      <c r="A36" s="305">
        <v>2001</v>
      </c>
      <c r="B36" s="526">
        <v>4000</v>
      </c>
      <c r="C36" s="526">
        <v>19800</v>
      </c>
      <c r="D36" s="527">
        <f t="shared" si="0"/>
        <v>21780</v>
      </c>
    </row>
    <row r="37" spans="1:4" x14ac:dyDescent="0.35">
      <c r="A37" s="305">
        <v>4001</v>
      </c>
      <c r="B37" s="526">
        <v>5000</v>
      </c>
      <c r="C37" s="526">
        <v>27800</v>
      </c>
      <c r="D37" s="527">
        <f t="shared" si="0"/>
        <v>30580.000000000004</v>
      </c>
    </row>
    <row r="38" spans="1:4" x14ac:dyDescent="0.35">
      <c r="A38" s="305">
        <v>5001</v>
      </c>
      <c r="B38" s="526">
        <v>10000</v>
      </c>
      <c r="C38" s="526">
        <v>55600</v>
      </c>
      <c r="D38" s="527">
        <f t="shared" si="0"/>
        <v>61160.000000000007</v>
      </c>
    </row>
    <row r="39" spans="1:4" x14ac:dyDescent="0.35">
      <c r="A39" s="305">
        <v>10001</v>
      </c>
      <c r="B39" s="526">
        <v>15000</v>
      </c>
      <c r="C39" s="526">
        <v>83400</v>
      </c>
      <c r="D39" s="527">
        <f t="shared" si="0"/>
        <v>91740.000000000015</v>
      </c>
    </row>
    <row r="40" spans="1:4" x14ac:dyDescent="0.35">
      <c r="A40" s="305">
        <v>15001</v>
      </c>
      <c r="B40" s="526">
        <v>20000</v>
      </c>
      <c r="C40" s="526">
        <f t="shared" ref="C40:C45" si="1">C39+27800</f>
        <v>111200</v>
      </c>
      <c r="D40" s="527">
        <f t="shared" si="0"/>
        <v>122320.00000000001</v>
      </c>
    </row>
    <row r="41" spans="1:4" x14ac:dyDescent="0.35">
      <c r="A41" s="305">
        <v>20001</v>
      </c>
      <c r="B41" s="526">
        <v>25000</v>
      </c>
      <c r="C41" s="526">
        <f t="shared" si="1"/>
        <v>139000</v>
      </c>
      <c r="D41" s="527">
        <f t="shared" si="0"/>
        <v>152900</v>
      </c>
    </row>
    <row r="42" spans="1:4" x14ac:dyDescent="0.35">
      <c r="A42" s="305">
        <v>25001</v>
      </c>
      <c r="B42" s="526">
        <v>30000</v>
      </c>
      <c r="C42" s="526">
        <f t="shared" si="1"/>
        <v>166800</v>
      </c>
      <c r="D42" s="527">
        <f t="shared" si="0"/>
        <v>183480.00000000003</v>
      </c>
    </row>
    <row r="43" spans="1:4" x14ac:dyDescent="0.35">
      <c r="A43" s="305">
        <v>30001</v>
      </c>
      <c r="B43" s="526">
        <v>35000</v>
      </c>
      <c r="C43" s="526">
        <f t="shared" si="1"/>
        <v>194600</v>
      </c>
      <c r="D43" s="527">
        <f t="shared" si="0"/>
        <v>214060.00000000003</v>
      </c>
    </row>
    <row r="44" spans="1:4" x14ac:dyDescent="0.35">
      <c r="A44" s="305">
        <v>35001</v>
      </c>
      <c r="B44" s="526">
        <v>40000</v>
      </c>
      <c r="C44" s="526">
        <f t="shared" si="1"/>
        <v>222400</v>
      </c>
      <c r="D44" s="527">
        <f t="shared" si="0"/>
        <v>244640.00000000003</v>
      </c>
    </row>
    <row r="45" spans="1:4" ht="15" thickBot="1" x14ac:dyDescent="0.4">
      <c r="A45" s="348">
        <v>40001</v>
      </c>
      <c r="B45" s="528">
        <v>45000</v>
      </c>
      <c r="C45" s="528">
        <f t="shared" si="1"/>
        <v>250200</v>
      </c>
      <c r="D45" s="529">
        <f t="shared" si="0"/>
        <v>275220</v>
      </c>
    </row>
  </sheetData>
  <mergeCells count="32">
    <mergeCell ref="A30:D30"/>
    <mergeCell ref="A31:D31"/>
    <mergeCell ref="A32:B32"/>
    <mergeCell ref="A6:D6"/>
    <mergeCell ref="A21:A22"/>
    <mergeCell ref="B21:B22"/>
    <mergeCell ref="A17:D17"/>
    <mergeCell ref="A7:G7"/>
    <mergeCell ref="A8:D8"/>
    <mergeCell ref="A9:D9"/>
    <mergeCell ref="A10:D10"/>
    <mergeCell ref="A16:D16"/>
    <mergeCell ref="A11:D11"/>
    <mergeCell ref="A12:D12"/>
    <mergeCell ref="A13:D13"/>
    <mergeCell ref="A27:H27"/>
    <mergeCell ref="A1:B1"/>
    <mergeCell ref="A2:B2"/>
    <mergeCell ref="A3:B3"/>
    <mergeCell ref="A4:B4"/>
    <mergeCell ref="A5:B5"/>
    <mergeCell ref="A28:H28"/>
    <mergeCell ref="A14:H14"/>
    <mergeCell ref="A15:H15"/>
    <mergeCell ref="E21:E22"/>
    <mergeCell ref="A20:E20"/>
    <mergeCell ref="F20:G21"/>
    <mergeCell ref="F22:G22"/>
    <mergeCell ref="H20:H21"/>
    <mergeCell ref="C21:D22"/>
    <mergeCell ref="F23:H23"/>
    <mergeCell ref="F24:H24"/>
  </mergeCells>
  <dataValidations count="1">
    <dataValidation allowBlank="1" showInputMessage="1" showErrorMessage="1" sqref="A25" xr:uid="{9DFECB08-8B21-4A01-8856-1C31E62C52A8}"/>
  </dataValidations>
  <hyperlinks>
    <hyperlink ref="H6" r:id="rId1" display="WBDG - AFMAN 32-1084" xr:uid="{860B297C-35FC-459E-AE00-261FA0B382BF}"/>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4B6DA57-5F11-4E97-A451-22CE5BE603F0}">
          <x14:formula1>
            <xm:f>'Sheet References'!$L$1:$L$978</xm:f>
          </x14:formula1>
          <xm:sqref>E1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CD8C5-D539-409F-8F13-A4DBE247AE88}">
  <sheetPr>
    <tabColor rgb="FFFFFF99"/>
    <pageSetUpPr fitToPage="1"/>
  </sheetPr>
  <dimension ref="A1:P40"/>
  <sheetViews>
    <sheetView zoomScaleNormal="100" workbookViewId="0">
      <selection activeCell="A25" sqref="A25:D25"/>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740317</v>
      </c>
      <c r="F1" s="38"/>
      <c r="G1" s="38"/>
      <c r="H1" s="38"/>
    </row>
    <row r="2" spans="1:8" ht="21" customHeight="1" x14ac:dyDescent="0.35">
      <c r="A2" s="676" t="s">
        <v>21</v>
      </c>
      <c r="B2" s="676"/>
      <c r="C2" s="38"/>
      <c r="D2" s="36" t="s">
        <v>107</v>
      </c>
      <c r="E2" s="37" t="str">
        <f>VLOOKUP(E1,'Sheet References'!L:M,2,FALSE)</f>
        <v>AERO Club</v>
      </c>
      <c r="F2" s="38"/>
      <c r="G2" s="38"/>
      <c r="H2" s="38"/>
    </row>
    <row r="3" spans="1:8" ht="21" customHeight="1" x14ac:dyDescent="0.35">
      <c r="A3" s="676" t="s">
        <v>22</v>
      </c>
      <c r="B3" s="676"/>
      <c r="C3" s="36"/>
      <c r="D3" s="36" t="s">
        <v>108</v>
      </c>
      <c r="E3" s="37" t="str">
        <f>VLOOKUP(CATCode,'Sheet References'!L:O,4,FALSE)</f>
        <v>https://www.wbdg.org/FFC/AF/AFMAN/740317_Aero_Club.pdf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314</v>
      </c>
      <c r="B8" s="743"/>
      <c r="C8" s="743"/>
      <c r="D8" s="743"/>
      <c r="E8" s="355">
        <f>D23</f>
        <v>0</v>
      </c>
      <c r="F8" s="68">
        <v>1</v>
      </c>
      <c r="G8" s="45">
        <f>E8*F8</f>
        <v>0</v>
      </c>
      <c r="H8" s="35"/>
    </row>
    <row r="9" spans="1:8" x14ac:dyDescent="0.35">
      <c r="A9" s="753" t="s">
        <v>257</v>
      </c>
      <c r="B9" s="743"/>
      <c r="C9" s="743"/>
      <c r="D9" s="743"/>
      <c r="E9" s="42"/>
      <c r="F9" s="68"/>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x14ac:dyDescent="0.35">
      <c r="A17" s="746" t="s">
        <v>253</v>
      </c>
      <c r="B17" s="753"/>
      <c r="C17" s="753"/>
      <c r="D17" s="753"/>
      <c r="E17" s="50">
        <v>0</v>
      </c>
      <c r="F17" s="43"/>
      <c r="G17" s="45">
        <f>G16*E17</f>
        <v>0</v>
      </c>
      <c r="H17" s="35" t="s">
        <v>176</v>
      </c>
    </row>
    <row r="18" spans="1:8" x14ac:dyDescent="0.35">
      <c r="E18" s="48" t="s">
        <v>254</v>
      </c>
      <c r="F18" s="71"/>
      <c r="G18" s="51">
        <f>SUM(G16:G17)</f>
        <v>0</v>
      </c>
    </row>
    <row r="19" spans="1:8" ht="15" thickBot="1" x14ac:dyDescent="0.4"/>
    <row r="20" spans="1:8" ht="19" thickBot="1" x14ac:dyDescent="0.4">
      <c r="A20" s="711" t="s">
        <v>534</v>
      </c>
      <c r="B20" s="712"/>
      <c r="C20" s="713"/>
      <c r="D20" s="816" t="s">
        <v>535</v>
      </c>
    </row>
    <row r="21" spans="1:8" ht="15" customHeight="1" thickBot="1" x14ac:dyDescent="0.4">
      <c r="A21" s="662" t="s">
        <v>536</v>
      </c>
      <c r="B21" s="902" t="s">
        <v>537</v>
      </c>
      <c r="C21" s="667" t="s">
        <v>538</v>
      </c>
      <c r="D21" s="817"/>
    </row>
    <row r="22" spans="1:8" ht="15" thickBot="1" x14ac:dyDescent="0.4">
      <c r="A22" s="840"/>
      <c r="B22" s="903"/>
      <c r="C22" s="904"/>
      <c r="D22" s="173" t="s">
        <v>190</v>
      </c>
    </row>
    <row r="23" spans="1:8" ht="15" thickBot="1" x14ac:dyDescent="0.4">
      <c r="A23" s="225">
        <v>0</v>
      </c>
      <c r="B23" s="402">
        <f>VLOOKUP(A23,A28:C39,3,TRUE)</f>
        <v>0</v>
      </c>
      <c r="C23" s="402">
        <f>VLOOKUP($A$23,A28:D39,4,TRUE)</f>
        <v>0</v>
      </c>
      <c r="D23" s="373">
        <f>SUM(B23:C23)*1.1</f>
        <v>0</v>
      </c>
    </row>
    <row r="24" spans="1:8" ht="15" thickBot="1" x14ac:dyDescent="0.4"/>
    <row r="25" spans="1:8" ht="18.5" x14ac:dyDescent="0.45">
      <c r="A25" s="716" t="s">
        <v>539</v>
      </c>
      <c r="B25" s="717"/>
      <c r="C25" s="717"/>
      <c r="D25" s="718"/>
    </row>
    <row r="26" spans="1:8" x14ac:dyDescent="0.35">
      <c r="A26" s="719" t="s">
        <v>540</v>
      </c>
      <c r="B26" s="720"/>
      <c r="C26" s="720"/>
      <c r="D26" s="721"/>
    </row>
    <row r="27" spans="1:8" x14ac:dyDescent="0.35">
      <c r="A27" s="814" t="s">
        <v>536</v>
      </c>
      <c r="B27" s="815"/>
      <c r="C27" s="511" t="s">
        <v>541</v>
      </c>
      <c r="D27" s="507" t="s">
        <v>542</v>
      </c>
    </row>
    <row r="28" spans="1:8" x14ac:dyDescent="0.35">
      <c r="A28" s="521">
        <v>0</v>
      </c>
      <c r="B28" s="522">
        <v>0</v>
      </c>
      <c r="C28" s="522">
        <v>0</v>
      </c>
      <c r="D28" s="493">
        <v>0</v>
      </c>
    </row>
    <row r="29" spans="1:8" x14ac:dyDescent="0.35">
      <c r="A29" s="305">
        <v>1</v>
      </c>
      <c r="B29" s="526">
        <v>1</v>
      </c>
      <c r="C29" s="526">
        <v>900</v>
      </c>
      <c r="D29" s="527">
        <v>500</v>
      </c>
    </row>
    <row r="30" spans="1:8" x14ac:dyDescent="0.35">
      <c r="A30" s="305">
        <v>2</v>
      </c>
      <c r="B30" s="526">
        <v>5</v>
      </c>
      <c r="C30" s="526">
        <v>2300</v>
      </c>
      <c r="D30" s="527">
        <v>1000</v>
      </c>
    </row>
    <row r="31" spans="1:8" x14ac:dyDescent="0.35">
      <c r="A31" s="305">
        <v>6</v>
      </c>
      <c r="B31" s="526">
        <v>10</v>
      </c>
      <c r="C31" s="526">
        <v>3800</v>
      </c>
      <c r="D31" s="527">
        <v>1200</v>
      </c>
    </row>
    <row r="32" spans="1:8" x14ac:dyDescent="0.35">
      <c r="A32" s="305">
        <v>11</v>
      </c>
      <c r="B32" s="526">
        <v>15</v>
      </c>
      <c r="C32" s="526">
        <v>5300</v>
      </c>
      <c r="D32" s="527">
        <v>1500</v>
      </c>
    </row>
    <row r="33" spans="1:4" x14ac:dyDescent="0.35">
      <c r="A33" s="305">
        <v>16</v>
      </c>
      <c r="B33" s="526">
        <v>20</v>
      </c>
      <c r="C33" s="526">
        <v>6800</v>
      </c>
      <c r="D33" s="527">
        <v>1700</v>
      </c>
    </row>
    <row r="34" spans="1:4" x14ac:dyDescent="0.35">
      <c r="A34" s="305">
        <v>21</v>
      </c>
      <c r="B34" s="526">
        <v>25</v>
      </c>
      <c r="C34" s="526">
        <f>C33+1500</f>
        <v>8300</v>
      </c>
      <c r="D34" s="527">
        <f>D33+375</f>
        <v>2075</v>
      </c>
    </row>
    <row r="35" spans="1:4" x14ac:dyDescent="0.35">
      <c r="A35" s="305">
        <v>26</v>
      </c>
      <c r="B35" s="526">
        <v>30</v>
      </c>
      <c r="C35" s="526">
        <f>C34+1500</f>
        <v>9800</v>
      </c>
      <c r="D35" s="527">
        <f>D34+375</f>
        <v>2450</v>
      </c>
    </row>
    <row r="36" spans="1:4" x14ac:dyDescent="0.35">
      <c r="A36" s="305">
        <v>31</v>
      </c>
      <c r="B36" s="526">
        <v>35</v>
      </c>
      <c r="C36" s="526">
        <f>C35+1500</f>
        <v>11300</v>
      </c>
      <c r="D36" s="527">
        <f>D35+375</f>
        <v>2825</v>
      </c>
    </row>
    <row r="37" spans="1:4" x14ac:dyDescent="0.35">
      <c r="A37" s="305">
        <v>36</v>
      </c>
      <c r="B37" s="526">
        <v>40</v>
      </c>
      <c r="C37" s="526">
        <f>C36+1500</f>
        <v>12800</v>
      </c>
      <c r="D37" s="527">
        <f>D36+375</f>
        <v>3200</v>
      </c>
    </row>
    <row r="38" spans="1:4" x14ac:dyDescent="0.35">
      <c r="A38" s="305">
        <v>41</v>
      </c>
      <c r="B38" s="526">
        <v>45</v>
      </c>
      <c r="C38" s="526">
        <f>C37+1500</f>
        <v>14300</v>
      </c>
      <c r="D38" s="527">
        <f>D37+375</f>
        <v>3575</v>
      </c>
    </row>
    <row r="39" spans="1:4" x14ac:dyDescent="0.35">
      <c r="A39" s="305">
        <v>46</v>
      </c>
      <c r="B39" s="526">
        <v>50</v>
      </c>
      <c r="C39" s="526">
        <v>15800</v>
      </c>
      <c r="D39" s="527">
        <v>3950</v>
      </c>
    </row>
    <row r="40" spans="1:4" ht="15" thickBot="1" x14ac:dyDescent="0.4">
      <c r="A40" s="899" t="s">
        <v>543</v>
      </c>
      <c r="B40" s="900"/>
      <c r="C40" s="900"/>
      <c r="D40" s="901"/>
    </row>
  </sheetData>
  <mergeCells count="26">
    <mergeCell ref="A25:D25"/>
    <mergeCell ref="A26:D26"/>
    <mergeCell ref="A27:B27"/>
    <mergeCell ref="A40:D40"/>
    <mergeCell ref="A15:H15"/>
    <mergeCell ref="D20:D21"/>
    <mergeCell ref="A21:A22"/>
    <mergeCell ref="B21:B22"/>
    <mergeCell ref="C21:C22"/>
    <mergeCell ref="A17:D17"/>
    <mergeCell ref="A16:D16"/>
    <mergeCell ref="A20:C20"/>
    <mergeCell ref="A1:B1"/>
    <mergeCell ref="A2:B2"/>
    <mergeCell ref="A3:B3"/>
    <mergeCell ref="A4:B4"/>
    <mergeCell ref="A5:B5"/>
    <mergeCell ref="A11:D11"/>
    <mergeCell ref="A12:D12"/>
    <mergeCell ref="A13:D13"/>
    <mergeCell ref="A14:H14"/>
    <mergeCell ref="A6:D6"/>
    <mergeCell ref="A7:G7"/>
    <mergeCell ref="A8:D8"/>
    <mergeCell ref="A9:D9"/>
    <mergeCell ref="A10:D10"/>
  </mergeCells>
  <hyperlinks>
    <hyperlink ref="H6" r:id="rId1" display="WBDG - AFMAN 32-1084" xr:uid="{3631E1A8-8BE4-4D4F-8EB6-A8F74DA5C870}"/>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F5DED10-E85B-4C2F-B5C5-1EF07A18082F}">
          <x14:formula1>
            <xm:f>'Sheet References'!$L$1:$L$978</xm:f>
          </x14:formula1>
          <xm:sqref>E1</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6932E-A6D4-4989-8842-663F247A5AC6}">
  <sheetPr>
    <tabColor rgb="FFFFFF99"/>
    <pageSetUpPr fitToPage="1"/>
  </sheetPr>
  <dimension ref="A1:P52"/>
  <sheetViews>
    <sheetView zoomScaleNormal="100" workbookViewId="0">
      <selection activeCell="A32" sqref="A32:D32"/>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740370</v>
      </c>
      <c r="F1" s="38"/>
      <c r="G1" s="38"/>
      <c r="H1" s="38"/>
    </row>
    <row r="2" spans="1:8" ht="21" customHeight="1" x14ac:dyDescent="0.35">
      <c r="A2" s="676" t="s">
        <v>21</v>
      </c>
      <c r="B2" s="676"/>
      <c r="C2" s="38"/>
      <c r="D2" s="36" t="s">
        <v>107</v>
      </c>
      <c r="E2" s="37" t="str">
        <f>VLOOKUP(E1,'Sheet References'!L:M,2,FALSE)</f>
        <v>MWR Outdoor Recreation Center</v>
      </c>
      <c r="F2" s="38"/>
      <c r="G2" s="38"/>
      <c r="H2" s="38"/>
    </row>
    <row r="3" spans="1:8" ht="21" customHeight="1" x14ac:dyDescent="0.35">
      <c r="A3" s="676" t="s">
        <v>22</v>
      </c>
      <c r="B3" s="676"/>
      <c r="C3" s="36"/>
      <c r="D3" s="36" t="s">
        <v>108</v>
      </c>
      <c r="E3" s="37" t="str">
        <f>VLOOKUP(CATCode,'Sheet References'!L:O,4,FALSE)</f>
        <v>No Standards/Criteria available</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211" t="s">
        <v>544</v>
      </c>
      <c r="B8" s="176" t="s">
        <v>271</v>
      </c>
      <c r="C8" s="43" t="str">
        <f>VLOOKUP(B8,PrivateOffices[],2,TRUE)</f>
        <v>Office Type D (Private)</v>
      </c>
      <c r="D8" s="52" t="s">
        <v>468</v>
      </c>
      <c r="E8" s="56">
        <f>VLOOKUP(C8,OfficeTypeSF[],2,TRUE)</f>
        <v>100</v>
      </c>
      <c r="F8" s="52">
        <v>0</v>
      </c>
      <c r="G8" s="56">
        <f>E8*F8</f>
        <v>0</v>
      </c>
      <c r="H8" s="57"/>
    </row>
    <row r="9" spans="1:8" x14ac:dyDescent="0.35">
      <c r="A9" s="685" t="s">
        <v>125</v>
      </c>
      <c r="B9" s="686"/>
      <c r="C9" s="686"/>
      <c r="D9" s="686"/>
      <c r="E9" s="58" t="s">
        <v>126</v>
      </c>
      <c r="F9" s="48">
        <f>SUM(F8:F8)</f>
        <v>0</v>
      </c>
      <c r="G9" s="178">
        <f>SUM(G8:G8)</f>
        <v>0</v>
      </c>
      <c r="H9" s="62"/>
    </row>
    <row r="10" spans="1:8" x14ac:dyDescent="0.35">
      <c r="A10" s="672" t="s">
        <v>127</v>
      </c>
      <c r="B10" s="673"/>
      <c r="C10" s="673"/>
      <c r="D10" s="674"/>
      <c r="E10" s="60">
        <v>0.4</v>
      </c>
      <c r="F10" s="52"/>
      <c r="G10" s="56">
        <f>G9*E10</f>
        <v>0</v>
      </c>
      <c r="H10" s="57" t="s">
        <v>128</v>
      </c>
    </row>
    <row r="11" spans="1:8" ht="14.5" customHeight="1" x14ac:dyDescent="0.35">
      <c r="A11" s="681" t="s">
        <v>129</v>
      </c>
      <c r="B11" s="682"/>
      <c r="C11" s="682"/>
      <c r="D11" s="682"/>
      <c r="E11" s="58" t="s">
        <v>126</v>
      </c>
      <c r="F11" s="58"/>
      <c r="G11" s="179">
        <f>G10+G9</f>
        <v>0</v>
      </c>
      <c r="H11" s="62"/>
    </row>
    <row r="12" spans="1:8" x14ac:dyDescent="0.35">
      <c r="A12" s="694"/>
      <c r="B12" s="694"/>
      <c r="C12" s="694"/>
      <c r="D12" s="694"/>
      <c r="E12" s="180"/>
      <c r="F12" s="180"/>
      <c r="G12" s="181"/>
      <c r="H12" s="182"/>
    </row>
    <row r="13" spans="1:8" ht="14.5" customHeight="1" x14ac:dyDescent="0.35">
      <c r="A13" s="669" t="s">
        <v>130</v>
      </c>
      <c r="B13" s="670"/>
      <c r="C13" s="670"/>
      <c r="D13" s="670"/>
      <c r="E13" s="670"/>
      <c r="F13" s="670"/>
      <c r="G13" s="678"/>
      <c r="H13" s="671"/>
    </row>
    <row r="14" spans="1:8" x14ac:dyDescent="0.35">
      <c r="A14" s="52" t="s">
        <v>545</v>
      </c>
      <c r="B14" s="53" t="s">
        <v>277</v>
      </c>
      <c r="C14" s="43" t="str">
        <f>VLOOKUP(B14,OpenOffices[],2,TRUE)</f>
        <v>Office Type F (Open)</v>
      </c>
      <c r="D14" s="52" t="s">
        <v>272</v>
      </c>
      <c r="E14" s="56">
        <f>VLOOKUP(C14,OfficeTypeSF[],2,TRUE)</f>
        <v>36</v>
      </c>
      <c r="F14" s="52">
        <v>0</v>
      </c>
      <c r="G14" s="56">
        <f>E14*F14</f>
        <v>0</v>
      </c>
      <c r="H14" s="57"/>
    </row>
    <row r="15" spans="1:8" s="4" customFormat="1" ht="15.5" x14ac:dyDescent="0.35">
      <c r="A15" s="52" t="s">
        <v>546</v>
      </c>
      <c r="B15" s="53" t="s">
        <v>547</v>
      </c>
      <c r="C15" s="43" t="str">
        <f>VLOOKUP(B15,OpenOffices[],2,TRUE)</f>
        <v>Office Type H (Open)</v>
      </c>
      <c r="D15" s="52" t="s">
        <v>272</v>
      </c>
      <c r="E15" s="56">
        <f>VLOOKUP(C15,OfficeTypeSF[],2,TRUE)</f>
        <v>20</v>
      </c>
      <c r="F15" s="52">
        <v>0</v>
      </c>
      <c r="G15" s="56">
        <f>E15*F15</f>
        <v>0</v>
      </c>
      <c r="H15" s="212"/>
    </row>
    <row r="16" spans="1:8" ht="14.5" customHeight="1" x14ac:dyDescent="0.35">
      <c r="A16" s="685" t="s">
        <v>136</v>
      </c>
      <c r="B16" s="686"/>
      <c r="C16" s="686"/>
      <c r="D16" s="686"/>
      <c r="E16" s="58" t="s">
        <v>126</v>
      </c>
      <c r="F16" s="48">
        <f>SUM(F14:F15)</f>
        <v>0</v>
      </c>
      <c r="G16" s="59">
        <f>SUM(G14:G15)</f>
        <v>0</v>
      </c>
      <c r="H16" s="57"/>
    </row>
    <row r="17" spans="1:12" x14ac:dyDescent="0.35">
      <c r="A17" s="672" t="s">
        <v>137</v>
      </c>
      <c r="B17" s="673"/>
      <c r="C17" s="673"/>
      <c r="D17" s="674"/>
      <c r="E17" s="60">
        <v>0.6</v>
      </c>
      <c r="F17" s="52"/>
      <c r="G17" s="61">
        <f>G16*E17</f>
        <v>0</v>
      </c>
      <c r="H17" s="57" t="s">
        <v>128</v>
      </c>
    </row>
    <row r="18" spans="1:12" x14ac:dyDescent="0.35">
      <c r="A18" s="681" t="s">
        <v>138</v>
      </c>
      <c r="B18" s="682"/>
      <c r="C18" s="682"/>
      <c r="D18" s="682"/>
      <c r="E18" s="58" t="s">
        <v>126</v>
      </c>
      <c r="F18" s="58"/>
      <c r="G18" s="59">
        <f>G17+G16</f>
        <v>0</v>
      </c>
      <c r="H18" s="62"/>
    </row>
    <row r="19" spans="1:12" ht="14.5" customHeight="1" x14ac:dyDescent="0.35">
      <c r="A19" s="669" t="s">
        <v>139</v>
      </c>
      <c r="B19" s="670"/>
      <c r="C19" s="670"/>
      <c r="D19" s="670"/>
      <c r="E19" s="670"/>
      <c r="F19" s="670"/>
      <c r="G19" s="678"/>
      <c r="H19" s="671"/>
      <c r="I19" s="216"/>
      <c r="J19" s="216"/>
      <c r="K19" s="216"/>
      <c r="L19" s="216"/>
    </row>
    <row r="20" spans="1:12" ht="58" x14ac:dyDescent="0.35">
      <c r="A20" s="679" t="s">
        <v>281</v>
      </c>
      <c r="B20" s="673"/>
      <c r="C20" s="673"/>
      <c r="D20" s="674"/>
      <c r="E20" s="56">
        <v>8</v>
      </c>
      <c r="F20" s="183">
        <f>F9+F16</f>
        <v>0</v>
      </c>
      <c r="G20" s="56">
        <f t="shared" ref="G20:G21" si="0">E20*F20</f>
        <v>0</v>
      </c>
      <c r="H20" s="57" t="s">
        <v>374</v>
      </c>
      <c r="I20" s="216"/>
      <c r="J20" s="216"/>
      <c r="K20" s="216"/>
      <c r="L20" s="216"/>
    </row>
    <row r="21" spans="1:12" ht="29" x14ac:dyDescent="0.35">
      <c r="A21" s="679" t="s">
        <v>285</v>
      </c>
      <c r="B21" s="673"/>
      <c r="C21" s="673"/>
      <c r="D21" s="674"/>
      <c r="E21" s="56">
        <v>3</v>
      </c>
      <c r="F21" s="184">
        <f>F20</f>
        <v>0</v>
      </c>
      <c r="G21" s="56">
        <f t="shared" si="0"/>
        <v>0</v>
      </c>
      <c r="H21" s="57" t="s">
        <v>375</v>
      </c>
      <c r="I21" s="539"/>
      <c r="J21" s="217"/>
      <c r="K21" s="217"/>
      <c r="L21" s="217"/>
    </row>
    <row r="22" spans="1:12" x14ac:dyDescent="0.35">
      <c r="A22" s="679" t="s">
        <v>379</v>
      </c>
      <c r="B22" s="673"/>
      <c r="C22" s="673"/>
      <c r="D22" s="674"/>
      <c r="E22" s="56">
        <f>VLOOKUP(A22,AdminSpecialPurpose[],2,TRUE)</f>
        <v>30</v>
      </c>
      <c r="F22" s="185">
        <v>0</v>
      </c>
      <c r="G22" s="56">
        <f>E22*F22</f>
        <v>0</v>
      </c>
      <c r="H22" s="57" t="s">
        <v>548</v>
      </c>
      <c r="I22" s="114"/>
      <c r="J22" s="250"/>
    </row>
    <row r="23" spans="1:12" x14ac:dyDescent="0.35">
      <c r="A23" s="679" t="s">
        <v>549</v>
      </c>
      <c r="B23" s="673"/>
      <c r="C23" s="673"/>
      <c r="D23" s="674"/>
      <c r="E23" s="56">
        <f>VLOOKUP(A23,AdminSpecialPurpose[],2,TRUE)</f>
        <v>36</v>
      </c>
      <c r="F23" s="185">
        <v>0</v>
      </c>
      <c r="G23" s="56">
        <f t="shared" ref="G23:G24" si="1">E23*F23</f>
        <v>0</v>
      </c>
      <c r="H23" s="57" t="s">
        <v>550</v>
      </c>
      <c r="I23" s="114"/>
      <c r="J23" s="250"/>
    </row>
    <row r="24" spans="1:12" ht="50.15" customHeight="1" x14ac:dyDescent="0.35">
      <c r="A24" s="679" t="s">
        <v>551</v>
      </c>
      <c r="B24" s="673"/>
      <c r="C24" s="673"/>
      <c r="D24" s="674"/>
      <c r="E24" s="56">
        <f>VLOOKUP(A24,AdminSpecialPurpose[],2,TRUE)</f>
        <v>10</v>
      </c>
      <c r="F24" s="186">
        <v>0</v>
      </c>
      <c r="G24" s="56">
        <f t="shared" si="1"/>
        <v>0</v>
      </c>
      <c r="H24" s="57" t="s">
        <v>552</v>
      </c>
      <c r="I24" s="251"/>
      <c r="J24" s="251"/>
      <c r="K24" s="251"/>
      <c r="L24" s="251"/>
    </row>
    <row r="25" spans="1:12" ht="31.5" customHeight="1" x14ac:dyDescent="0.35">
      <c r="A25" s="685" t="s">
        <v>174</v>
      </c>
      <c r="B25" s="703"/>
      <c r="C25" s="688"/>
      <c r="D25" s="689"/>
      <c r="E25" s="187" t="s">
        <v>126</v>
      </c>
      <c r="F25" s="188"/>
      <c r="G25" s="179">
        <f>SUM(G20:G24)</f>
        <v>0</v>
      </c>
      <c r="H25" s="57"/>
      <c r="I25" s="252"/>
      <c r="J25" s="252"/>
      <c r="K25" s="252"/>
      <c r="L25" s="252"/>
    </row>
    <row r="26" spans="1:12" ht="29.5" customHeight="1" x14ac:dyDescent="0.35">
      <c r="A26" s="690" t="s">
        <v>175</v>
      </c>
      <c r="B26" s="691"/>
      <c r="C26" s="691"/>
      <c r="D26" s="692"/>
      <c r="E26" s="60">
        <v>0.4</v>
      </c>
      <c r="F26" s="52"/>
      <c r="G26" s="189">
        <f>E26*G25</f>
        <v>0</v>
      </c>
      <c r="H26" s="57" t="s">
        <v>128</v>
      </c>
    </row>
    <row r="27" spans="1:12" ht="43.5" customHeight="1" x14ac:dyDescent="0.35">
      <c r="A27" s="685" t="s">
        <v>177</v>
      </c>
      <c r="B27" s="686"/>
      <c r="C27" s="686"/>
      <c r="D27" s="686"/>
      <c r="E27" s="58" t="s">
        <v>126</v>
      </c>
      <c r="F27" s="190"/>
      <c r="G27" s="179">
        <f>SUM(G25:G26)</f>
        <v>0</v>
      </c>
      <c r="H27" s="57"/>
    </row>
    <row r="28" spans="1:12" ht="15.5" x14ac:dyDescent="0.35">
      <c r="A28" s="680" t="s">
        <v>178</v>
      </c>
      <c r="B28" s="819"/>
      <c r="C28" s="819"/>
      <c r="D28" s="819"/>
      <c r="E28" s="819"/>
      <c r="F28" s="819"/>
      <c r="G28" s="819"/>
      <c r="H28" s="819"/>
    </row>
    <row r="29" spans="1:12" x14ac:dyDescent="0.35">
      <c r="A29" s="756" t="s">
        <v>553</v>
      </c>
      <c r="B29" s="743"/>
      <c r="C29" s="743"/>
      <c r="D29" s="743"/>
      <c r="E29" s="42"/>
      <c r="F29" s="68"/>
      <c r="G29" s="45">
        <f>E29*F29</f>
        <v>0</v>
      </c>
      <c r="H29" s="35" t="s">
        <v>554</v>
      </c>
    </row>
    <row r="30" spans="1:12" x14ac:dyDescent="0.35">
      <c r="A30" s="756" t="s">
        <v>555</v>
      </c>
      <c r="B30" s="743"/>
      <c r="C30" s="743"/>
      <c r="D30" s="743"/>
      <c r="E30" s="42"/>
      <c r="F30" s="68"/>
      <c r="G30" s="45">
        <f>E30*F30</f>
        <v>0</v>
      </c>
      <c r="H30" s="46" t="s">
        <v>556</v>
      </c>
    </row>
    <row r="31" spans="1:12" x14ac:dyDescent="0.35">
      <c r="A31" s="756" t="s">
        <v>248</v>
      </c>
      <c r="B31" s="743"/>
      <c r="C31" s="743"/>
      <c r="D31" s="743"/>
      <c r="E31" s="42"/>
      <c r="F31" s="68"/>
      <c r="G31" s="45">
        <f>E31*F31</f>
        <v>0</v>
      </c>
      <c r="H31" s="46"/>
    </row>
    <row r="32" spans="1:12" x14ac:dyDescent="0.35">
      <c r="A32" s="695" t="s">
        <v>557</v>
      </c>
      <c r="B32" s="821"/>
      <c r="C32" s="673"/>
      <c r="D32" s="674"/>
      <c r="E32" s="56">
        <v>0</v>
      </c>
      <c r="F32" s="186">
        <v>0</v>
      </c>
      <c r="G32" s="56">
        <f t="shared" ref="G32:G33" si="2">E32*F32</f>
        <v>0</v>
      </c>
      <c r="H32" s="57" t="s">
        <v>558</v>
      </c>
    </row>
    <row r="33" spans="1:8" x14ac:dyDescent="0.35">
      <c r="A33" s="695" t="s">
        <v>559</v>
      </c>
      <c r="B33" s="821"/>
      <c r="C33" s="673"/>
      <c r="D33" s="674"/>
      <c r="E33" s="56">
        <v>100</v>
      </c>
      <c r="F33" s="185">
        <v>0</v>
      </c>
      <c r="G33" s="56">
        <f t="shared" si="2"/>
        <v>0</v>
      </c>
      <c r="H33" s="57" t="s">
        <v>560</v>
      </c>
    </row>
    <row r="34" spans="1:8" x14ac:dyDescent="0.35">
      <c r="A34" s="679" t="s">
        <v>561</v>
      </c>
      <c r="B34" s="686"/>
      <c r="C34" s="686"/>
      <c r="D34" s="687"/>
      <c r="E34" s="52"/>
      <c r="F34" s="197"/>
      <c r="G34" s="56">
        <f t="shared" ref="G34" si="3">E34*F34</f>
        <v>0</v>
      </c>
      <c r="H34" s="57"/>
    </row>
    <row r="35" spans="1:8" x14ac:dyDescent="0.35">
      <c r="A35" s="685" t="s">
        <v>180</v>
      </c>
      <c r="B35" s="688"/>
      <c r="C35" s="688"/>
      <c r="D35" s="689"/>
      <c r="E35" s="187" t="s">
        <v>126</v>
      </c>
      <c r="F35" s="188"/>
      <c r="G35" s="179">
        <f>SUM(G29:G34)</f>
        <v>0</v>
      </c>
      <c r="H35" s="57"/>
    </row>
    <row r="36" spans="1:8" x14ac:dyDescent="0.35">
      <c r="A36" s="690" t="s">
        <v>181</v>
      </c>
      <c r="B36" s="691"/>
      <c r="C36" s="691"/>
      <c r="D36" s="692"/>
      <c r="E36" s="60">
        <v>0.4</v>
      </c>
      <c r="F36" s="52"/>
      <c r="G36" s="189">
        <f>E36*G35</f>
        <v>0</v>
      </c>
      <c r="H36" s="57" t="s">
        <v>128</v>
      </c>
    </row>
    <row r="37" spans="1:8" x14ac:dyDescent="0.35">
      <c r="A37" s="685" t="s">
        <v>182</v>
      </c>
      <c r="B37" s="686"/>
      <c r="C37" s="686"/>
      <c r="D37" s="686"/>
      <c r="E37" s="58" t="s">
        <v>126</v>
      </c>
      <c r="F37" s="190"/>
      <c r="G37" s="179">
        <f>SUM(G35:G36)</f>
        <v>0</v>
      </c>
      <c r="H37" s="57"/>
    </row>
    <row r="38" spans="1:8" ht="15.5" x14ac:dyDescent="0.35">
      <c r="A38" s="680" t="s">
        <v>250</v>
      </c>
      <c r="B38" s="819"/>
      <c r="C38" s="819"/>
      <c r="D38" s="819"/>
      <c r="E38" s="819"/>
      <c r="F38" s="819"/>
      <c r="G38" s="819"/>
      <c r="H38" s="819"/>
    </row>
    <row r="39" spans="1:8" x14ac:dyDescent="0.35">
      <c r="A39" s="672" t="s">
        <v>251</v>
      </c>
      <c r="B39" s="686"/>
      <c r="C39" s="686"/>
      <c r="D39" s="686"/>
      <c r="E39" s="205" t="s">
        <v>252</v>
      </c>
      <c r="F39" s="206"/>
      <c r="G39" s="189">
        <f>G37+G27+G11+G18</f>
        <v>0</v>
      </c>
      <c r="H39" s="62"/>
    </row>
    <row r="40" spans="1:8" ht="15" thickBot="1" x14ac:dyDescent="0.4">
      <c r="A40" s="672" t="s">
        <v>413</v>
      </c>
      <c r="B40" s="673"/>
      <c r="C40" s="673"/>
      <c r="D40" s="673"/>
      <c r="E40" s="60">
        <v>0.42</v>
      </c>
      <c r="F40" s="176"/>
      <c r="G40" s="56">
        <f>G39*E40</f>
        <v>0</v>
      </c>
      <c r="H40" s="57" t="s">
        <v>414</v>
      </c>
    </row>
    <row r="41" spans="1:8" ht="15" thickBot="1" x14ac:dyDescent="0.4">
      <c r="A41" s="15"/>
      <c r="B41" s="15"/>
      <c r="C41" s="15"/>
      <c r="D41" s="207"/>
      <c r="E41" s="208" t="s">
        <v>254</v>
      </c>
      <c r="F41" s="209"/>
      <c r="G41" s="210">
        <f>SUM(G39:G40)</f>
        <v>0</v>
      </c>
      <c r="H41" s="15"/>
    </row>
    <row r="42" spans="1:8" ht="15" thickBot="1" x14ac:dyDescent="0.4">
      <c r="A42" s="541"/>
      <c r="B42" s="541"/>
      <c r="C42" s="454"/>
      <c r="D42" s="454"/>
      <c r="G42" s="304"/>
    </row>
    <row r="43" spans="1:8" ht="19" thickBot="1" x14ac:dyDescent="0.5">
      <c r="A43" s="905" t="s">
        <v>562</v>
      </c>
      <c r="B43" s="906"/>
      <c r="C43" s="906"/>
      <c r="D43" s="907"/>
      <c r="G43" s="304"/>
    </row>
    <row r="44" spans="1:8" x14ac:dyDescent="0.35">
      <c r="A44" s="541"/>
      <c r="B44" s="541"/>
      <c r="C44" s="454"/>
      <c r="D44" s="454"/>
      <c r="G44" s="304"/>
    </row>
    <row r="45" spans="1:8" x14ac:dyDescent="0.35">
      <c r="A45" s="541"/>
      <c r="B45" s="541"/>
      <c r="C45" s="454"/>
      <c r="D45" s="454"/>
      <c r="G45" s="304"/>
    </row>
    <row r="46" spans="1:8" x14ac:dyDescent="0.35">
      <c r="A46" s="541"/>
      <c r="B46" s="541"/>
      <c r="C46" s="454"/>
      <c r="D46" s="454"/>
      <c r="G46" s="304"/>
    </row>
    <row r="47" spans="1:8" x14ac:dyDescent="0.35">
      <c r="A47" s="541"/>
      <c r="B47" s="541"/>
      <c r="C47" s="454"/>
      <c r="D47" s="454"/>
      <c r="G47" s="304"/>
    </row>
    <row r="48" spans="1:8" x14ac:dyDescent="0.35">
      <c r="A48" s="541"/>
      <c r="B48" s="541"/>
      <c r="C48" s="454"/>
      <c r="D48" s="454"/>
      <c r="G48" s="304"/>
    </row>
    <row r="49" spans="1:7" x14ac:dyDescent="0.35">
      <c r="A49" s="541"/>
      <c r="B49" s="541"/>
      <c r="C49" s="454"/>
      <c r="D49" s="454"/>
      <c r="G49" s="304"/>
    </row>
    <row r="50" spans="1:7" x14ac:dyDescent="0.35">
      <c r="A50" s="541"/>
      <c r="B50" s="541"/>
      <c r="C50" s="454"/>
      <c r="D50" s="454"/>
      <c r="G50" s="304"/>
    </row>
    <row r="51" spans="1:7" x14ac:dyDescent="0.35">
      <c r="A51" s="541"/>
      <c r="B51" s="541"/>
      <c r="C51" s="454"/>
      <c r="D51" s="454"/>
      <c r="G51" s="304"/>
    </row>
    <row r="52" spans="1:7" x14ac:dyDescent="0.35">
      <c r="A52" s="541"/>
      <c r="B52" s="541"/>
      <c r="C52" s="454"/>
      <c r="D52" s="454"/>
      <c r="G52" s="304"/>
    </row>
  </sheetData>
  <mergeCells count="38">
    <mergeCell ref="A17:D17"/>
    <mergeCell ref="A6:D6"/>
    <mergeCell ref="A16:D16"/>
    <mergeCell ref="A7:G7"/>
    <mergeCell ref="A9:D9"/>
    <mergeCell ref="A10:D10"/>
    <mergeCell ref="A11:D11"/>
    <mergeCell ref="A12:D12"/>
    <mergeCell ref="A13:H13"/>
    <mergeCell ref="A1:B1"/>
    <mergeCell ref="A2:B2"/>
    <mergeCell ref="A3:B3"/>
    <mergeCell ref="A4:B4"/>
    <mergeCell ref="A5:B5"/>
    <mergeCell ref="A18:D18"/>
    <mergeCell ref="A19:H19"/>
    <mergeCell ref="A20:D20"/>
    <mergeCell ref="A21:D21"/>
    <mergeCell ref="A22:D22"/>
    <mergeCell ref="A43:D43"/>
    <mergeCell ref="A38:H38"/>
    <mergeCell ref="A39:D39"/>
    <mergeCell ref="A34:D34"/>
    <mergeCell ref="A35:D35"/>
    <mergeCell ref="A36:D36"/>
    <mergeCell ref="A37:D37"/>
    <mergeCell ref="A29:D29"/>
    <mergeCell ref="A30:D30"/>
    <mergeCell ref="A40:D40"/>
    <mergeCell ref="A33:D33"/>
    <mergeCell ref="A31:D31"/>
    <mergeCell ref="A32:D32"/>
    <mergeCell ref="A25:D25"/>
    <mergeCell ref="A26:D26"/>
    <mergeCell ref="A27:D27"/>
    <mergeCell ref="A28:H28"/>
    <mergeCell ref="A23:D23"/>
    <mergeCell ref="A24:D24"/>
  </mergeCells>
  <hyperlinks>
    <hyperlink ref="H6" r:id="rId1" display="WBDG - AFMAN 32-1084" xr:uid="{194DE3F7-EFDD-4B25-97E9-CE7676DD9D4C}"/>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3F71A6F9-B153-401F-BDDD-46948F743E11}">
          <x14:formula1>
            <xm:f>'Sheet References'!$L$1:$L$978</xm:f>
          </x14:formula1>
          <xm:sqref>E1</xm:sqref>
        </x14:dataValidation>
        <x14:dataValidation type="list" allowBlank="1" showInputMessage="1" showErrorMessage="1" xr:uid="{6B28F14F-6195-4026-B850-85AC58FF65AC}">
          <x14:formula1>
            <xm:f>'Sheet References'!$A$14:$A$57</xm:f>
          </x14:formula1>
          <xm:sqref>B8</xm:sqref>
        </x14:dataValidation>
        <x14:dataValidation type="list" allowBlank="1" showInputMessage="1" showErrorMessage="1" xr:uid="{92491ECE-B122-447B-9C69-1FD99CF80BFA}">
          <x14:formula1>
            <xm:f>'Sheet References'!$E$6:$E$112</xm:f>
          </x14:formula1>
          <xm:sqref>D8</xm:sqref>
        </x14:dataValidation>
        <x14:dataValidation type="list" allowBlank="1" showInputMessage="1" showErrorMessage="1" xr:uid="{FD5972C4-4FB8-4DE1-A3A7-935ED24DBDD7}">
          <x14:formula1>
            <xm:f>'Sheet References'!$A$62:$A$85</xm:f>
          </x14:formula1>
          <xm:sqref>B14:B15</xm:sqref>
        </x14:dataValidation>
        <x14:dataValidation type="list" allowBlank="1" showInputMessage="1" showErrorMessage="1" xr:uid="{96C50E1F-4072-4867-B407-3FAFC99D2127}">
          <x14:formula1>
            <xm:f>'Sheet References'!$E$2:$E$112</xm:f>
          </x14:formula1>
          <xm:sqref>D14:D15</xm:sqref>
        </x14:dataValidation>
        <x14:dataValidation type="list" allowBlank="1" showInputMessage="1" showErrorMessage="1" xr:uid="{B5DA2C2C-E5A1-4071-8D91-3D4CCB579A2A}">
          <x14:formula1>
            <xm:f>'Sheet References'!$H$2:$H$48</xm:f>
          </x14:formula1>
          <xm:sqref>A22:D24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0C6E8-4EA3-4F96-B0A5-B1BD0064C03F}">
  <sheetPr>
    <tabColor rgb="FFFFFF99"/>
    <pageSetUpPr fitToPage="1"/>
  </sheetPr>
  <dimension ref="A1:P46"/>
  <sheetViews>
    <sheetView zoomScaleNormal="100" workbookViewId="0">
      <selection activeCell="H35" sqref="H35"/>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740615</v>
      </c>
      <c r="F1" s="38"/>
      <c r="G1" s="38"/>
      <c r="H1" s="38"/>
    </row>
    <row r="2" spans="1:8" ht="21" customHeight="1" x14ac:dyDescent="0.35">
      <c r="A2" s="676" t="s">
        <v>21</v>
      </c>
      <c r="B2" s="676"/>
      <c r="C2" s="38"/>
      <c r="D2" s="36" t="s">
        <v>107</v>
      </c>
      <c r="E2" s="37" t="str">
        <f>VLOOKUP(E1,'Sheet References'!L:M,2,FALSE)</f>
        <v>Consolidated Open Mess</v>
      </c>
      <c r="F2" s="38"/>
      <c r="G2" s="38"/>
      <c r="H2" s="38"/>
    </row>
    <row r="3" spans="1:8" ht="21" customHeight="1" x14ac:dyDescent="0.35">
      <c r="A3" s="676" t="s">
        <v>22</v>
      </c>
      <c r="B3" s="676"/>
      <c r="C3" s="36"/>
      <c r="D3" s="36" t="s">
        <v>108</v>
      </c>
      <c r="E3" s="37" t="str">
        <f>VLOOKUP(CATCode,'Sheet References'!L:O,4,FALSE)</f>
        <v>https://www.wbdg.org/FFC/AF/AFMAN/740615_Consolidated_Open_Mess.pdf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314</v>
      </c>
      <c r="B8" s="743"/>
      <c r="C8" s="743"/>
      <c r="D8" s="743"/>
      <c r="E8" s="355">
        <f>H23</f>
        <v>0</v>
      </c>
      <c r="F8" s="68">
        <v>1</v>
      </c>
      <c r="G8" s="45">
        <f>E8*F8</f>
        <v>0</v>
      </c>
      <c r="H8" s="35"/>
    </row>
    <row r="9" spans="1:8" x14ac:dyDescent="0.35">
      <c r="A9" s="753" t="s">
        <v>257</v>
      </c>
      <c r="B9" s="743"/>
      <c r="C9" s="743"/>
      <c r="D9" s="743"/>
      <c r="E9" s="42"/>
      <c r="F9" s="68"/>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ht="43.5" x14ac:dyDescent="0.35">
      <c r="A12" s="758" t="s">
        <v>249</v>
      </c>
      <c r="B12" s="759"/>
      <c r="C12" s="759"/>
      <c r="D12" s="759"/>
      <c r="E12" s="50">
        <v>0</v>
      </c>
      <c r="F12" s="42"/>
      <c r="G12" s="66">
        <f>E12*G11</f>
        <v>0</v>
      </c>
      <c r="H12" s="35" t="s">
        <v>315</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ht="44.15" customHeight="1" x14ac:dyDescent="0.35">
      <c r="A17" s="746" t="s">
        <v>253</v>
      </c>
      <c r="B17" s="753"/>
      <c r="C17" s="753"/>
      <c r="D17" s="753"/>
      <c r="E17" s="50">
        <v>0</v>
      </c>
      <c r="F17" s="43"/>
      <c r="G17" s="45">
        <f>G16*E17</f>
        <v>0</v>
      </c>
      <c r="H17" s="35" t="s">
        <v>316</v>
      </c>
    </row>
    <row r="18" spans="1:8" x14ac:dyDescent="0.35">
      <c r="E18" s="48" t="s">
        <v>254</v>
      </c>
      <c r="F18" s="71"/>
      <c r="G18" s="51">
        <f>SUM(G16:G17)</f>
        <v>0</v>
      </c>
    </row>
    <row r="19" spans="1:8" ht="15" thickBot="1" x14ac:dyDescent="0.4"/>
    <row r="20" spans="1:8" ht="19" thickBot="1" x14ac:dyDescent="0.4">
      <c r="A20" s="711" t="s">
        <v>563</v>
      </c>
      <c r="B20" s="712"/>
      <c r="C20" s="712"/>
      <c r="D20" s="712" t="s">
        <v>564</v>
      </c>
      <c r="E20" s="712"/>
      <c r="F20" s="712"/>
      <c r="G20" s="417"/>
      <c r="H20" s="917" t="s">
        <v>565</v>
      </c>
    </row>
    <row r="21" spans="1:8" ht="15" customHeight="1" thickBot="1" x14ac:dyDescent="0.4">
      <c r="A21" s="653" t="s">
        <v>417</v>
      </c>
      <c r="B21" s="653" t="s">
        <v>455</v>
      </c>
      <c r="C21" s="653" t="s">
        <v>528</v>
      </c>
      <c r="D21" s="249" t="s">
        <v>566</v>
      </c>
      <c r="E21" s="247" t="s">
        <v>267</v>
      </c>
      <c r="F21" s="418">
        <f>'Instructions &amp; Pop Data'!D18+'Instructions &amp; Pop Data'!D14+'Instructions &amp; Pop Data'!D24</f>
        <v>0</v>
      </c>
      <c r="G21" s="919" t="s">
        <v>567</v>
      </c>
      <c r="H21" s="918"/>
    </row>
    <row r="22" spans="1:8" ht="15" thickBot="1" x14ac:dyDescent="0.4">
      <c r="A22" s="655"/>
      <c r="B22" s="655"/>
      <c r="C22" s="727"/>
      <c r="D22" s="249" t="s">
        <v>568</v>
      </c>
      <c r="E22" s="247" t="s">
        <v>569</v>
      </c>
      <c r="F22" s="419">
        <f>'Instructions &amp; Pop Data'!D14+'Instructions &amp; Pop Data'!D18+'Instructions &amp; Pop Data'!D15+'Instructions &amp; Pop Data'!D19+('Instructions &amp; Pop Data'!D24+'Instructions &amp; Pop Data'!D25)*0.5</f>
        <v>0</v>
      </c>
      <c r="G22" s="920"/>
      <c r="H22" s="520" t="s">
        <v>190</v>
      </c>
    </row>
    <row r="23" spans="1:8" ht="15" thickBot="1" x14ac:dyDescent="0.4">
      <c r="A23" s="403">
        <f>IF(C23="YES",'Instructions &amp; Pop Data'!D8+'Instructions &amp; Pop Data'!D10,'Instructions &amp; Pop Data'!D8)</f>
        <v>0</v>
      </c>
      <c r="B23" s="406">
        <f>SUM((A23)+(A26*0.5)+(B26*0.5))</f>
        <v>0</v>
      </c>
      <c r="C23" s="445">
        <f>'Instructions &amp; Pop Data'!K4</f>
        <v>0</v>
      </c>
      <c r="D23" s="249" t="s">
        <v>570</v>
      </c>
      <c r="E23" s="247" t="s">
        <v>569</v>
      </c>
      <c r="F23" s="420">
        <f>'Instructions &amp; Pop Data'!D16+'Instructions &amp; Pop Data'!D20+('Instructions &amp; Pop Data'!D26)*0.5</f>
        <v>0</v>
      </c>
      <c r="G23" s="422">
        <f>VLOOKUP(F25,A31:C45,3,TRUE)</f>
        <v>0</v>
      </c>
      <c r="H23" s="174">
        <f>SUM(G23+G26)*C46</f>
        <v>0</v>
      </c>
    </row>
    <row r="24" spans="1:8" ht="15" thickBot="1" x14ac:dyDescent="0.4">
      <c r="A24" s="653" t="s">
        <v>571</v>
      </c>
      <c r="B24" s="653" t="s">
        <v>494</v>
      </c>
      <c r="C24" s="444"/>
      <c r="D24" s="280"/>
      <c r="E24" s="248" t="s">
        <v>572</v>
      </c>
      <c r="F24" s="421">
        <f>SUMIF(E21:E23,"Seperate Club",F21:F23)</f>
        <v>0</v>
      </c>
      <c r="G24" s="662" t="s">
        <v>573</v>
      </c>
      <c r="H24" s="244"/>
    </row>
    <row r="25" spans="1:8" ht="15" thickBot="1" x14ac:dyDescent="0.4">
      <c r="A25" s="655"/>
      <c r="B25" s="655"/>
      <c r="C25" s="443"/>
      <c r="D25" s="279"/>
      <c r="E25" s="248" t="s">
        <v>574</v>
      </c>
      <c r="F25" s="421">
        <f>B23-F24</f>
        <v>0</v>
      </c>
      <c r="G25" s="663"/>
      <c r="H25" s="245"/>
    </row>
    <row r="26" spans="1:8" ht="15" thickBot="1" x14ac:dyDescent="0.4">
      <c r="A26" s="402">
        <f>'Instructions &amp; Pop Data'!D24+'Instructions &amp; Pop Data'!D25+'Instructions &amp; Pop Data'!D26</f>
        <v>0</v>
      </c>
      <c r="B26" s="402">
        <f>'Instructions &amp; Pop Data'!D12</f>
        <v>0</v>
      </c>
      <c r="C26" s="242"/>
      <c r="D26" s="236"/>
      <c r="E26" s="242"/>
      <c r="F26" s="236"/>
      <c r="G26" s="402">
        <f>VLOOKUP(F24,A31:D45,4,TRUE)</f>
        <v>0</v>
      </c>
      <c r="H26" s="246"/>
    </row>
    <row r="27" spans="1:8" ht="28.5" customHeight="1" thickBot="1" x14ac:dyDescent="0.4">
      <c r="A27" s="914" t="s">
        <v>575</v>
      </c>
      <c r="B27" s="915"/>
      <c r="C27" s="915"/>
      <c r="D27" s="915"/>
      <c r="E27" s="915"/>
      <c r="F27" s="915"/>
      <c r="G27" s="915"/>
      <c r="H27" s="916"/>
    </row>
    <row r="28" spans="1:8" ht="15" thickBot="1" x14ac:dyDescent="0.4"/>
    <row r="29" spans="1:8" ht="19" thickBot="1" x14ac:dyDescent="0.4">
      <c r="A29" s="910" t="s">
        <v>576</v>
      </c>
      <c r="B29" s="911"/>
      <c r="C29" s="486" t="s">
        <v>577</v>
      </c>
      <c r="D29" s="482" t="s">
        <v>578</v>
      </c>
    </row>
    <row r="30" spans="1:8" x14ac:dyDescent="0.35">
      <c r="A30" s="912" t="s">
        <v>455</v>
      </c>
      <c r="B30" s="913"/>
      <c r="C30" s="487" t="s">
        <v>516</v>
      </c>
      <c r="D30" s="488" t="s">
        <v>516</v>
      </c>
    </row>
    <row r="31" spans="1:8" x14ac:dyDescent="0.35">
      <c r="A31" s="305">
        <v>0</v>
      </c>
      <c r="B31" s="526">
        <v>50</v>
      </c>
      <c r="C31" s="555">
        <v>0</v>
      </c>
      <c r="D31" s="344">
        <v>0</v>
      </c>
    </row>
    <row r="32" spans="1:8" x14ac:dyDescent="0.35">
      <c r="A32" s="305">
        <v>51</v>
      </c>
      <c r="B32" s="526">
        <v>150</v>
      </c>
      <c r="C32" s="555">
        <v>3000</v>
      </c>
      <c r="D32" s="344">
        <v>3000</v>
      </c>
    </row>
    <row r="33" spans="1:4" x14ac:dyDescent="0.35">
      <c r="A33" s="305">
        <v>151</v>
      </c>
      <c r="B33" s="526">
        <v>250</v>
      </c>
      <c r="C33" s="555">
        <f>3000+20*(F25-150)</f>
        <v>0</v>
      </c>
      <c r="D33" s="344">
        <f>3000+15*(F24-150)</f>
        <v>750</v>
      </c>
    </row>
    <row r="34" spans="1:4" x14ac:dyDescent="0.35">
      <c r="A34" s="305">
        <v>251</v>
      </c>
      <c r="B34" s="526">
        <v>500</v>
      </c>
      <c r="C34" s="555">
        <f>5000+14*(F25-250)</f>
        <v>1500</v>
      </c>
      <c r="D34" s="344">
        <f>4500+12*(F24-250)</f>
        <v>1500</v>
      </c>
    </row>
    <row r="35" spans="1:4" x14ac:dyDescent="0.35">
      <c r="A35" s="305">
        <v>501</v>
      </c>
      <c r="B35" s="526">
        <v>750</v>
      </c>
      <c r="C35" s="555">
        <f>8500+7*(F25-500)</f>
        <v>5000</v>
      </c>
      <c r="D35" s="344">
        <f>7500+10*(F24-500)</f>
        <v>2500</v>
      </c>
    </row>
    <row r="36" spans="1:4" x14ac:dyDescent="0.35">
      <c r="A36" s="521">
        <v>751</v>
      </c>
      <c r="B36" s="526">
        <v>1000</v>
      </c>
      <c r="C36" s="555">
        <f>11000+7*(F25-750)</f>
        <v>5750</v>
      </c>
      <c r="D36" s="344">
        <f>10000+8*(F24-750)</f>
        <v>4000</v>
      </c>
    </row>
    <row r="37" spans="1:4" x14ac:dyDescent="0.35">
      <c r="A37" s="521">
        <v>1001</v>
      </c>
      <c r="B37" s="526">
        <v>2000</v>
      </c>
      <c r="C37" s="555">
        <f>12750+5*(F25-1000)</f>
        <v>7750</v>
      </c>
      <c r="D37" s="344">
        <f>12000+4*(F24-1000)</f>
        <v>8000</v>
      </c>
    </row>
    <row r="38" spans="1:4" x14ac:dyDescent="0.35">
      <c r="A38" s="521">
        <v>2001</v>
      </c>
      <c r="B38" s="526">
        <v>3000</v>
      </c>
      <c r="C38" s="555">
        <f>17750+4*(F25-2000)</f>
        <v>9750</v>
      </c>
      <c r="D38" s="344">
        <f>16000+3.75*(F24-2000)</f>
        <v>8500</v>
      </c>
    </row>
    <row r="39" spans="1:4" x14ac:dyDescent="0.35">
      <c r="A39" s="305">
        <v>3001</v>
      </c>
      <c r="B39" s="526">
        <v>4000</v>
      </c>
      <c r="C39" s="555">
        <f>21750+3.5*(F25-3000)</f>
        <v>11250</v>
      </c>
      <c r="D39" s="344">
        <f>19750+3.5*(F24-3000)</f>
        <v>9250</v>
      </c>
    </row>
    <row r="40" spans="1:4" x14ac:dyDescent="0.35">
      <c r="A40" s="305">
        <v>4001</v>
      </c>
      <c r="B40" s="526">
        <v>5000</v>
      </c>
      <c r="C40" s="555">
        <f>25250+3.25*(F25-4000)</f>
        <v>12250</v>
      </c>
      <c r="D40" s="344">
        <f>23250+3.25*(F24-4000)</f>
        <v>10250</v>
      </c>
    </row>
    <row r="41" spans="1:4" x14ac:dyDescent="0.35">
      <c r="A41" s="305">
        <v>5001</v>
      </c>
      <c r="B41" s="526">
        <v>6000</v>
      </c>
      <c r="C41" s="555">
        <f>28500+3*(F25-5000)</f>
        <v>13500</v>
      </c>
      <c r="D41" s="344">
        <f>26500+3*(F24-5000)</f>
        <v>11500</v>
      </c>
    </row>
    <row r="42" spans="1:4" x14ac:dyDescent="0.35">
      <c r="A42" s="305">
        <v>6001</v>
      </c>
      <c r="B42" s="526">
        <v>8000</v>
      </c>
      <c r="C42" s="555">
        <f>31500+2.75*(F25-6000)</f>
        <v>15000</v>
      </c>
      <c r="D42" s="344">
        <f>29500+2.75*(F24-6000)</f>
        <v>13000</v>
      </c>
    </row>
    <row r="43" spans="1:4" x14ac:dyDescent="0.35">
      <c r="A43" s="521">
        <v>8001</v>
      </c>
      <c r="B43" s="526">
        <v>10000</v>
      </c>
      <c r="C43" s="555">
        <f>37000+2.5*(F25-8000)</f>
        <v>17000</v>
      </c>
      <c r="D43" s="344">
        <f>35000+2.5*(F24-8000)</f>
        <v>15000</v>
      </c>
    </row>
    <row r="44" spans="1:4" x14ac:dyDescent="0.35">
      <c r="A44" s="521">
        <v>10001</v>
      </c>
      <c r="B44" s="526">
        <v>12000</v>
      </c>
      <c r="C44" s="555">
        <f>42000+2.25*(F25-10000)</f>
        <v>19500</v>
      </c>
      <c r="D44" s="344">
        <f>40000+2.25*(F24-10000)</f>
        <v>17500</v>
      </c>
    </row>
    <row r="45" spans="1:4" ht="15" thickBot="1" x14ac:dyDescent="0.4">
      <c r="A45" s="338">
        <v>12001</v>
      </c>
      <c r="B45" s="528">
        <v>14000</v>
      </c>
      <c r="C45" s="485">
        <f>46500+2*(F25-12000)</f>
        <v>22500</v>
      </c>
      <c r="D45" s="489">
        <f>44500+2*(F24-12000)</f>
        <v>20500</v>
      </c>
    </row>
    <row r="46" spans="1:4" ht="15" thickBot="1" x14ac:dyDescent="0.4">
      <c r="A46" s="483" t="s">
        <v>579</v>
      </c>
      <c r="B46" s="484"/>
      <c r="C46" s="908">
        <v>1.1000000000000001</v>
      </c>
      <c r="D46" s="909"/>
    </row>
  </sheetData>
  <mergeCells count="31">
    <mergeCell ref="A11:D11"/>
    <mergeCell ref="A12:D12"/>
    <mergeCell ref="A13:D13"/>
    <mergeCell ref="C46:D46"/>
    <mergeCell ref="A29:B29"/>
    <mergeCell ref="A20:C20"/>
    <mergeCell ref="A30:B30"/>
    <mergeCell ref="A27:H27"/>
    <mergeCell ref="A24:A25"/>
    <mergeCell ref="B24:B25"/>
    <mergeCell ref="G24:G25"/>
    <mergeCell ref="H20:H21"/>
    <mergeCell ref="A21:A22"/>
    <mergeCell ref="B21:B22"/>
    <mergeCell ref="G21:G22"/>
    <mergeCell ref="A17:D17"/>
    <mergeCell ref="C21:C22"/>
    <mergeCell ref="D20:F20"/>
    <mergeCell ref="A14:H14"/>
    <mergeCell ref="A15:H15"/>
    <mergeCell ref="A16:D16"/>
    <mergeCell ref="A1:B1"/>
    <mergeCell ref="A2:B2"/>
    <mergeCell ref="A3:B3"/>
    <mergeCell ref="A4:B4"/>
    <mergeCell ref="A5:B5"/>
    <mergeCell ref="A6:D6"/>
    <mergeCell ref="A7:G7"/>
    <mergeCell ref="A8:D8"/>
    <mergeCell ref="A9:D9"/>
    <mergeCell ref="A10:D10"/>
  </mergeCells>
  <dataValidations count="1">
    <dataValidation type="list" allowBlank="1" showInputMessage="1" showErrorMessage="1" sqref="E21:E23" xr:uid="{2348973F-5865-46F2-AE28-C2005CCFF864}">
      <formula1>"In Consolidated Club, Seperate Club, None"</formula1>
    </dataValidation>
  </dataValidations>
  <hyperlinks>
    <hyperlink ref="H6" r:id="rId1" display="WBDG - AFMAN 32-1084" xr:uid="{52CF4CCD-063B-4811-BD6A-672254E3104B}"/>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6A0B531-61A6-4451-ACB9-EE0C1AF67971}">
          <x14:formula1>
            <xm:f>'Sheet References'!$L$1:$L$978</xm:f>
          </x14:formula1>
          <xm:sqref>E1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3C345-7F56-487E-8E76-5AB0C1BD88A9}">
  <sheetPr>
    <tabColor rgb="FFFFFF99"/>
    <pageSetUpPr fitToPage="1"/>
  </sheetPr>
  <dimension ref="A1:P41"/>
  <sheetViews>
    <sheetView zoomScaleNormal="100" workbookViewId="0">
      <selection activeCell="D24" sqref="D24"/>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740664</v>
      </c>
      <c r="F1" s="38"/>
      <c r="G1" s="38"/>
      <c r="H1" s="38"/>
    </row>
    <row r="2" spans="1:8" ht="21" customHeight="1" x14ac:dyDescent="0.35">
      <c r="A2" s="676" t="s">
        <v>21</v>
      </c>
      <c r="B2" s="676"/>
      <c r="C2" s="38"/>
      <c r="D2" s="36" t="s">
        <v>107</v>
      </c>
      <c r="E2" s="37" t="str">
        <f>VLOOKUP(E1,'Sheet References'!L:M,2,FALSE)</f>
        <v>Arts and Crafts Center</v>
      </c>
      <c r="F2" s="38"/>
      <c r="G2" s="38"/>
      <c r="H2" s="38"/>
    </row>
    <row r="3" spans="1:8" ht="21" customHeight="1" x14ac:dyDescent="0.35">
      <c r="A3" s="676" t="s">
        <v>22</v>
      </c>
      <c r="B3" s="676"/>
      <c r="C3" s="36"/>
      <c r="D3" s="36" t="s">
        <v>108</v>
      </c>
      <c r="E3" s="37" t="str">
        <f>VLOOKUP(CATCode,'Sheet References'!L:O,4,FALSE)</f>
        <v>https://www.wbdg.org/FFC/AF/AFMAN/740664_Arts_and_Crafts_Center.pdf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314</v>
      </c>
      <c r="B8" s="743"/>
      <c r="C8" s="743"/>
      <c r="D8" s="743"/>
      <c r="E8" s="355">
        <f>F24</f>
        <v>0</v>
      </c>
      <c r="F8" s="68">
        <v>1</v>
      </c>
      <c r="G8" s="45">
        <f>E8*F8</f>
        <v>0</v>
      </c>
      <c r="H8" s="35"/>
    </row>
    <row r="9" spans="1:8" x14ac:dyDescent="0.35">
      <c r="A9" s="753" t="s">
        <v>257</v>
      </c>
      <c r="B9" s="743"/>
      <c r="C9" s="743"/>
      <c r="D9" s="743"/>
      <c r="E9" s="42"/>
      <c r="F9" s="68"/>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v>0</v>
      </c>
      <c r="G12" s="66">
        <f>E12*G11</f>
        <v>0</v>
      </c>
      <c r="H12" s="35" t="s">
        <v>580</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x14ac:dyDescent="0.35">
      <c r="A17" s="746" t="s">
        <v>253</v>
      </c>
      <c r="B17" s="753"/>
      <c r="C17" s="753"/>
      <c r="D17" s="753"/>
      <c r="E17" s="50">
        <v>0</v>
      </c>
      <c r="F17" s="211">
        <v>0</v>
      </c>
      <c r="G17" s="45">
        <f>G16*E17</f>
        <v>0</v>
      </c>
      <c r="H17" s="35" t="s">
        <v>580</v>
      </c>
    </row>
    <row r="18" spans="1:8" x14ac:dyDescent="0.35">
      <c r="E18" s="48" t="s">
        <v>254</v>
      </c>
      <c r="F18" s="71"/>
      <c r="G18" s="51">
        <f>SUM(G16:G17)</f>
        <v>0</v>
      </c>
    </row>
    <row r="20" spans="1:8" ht="15" thickBot="1" x14ac:dyDescent="0.4"/>
    <row r="21" spans="1:8" ht="19" customHeight="1" thickBot="1" x14ac:dyDescent="0.4">
      <c r="A21" s="711" t="s">
        <v>581</v>
      </c>
      <c r="B21" s="712"/>
      <c r="C21" s="712"/>
      <c r="D21" s="712"/>
      <c r="E21" s="713"/>
      <c r="F21" s="928" t="s">
        <v>582</v>
      </c>
      <c r="G21" s="929"/>
    </row>
    <row r="22" spans="1:8" ht="15" customHeight="1" thickBot="1" x14ac:dyDescent="0.4">
      <c r="A22" s="662" t="s">
        <v>583</v>
      </c>
      <c r="B22" s="662" t="s">
        <v>514</v>
      </c>
      <c r="C22" s="867" t="s">
        <v>495</v>
      </c>
      <c r="D22" s="662" t="s">
        <v>421</v>
      </c>
      <c r="E22" s="662" t="s">
        <v>584</v>
      </c>
      <c r="F22" s="930"/>
      <c r="G22" s="931"/>
    </row>
    <row r="23" spans="1:8" ht="43.5" customHeight="1" thickBot="1" x14ac:dyDescent="0.4">
      <c r="A23" s="663"/>
      <c r="B23" s="663"/>
      <c r="C23" s="927"/>
      <c r="D23" s="663"/>
      <c r="E23" s="663"/>
      <c r="F23" s="932" t="s">
        <v>190</v>
      </c>
      <c r="G23" s="933"/>
    </row>
    <row r="24" spans="1:8" ht="15" thickBot="1" x14ac:dyDescent="0.4">
      <c r="A24" s="402">
        <f>IF(D24="YES",'Instructions &amp; Pop Data'!D8+'Instructions &amp; Pop Data'!D10,'Instructions &amp; Pop Data'!D8)</f>
        <v>0</v>
      </c>
      <c r="B24" s="410">
        <f>IF(D24="YES",'Instructions &amp; Pop Data'!D28,'Instructions &amp; Pop Data'!D27)</f>
        <v>0</v>
      </c>
      <c r="C24" s="402">
        <f>SUM(A24+(B24*0.4))*IF(D24="y",1.25,1)</f>
        <v>0</v>
      </c>
      <c r="D24" s="455">
        <f>'Instructions &amp; Pop Data'!K4</f>
        <v>0</v>
      </c>
      <c r="E24" s="416">
        <f>VLOOKUP(C24,A28:C40,3,TRUE)</f>
        <v>0</v>
      </c>
      <c r="F24" s="925">
        <f>SUM(E24*1.1)</f>
        <v>0</v>
      </c>
      <c r="G24" s="926"/>
    </row>
    <row r="25" spans="1:8" ht="15" thickBot="1" x14ac:dyDescent="0.4"/>
    <row r="26" spans="1:8" ht="18.5" x14ac:dyDescent="0.45">
      <c r="A26" s="921" t="s">
        <v>585</v>
      </c>
      <c r="B26" s="922"/>
      <c r="C26" s="464" t="s">
        <v>586</v>
      </c>
    </row>
    <row r="27" spans="1:8" x14ac:dyDescent="0.35">
      <c r="A27" s="923" t="s">
        <v>455</v>
      </c>
      <c r="B27" s="924"/>
      <c r="C27" s="493" t="s">
        <v>516</v>
      </c>
    </row>
    <row r="28" spans="1:8" x14ac:dyDescent="0.35">
      <c r="A28" s="305">
        <v>0</v>
      </c>
      <c r="B28" s="526">
        <v>100</v>
      </c>
      <c r="C28" s="527">
        <v>0</v>
      </c>
    </row>
    <row r="29" spans="1:8" x14ac:dyDescent="0.35">
      <c r="A29" s="305">
        <v>101</v>
      </c>
      <c r="B29" s="526">
        <v>250</v>
      </c>
      <c r="C29" s="527">
        <f>1000+6.67*(C24-100)</f>
        <v>333</v>
      </c>
    </row>
    <row r="30" spans="1:8" x14ac:dyDescent="0.35">
      <c r="A30" s="305">
        <v>251</v>
      </c>
      <c r="B30" s="526">
        <v>500</v>
      </c>
      <c r="C30" s="527">
        <f>2000+4*(C24-250)</f>
        <v>1000</v>
      </c>
    </row>
    <row r="31" spans="1:8" x14ac:dyDescent="0.35">
      <c r="A31" s="305">
        <v>501</v>
      </c>
      <c r="B31" s="526">
        <v>1000</v>
      </c>
      <c r="C31" s="527">
        <f>3000+2*(C24-500)</f>
        <v>2000</v>
      </c>
    </row>
    <row r="32" spans="1:8" x14ac:dyDescent="0.35">
      <c r="A32" s="521">
        <v>1001</v>
      </c>
      <c r="B32" s="526">
        <v>3000</v>
      </c>
      <c r="C32" s="527">
        <f>4000+1*(C24-1000)</f>
        <v>3000</v>
      </c>
    </row>
    <row r="33" spans="1:3" x14ac:dyDescent="0.35">
      <c r="A33" s="521">
        <v>3001</v>
      </c>
      <c r="B33" s="526">
        <v>5000</v>
      </c>
      <c r="C33" s="527">
        <f>6000+0.75*(C24-3000)</f>
        <v>3750</v>
      </c>
    </row>
    <row r="34" spans="1:3" x14ac:dyDescent="0.35">
      <c r="A34" s="305">
        <v>5001</v>
      </c>
      <c r="B34" s="526">
        <v>7000</v>
      </c>
      <c r="C34" s="527">
        <f>7500+0.6*(C24-5000)</f>
        <v>4500</v>
      </c>
    </row>
    <row r="35" spans="1:3" x14ac:dyDescent="0.35">
      <c r="A35" s="523">
        <v>7001</v>
      </c>
      <c r="B35" s="526">
        <v>10000</v>
      </c>
      <c r="C35" s="527">
        <f>8700+0.45*(C24-7000)</f>
        <v>5550</v>
      </c>
    </row>
    <row r="36" spans="1:3" x14ac:dyDescent="0.35">
      <c r="A36" s="305">
        <v>10001</v>
      </c>
      <c r="B36" s="526">
        <v>15000</v>
      </c>
      <c r="C36" s="527">
        <f>10050+0.35*(C24-10000)</f>
        <v>6550</v>
      </c>
    </row>
    <row r="37" spans="1:3" x14ac:dyDescent="0.35">
      <c r="A37" s="305">
        <v>15001</v>
      </c>
      <c r="B37" s="526">
        <v>20000</v>
      </c>
      <c r="C37" s="527">
        <f>11800+0.25*(C24-15000)</f>
        <v>8050</v>
      </c>
    </row>
    <row r="38" spans="1:3" x14ac:dyDescent="0.35">
      <c r="A38" s="305">
        <v>20001</v>
      </c>
      <c r="B38" s="526">
        <v>25000</v>
      </c>
      <c r="C38" s="527">
        <f>13050+0.15*(C24-20000)</f>
        <v>10050</v>
      </c>
    </row>
    <row r="39" spans="1:3" x14ac:dyDescent="0.35">
      <c r="A39" s="521">
        <v>25001</v>
      </c>
      <c r="B39" s="526">
        <v>30000</v>
      </c>
      <c r="C39" s="527">
        <f>13800+0.05*(C24-25000)</f>
        <v>12550</v>
      </c>
    </row>
    <row r="40" spans="1:3" x14ac:dyDescent="0.35">
      <c r="A40" s="521">
        <v>30001</v>
      </c>
      <c r="B40" s="526">
        <v>10000000</v>
      </c>
      <c r="C40" s="527">
        <f>14050+0.01*(C24-30000)</f>
        <v>13750</v>
      </c>
    </row>
    <row r="41" spans="1:3" ht="15" thickBot="1" x14ac:dyDescent="0.4">
      <c r="A41" s="319" t="s">
        <v>579</v>
      </c>
      <c r="B41" s="528"/>
      <c r="C41" s="320">
        <v>1.1000000000000001</v>
      </c>
    </row>
  </sheetData>
  <mergeCells count="28">
    <mergeCell ref="A21:E21"/>
    <mergeCell ref="A26:B26"/>
    <mergeCell ref="A27:B27"/>
    <mergeCell ref="F24:G24"/>
    <mergeCell ref="A6:D6"/>
    <mergeCell ref="A22:A23"/>
    <mergeCell ref="B22:B23"/>
    <mergeCell ref="C22:C23"/>
    <mergeCell ref="D22:D23"/>
    <mergeCell ref="E22:E23"/>
    <mergeCell ref="F21:G22"/>
    <mergeCell ref="F23:G23"/>
    <mergeCell ref="A17:D17"/>
    <mergeCell ref="A7:G7"/>
    <mergeCell ref="A8:D8"/>
    <mergeCell ref="A9:D9"/>
    <mergeCell ref="A10:D10"/>
    <mergeCell ref="A11:D11"/>
    <mergeCell ref="A1:B1"/>
    <mergeCell ref="A2:B2"/>
    <mergeCell ref="A3:B3"/>
    <mergeCell ref="A4:B4"/>
    <mergeCell ref="A5:B5"/>
    <mergeCell ref="A12:D12"/>
    <mergeCell ref="A13:D13"/>
    <mergeCell ref="A14:H14"/>
    <mergeCell ref="A15:H15"/>
    <mergeCell ref="A16:D16"/>
  </mergeCells>
  <hyperlinks>
    <hyperlink ref="H6" r:id="rId1" display="WBDG - AFMAN 32-1084" xr:uid="{8208FC64-6939-42BF-AE16-1F5677368461}"/>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3B0ABC6-F172-4C32-BB06-BF039B263050}">
          <x14:formula1>
            <xm:f>'Sheet References'!$L$1:$L$978</xm:f>
          </x14:formula1>
          <xm:sqref>E1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2A727-94D1-418D-8174-D02B06BE560A}">
  <sheetPr>
    <tabColor rgb="FFFFFF99"/>
    <pageSetUpPr fitToPage="1"/>
  </sheetPr>
  <dimension ref="A1:P39"/>
  <sheetViews>
    <sheetView zoomScaleNormal="100" workbookViewId="0">
      <selection activeCell="D23" sqref="D23"/>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740665</v>
      </c>
      <c r="F1" s="38"/>
      <c r="G1" s="38"/>
      <c r="H1" s="38"/>
    </row>
    <row r="2" spans="1:8" ht="21" customHeight="1" x14ac:dyDescent="0.35">
      <c r="A2" s="676" t="s">
        <v>21</v>
      </c>
      <c r="B2" s="676"/>
      <c r="C2" s="38"/>
      <c r="D2" s="36" t="s">
        <v>107</v>
      </c>
      <c r="E2" s="37" t="str">
        <f>VLOOKUP(E1,'Sheet References'!L:M,2,FALSE)</f>
        <v>Hobby Shop Automotive</v>
      </c>
      <c r="F2" s="38"/>
      <c r="G2" s="38"/>
      <c r="H2" s="38"/>
    </row>
    <row r="3" spans="1:8" ht="21" customHeight="1" x14ac:dyDescent="0.35">
      <c r="A3" s="676" t="s">
        <v>22</v>
      </c>
      <c r="B3" s="676"/>
      <c r="C3" s="36"/>
      <c r="D3" s="36" t="s">
        <v>108</v>
      </c>
      <c r="E3" s="37" t="str">
        <f>VLOOKUP(CATCode,'Sheet References'!L:O,4,FALSE)</f>
        <v>https://www.wbdg.org/FFC/AF/AFMAN/740665_Hobby_Shop_Automotive.pdf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314</v>
      </c>
      <c r="B8" s="743"/>
      <c r="C8" s="743"/>
      <c r="D8" s="743"/>
      <c r="E8" s="355">
        <f>F23</f>
        <v>0</v>
      </c>
      <c r="F8" s="68">
        <v>1</v>
      </c>
      <c r="G8" s="45">
        <f>E8*F8</f>
        <v>0</v>
      </c>
      <c r="H8" s="35"/>
    </row>
    <row r="9" spans="1:8" x14ac:dyDescent="0.35">
      <c r="A9" s="753" t="s">
        <v>257</v>
      </c>
      <c r="B9" s="743"/>
      <c r="C9" s="743"/>
      <c r="D9" s="743"/>
      <c r="E9" s="42"/>
      <c r="F9" s="68"/>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v>0</v>
      </c>
      <c r="G11" s="51">
        <f>SUM(G8:G10)</f>
        <v>0</v>
      </c>
      <c r="H11" s="35"/>
    </row>
    <row r="12" spans="1:8" x14ac:dyDescent="0.35">
      <c r="A12" s="758" t="s">
        <v>249</v>
      </c>
      <c r="B12" s="759"/>
      <c r="C12" s="759"/>
      <c r="D12" s="759"/>
      <c r="E12" s="50">
        <v>0</v>
      </c>
      <c r="F12" s="42"/>
      <c r="G12" s="66">
        <f>E12*G11</f>
        <v>0</v>
      </c>
      <c r="H12" s="35" t="s">
        <v>580</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x14ac:dyDescent="0.35">
      <c r="A17" s="746" t="s">
        <v>253</v>
      </c>
      <c r="B17" s="753"/>
      <c r="C17" s="753"/>
      <c r="D17" s="753"/>
      <c r="E17" s="50">
        <v>0</v>
      </c>
      <c r="F17" s="211">
        <v>0</v>
      </c>
      <c r="G17" s="45">
        <f>G16*E17</f>
        <v>0</v>
      </c>
      <c r="H17" s="35" t="s">
        <v>580</v>
      </c>
    </row>
    <row r="18" spans="1:8" x14ac:dyDescent="0.35">
      <c r="E18" s="48" t="s">
        <v>254</v>
      </c>
      <c r="F18" s="71"/>
      <c r="G18" s="51">
        <f>SUM(G16:G17)</f>
        <v>0</v>
      </c>
    </row>
    <row r="19" spans="1:8" ht="15" thickBot="1" x14ac:dyDescent="0.4"/>
    <row r="20" spans="1:8" ht="19" customHeight="1" thickBot="1" x14ac:dyDescent="0.4">
      <c r="A20" s="934" t="s">
        <v>587</v>
      </c>
      <c r="B20" s="935"/>
      <c r="C20" s="935"/>
      <c r="D20" s="935"/>
      <c r="E20" s="936"/>
      <c r="F20" s="938" t="s">
        <v>588</v>
      </c>
      <c r="G20" s="939"/>
    </row>
    <row r="21" spans="1:8" ht="15" customHeight="1" thickBot="1" x14ac:dyDescent="0.4">
      <c r="A21" s="662" t="s">
        <v>523</v>
      </c>
      <c r="B21" s="662" t="s">
        <v>493</v>
      </c>
      <c r="C21" s="867" t="s">
        <v>495</v>
      </c>
      <c r="D21" s="658" t="s">
        <v>421</v>
      </c>
      <c r="E21" s="919" t="s">
        <v>589</v>
      </c>
      <c r="F21" s="940"/>
      <c r="G21" s="941"/>
    </row>
    <row r="22" spans="1:8" ht="31.5" customHeight="1" x14ac:dyDescent="0.35">
      <c r="A22" s="663"/>
      <c r="B22" s="663"/>
      <c r="C22" s="927"/>
      <c r="D22" s="937"/>
      <c r="E22" s="920"/>
      <c r="F22" s="942" t="s">
        <v>190</v>
      </c>
      <c r="G22" s="943"/>
    </row>
    <row r="23" spans="1:8" x14ac:dyDescent="0.35">
      <c r="A23" s="416">
        <f>IF(D23="YES",'Instructions &amp; Pop Data'!D8+'Instructions &amp; Pop Data'!D10,'Instructions &amp; Pop Data'!D8)</f>
        <v>0</v>
      </c>
      <c r="B23" s="402">
        <f>IF(D23="YES",'Instructions &amp; Pop Data'!D28,'Instructions &amp; Pop Data'!D27)</f>
        <v>0</v>
      </c>
      <c r="C23" s="402">
        <f>SUM(A23+(B23*0.1))*IF(D23="y",1.25,1)</f>
        <v>0</v>
      </c>
      <c r="D23" s="374">
        <f>'Instructions &amp; Pop Data'!K4</f>
        <v>0</v>
      </c>
      <c r="E23" s="416">
        <f>VLOOKUP(C23,A27:C38,3,TRUE)</f>
        <v>0</v>
      </c>
      <c r="F23" s="925">
        <f>SUM(E23*1.1)</f>
        <v>0</v>
      </c>
      <c r="G23" s="926"/>
    </row>
    <row r="24" spans="1:8" ht="15" thickBot="1" x14ac:dyDescent="0.4"/>
    <row r="25" spans="1:8" ht="18.5" x14ac:dyDescent="0.45">
      <c r="A25" s="716" t="s">
        <v>590</v>
      </c>
      <c r="B25" s="717"/>
      <c r="C25" s="718"/>
    </row>
    <row r="26" spans="1:8" x14ac:dyDescent="0.35">
      <c r="A26" s="923" t="s">
        <v>455</v>
      </c>
      <c r="B26" s="924"/>
      <c r="C26" s="493" t="s">
        <v>591</v>
      </c>
    </row>
    <row r="27" spans="1:8" x14ac:dyDescent="0.35">
      <c r="A27" s="305">
        <v>0</v>
      </c>
      <c r="B27" s="526">
        <v>25</v>
      </c>
      <c r="C27" s="527">
        <v>0</v>
      </c>
    </row>
    <row r="28" spans="1:8" x14ac:dyDescent="0.35">
      <c r="A28" s="305">
        <v>26</v>
      </c>
      <c r="B28" s="526">
        <v>100</v>
      </c>
      <c r="C28" s="527">
        <v>1000</v>
      </c>
    </row>
    <row r="29" spans="1:8" x14ac:dyDescent="0.35">
      <c r="A29" s="305">
        <v>101</v>
      </c>
      <c r="B29" s="526">
        <v>250</v>
      </c>
      <c r="C29" s="527">
        <v>1500</v>
      </c>
    </row>
    <row r="30" spans="1:8" x14ac:dyDescent="0.35">
      <c r="A30" s="305">
        <v>251</v>
      </c>
      <c r="B30" s="526">
        <v>1000</v>
      </c>
      <c r="C30" s="527">
        <v>2000</v>
      </c>
    </row>
    <row r="31" spans="1:8" x14ac:dyDescent="0.35">
      <c r="A31" s="521">
        <v>1001</v>
      </c>
      <c r="B31" s="526">
        <v>3000</v>
      </c>
      <c r="C31" s="527">
        <v>4000</v>
      </c>
    </row>
    <row r="32" spans="1:8" x14ac:dyDescent="0.35">
      <c r="A32" s="521">
        <v>3001</v>
      </c>
      <c r="B32" s="526">
        <v>5000</v>
      </c>
      <c r="C32" s="527">
        <v>6000</v>
      </c>
    </row>
    <row r="33" spans="1:3" x14ac:dyDescent="0.35">
      <c r="A33" s="305">
        <v>5001</v>
      </c>
      <c r="B33" s="526">
        <v>7000</v>
      </c>
      <c r="C33" s="527">
        <v>8000</v>
      </c>
    </row>
    <row r="34" spans="1:3" x14ac:dyDescent="0.35">
      <c r="A34" s="523">
        <v>7001</v>
      </c>
      <c r="B34" s="526">
        <v>10000</v>
      </c>
      <c r="C34" s="527">
        <v>10000</v>
      </c>
    </row>
    <row r="35" spans="1:3" x14ac:dyDescent="0.35">
      <c r="A35" s="305">
        <v>10001</v>
      </c>
      <c r="B35" s="526">
        <v>15000</v>
      </c>
      <c r="C35" s="527">
        <v>12500</v>
      </c>
    </row>
    <row r="36" spans="1:3" x14ac:dyDescent="0.35">
      <c r="A36" s="305">
        <v>15001</v>
      </c>
      <c r="B36" s="526">
        <v>20000</v>
      </c>
      <c r="C36" s="527">
        <v>17000</v>
      </c>
    </row>
    <row r="37" spans="1:3" x14ac:dyDescent="0.35">
      <c r="A37" s="305">
        <v>20001</v>
      </c>
      <c r="B37" s="526">
        <v>30000</v>
      </c>
      <c r="C37" s="527">
        <v>24000</v>
      </c>
    </row>
    <row r="38" spans="1:3" x14ac:dyDescent="0.35">
      <c r="A38" s="521">
        <v>30001</v>
      </c>
      <c r="B38" s="526">
        <v>10000000</v>
      </c>
      <c r="C38" s="527">
        <v>30000</v>
      </c>
    </row>
    <row r="39" spans="1:3" ht="15" thickBot="1" x14ac:dyDescent="0.4">
      <c r="A39" s="321"/>
      <c r="B39" s="318" t="s">
        <v>579</v>
      </c>
      <c r="C39" s="322">
        <v>1.1000000000000001</v>
      </c>
    </row>
  </sheetData>
  <mergeCells count="28">
    <mergeCell ref="A20:E20"/>
    <mergeCell ref="A25:C25"/>
    <mergeCell ref="A26:B26"/>
    <mergeCell ref="F23:G23"/>
    <mergeCell ref="A6:D6"/>
    <mergeCell ref="A21:A22"/>
    <mergeCell ref="B21:B22"/>
    <mergeCell ref="C21:C22"/>
    <mergeCell ref="D21:D22"/>
    <mergeCell ref="E21:E22"/>
    <mergeCell ref="F20:G21"/>
    <mergeCell ref="F22:G22"/>
    <mergeCell ref="A17:D17"/>
    <mergeCell ref="A7:G7"/>
    <mergeCell ref="A8:D8"/>
    <mergeCell ref="A9:D9"/>
    <mergeCell ref="A10:D10"/>
    <mergeCell ref="A11:D11"/>
    <mergeCell ref="A1:B1"/>
    <mergeCell ref="A2:B2"/>
    <mergeCell ref="A3:B3"/>
    <mergeCell ref="A4:B4"/>
    <mergeCell ref="A5:B5"/>
    <mergeCell ref="A12:D12"/>
    <mergeCell ref="A13:D13"/>
    <mergeCell ref="A14:H14"/>
    <mergeCell ref="A15:H15"/>
    <mergeCell ref="A16:D16"/>
  </mergeCells>
  <hyperlinks>
    <hyperlink ref="H6" r:id="rId1" display="WBDG - AFMAN 32-1084" xr:uid="{89F4FBAC-BD89-4B99-9289-D227E80CB2C9}"/>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E164038-6F8E-42B7-BAF4-F129D19DA8B0}">
          <x14:formula1>
            <xm:f>'Sheet References'!$L$1:$L$978</xm:f>
          </x14:formula1>
          <xm:sqref>E1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47E54-10A6-457F-9594-AD844BB270BA}">
  <sheetPr>
    <tabColor rgb="FFFFFF99"/>
    <pageSetUpPr fitToPage="1"/>
  </sheetPr>
  <dimension ref="A1:P20"/>
  <sheetViews>
    <sheetView zoomScaleNormal="100" workbookViewId="0">
      <selection activeCell="A20" sqref="A20:D20"/>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740668</v>
      </c>
      <c r="F1" s="38"/>
      <c r="G1" s="38"/>
      <c r="H1" s="38"/>
    </row>
    <row r="2" spans="1:8" ht="21" customHeight="1" x14ac:dyDescent="0.35">
      <c r="A2" s="676" t="s">
        <v>21</v>
      </c>
      <c r="B2" s="676"/>
      <c r="C2" s="38"/>
      <c r="D2" s="36" t="s">
        <v>107</v>
      </c>
      <c r="E2" s="37" t="str">
        <f>VLOOKUP(E1,'Sheet References'!L:M,2,FALSE)</f>
        <v>Recreation Support Facility</v>
      </c>
      <c r="F2" s="38"/>
      <c r="G2" s="38"/>
      <c r="H2" s="38"/>
    </row>
    <row r="3" spans="1:8" ht="21" customHeight="1" x14ac:dyDescent="0.35">
      <c r="A3" s="676" t="s">
        <v>22</v>
      </c>
      <c r="B3" s="676"/>
      <c r="C3" s="36"/>
      <c r="D3" s="36" t="s">
        <v>108</v>
      </c>
      <c r="E3" s="37" t="str">
        <f>VLOOKUP(CATCode,'Sheet References'!L:O,4,FALSE)</f>
        <v>https://www.wbdg.org/FFC/AF/AFMAN/740668_Indoor_Miscellaneous_Recreation_Building.pdf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248</v>
      </c>
      <c r="B8" s="743"/>
      <c r="C8" s="743"/>
      <c r="D8" s="743"/>
      <c r="E8" s="42"/>
      <c r="F8" s="68"/>
      <c r="G8" s="45">
        <f>E8*F8</f>
        <v>0</v>
      </c>
      <c r="H8" s="35"/>
    </row>
    <row r="9" spans="1:8" x14ac:dyDescent="0.35">
      <c r="A9" s="756" t="s">
        <v>248</v>
      </c>
      <c r="B9" s="743"/>
      <c r="C9" s="743"/>
      <c r="D9" s="743"/>
      <c r="E9" s="42"/>
      <c r="F9" s="68"/>
      <c r="G9" s="45">
        <f>E9*F9</f>
        <v>0</v>
      </c>
      <c r="H9" s="46"/>
    </row>
    <row r="10" spans="1:8" x14ac:dyDescent="0.35">
      <c r="A10" s="756" t="s">
        <v>248</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x14ac:dyDescent="0.35">
      <c r="A17" s="746" t="s">
        <v>253</v>
      </c>
      <c r="B17" s="753"/>
      <c r="C17" s="753"/>
      <c r="D17" s="753"/>
      <c r="E17" s="50">
        <v>0</v>
      </c>
      <c r="F17" s="43"/>
      <c r="G17" s="45">
        <f>G16*E17</f>
        <v>0</v>
      </c>
      <c r="H17" s="35" t="s">
        <v>176</v>
      </c>
    </row>
    <row r="18" spans="1:8" x14ac:dyDescent="0.35">
      <c r="E18" s="48" t="s">
        <v>254</v>
      </c>
      <c r="F18" s="71"/>
      <c r="G18" s="51">
        <f>SUM(G16:G17)</f>
        <v>0</v>
      </c>
      <c r="H18" s="35"/>
    </row>
    <row r="19" spans="1:8" ht="15" thickBot="1" x14ac:dyDescent="0.4"/>
    <row r="20" spans="1:8" ht="16" thickBot="1" x14ac:dyDescent="0.4">
      <c r="A20" s="747" t="s">
        <v>353</v>
      </c>
      <c r="B20" s="748"/>
      <c r="C20" s="748"/>
      <c r="D20" s="749"/>
    </row>
  </sheetData>
  <mergeCells count="18">
    <mergeCell ref="A6:D6"/>
    <mergeCell ref="A1:B1"/>
    <mergeCell ref="A2:B2"/>
    <mergeCell ref="A3:B3"/>
    <mergeCell ref="A4:B4"/>
    <mergeCell ref="A5:B5"/>
    <mergeCell ref="A20:D20"/>
    <mergeCell ref="A17:D17"/>
    <mergeCell ref="A7:G7"/>
    <mergeCell ref="A8:D8"/>
    <mergeCell ref="A9:D9"/>
    <mergeCell ref="A10:D10"/>
    <mergeCell ref="A11:D11"/>
    <mergeCell ref="A12:D12"/>
    <mergeCell ref="A13:D13"/>
    <mergeCell ref="A14:H14"/>
    <mergeCell ref="A15:H15"/>
    <mergeCell ref="A16:D16"/>
  </mergeCells>
  <hyperlinks>
    <hyperlink ref="H6" r:id="rId1" display="WBDG - AFMAN 32-1084" xr:uid="{069024BA-3856-443F-B69E-ECBFE6EA8BF0}"/>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9B694C4-571E-4157-AA7B-83D1A986EDEF}">
          <x14:formula1>
            <xm:f>'Sheet References'!$L$1:$L$978</xm:f>
          </x14:formula1>
          <xm:sqref>E1</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096C4-25D2-4EE2-9F16-6CDE2A09E6B2}">
  <sheetPr>
    <tabColor rgb="FFFFFF99"/>
    <pageSetUpPr fitToPage="1"/>
  </sheetPr>
  <dimension ref="A1:P52"/>
  <sheetViews>
    <sheetView zoomScaleNormal="100" workbookViewId="0">
      <selection activeCell="F48" sqref="F4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8" style="1" bestFit="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740671</v>
      </c>
      <c r="F1" s="38"/>
      <c r="G1" s="38"/>
      <c r="H1" s="38"/>
    </row>
    <row r="2" spans="1:8" ht="21" customHeight="1" x14ac:dyDescent="0.35">
      <c r="A2" s="676" t="s">
        <v>21</v>
      </c>
      <c r="B2" s="676"/>
      <c r="C2" s="38"/>
      <c r="D2" s="36" t="s">
        <v>107</v>
      </c>
      <c r="E2" s="37" t="str">
        <f>VLOOKUP(E1,'Sheet References'!L:M,2,FALSE)</f>
        <v>Bowling Center</v>
      </c>
      <c r="F2" s="38"/>
      <c r="G2" s="38"/>
      <c r="H2" s="38"/>
    </row>
    <row r="3" spans="1:8" ht="21" customHeight="1" x14ac:dyDescent="0.35">
      <c r="A3" s="676" t="s">
        <v>22</v>
      </c>
      <c r="B3" s="676"/>
      <c r="C3" s="36"/>
      <c r="D3" s="36" t="s">
        <v>108</v>
      </c>
      <c r="E3" s="37" t="str">
        <f>VLOOKUP(CATCode,'Sheet References'!L:O,4,FALSE)</f>
        <v>https://www.wbdg.org/FFC/AF/AFMAN/740671_Bowling_Center.pdf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592</v>
      </c>
      <c r="B8" s="743"/>
      <c r="C8" s="743"/>
      <c r="D8" s="743"/>
      <c r="E8" s="355">
        <f>F23</f>
        <v>0</v>
      </c>
      <c r="F8" s="68">
        <v>1</v>
      </c>
      <c r="G8" s="45">
        <f>E8*F8</f>
        <v>0</v>
      </c>
      <c r="H8" s="35"/>
    </row>
    <row r="9" spans="1:8" x14ac:dyDescent="0.35">
      <c r="A9" s="753" t="s">
        <v>593</v>
      </c>
      <c r="B9" s="743"/>
      <c r="C9" s="743"/>
      <c r="D9" s="743"/>
      <c r="E9" s="355">
        <f>F26</f>
        <v>0</v>
      </c>
      <c r="F9" s="68">
        <v>1</v>
      </c>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v>0</v>
      </c>
      <c r="G12" s="66">
        <f>E12*G11</f>
        <v>0</v>
      </c>
      <c r="H12" s="35" t="s">
        <v>580</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x14ac:dyDescent="0.35">
      <c r="A17" s="746" t="s">
        <v>253</v>
      </c>
      <c r="B17" s="753"/>
      <c r="C17" s="753"/>
      <c r="D17" s="753"/>
      <c r="E17" s="50">
        <v>0</v>
      </c>
      <c r="F17" s="211">
        <v>0</v>
      </c>
      <c r="G17" s="45">
        <f>G16*E17</f>
        <v>0</v>
      </c>
      <c r="H17" s="35" t="s">
        <v>580</v>
      </c>
    </row>
    <row r="18" spans="1:8" x14ac:dyDescent="0.35">
      <c r="E18" s="48" t="s">
        <v>254</v>
      </c>
      <c r="F18" s="71"/>
      <c r="G18" s="51">
        <f>SUM(G16:G17)</f>
        <v>0</v>
      </c>
    </row>
    <row r="19" spans="1:8" ht="15" thickBot="1" x14ac:dyDescent="0.4"/>
    <row r="20" spans="1:8" ht="19" customHeight="1" thickBot="1" x14ac:dyDescent="0.4">
      <c r="A20" s="711" t="s">
        <v>594</v>
      </c>
      <c r="B20" s="712"/>
      <c r="C20" s="712"/>
      <c r="D20" s="712"/>
      <c r="E20" s="712"/>
      <c r="F20" s="712"/>
      <c r="G20" s="713"/>
    </row>
    <row r="21" spans="1:8" ht="15" customHeight="1" x14ac:dyDescent="0.35">
      <c r="A21" s="653" t="s">
        <v>421</v>
      </c>
      <c r="B21" s="662" t="s">
        <v>583</v>
      </c>
      <c r="C21" s="653" t="s">
        <v>514</v>
      </c>
      <c r="D21" s="707" t="s">
        <v>595</v>
      </c>
      <c r="E21" s="653" t="s">
        <v>495</v>
      </c>
      <c r="F21" s="955" t="s">
        <v>596</v>
      </c>
      <c r="G21" s="956"/>
    </row>
    <row r="22" spans="1:8" ht="15" thickBot="1" x14ac:dyDescent="0.4">
      <c r="A22" s="655"/>
      <c r="B22" s="663"/>
      <c r="C22" s="655"/>
      <c r="D22" s="884"/>
      <c r="E22" s="655"/>
      <c r="F22" s="957"/>
      <c r="G22" s="958"/>
    </row>
    <row r="23" spans="1:8" ht="15" thickBot="1" x14ac:dyDescent="0.4">
      <c r="A23" s="374">
        <f>'Instructions &amp; Pop Data'!K4</f>
        <v>0</v>
      </c>
      <c r="B23" s="416">
        <f>IF(A23="YES",'Instructions &amp; Pop Data'!D8+'Instructions &amp; Pop Data'!D10,'Instructions &amp; Pop Data'!D8)</f>
        <v>0</v>
      </c>
      <c r="C23" s="402">
        <f>IF(A23="YES",'Instructions &amp; Pop Data'!D28,'Instructions &amp; Pop Data'!D27)</f>
        <v>0</v>
      </c>
      <c r="D23" s="364">
        <v>0</v>
      </c>
      <c r="E23" s="402">
        <f>SUM(B23+(C23*0.5)+(D23*0.5))</f>
        <v>0</v>
      </c>
      <c r="F23" s="962">
        <f>IF(B26&lt;=16,VLOOKUP(E23,A30:H44,8,TRUE),0)-D26</f>
        <v>0</v>
      </c>
      <c r="G23" s="897"/>
    </row>
    <row r="24" spans="1:8" ht="15" customHeight="1" x14ac:dyDescent="0.35">
      <c r="A24" s="653" t="s">
        <v>597</v>
      </c>
      <c r="B24" s="707" t="s">
        <v>598</v>
      </c>
      <c r="C24" s="707" t="s">
        <v>599</v>
      </c>
      <c r="D24" s="707" t="s">
        <v>600</v>
      </c>
      <c r="E24" s="963" t="s">
        <v>601</v>
      </c>
      <c r="F24" s="656" t="s">
        <v>602</v>
      </c>
      <c r="G24" s="714"/>
    </row>
    <row r="25" spans="1:8" ht="15" customHeight="1" thickBot="1" x14ac:dyDescent="0.4">
      <c r="A25" s="655"/>
      <c r="B25" s="884"/>
      <c r="C25" s="947"/>
      <c r="D25" s="884"/>
      <c r="E25" s="964"/>
      <c r="F25" s="789"/>
      <c r="G25" s="790"/>
    </row>
    <row r="26" spans="1:8" ht="15" thickBot="1" x14ac:dyDescent="0.4">
      <c r="A26" s="402">
        <f>VLOOKUP(E23,$A$30:$B$44,2,TRUE)</f>
        <v>0</v>
      </c>
      <c r="B26" s="364"/>
      <c r="C26" s="503">
        <f>SUM(VLOOKUP(E23,A30:F44,6,TRUE)-D26-E26)</f>
        <v>0</v>
      </c>
      <c r="D26" s="364"/>
      <c r="E26" s="200"/>
      <c r="F26" s="948">
        <f>IF(B26&gt;=17,VLOOKUP(E23,A30:H44,8,TRUE),D26)</f>
        <v>0</v>
      </c>
      <c r="G26" s="949"/>
    </row>
    <row r="27" spans="1:8" ht="15" thickBot="1" x14ac:dyDescent="0.4">
      <c r="C27" s="496"/>
      <c r="D27" s="497"/>
      <c r="E27" s="505"/>
      <c r="F27" s="505"/>
      <c r="G27" s="505"/>
    </row>
    <row r="28" spans="1:8" ht="18.649999999999999" customHeight="1" thickBot="1" x14ac:dyDescent="0.4">
      <c r="A28" s="953" t="s">
        <v>603</v>
      </c>
      <c r="B28" s="498" t="s">
        <v>604</v>
      </c>
      <c r="C28" s="952" t="s">
        <v>605</v>
      </c>
      <c r="D28" s="951"/>
      <c r="E28" s="950" t="s">
        <v>599</v>
      </c>
      <c r="F28" s="951"/>
      <c r="G28" s="950" t="s">
        <v>606</v>
      </c>
      <c r="H28" s="951"/>
    </row>
    <row r="29" spans="1:8" ht="18.5" thickBot="1" x14ac:dyDescent="0.4">
      <c r="A29" s="954"/>
      <c r="B29" s="499" t="s">
        <v>607</v>
      </c>
      <c r="C29" s="499" t="s">
        <v>608</v>
      </c>
      <c r="D29" s="499" t="s">
        <v>609</v>
      </c>
      <c r="E29" s="499" t="s">
        <v>608</v>
      </c>
      <c r="F29" s="499" t="s">
        <v>609</v>
      </c>
      <c r="G29" s="499" t="s">
        <v>608</v>
      </c>
      <c r="H29" s="499" t="s">
        <v>609</v>
      </c>
    </row>
    <row r="30" spans="1:8" ht="15" customHeight="1" thickBot="1" x14ac:dyDescent="0.4">
      <c r="A30" s="502">
        <v>0</v>
      </c>
      <c r="B30" s="500">
        <v>0</v>
      </c>
      <c r="C30" s="500">
        <v>0</v>
      </c>
      <c r="D30" s="500">
        <v>0</v>
      </c>
      <c r="E30" s="500">
        <v>0</v>
      </c>
      <c r="F30" s="500">
        <v>0</v>
      </c>
      <c r="G30" s="500">
        <v>0</v>
      </c>
      <c r="H30" s="500">
        <v>0</v>
      </c>
    </row>
    <row r="31" spans="1:8" ht="15" customHeight="1" thickBot="1" x14ac:dyDescent="0.4">
      <c r="A31" s="502">
        <v>1001</v>
      </c>
      <c r="B31" s="500">
        <v>6</v>
      </c>
      <c r="C31" s="500">
        <v>669</v>
      </c>
      <c r="D31" s="500">
        <v>7200</v>
      </c>
      <c r="E31" s="500">
        <v>74</v>
      </c>
      <c r="F31" s="500">
        <v>800</v>
      </c>
      <c r="G31" s="500">
        <v>743</v>
      </c>
      <c r="H31" s="500">
        <v>8000</v>
      </c>
    </row>
    <row r="32" spans="1:8" ht="16" thickBot="1" x14ac:dyDescent="0.4">
      <c r="A32" s="502">
        <v>2001</v>
      </c>
      <c r="B32" s="500">
        <v>8</v>
      </c>
      <c r="C32" s="500">
        <v>836</v>
      </c>
      <c r="D32" s="500">
        <v>9000</v>
      </c>
      <c r="E32" s="500">
        <v>93</v>
      </c>
      <c r="F32" s="500">
        <v>1000</v>
      </c>
      <c r="G32" s="500">
        <v>929</v>
      </c>
      <c r="H32" s="500">
        <v>10000</v>
      </c>
    </row>
    <row r="33" spans="1:8" ht="16" thickBot="1" x14ac:dyDescent="0.4">
      <c r="A33" s="502">
        <v>3501</v>
      </c>
      <c r="B33" s="501">
        <v>10</v>
      </c>
      <c r="C33" s="500">
        <v>1003</v>
      </c>
      <c r="D33" s="500">
        <v>10800</v>
      </c>
      <c r="E33" s="500">
        <v>111</v>
      </c>
      <c r="F33" s="500">
        <v>1200</v>
      </c>
      <c r="G33" s="500">
        <v>1115</v>
      </c>
      <c r="H33" s="500">
        <v>12000</v>
      </c>
    </row>
    <row r="34" spans="1:8" ht="15" customHeight="1" thickBot="1" x14ac:dyDescent="0.4">
      <c r="A34" s="502">
        <v>7001</v>
      </c>
      <c r="B34" s="500">
        <v>12</v>
      </c>
      <c r="C34" s="500">
        <v>1171</v>
      </c>
      <c r="D34" s="500">
        <v>12600</v>
      </c>
      <c r="E34" s="500">
        <v>130</v>
      </c>
      <c r="F34" s="500">
        <v>1400</v>
      </c>
      <c r="G34" s="500">
        <v>1301</v>
      </c>
      <c r="H34" s="500">
        <v>14000</v>
      </c>
    </row>
    <row r="35" spans="1:8" ht="16" thickBot="1" x14ac:dyDescent="0.4">
      <c r="A35" s="502">
        <v>9001</v>
      </c>
      <c r="B35" s="500">
        <v>16</v>
      </c>
      <c r="C35" s="500">
        <v>1338</v>
      </c>
      <c r="D35" s="500">
        <v>14400</v>
      </c>
      <c r="E35" s="500">
        <v>149</v>
      </c>
      <c r="F35" s="500">
        <v>1600</v>
      </c>
      <c r="G35" s="500">
        <v>1486</v>
      </c>
      <c r="H35" s="500">
        <v>16000</v>
      </c>
    </row>
    <row r="36" spans="1:8" ht="16" thickBot="1" x14ac:dyDescent="0.4">
      <c r="A36" s="502">
        <v>10001</v>
      </c>
      <c r="B36" s="500">
        <v>20</v>
      </c>
      <c r="C36" s="500">
        <v>1672</v>
      </c>
      <c r="D36" s="500">
        <v>18000</v>
      </c>
      <c r="E36" s="500">
        <v>186</v>
      </c>
      <c r="F36" s="500">
        <v>2000</v>
      </c>
      <c r="G36" s="500">
        <v>1858</v>
      </c>
      <c r="H36" s="500">
        <v>20000</v>
      </c>
    </row>
    <row r="37" spans="1:8" ht="16" thickBot="1" x14ac:dyDescent="0.4">
      <c r="A37" s="502">
        <v>11001</v>
      </c>
      <c r="B37" s="500">
        <v>22</v>
      </c>
      <c r="C37" s="500">
        <v>1839</v>
      </c>
      <c r="D37" s="500">
        <v>19800</v>
      </c>
      <c r="E37" s="500">
        <v>204</v>
      </c>
      <c r="F37" s="500">
        <v>2200</v>
      </c>
      <c r="G37" s="500">
        <v>2044</v>
      </c>
      <c r="H37" s="500">
        <v>22000</v>
      </c>
    </row>
    <row r="38" spans="1:8" ht="16" thickBot="1" x14ac:dyDescent="0.4">
      <c r="A38" s="502">
        <v>12001</v>
      </c>
      <c r="B38" s="500">
        <v>24</v>
      </c>
      <c r="C38" s="500">
        <v>2007</v>
      </c>
      <c r="D38" s="500">
        <v>21600</v>
      </c>
      <c r="E38" s="500">
        <v>223</v>
      </c>
      <c r="F38" s="500">
        <v>2400</v>
      </c>
      <c r="G38" s="500">
        <v>2230</v>
      </c>
      <c r="H38" s="500">
        <v>24000</v>
      </c>
    </row>
    <row r="39" spans="1:8" ht="16" thickBot="1" x14ac:dyDescent="0.4">
      <c r="A39" s="502">
        <v>13501</v>
      </c>
      <c r="B39" s="500">
        <v>26</v>
      </c>
      <c r="C39" s="500">
        <v>2174</v>
      </c>
      <c r="D39" s="500">
        <v>23400</v>
      </c>
      <c r="E39" s="500">
        <v>242</v>
      </c>
      <c r="F39" s="500">
        <v>2600</v>
      </c>
      <c r="G39" s="500">
        <v>2415</v>
      </c>
      <c r="H39" s="500">
        <v>26000</v>
      </c>
    </row>
    <row r="40" spans="1:8" ht="16" thickBot="1" x14ac:dyDescent="0.4">
      <c r="A40" s="502">
        <v>15001</v>
      </c>
      <c r="B40" s="500">
        <v>28</v>
      </c>
      <c r="C40" s="500">
        <v>2341</v>
      </c>
      <c r="D40" s="500">
        <v>25200</v>
      </c>
      <c r="E40" s="500">
        <v>260</v>
      </c>
      <c r="F40" s="500">
        <v>2800</v>
      </c>
      <c r="G40" s="500">
        <v>2601</v>
      </c>
      <c r="H40" s="500">
        <v>28000</v>
      </c>
    </row>
    <row r="41" spans="1:8" ht="16" thickBot="1" x14ac:dyDescent="0.4">
      <c r="A41" s="502">
        <v>16001</v>
      </c>
      <c r="B41" s="500">
        <v>30</v>
      </c>
      <c r="C41" s="500">
        <v>2508</v>
      </c>
      <c r="D41" s="500">
        <v>27000</v>
      </c>
      <c r="E41" s="500">
        <v>279</v>
      </c>
      <c r="F41" s="500">
        <v>3000</v>
      </c>
      <c r="G41" s="500">
        <v>2787</v>
      </c>
      <c r="H41" s="500">
        <v>30000</v>
      </c>
    </row>
    <row r="42" spans="1:8" ht="16" thickBot="1" x14ac:dyDescent="0.4">
      <c r="A42" s="502">
        <v>17001</v>
      </c>
      <c r="B42" s="500">
        <v>32</v>
      </c>
      <c r="C42" s="500">
        <v>2676</v>
      </c>
      <c r="D42" s="500">
        <v>28800</v>
      </c>
      <c r="E42" s="500">
        <v>297</v>
      </c>
      <c r="F42" s="500">
        <v>3200</v>
      </c>
      <c r="G42" s="500">
        <v>2973</v>
      </c>
      <c r="H42" s="500">
        <v>32000</v>
      </c>
    </row>
    <row r="43" spans="1:8" ht="16" thickBot="1" x14ac:dyDescent="0.4">
      <c r="A43" s="502">
        <v>18001</v>
      </c>
      <c r="B43" s="500">
        <v>34</v>
      </c>
      <c r="C43" s="500">
        <v>2843</v>
      </c>
      <c r="D43" s="500">
        <v>30600</v>
      </c>
      <c r="E43" s="500">
        <v>316</v>
      </c>
      <c r="F43" s="500">
        <v>3400</v>
      </c>
      <c r="G43" s="500">
        <v>3159</v>
      </c>
      <c r="H43" s="500">
        <v>34000</v>
      </c>
    </row>
    <row r="44" spans="1:8" ht="16" thickBot="1" x14ac:dyDescent="0.4">
      <c r="A44" s="502">
        <v>20001</v>
      </c>
      <c r="B44" s="500">
        <v>40</v>
      </c>
      <c r="C44" s="500">
        <v>3010</v>
      </c>
      <c r="D44" s="500">
        <v>32400</v>
      </c>
      <c r="E44" s="500">
        <v>334</v>
      </c>
      <c r="F44" s="500">
        <v>3600</v>
      </c>
      <c r="G44" s="500">
        <v>3345</v>
      </c>
      <c r="H44" s="500">
        <v>36000</v>
      </c>
    </row>
    <row r="45" spans="1:8" ht="15.5" x14ac:dyDescent="0.35">
      <c r="A45" s="959" t="s">
        <v>610</v>
      </c>
      <c r="B45" s="960"/>
      <c r="C45" s="960"/>
      <c r="D45" s="960"/>
      <c r="E45" s="960"/>
      <c r="F45" s="960"/>
      <c r="G45" s="960"/>
      <c r="H45" s="961"/>
    </row>
    <row r="46" spans="1:8" ht="16" thickBot="1" x14ac:dyDescent="0.4">
      <c r="A46" s="944" t="s">
        <v>611</v>
      </c>
      <c r="B46" s="945"/>
      <c r="C46" s="945"/>
      <c r="D46" s="945"/>
      <c r="E46" s="945"/>
      <c r="F46" s="945"/>
      <c r="G46" s="945"/>
      <c r="H46" s="946"/>
    </row>
    <row r="47" spans="1:8" ht="15" thickBot="1" x14ac:dyDescent="0.4">
      <c r="H47" s="562" t="s">
        <v>8459</v>
      </c>
    </row>
    <row r="51" ht="15.65" customHeight="1" x14ac:dyDescent="0.35"/>
    <row r="52" ht="16" customHeight="1" x14ac:dyDescent="0.35"/>
  </sheetData>
  <mergeCells count="38">
    <mergeCell ref="A45:H45"/>
    <mergeCell ref="F23:G23"/>
    <mergeCell ref="F24:G25"/>
    <mergeCell ref="C21:C22"/>
    <mergeCell ref="E24:E25"/>
    <mergeCell ref="A21:A22"/>
    <mergeCell ref="A20:G20"/>
    <mergeCell ref="A16:D16"/>
    <mergeCell ref="A46:H46"/>
    <mergeCell ref="D21:D22"/>
    <mergeCell ref="B24:B25"/>
    <mergeCell ref="D24:D25"/>
    <mergeCell ref="C24:C25"/>
    <mergeCell ref="F26:G26"/>
    <mergeCell ref="E21:E22"/>
    <mergeCell ref="G28:H28"/>
    <mergeCell ref="E28:F28"/>
    <mergeCell ref="C28:D28"/>
    <mergeCell ref="A28:A29"/>
    <mergeCell ref="F21:G22"/>
    <mergeCell ref="A24:A25"/>
    <mergeCell ref="B21:B22"/>
    <mergeCell ref="A17:D17"/>
    <mergeCell ref="A1:B1"/>
    <mergeCell ref="A2:B2"/>
    <mergeCell ref="A3:B3"/>
    <mergeCell ref="A4:B4"/>
    <mergeCell ref="A5:B5"/>
    <mergeCell ref="A7:G7"/>
    <mergeCell ref="A8:D8"/>
    <mergeCell ref="A9:D9"/>
    <mergeCell ref="A10:D10"/>
    <mergeCell ref="A11:D11"/>
    <mergeCell ref="A6:D6"/>
    <mergeCell ref="A12:D12"/>
    <mergeCell ref="A13:D13"/>
    <mergeCell ref="A14:H14"/>
    <mergeCell ref="A15:H15"/>
  </mergeCells>
  <hyperlinks>
    <hyperlink ref="H6" r:id="rId1" display="WBDG - AFMAN 32-1084" xr:uid="{2C7BFF33-3D94-420C-8F07-E9670BF8C6D0}"/>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B8B734F-F3FA-4415-B43D-301824065E10}">
          <x14:formula1>
            <xm:f>'Sheet References'!$L$1:$L$978</xm:f>
          </x14:formula1>
          <xm:sqref>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E917-BCF2-4C99-941E-340A9D08018C}">
  <sheetPr>
    <tabColor rgb="FFFFFF99"/>
    <pageSetUpPr fitToPage="1"/>
  </sheetPr>
  <dimension ref="A1:P111"/>
  <sheetViews>
    <sheetView zoomScaleNormal="100" workbookViewId="0">
      <selection activeCell="B65" sqref="B65"/>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11.81640625" style="1" bestFit="1" customWidth="1"/>
    <col min="7" max="7" width="9.7265625" style="10" customWidth="1"/>
    <col min="8" max="8" width="66.7265625" style="1" customWidth="1"/>
    <col min="9" max="9" width="39" customWidth="1"/>
    <col min="17" max="16384" width="9.26953125" style="1"/>
  </cols>
  <sheetData>
    <row r="1" spans="1:16" s="5" customFormat="1" ht="21" customHeight="1" x14ac:dyDescent="0.35">
      <c r="A1" s="675" t="s">
        <v>20</v>
      </c>
      <c r="B1" s="675"/>
      <c r="C1" s="36"/>
      <c r="D1" s="36" t="s">
        <v>106</v>
      </c>
      <c r="E1" s="37">
        <v>171815</v>
      </c>
      <c r="F1" s="38"/>
      <c r="G1" s="38"/>
      <c r="H1" s="38"/>
    </row>
    <row r="2" spans="1:16" ht="21" customHeight="1" x14ac:dyDescent="0.35">
      <c r="A2" s="676" t="s">
        <v>21</v>
      </c>
      <c r="B2" s="676"/>
      <c r="C2" s="38"/>
      <c r="D2" s="36" t="s">
        <v>107</v>
      </c>
      <c r="E2" s="37" t="str">
        <f>VLOOKUP(E1,'Sheet References'!L:M,2,FALSE)</f>
        <v>Enlisted Professional Military Education Center</v>
      </c>
      <c r="F2" s="38"/>
      <c r="G2" s="38"/>
      <c r="H2" s="38"/>
    </row>
    <row r="3" spans="1:16" ht="21" customHeight="1" x14ac:dyDescent="0.35">
      <c r="A3" s="676" t="s">
        <v>22</v>
      </c>
      <c r="B3" s="676"/>
      <c r="C3" s="36"/>
      <c r="D3" s="36" t="s">
        <v>108</v>
      </c>
      <c r="E3" s="37" t="str">
        <f>VLOOKUP(CATCode,'Sheet References'!L:O,4,FALSE)</f>
        <v>‌https://www.wbdg.org/FFC/AF/AFMAN/171815_NCO_Professional_Military_Education.pdf</v>
      </c>
      <c r="F3" s="38"/>
      <c r="G3" s="38"/>
      <c r="H3" s="38"/>
    </row>
    <row r="4" spans="1:16" ht="21" customHeight="1" x14ac:dyDescent="0.35">
      <c r="A4" s="676" t="s">
        <v>23</v>
      </c>
      <c r="B4" s="676"/>
      <c r="C4" s="24"/>
      <c r="D4" s="24"/>
      <c r="E4" s="370" t="str">
        <f>'Customer Summary'!A2</f>
        <v>## Force Support Squadron (## FSS)</v>
      </c>
      <c r="F4" s="24"/>
      <c r="G4" s="24"/>
      <c r="H4" s="24"/>
    </row>
    <row r="5" spans="1:16" ht="21" customHeight="1" x14ac:dyDescent="0.35">
      <c r="A5" s="677" t="str">
        <f>'Customer Summary'!B61</f>
        <v>POC:</v>
      </c>
      <c r="B5" s="677"/>
      <c r="C5" s="24"/>
      <c r="D5" s="24"/>
      <c r="E5" s="370" t="s">
        <v>109</v>
      </c>
      <c r="F5" s="24"/>
      <c r="G5" s="24"/>
      <c r="H5" s="24"/>
    </row>
    <row r="6" spans="1:16" s="191" customFormat="1" ht="14.5" customHeight="1" x14ac:dyDescent="0.35">
      <c r="A6" s="195" t="s">
        <v>110</v>
      </c>
      <c r="B6" s="195" t="s">
        <v>111</v>
      </c>
      <c r="C6" s="195" t="s">
        <v>112</v>
      </c>
      <c r="D6" s="195" t="s">
        <v>113</v>
      </c>
      <c r="E6" s="195" t="s">
        <v>114</v>
      </c>
      <c r="F6" s="195" t="s">
        <v>115</v>
      </c>
      <c r="G6" s="196" t="s">
        <v>116</v>
      </c>
      <c r="H6" s="552" t="s">
        <v>117</v>
      </c>
    </row>
    <row r="7" spans="1:16" s="116" customFormat="1" ht="14.5" customHeight="1" x14ac:dyDescent="0.35">
      <c r="A7" s="669" t="s">
        <v>118</v>
      </c>
      <c r="B7" s="670"/>
      <c r="C7" s="670"/>
      <c r="D7" s="670"/>
      <c r="E7" s="670"/>
      <c r="F7" s="670"/>
      <c r="G7" s="671"/>
      <c r="H7" s="175" t="s">
        <v>119</v>
      </c>
      <c r="I7"/>
      <c r="J7"/>
      <c r="K7"/>
      <c r="L7"/>
      <c r="M7"/>
      <c r="N7"/>
      <c r="O7"/>
      <c r="P7"/>
    </row>
    <row r="8" spans="1:16" s="116" customFormat="1" ht="14.5" customHeight="1" x14ac:dyDescent="0.35">
      <c r="A8" s="42" t="s">
        <v>120</v>
      </c>
      <c r="B8" s="176" t="s">
        <v>121</v>
      </c>
      <c r="C8" s="43" t="s">
        <v>122</v>
      </c>
      <c r="D8" s="52" t="s">
        <v>123</v>
      </c>
      <c r="E8" s="177">
        <v>100</v>
      </c>
      <c r="F8" s="365">
        <f>E51</f>
        <v>0</v>
      </c>
      <c r="G8" s="56">
        <f>E8*F8</f>
        <v>0</v>
      </c>
      <c r="H8" s="62" t="s">
        <v>124</v>
      </c>
      <c r="I8"/>
      <c r="J8"/>
      <c r="K8"/>
      <c r="L8"/>
      <c r="M8"/>
      <c r="N8"/>
      <c r="O8"/>
      <c r="P8"/>
    </row>
    <row r="9" spans="1:16" s="116" customFormat="1" ht="14.5" customHeight="1" x14ac:dyDescent="0.35">
      <c r="A9" s="693" t="s">
        <v>125</v>
      </c>
      <c r="B9" s="686"/>
      <c r="C9" s="686"/>
      <c r="D9" s="686"/>
      <c r="E9" s="58" t="s">
        <v>126</v>
      </c>
      <c r="F9" s="48">
        <f>SUM(F8:F8)</f>
        <v>0</v>
      </c>
      <c r="G9" s="178">
        <f>SUM(G8:G8)</f>
        <v>0</v>
      </c>
      <c r="H9" s="62"/>
      <c r="I9"/>
      <c r="J9"/>
      <c r="K9"/>
      <c r="L9"/>
      <c r="M9"/>
      <c r="N9"/>
      <c r="O9"/>
      <c r="P9"/>
    </row>
    <row r="10" spans="1:16" s="116" customFormat="1" ht="14.5" customHeight="1" x14ac:dyDescent="0.35">
      <c r="A10" s="672" t="s">
        <v>127</v>
      </c>
      <c r="B10" s="673"/>
      <c r="C10" s="673"/>
      <c r="D10" s="674"/>
      <c r="E10" s="60">
        <v>0.4</v>
      </c>
      <c r="F10" s="52"/>
      <c r="G10" s="56">
        <f>G9*E10</f>
        <v>0</v>
      </c>
      <c r="H10" s="57" t="s">
        <v>128</v>
      </c>
      <c r="I10"/>
      <c r="J10"/>
      <c r="K10"/>
      <c r="L10"/>
      <c r="M10"/>
      <c r="N10"/>
      <c r="O10"/>
      <c r="P10"/>
    </row>
    <row r="11" spans="1:16" s="116" customFormat="1" ht="14.5" customHeight="1" x14ac:dyDescent="0.35">
      <c r="A11" s="681" t="s">
        <v>129</v>
      </c>
      <c r="B11" s="682"/>
      <c r="C11" s="682"/>
      <c r="D11" s="682"/>
      <c r="E11" s="58" t="s">
        <v>126</v>
      </c>
      <c r="F11" s="58"/>
      <c r="G11" s="179">
        <f>G10+G9</f>
        <v>0</v>
      </c>
      <c r="H11" s="62"/>
      <c r="I11"/>
      <c r="J11"/>
      <c r="K11"/>
      <c r="L11"/>
      <c r="M11"/>
      <c r="N11"/>
      <c r="O11"/>
      <c r="P11"/>
    </row>
    <row r="12" spans="1:16" s="116" customFormat="1" ht="14.5" customHeight="1" x14ac:dyDescent="0.35">
      <c r="A12" s="694"/>
      <c r="B12" s="694"/>
      <c r="C12" s="694"/>
      <c r="D12" s="694"/>
      <c r="E12" s="180"/>
      <c r="F12" s="180"/>
      <c r="G12" s="181"/>
      <c r="H12" s="182"/>
      <c r="I12"/>
      <c r="J12"/>
      <c r="K12"/>
      <c r="L12"/>
      <c r="M12"/>
      <c r="N12"/>
      <c r="O12"/>
      <c r="P12"/>
    </row>
    <row r="13" spans="1:16" s="116" customFormat="1" ht="14.5" customHeight="1" x14ac:dyDescent="0.35">
      <c r="A13" s="680" t="s">
        <v>130</v>
      </c>
      <c r="B13" s="680"/>
      <c r="C13" s="680"/>
      <c r="D13" s="680"/>
      <c r="E13" s="680"/>
      <c r="F13" s="680"/>
      <c r="G13" s="680"/>
      <c r="H13" s="680"/>
      <c r="I13"/>
      <c r="J13"/>
      <c r="K13"/>
      <c r="L13"/>
      <c r="M13"/>
      <c r="N13"/>
      <c r="O13"/>
      <c r="P13"/>
    </row>
    <row r="14" spans="1:16" s="116" customFormat="1" ht="14.5" customHeight="1" x14ac:dyDescent="0.35">
      <c r="A14" s="42" t="s">
        <v>131</v>
      </c>
      <c r="B14" s="53" t="s">
        <v>132</v>
      </c>
      <c r="C14" s="54" t="s">
        <v>133</v>
      </c>
      <c r="D14" s="52" t="s">
        <v>134</v>
      </c>
      <c r="E14" s="55">
        <v>65</v>
      </c>
      <c r="F14" s="365">
        <f>B56+B76+B96</f>
        <v>0</v>
      </c>
      <c r="G14" s="56">
        <f>E14*F14</f>
        <v>0</v>
      </c>
      <c r="H14" s="62" t="s">
        <v>135</v>
      </c>
      <c r="I14"/>
      <c r="J14"/>
      <c r="K14"/>
      <c r="L14"/>
      <c r="M14"/>
      <c r="N14"/>
      <c r="O14"/>
      <c r="P14"/>
    </row>
    <row r="15" spans="1:16" s="191" customFormat="1" ht="14.5" customHeight="1" x14ac:dyDescent="0.35">
      <c r="A15" s="685" t="s">
        <v>136</v>
      </c>
      <c r="B15" s="686"/>
      <c r="C15" s="686"/>
      <c r="D15" s="686"/>
      <c r="E15" s="58" t="s">
        <v>126</v>
      </c>
      <c r="F15" s="48">
        <f>SUM(F14:F14)</f>
        <v>0</v>
      </c>
      <c r="G15" s="59">
        <f>SUM(G14:G14)</f>
        <v>0</v>
      </c>
      <c r="H15" s="57"/>
    </row>
    <row r="16" spans="1:16" s="116" customFormat="1" ht="14.5" customHeight="1" x14ac:dyDescent="0.35">
      <c r="A16" s="672" t="s">
        <v>137</v>
      </c>
      <c r="B16" s="673"/>
      <c r="C16" s="673"/>
      <c r="D16" s="674"/>
      <c r="E16" s="60">
        <v>0.6</v>
      </c>
      <c r="F16" s="52"/>
      <c r="G16" s="61">
        <f>G15*E16</f>
        <v>0</v>
      </c>
      <c r="H16" s="57" t="s">
        <v>128</v>
      </c>
      <c r="I16"/>
      <c r="J16"/>
      <c r="K16"/>
      <c r="L16"/>
      <c r="M16"/>
      <c r="N16"/>
      <c r="O16"/>
      <c r="P16"/>
    </row>
    <row r="17" spans="1:16" s="116" customFormat="1" ht="14.5" customHeight="1" x14ac:dyDescent="0.35">
      <c r="A17" s="681" t="s">
        <v>138</v>
      </c>
      <c r="B17" s="682"/>
      <c r="C17" s="682"/>
      <c r="D17" s="682"/>
      <c r="E17" s="58" t="s">
        <v>126</v>
      </c>
      <c r="F17" s="58"/>
      <c r="G17" s="59">
        <f>G16+G15</f>
        <v>0</v>
      </c>
      <c r="H17" s="62"/>
      <c r="I17"/>
      <c r="J17"/>
      <c r="K17"/>
      <c r="L17"/>
      <c r="M17"/>
      <c r="N17"/>
      <c r="O17"/>
      <c r="P17"/>
    </row>
    <row r="18" spans="1:16" s="116" customFormat="1" ht="14.5" customHeight="1" x14ac:dyDescent="0.35">
      <c r="A18" s="683"/>
      <c r="B18" s="684"/>
      <c r="C18" s="684"/>
      <c r="D18" s="684"/>
      <c r="E18" s="180"/>
      <c r="F18" s="180"/>
      <c r="G18" s="181"/>
      <c r="H18" s="182"/>
      <c r="I18"/>
      <c r="J18"/>
      <c r="K18"/>
      <c r="L18"/>
      <c r="M18"/>
      <c r="N18"/>
      <c r="O18"/>
      <c r="P18"/>
    </row>
    <row r="19" spans="1:16" s="116" customFormat="1" ht="14.5" customHeight="1" x14ac:dyDescent="0.35">
      <c r="A19" s="669" t="s">
        <v>139</v>
      </c>
      <c r="B19" s="670"/>
      <c r="C19" s="670"/>
      <c r="D19" s="670"/>
      <c r="E19" s="678"/>
      <c r="F19" s="678"/>
      <c r="G19" s="678"/>
      <c r="H19" s="671"/>
      <c r="I19"/>
      <c r="J19"/>
      <c r="K19"/>
      <c r="L19"/>
      <c r="M19"/>
      <c r="N19"/>
      <c r="O19"/>
      <c r="P19"/>
    </row>
    <row r="20" spans="1:16" s="116" customFormat="1" ht="58" x14ac:dyDescent="0.35">
      <c r="A20" s="679" t="s">
        <v>140</v>
      </c>
      <c r="B20" s="673"/>
      <c r="C20" s="673"/>
      <c r="D20" s="674"/>
      <c r="E20" s="362">
        <v>8</v>
      </c>
      <c r="F20" s="375">
        <f>F14+F8</f>
        <v>0</v>
      </c>
      <c r="G20" s="362">
        <f>F20*E20</f>
        <v>0</v>
      </c>
      <c r="H20" s="57" t="s">
        <v>141</v>
      </c>
      <c r="I20"/>
      <c r="J20"/>
      <c r="K20"/>
      <c r="L20"/>
      <c r="M20"/>
      <c r="N20"/>
      <c r="O20"/>
      <c r="P20"/>
    </row>
    <row r="21" spans="1:16" s="116" customFormat="1" ht="43.5" x14ac:dyDescent="0.35">
      <c r="A21" s="679" t="s">
        <v>142</v>
      </c>
      <c r="B21" s="686"/>
      <c r="C21" s="686"/>
      <c r="D21" s="687"/>
      <c r="E21" s="362">
        <v>3</v>
      </c>
      <c r="F21" s="376">
        <f>F14+F8</f>
        <v>0</v>
      </c>
      <c r="G21" s="362">
        <f>E21*F21</f>
        <v>0</v>
      </c>
      <c r="H21" s="57" t="s">
        <v>143</v>
      </c>
      <c r="I21"/>
      <c r="J21"/>
      <c r="K21"/>
      <c r="L21"/>
      <c r="M21"/>
      <c r="N21"/>
      <c r="O21"/>
      <c r="P21"/>
    </row>
    <row r="22" spans="1:16" s="116" customFormat="1" ht="29" x14ac:dyDescent="0.35">
      <c r="A22" s="679" t="s">
        <v>144</v>
      </c>
      <c r="B22" s="686"/>
      <c r="C22" s="686"/>
      <c r="D22" s="687"/>
      <c r="E22" s="362">
        <v>8</v>
      </c>
      <c r="F22" s="376">
        <f>F14+F8</f>
        <v>0</v>
      </c>
      <c r="G22" s="362">
        <f>E22*F22</f>
        <v>0</v>
      </c>
      <c r="H22" s="57" t="s">
        <v>145</v>
      </c>
      <c r="I22"/>
      <c r="J22"/>
      <c r="K22"/>
      <c r="L22"/>
      <c r="M22"/>
      <c r="N22"/>
      <c r="O22"/>
      <c r="P22"/>
    </row>
    <row r="23" spans="1:16" s="116" customFormat="1" ht="29" x14ac:dyDescent="0.35">
      <c r="A23" s="695" t="s">
        <v>146</v>
      </c>
      <c r="B23" s="673"/>
      <c r="C23" s="673"/>
      <c r="D23" s="674"/>
      <c r="E23" s="362">
        <f>A62+A82+A102</f>
        <v>0</v>
      </c>
      <c r="F23" s="377">
        <v>1</v>
      </c>
      <c r="G23" s="362">
        <f>E23*F23</f>
        <v>0</v>
      </c>
      <c r="H23" s="57" t="s">
        <v>147</v>
      </c>
      <c r="I23"/>
      <c r="J23"/>
      <c r="K23"/>
      <c r="L23"/>
      <c r="M23"/>
      <c r="N23"/>
      <c r="O23"/>
      <c r="P23"/>
    </row>
    <row r="24" spans="1:16" s="116" customFormat="1" ht="43.5" x14ac:dyDescent="0.35">
      <c r="A24" s="695" t="s">
        <v>148</v>
      </c>
      <c r="B24" s="673"/>
      <c r="C24" s="673"/>
      <c r="D24" s="674"/>
      <c r="E24" s="362">
        <f>A65+A85+A105</f>
        <v>0</v>
      </c>
      <c r="F24" s="377">
        <v>1</v>
      </c>
      <c r="G24" s="362">
        <f t="shared" ref="G24:G36" si="0">E24*F24</f>
        <v>0</v>
      </c>
      <c r="H24" s="57" t="s">
        <v>149</v>
      </c>
      <c r="I24"/>
      <c r="J24"/>
      <c r="K24"/>
      <c r="L24"/>
      <c r="M24"/>
      <c r="N24"/>
      <c r="O24"/>
      <c r="P24"/>
    </row>
    <row r="25" spans="1:16" s="116" customFormat="1" ht="29" x14ac:dyDescent="0.35">
      <c r="A25" s="679" t="s">
        <v>150</v>
      </c>
      <c r="B25" s="673"/>
      <c r="C25" s="673"/>
      <c r="D25" s="674"/>
      <c r="E25" s="362">
        <f>A68+A88+A108</f>
        <v>0</v>
      </c>
      <c r="F25" s="377">
        <v>1</v>
      </c>
      <c r="G25" s="362">
        <f t="shared" si="0"/>
        <v>0</v>
      </c>
      <c r="H25" s="57" t="s">
        <v>151</v>
      </c>
      <c r="I25"/>
      <c r="J25"/>
      <c r="K25"/>
      <c r="L25"/>
      <c r="M25"/>
      <c r="N25"/>
      <c r="O25"/>
      <c r="P25"/>
    </row>
    <row r="26" spans="1:16" s="116" customFormat="1" x14ac:dyDescent="0.35">
      <c r="A26" s="679" t="s">
        <v>152</v>
      </c>
      <c r="B26" s="673"/>
      <c r="C26" s="673"/>
      <c r="D26" s="674"/>
      <c r="E26" s="362">
        <f>A71+A91+A111</f>
        <v>0</v>
      </c>
      <c r="F26" s="377">
        <v>1</v>
      </c>
      <c r="G26" s="362">
        <f t="shared" si="0"/>
        <v>0</v>
      </c>
      <c r="H26" s="57" t="s">
        <v>153</v>
      </c>
      <c r="I26"/>
      <c r="J26"/>
      <c r="K26"/>
      <c r="L26"/>
      <c r="M26"/>
      <c r="N26"/>
      <c r="O26"/>
      <c r="P26"/>
    </row>
    <row r="27" spans="1:16" s="116" customFormat="1" ht="29" x14ac:dyDescent="0.35">
      <c r="A27" s="679" t="s">
        <v>154</v>
      </c>
      <c r="B27" s="673"/>
      <c r="C27" s="673"/>
      <c r="D27" s="674"/>
      <c r="E27" s="362">
        <f>B59+B79+B99</f>
        <v>0</v>
      </c>
      <c r="F27" s="377">
        <v>1</v>
      </c>
      <c r="G27" s="362">
        <f t="shared" si="0"/>
        <v>0</v>
      </c>
      <c r="H27" s="57" t="s">
        <v>155</v>
      </c>
      <c r="I27"/>
      <c r="J27"/>
      <c r="K27"/>
      <c r="L27"/>
      <c r="M27"/>
      <c r="N27"/>
      <c r="O27"/>
      <c r="P27"/>
    </row>
    <row r="28" spans="1:16" s="116" customFormat="1" ht="29" x14ac:dyDescent="0.35">
      <c r="A28" s="679" t="s">
        <v>156</v>
      </c>
      <c r="B28" s="673"/>
      <c r="C28" s="673"/>
      <c r="D28" s="674"/>
      <c r="E28" s="362">
        <f>B62+B82+B102</f>
        <v>0</v>
      </c>
      <c r="F28" s="377">
        <v>1</v>
      </c>
      <c r="G28" s="362">
        <f t="shared" si="0"/>
        <v>0</v>
      </c>
      <c r="H28" s="57" t="s">
        <v>157</v>
      </c>
      <c r="I28"/>
      <c r="J28"/>
      <c r="K28"/>
      <c r="L28"/>
      <c r="M28"/>
      <c r="N28"/>
      <c r="O28"/>
      <c r="P28"/>
    </row>
    <row r="29" spans="1:16" s="116" customFormat="1" ht="29" x14ac:dyDescent="0.35">
      <c r="A29" s="679" t="s">
        <v>158</v>
      </c>
      <c r="B29" s="673"/>
      <c r="C29" s="673"/>
      <c r="D29" s="674"/>
      <c r="E29" s="362">
        <f>B65+B85+B105</f>
        <v>0</v>
      </c>
      <c r="F29" s="377">
        <v>1</v>
      </c>
      <c r="G29" s="362">
        <f t="shared" si="0"/>
        <v>0</v>
      </c>
      <c r="H29" s="57" t="s">
        <v>159</v>
      </c>
      <c r="I29"/>
      <c r="J29"/>
      <c r="K29"/>
      <c r="L29"/>
      <c r="M29"/>
      <c r="N29"/>
      <c r="O29"/>
      <c r="P29"/>
    </row>
    <row r="30" spans="1:16" s="116" customFormat="1" ht="29" x14ac:dyDescent="0.35">
      <c r="A30" s="679" t="s">
        <v>160</v>
      </c>
      <c r="B30" s="673"/>
      <c r="C30" s="673"/>
      <c r="D30" s="674"/>
      <c r="E30" s="362">
        <f>B68+B88+B108</f>
        <v>0</v>
      </c>
      <c r="F30" s="377">
        <v>1</v>
      </c>
      <c r="G30" s="362">
        <f t="shared" si="0"/>
        <v>0</v>
      </c>
      <c r="H30" s="57" t="s">
        <v>161</v>
      </c>
      <c r="I30"/>
      <c r="J30"/>
      <c r="K30"/>
      <c r="L30"/>
      <c r="M30"/>
      <c r="N30"/>
      <c r="O30"/>
      <c r="P30"/>
    </row>
    <row r="31" spans="1:16" s="116" customFormat="1" ht="29" x14ac:dyDescent="0.35">
      <c r="A31" s="679" t="s">
        <v>162</v>
      </c>
      <c r="B31" s="673"/>
      <c r="C31" s="673"/>
      <c r="D31" s="674"/>
      <c r="E31" s="362">
        <f>B71+B91+B111</f>
        <v>0</v>
      </c>
      <c r="F31" s="377">
        <v>1</v>
      </c>
      <c r="G31" s="362">
        <f t="shared" si="0"/>
        <v>0</v>
      </c>
      <c r="H31" s="57" t="s">
        <v>163</v>
      </c>
      <c r="I31"/>
      <c r="J31"/>
      <c r="K31"/>
      <c r="L31"/>
      <c r="M31"/>
      <c r="N31"/>
      <c r="O31"/>
      <c r="P31"/>
    </row>
    <row r="32" spans="1:16" s="116" customFormat="1" ht="29" x14ac:dyDescent="0.35">
      <c r="A32" s="679" t="s">
        <v>164</v>
      </c>
      <c r="B32" s="673"/>
      <c r="C32" s="673"/>
      <c r="D32" s="674"/>
      <c r="E32" s="362">
        <f>C99</f>
        <v>0</v>
      </c>
      <c r="F32" s="375">
        <f>IF(D51="Y",1,0)</f>
        <v>0</v>
      </c>
      <c r="G32" s="362">
        <f t="shared" si="0"/>
        <v>0</v>
      </c>
      <c r="H32" s="57" t="s">
        <v>165</v>
      </c>
      <c r="I32"/>
      <c r="J32"/>
      <c r="K32"/>
      <c r="L32"/>
      <c r="M32"/>
      <c r="N32"/>
      <c r="O32"/>
      <c r="P32"/>
    </row>
    <row r="33" spans="1:16" s="116" customFormat="1" ht="43.5" x14ac:dyDescent="0.35">
      <c r="A33" s="679" t="s">
        <v>166</v>
      </c>
      <c r="B33" s="673"/>
      <c r="C33" s="673"/>
      <c r="D33" s="674"/>
      <c r="E33" s="362">
        <f>C62+C82+C102</f>
        <v>0</v>
      </c>
      <c r="F33" s="377">
        <v>1</v>
      </c>
      <c r="G33" s="362">
        <f t="shared" si="0"/>
        <v>0</v>
      </c>
      <c r="H33" s="57" t="s">
        <v>167</v>
      </c>
      <c r="I33"/>
      <c r="J33"/>
      <c r="K33"/>
      <c r="L33"/>
      <c r="M33"/>
      <c r="N33"/>
      <c r="O33"/>
      <c r="P33"/>
    </row>
    <row r="34" spans="1:16" s="116" customFormat="1" ht="29" x14ac:dyDescent="0.35">
      <c r="A34" s="679" t="s">
        <v>168</v>
      </c>
      <c r="B34" s="686"/>
      <c r="C34" s="686"/>
      <c r="D34" s="687"/>
      <c r="E34" s="362">
        <f>IF(D64="YES",0,C65+C85)</f>
        <v>0</v>
      </c>
      <c r="F34" s="378">
        <v>1</v>
      </c>
      <c r="G34" s="362">
        <f t="shared" si="0"/>
        <v>0</v>
      </c>
      <c r="H34" s="57" t="s">
        <v>169</v>
      </c>
      <c r="I34"/>
      <c r="J34"/>
      <c r="K34"/>
      <c r="L34"/>
      <c r="M34"/>
      <c r="N34"/>
      <c r="O34"/>
      <c r="P34"/>
    </row>
    <row r="35" spans="1:16" s="116" customFormat="1" ht="29" x14ac:dyDescent="0.35">
      <c r="A35" s="679" t="s">
        <v>170</v>
      </c>
      <c r="B35" s="673"/>
      <c r="C35" s="673"/>
      <c r="D35" s="674"/>
      <c r="E35" s="362">
        <f>C68+C88+C108</f>
        <v>0</v>
      </c>
      <c r="F35" s="377">
        <v>1</v>
      </c>
      <c r="G35" s="362">
        <f t="shared" si="0"/>
        <v>0</v>
      </c>
      <c r="H35" s="57" t="s">
        <v>171</v>
      </c>
      <c r="I35"/>
      <c r="J35"/>
      <c r="K35"/>
      <c r="L35"/>
      <c r="M35"/>
      <c r="N35"/>
      <c r="O35"/>
      <c r="P35"/>
    </row>
    <row r="36" spans="1:16" s="116" customFormat="1" ht="29" x14ac:dyDescent="0.35">
      <c r="A36" s="679" t="s">
        <v>172</v>
      </c>
      <c r="B36" s="673"/>
      <c r="C36" s="673"/>
      <c r="D36" s="674"/>
      <c r="E36" s="362">
        <f>C71+C91+C111</f>
        <v>0</v>
      </c>
      <c r="F36" s="377">
        <v>1</v>
      </c>
      <c r="G36" s="362">
        <f t="shared" si="0"/>
        <v>0</v>
      </c>
      <c r="H36" s="57" t="s">
        <v>173</v>
      </c>
      <c r="I36"/>
      <c r="J36"/>
      <c r="K36"/>
      <c r="L36"/>
      <c r="M36"/>
      <c r="N36"/>
      <c r="O36"/>
      <c r="P36"/>
    </row>
    <row r="37" spans="1:16" s="116" customFormat="1" ht="14.5" customHeight="1" x14ac:dyDescent="0.35">
      <c r="A37" s="685" t="s">
        <v>174</v>
      </c>
      <c r="B37" s="688"/>
      <c r="C37" s="688"/>
      <c r="D37" s="689"/>
      <c r="E37" s="187" t="s">
        <v>126</v>
      </c>
      <c r="F37" s="188"/>
      <c r="G37" s="179">
        <f>SUM(G20:G36)</f>
        <v>0</v>
      </c>
      <c r="H37" s="57"/>
      <c r="I37"/>
      <c r="J37"/>
      <c r="K37"/>
      <c r="L37"/>
      <c r="M37"/>
      <c r="N37"/>
      <c r="O37"/>
      <c r="P37"/>
    </row>
    <row r="38" spans="1:16" s="116" customFormat="1" ht="14.5" customHeight="1" x14ac:dyDescent="0.35">
      <c r="A38" s="690" t="s">
        <v>175</v>
      </c>
      <c r="B38" s="691"/>
      <c r="C38" s="691"/>
      <c r="D38" s="692"/>
      <c r="E38" s="60">
        <v>0</v>
      </c>
      <c r="F38" s="52"/>
      <c r="G38" s="189">
        <f>E38*G37</f>
        <v>0</v>
      </c>
      <c r="H38" s="57" t="s">
        <v>176</v>
      </c>
      <c r="I38"/>
      <c r="J38"/>
      <c r="K38"/>
      <c r="L38"/>
      <c r="M38"/>
      <c r="N38"/>
      <c r="O38"/>
      <c r="P38"/>
    </row>
    <row r="39" spans="1:16" s="116" customFormat="1" ht="14.5" customHeight="1" x14ac:dyDescent="0.35">
      <c r="A39" s="685" t="s">
        <v>177</v>
      </c>
      <c r="B39" s="686"/>
      <c r="C39" s="686"/>
      <c r="D39" s="686"/>
      <c r="E39" s="58" t="s">
        <v>126</v>
      </c>
      <c r="F39" s="190"/>
      <c r="G39" s="179">
        <f>SUM(G37:G38)</f>
        <v>0</v>
      </c>
      <c r="H39" s="57"/>
      <c r="I39"/>
      <c r="J39"/>
      <c r="K39"/>
      <c r="L39"/>
      <c r="M39"/>
      <c r="N39"/>
      <c r="O39"/>
      <c r="P39"/>
    </row>
    <row r="40" spans="1:16" s="116" customFormat="1" ht="14.5" customHeight="1" x14ac:dyDescent="0.35">
      <c r="A40" s="553"/>
      <c r="B40" s="504"/>
      <c r="C40" s="504"/>
      <c r="D40" s="504"/>
      <c r="E40" s="504"/>
      <c r="F40" s="504"/>
      <c r="G40" s="504"/>
      <c r="H40" s="504"/>
      <c r="I40"/>
      <c r="J40"/>
      <c r="K40"/>
      <c r="L40"/>
      <c r="M40"/>
      <c r="N40"/>
      <c r="O40"/>
      <c r="P40"/>
    </row>
    <row r="41" spans="1:16" s="116" customFormat="1" ht="14.5" customHeight="1" x14ac:dyDescent="0.35">
      <c r="A41" s="669" t="s">
        <v>178</v>
      </c>
      <c r="B41" s="670"/>
      <c r="C41" s="670"/>
      <c r="D41" s="670"/>
      <c r="E41" s="670"/>
      <c r="F41" s="670"/>
      <c r="G41" s="670"/>
      <c r="H41" s="671"/>
      <c r="I41"/>
      <c r="J41"/>
      <c r="K41"/>
      <c r="L41"/>
      <c r="M41"/>
      <c r="N41"/>
      <c r="O41"/>
      <c r="P41"/>
    </row>
    <row r="42" spans="1:16" s="116" customFormat="1" ht="14.5" customHeight="1" x14ac:dyDescent="0.35">
      <c r="A42" s="679" t="s">
        <v>179</v>
      </c>
      <c r="B42" s="686"/>
      <c r="C42" s="686"/>
      <c r="D42" s="687"/>
      <c r="E42" s="52">
        <v>0</v>
      </c>
      <c r="F42" s="197">
        <v>0</v>
      </c>
      <c r="G42" s="56">
        <f>E42*F42</f>
        <v>0</v>
      </c>
      <c r="H42" s="57"/>
      <c r="I42"/>
      <c r="J42"/>
      <c r="K42"/>
      <c r="L42"/>
      <c r="M42"/>
      <c r="N42"/>
      <c r="O42"/>
      <c r="P42"/>
    </row>
    <row r="43" spans="1:16" s="116" customFormat="1" ht="14.5" customHeight="1" x14ac:dyDescent="0.35">
      <c r="A43" s="693" t="s">
        <v>180</v>
      </c>
      <c r="B43" s="703"/>
      <c r="C43" s="688"/>
      <c r="D43" s="689"/>
      <c r="E43" s="187" t="s">
        <v>126</v>
      </c>
      <c r="F43" s="65">
        <f>SUM(F42:F42)</f>
        <v>0</v>
      </c>
      <c r="G43" s="179">
        <f>SUM(G42:G42)</f>
        <v>0</v>
      </c>
      <c r="H43" s="57"/>
      <c r="I43"/>
      <c r="J43"/>
      <c r="K43"/>
      <c r="L43"/>
      <c r="M43"/>
      <c r="N43"/>
      <c r="O43"/>
      <c r="P43"/>
    </row>
    <row r="44" spans="1:16" s="116" customFormat="1" ht="14.5" customHeight="1" x14ac:dyDescent="0.35">
      <c r="A44" s="704" t="s">
        <v>181</v>
      </c>
      <c r="B44" s="705"/>
      <c r="C44" s="691"/>
      <c r="D44" s="692"/>
      <c r="E44" s="60">
        <v>0</v>
      </c>
      <c r="F44" s="52"/>
      <c r="G44" s="189">
        <f>E44*G43</f>
        <v>0</v>
      </c>
      <c r="H44" s="57" t="s">
        <v>176</v>
      </c>
      <c r="I44"/>
      <c r="J44"/>
      <c r="K44"/>
      <c r="L44"/>
      <c r="M44"/>
      <c r="N44"/>
      <c r="O44"/>
      <c r="P44"/>
    </row>
    <row r="45" spans="1:16" s="116" customFormat="1" ht="14.5" customHeight="1" x14ac:dyDescent="0.35">
      <c r="A45" s="693" t="s">
        <v>182</v>
      </c>
      <c r="B45" s="706"/>
      <c r="C45" s="686"/>
      <c r="D45" s="686"/>
      <c r="E45" s="58" t="s">
        <v>126</v>
      </c>
      <c r="F45" s="190"/>
      <c r="G45" s="179">
        <f>G39+G17+G11</f>
        <v>0</v>
      </c>
      <c r="H45" s="57"/>
      <c r="I45"/>
      <c r="J45"/>
      <c r="K45"/>
      <c r="L45"/>
      <c r="M45"/>
      <c r="N45"/>
      <c r="O45"/>
      <c r="P45"/>
    </row>
    <row r="46" spans="1:16" s="116" customFormat="1" ht="14.5" customHeight="1" x14ac:dyDescent="0.35">
      <c r="A46" s="122"/>
      <c r="B46" s="122"/>
      <c r="C46" s="122"/>
      <c r="D46" s="122"/>
      <c r="E46" s="193"/>
      <c r="G46" s="192"/>
      <c r="I46"/>
      <c r="J46"/>
      <c r="K46"/>
      <c r="L46"/>
      <c r="M46"/>
      <c r="N46"/>
      <c r="O46"/>
      <c r="P46"/>
    </row>
    <row r="47" spans="1:16" s="116" customFormat="1" ht="14.5" customHeight="1" thickBot="1" x14ac:dyDescent="0.4">
      <c r="G47" s="194"/>
      <c r="I47"/>
      <c r="J47"/>
      <c r="K47"/>
      <c r="L47"/>
      <c r="M47"/>
      <c r="N47"/>
      <c r="O47"/>
      <c r="P47"/>
    </row>
    <row r="48" spans="1:16" ht="19" customHeight="1" thickBot="1" x14ac:dyDescent="0.4">
      <c r="A48" s="711" t="s">
        <v>183</v>
      </c>
      <c r="B48" s="712"/>
      <c r="C48" s="712"/>
      <c r="D48" s="712"/>
      <c r="E48" s="713"/>
      <c r="F48" s="697" t="s">
        <v>184</v>
      </c>
      <c r="G48" s="698"/>
    </row>
    <row r="49" spans="1:8" ht="23.15" customHeight="1" thickBot="1" x14ac:dyDescent="0.4">
      <c r="A49" s="707" t="s">
        <v>185</v>
      </c>
      <c r="B49" s="667" t="s">
        <v>186</v>
      </c>
      <c r="C49" s="651" t="s">
        <v>187</v>
      </c>
      <c r="D49" s="709" t="s">
        <v>188</v>
      </c>
      <c r="E49" s="653" t="s">
        <v>189</v>
      </c>
      <c r="F49" s="699"/>
      <c r="G49" s="700"/>
    </row>
    <row r="50" spans="1:8" ht="14.5" customHeight="1" thickBot="1" x14ac:dyDescent="0.4">
      <c r="A50" s="708"/>
      <c r="B50" s="668"/>
      <c r="C50" s="652"/>
      <c r="D50" s="710"/>
      <c r="E50" s="654"/>
      <c r="F50" s="701" t="s">
        <v>190</v>
      </c>
      <c r="G50" s="702"/>
    </row>
    <row r="51" spans="1:8" ht="15" thickBot="1" x14ac:dyDescent="0.4">
      <c r="A51" s="381">
        <f>SUM('Instructions &amp; Pop Data'!D18,'Instructions &amp; Pop Data'!D19)</f>
        <v>0</v>
      </c>
      <c r="B51" s="163" t="s">
        <v>191</v>
      </c>
      <c r="C51" s="164" t="s">
        <v>191</v>
      </c>
      <c r="D51" s="165" t="s">
        <v>191</v>
      </c>
      <c r="E51" s="278">
        <v>0</v>
      </c>
      <c r="F51" s="722" t="s">
        <v>192</v>
      </c>
      <c r="G51" s="723"/>
    </row>
    <row r="52" spans="1:8" ht="15" thickBot="1" x14ac:dyDescent="0.4">
      <c r="A52" s="258"/>
      <c r="B52" s="259"/>
      <c r="C52" s="261"/>
      <c r="D52" s="257"/>
      <c r="E52" s="243"/>
      <c r="F52" s="240"/>
      <c r="G52" s="253"/>
    </row>
    <row r="53" spans="1:8" ht="19" thickBot="1" x14ac:dyDescent="0.5">
      <c r="A53" s="724" t="s">
        <v>193</v>
      </c>
      <c r="B53" s="725"/>
      <c r="C53" s="726"/>
      <c r="D53" s="517"/>
      <c r="E53" s="716" t="s">
        <v>194</v>
      </c>
      <c r="F53" s="717"/>
      <c r="G53" s="717"/>
      <c r="H53" s="718"/>
    </row>
    <row r="54" spans="1:8" ht="14.5" customHeight="1" x14ac:dyDescent="0.35">
      <c r="A54" s="653" t="s">
        <v>195</v>
      </c>
      <c r="B54" s="714" t="s">
        <v>196</v>
      </c>
      <c r="C54" s="656" t="s">
        <v>197</v>
      </c>
      <c r="D54" s="517"/>
      <c r="E54" s="719" t="s">
        <v>198</v>
      </c>
      <c r="F54" s="720"/>
      <c r="G54" s="720"/>
      <c r="H54" s="721"/>
    </row>
    <row r="55" spans="1:8" ht="44" thickBot="1" x14ac:dyDescent="0.4">
      <c r="A55" s="655"/>
      <c r="B55" s="715"/>
      <c r="C55" s="696"/>
      <c r="D55" s="517"/>
      <c r="E55" s="537" t="s">
        <v>199</v>
      </c>
      <c r="F55" s="538" t="s">
        <v>200</v>
      </c>
      <c r="G55" s="538" t="s">
        <v>201</v>
      </c>
      <c r="H55" s="494" t="s">
        <v>202</v>
      </c>
    </row>
    <row r="56" spans="1:8" ht="15" thickBot="1" x14ac:dyDescent="0.4">
      <c r="A56" s="200">
        <v>0</v>
      </c>
      <c r="B56" s="200">
        <v>0</v>
      </c>
      <c r="C56" s="436" t="s">
        <v>203</v>
      </c>
      <c r="D56" s="517"/>
      <c r="E56" s="731" t="s">
        <v>204</v>
      </c>
      <c r="F56" s="733">
        <v>16</v>
      </c>
      <c r="G56" s="733">
        <v>14</v>
      </c>
      <c r="H56" s="735">
        <v>12</v>
      </c>
    </row>
    <row r="57" spans="1:8" ht="29.25" customHeight="1" x14ac:dyDescent="0.35">
      <c r="A57" s="653" t="s">
        <v>205</v>
      </c>
      <c r="B57" s="653" t="s">
        <v>206</v>
      </c>
      <c r="C57" s="653" t="s">
        <v>164</v>
      </c>
      <c r="D57" s="517"/>
      <c r="E57" s="732"/>
      <c r="F57" s="734"/>
      <c r="G57" s="734"/>
      <c r="H57" s="736"/>
    </row>
    <row r="58" spans="1:8" ht="15" thickBot="1" x14ac:dyDescent="0.4">
      <c r="A58" s="654"/>
      <c r="B58" s="727"/>
      <c r="C58" s="655"/>
      <c r="D58" s="517"/>
      <c r="E58" s="330" t="s">
        <v>199</v>
      </c>
      <c r="F58" s="538" t="s">
        <v>207</v>
      </c>
      <c r="G58" s="538" t="s">
        <v>208</v>
      </c>
      <c r="H58" s="494" t="s">
        <v>209</v>
      </c>
    </row>
    <row r="59" spans="1:8" ht="15" thickBot="1" x14ac:dyDescent="0.4">
      <c r="A59" s="434">
        <f>IF($B$51="Y",A56*F56,0)</f>
        <v>0</v>
      </c>
      <c r="B59" s="402">
        <f>IF($B$51="Y",SUM(ROUNDUP(B56*0.33,0.1)*100),0)</f>
        <v>0</v>
      </c>
      <c r="C59" s="402">
        <v>0</v>
      </c>
      <c r="D59" s="517"/>
      <c r="E59" s="728" t="s">
        <v>210</v>
      </c>
      <c r="F59" s="729"/>
      <c r="G59" s="729"/>
      <c r="H59" s="730"/>
    </row>
    <row r="60" spans="1:8" ht="29.25" customHeight="1" x14ac:dyDescent="0.35">
      <c r="A60" s="653" t="s">
        <v>146</v>
      </c>
      <c r="B60" s="653" t="s">
        <v>156</v>
      </c>
      <c r="C60" s="656" t="s">
        <v>211</v>
      </c>
      <c r="D60" s="517"/>
      <c r="E60" s="333" t="s">
        <v>212</v>
      </c>
      <c r="F60" s="327">
        <v>480</v>
      </c>
      <c r="G60" s="327">
        <v>420</v>
      </c>
      <c r="H60" s="332">
        <v>360</v>
      </c>
    </row>
    <row r="61" spans="1:8" ht="15" thickBot="1" x14ac:dyDescent="0.4">
      <c r="A61" s="727"/>
      <c r="B61" s="727"/>
      <c r="C61" s="696"/>
      <c r="D61" s="517"/>
      <c r="E61" s="331" t="s">
        <v>172</v>
      </c>
      <c r="F61" s="327">
        <v>125</v>
      </c>
      <c r="G61" s="327">
        <v>125</v>
      </c>
      <c r="H61" s="332">
        <v>125</v>
      </c>
    </row>
    <row r="62" spans="1:8" ht="44" thickBot="1" x14ac:dyDescent="0.4">
      <c r="A62" s="402">
        <f>IF($B$51="Y",A56*F60,0)</f>
        <v>0</v>
      </c>
      <c r="B62" s="402">
        <f>IF($B$51="Y",F76,0)</f>
        <v>0</v>
      </c>
      <c r="C62" s="435">
        <f>IF(A56&gt;=4,MIN(150,(B56+E51)*1.15*F66),0)</f>
        <v>0</v>
      </c>
      <c r="D62" s="517"/>
      <c r="E62" s="333" t="s">
        <v>213</v>
      </c>
      <c r="F62" s="327">
        <v>100</v>
      </c>
      <c r="G62" s="327">
        <v>100</v>
      </c>
      <c r="H62" s="332">
        <v>100</v>
      </c>
    </row>
    <row r="63" spans="1:8" ht="38.15" customHeight="1" thickBot="1" x14ac:dyDescent="0.4">
      <c r="A63" s="653" t="s">
        <v>148</v>
      </c>
      <c r="B63" s="653" t="s">
        <v>214</v>
      </c>
      <c r="C63" s="656" t="s">
        <v>215</v>
      </c>
      <c r="D63" s="363" t="s">
        <v>216</v>
      </c>
      <c r="E63" s="382" t="s">
        <v>217</v>
      </c>
      <c r="F63" s="327">
        <v>25</v>
      </c>
      <c r="G63" s="327">
        <v>25</v>
      </c>
      <c r="H63" s="332">
        <v>25</v>
      </c>
    </row>
    <row r="64" spans="1:8" ht="16" customHeight="1" thickBot="1" x14ac:dyDescent="0.4">
      <c r="A64" s="655"/>
      <c r="B64" s="727"/>
      <c r="C64" s="657"/>
      <c r="D64" s="364" t="s">
        <v>218</v>
      </c>
      <c r="E64" s="328" t="s">
        <v>219</v>
      </c>
      <c r="F64" s="538"/>
      <c r="G64" s="538"/>
      <c r="H64" s="494"/>
    </row>
    <row r="65" spans="1:8" ht="47.15" customHeight="1" thickBot="1" x14ac:dyDescent="0.4">
      <c r="A65" s="402">
        <f>IF($B$51="Y",A59*1.2*F65,0)</f>
        <v>0</v>
      </c>
      <c r="B65" s="402">
        <f>IF($B$51="Y",MAX(A56*F63,100),0)</f>
        <v>0</v>
      </c>
      <c r="C65" s="402">
        <f>IF($B$51="Y",A59*F67,0)</f>
        <v>0</v>
      </c>
      <c r="D65" s="517"/>
      <c r="E65" s="334" t="s">
        <v>220</v>
      </c>
      <c r="F65" s="327">
        <v>15</v>
      </c>
      <c r="G65" s="327">
        <v>15</v>
      </c>
      <c r="H65" s="332">
        <v>15</v>
      </c>
    </row>
    <row r="66" spans="1:8" ht="29.25" customHeight="1" x14ac:dyDescent="0.35">
      <c r="A66" s="653" t="s">
        <v>221</v>
      </c>
      <c r="B66" s="653" t="s">
        <v>222</v>
      </c>
      <c r="C66" s="656" t="s">
        <v>170</v>
      </c>
      <c r="D66" s="517"/>
      <c r="E66" s="333" t="s">
        <v>223</v>
      </c>
      <c r="F66" s="327">
        <v>20</v>
      </c>
      <c r="G66" s="327">
        <v>20</v>
      </c>
      <c r="H66" s="332">
        <v>20</v>
      </c>
    </row>
    <row r="67" spans="1:8" ht="15" thickBot="1" x14ac:dyDescent="0.4">
      <c r="A67" s="727"/>
      <c r="B67" s="727"/>
      <c r="C67" s="657"/>
      <c r="D67" s="517"/>
      <c r="E67" s="333" t="s">
        <v>224</v>
      </c>
      <c r="F67" s="327">
        <v>3</v>
      </c>
      <c r="G67" s="327">
        <v>3</v>
      </c>
      <c r="H67" s="332">
        <v>3</v>
      </c>
    </row>
    <row r="68" spans="1:8" ht="15.65" customHeight="1" thickBot="1" x14ac:dyDescent="0.4">
      <c r="A68" s="402">
        <f>IF($B$51="Y",F73,0)</f>
        <v>0</v>
      </c>
      <c r="B68" s="402">
        <f>IF($B$51="Y",F77,0)</f>
        <v>0</v>
      </c>
      <c r="C68" s="402">
        <f>IF($B$51="Y",F75,0)</f>
        <v>0</v>
      </c>
      <c r="D68" s="517"/>
      <c r="E68" s="328" t="s">
        <v>225</v>
      </c>
      <c r="F68" s="538"/>
      <c r="G68" s="538"/>
      <c r="H68" s="494"/>
    </row>
    <row r="69" spans="1:8" ht="28.5" customHeight="1" x14ac:dyDescent="0.35">
      <c r="A69" s="653" t="s">
        <v>226</v>
      </c>
      <c r="B69" s="653" t="s">
        <v>227</v>
      </c>
      <c r="C69" s="653" t="s">
        <v>172</v>
      </c>
      <c r="D69" s="517"/>
      <c r="E69" s="333" t="s">
        <v>228</v>
      </c>
      <c r="F69" s="513" t="s">
        <v>229</v>
      </c>
      <c r="G69" s="513" t="s">
        <v>229</v>
      </c>
      <c r="H69" s="329" t="s">
        <v>229</v>
      </c>
    </row>
    <row r="70" spans="1:8" ht="14.5" customHeight="1" thickBot="1" x14ac:dyDescent="0.4">
      <c r="A70" s="655"/>
      <c r="B70" s="655"/>
      <c r="C70" s="655"/>
      <c r="D70" s="517"/>
      <c r="E70" s="328" t="s">
        <v>230</v>
      </c>
      <c r="F70" s="538"/>
      <c r="G70" s="538"/>
      <c r="H70" s="494"/>
    </row>
    <row r="71" spans="1:8" ht="15" thickBot="1" x14ac:dyDescent="0.4">
      <c r="A71" s="402">
        <f>IF($B$51="Y",F74,0)</f>
        <v>0</v>
      </c>
      <c r="B71" s="402">
        <f>IF($B$51="Y",MAX(A56*F62,400),0)</f>
        <v>0</v>
      </c>
      <c r="C71" s="402">
        <f>IF($B$51="Y",A56*F61,0)</f>
        <v>0</v>
      </c>
      <c r="D71" s="517"/>
      <c r="E71" s="331" t="s">
        <v>231</v>
      </c>
      <c r="F71" s="327">
        <v>0</v>
      </c>
      <c r="G71" s="327">
        <v>0</v>
      </c>
      <c r="H71" s="332">
        <v>20</v>
      </c>
    </row>
    <row r="72" spans="1:8" ht="15" customHeight="1" thickBot="1" x14ac:dyDescent="0.4">
      <c r="A72" s="258"/>
      <c r="B72" s="259"/>
      <c r="C72" s="260"/>
      <c r="D72" s="517"/>
      <c r="E72" s="328" t="s">
        <v>232</v>
      </c>
      <c r="F72" s="538"/>
      <c r="G72" s="538"/>
      <c r="H72" s="494"/>
    </row>
    <row r="73" spans="1:8" ht="66.650000000000006" customHeight="1" thickBot="1" x14ac:dyDescent="0.4">
      <c r="A73" s="664" t="s">
        <v>233</v>
      </c>
      <c r="B73" s="665"/>
      <c r="C73" s="666"/>
      <c r="D73" s="517"/>
      <c r="E73" s="333" t="s">
        <v>234</v>
      </c>
      <c r="F73" s="327">
        <v>250</v>
      </c>
      <c r="G73" s="327">
        <v>250</v>
      </c>
      <c r="H73" s="329">
        <v>250</v>
      </c>
    </row>
    <row r="74" spans="1:8" ht="29" x14ac:dyDescent="0.35">
      <c r="A74" s="667" t="s">
        <v>195</v>
      </c>
      <c r="B74" s="709" t="s">
        <v>235</v>
      </c>
      <c r="C74" s="658" t="s">
        <v>197</v>
      </c>
      <c r="D74" s="517"/>
      <c r="E74" s="333" t="s">
        <v>236</v>
      </c>
      <c r="F74" s="327">
        <v>150</v>
      </c>
      <c r="G74" s="327">
        <v>150</v>
      </c>
      <c r="H74" s="329">
        <v>150</v>
      </c>
    </row>
    <row r="75" spans="1:8" x14ac:dyDescent="0.35">
      <c r="A75" s="668"/>
      <c r="B75" s="710"/>
      <c r="C75" s="659"/>
      <c r="D75" s="517"/>
      <c r="E75" s="331" t="s">
        <v>237</v>
      </c>
      <c r="F75" s="327">
        <v>250</v>
      </c>
      <c r="G75" s="327">
        <v>250</v>
      </c>
      <c r="H75" s="329">
        <v>250</v>
      </c>
    </row>
    <row r="76" spans="1:8" ht="29.5" thickBot="1" x14ac:dyDescent="0.4">
      <c r="A76" s="163">
        <v>0</v>
      </c>
      <c r="B76" s="165">
        <v>0</v>
      </c>
      <c r="C76" s="436" t="s">
        <v>203</v>
      </c>
      <c r="D76" s="517"/>
      <c r="E76" s="333" t="s">
        <v>156</v>
      </c>
      <c r="F76" s="327">
        <v>150</v>
      </c>
      <c r="G76" s="327">
        <v>150</v>
      </c>
      <c r="H76" s="329">
        <v>150</v>
      </c>
    </row>
    <row r="77" spans="1:8" ht="29.25" customHeight="1" thickBot="1" x14ac:dyDescent="0.4">
      <c r="A77" s="653" t="s">
        <v>205</v>
      </c>
      <c r="B77" s="653" t="s">
        <v>206</v>
      </c>
      <c r="C77" s="658" t="s">
        <v>164</v>
      </c>
      <c r="D77" s="517"/>
      <c r="E77" s="335" t="s">
        <v>160</v>
      </c>
      <c r="F77" s="336">
        <v>180</v>
      </c>
      <c r="G77" s="336">
        <v>180</v>
      </c>
      <c r="H77" s="337">
        <v>180</v>
      </c>
    </row>
    <row r="78" spans="1:8" x14ac:dyDescent="0.35">
      <c r="A78" s="654"/>
      <c r="B78" s="654"/>
      <c r="C78" s="659"/>
      <c r="D78" s="517"/>
      <c r="E78" s="236"/>
      <c r="F78" s="236"/>
      <c r="G78" s="234"/>
      <c r="H78" s="542"/>
    </row>
    <row r="79" spans="1:8" ht="15" thickBot="1" x14ac:dyDescent="0.4">
      <c r="A79" s="434">
        <f>IF($C$51="Y",A76*G56,0)</f>
        <v>0</v>
      </c>
      <c r="B79" s="434">
        <f>IF(C51="Y",SUM(ROUNDUP(B76*0.33,0.1)*100),0)</f>
        <v>0</v>
      </c>
      <c r="C79" s="435">
        <v>0</v>
      </c>
      <c r="D79" s="517"/>
      <c r="E79" s="236"/>
      <c r="F79" s="236"/>
      <c r="G79" s="234"/>
      <c r="H79" s="542"/>
    </row>
    <row r="80" spans="1:8" ht="29.25" customHeight="1" x14ac:dyDescent="0.35">
      <c r="A80" s="653" t="s">
        <v>146</v>
      </c>
      <c r="B80" s="653" t="s">
        <v>156</v>
      </c>
      <c r="C80" s="658" t="s">
        <v>166</v>
      </c>
      <c r="D80" s="517"/>
      <c r="E80" s="236"/>
      <c r="F80" s="236"/>
      <c r="G80" s="234"/>
      <c r="H80" s="542"/>
    </row>
    <row r="81" spans="1:8" x14ac:dyDescent="0.35">
      <c r="A81" s="654"/>
      <c r="B81" s="654"/>
      <c r="C81" s="659"/>
      <c r="D81" s="517"/>
      <c r="E81" s="236"/>
      <c r="F81" s="236"/>
      <c r="G81" s="234"/>
      <c r="H81" s="542"/>
    </row>
    <row r="82" spans="1:8" ht="15" thickBot="1" x14ac:dyDescent="0.4">
      <c r="A82" s="434">
        <f>IF($C51="Y",A76*G60,0)</f>
        <v>0</v>
      </c>
      <c r="B82" s="434">
        <f>IF($C51="Y",G76,0)</f>
        <v>0</v>
      </c>
      <c r="C82" s="435">
        <f>IF(A76&gt;=4,MIN(150,B76*1.15*F66),0)</f>
        <v>0</v>
      </c>
      <c r="D82" s="517"/>
      <c r="E82" s="236"/>
      <c r="F82" s="236"/>
      <c r="G82" s="234"/>
    </row>
    <row r="83" spans="1:8" ht="29.25" customHeight="1" thickBot="1" x14ac:dyDescent="0.4">
      <c r="A83" s="653" t="s">
        <v>148</v>
      </c>
      <c r="B83" s="653" t="s">
        <v>214</v>
      </c>
      <c r="C83" s="662" t="s">
        <v>238</v>
      </c>
      <c r="D83" s="363" t="s">
        <v>216</v>
      </c>
      <c r="E83" s="236"/>
      <c r="F83" s="236"/>
      <c r="G83" s="234"/>
    </row>
    <row r="84" spans="1:8" ht="15" thickBot="1" x14ac:dyDescent="0.4">
      <c r="A84" s="654"/>
      <c r="B84" s="654"/>
      <c r="C84" s="663"/>
      <c r="D84" s="364" t="s">
        <v>218</v>
      </c>
      <c r="E84" s="236"/>
      <c r="F84" s="236"/>
      <c r="G84" s="234"/>
    </row>
    <row r="85" spans="1:8" ht="15" thickBot="1" x14ac:dyDescent="0.4">
      <c r="A85" s="434">
        <f>IF(C51="Y",A79*1.2*G65,0)</f>
        <v>0</v>
      </c>
      <c r="B85" s="434">
        <f>IF(C51="Y",MAX(A76*G63,100),0)</f>
        <v>0</v>
      </c>
      <c r="C85" s="416">
        <f>IF(C51="Y",A79*G67,0)</f>
        <v>0</v>
      </c>
      <c r="D85" s="517"/>
      <c r="E85" s="236"/>
      <c r="F85" s="236"/>
      <c r="G85" s="234"/>
    </row>
    <row r="86" spans="1:8" ht="28.5" customHeight="1" x14ac:dyDescent="0.35">
      <c r="A86" s="653" t="s">
        <v>221</v>
      </c>
      <c r="B86" s="653" t="s">
        <v>239</v>
      </c>
      <c r="C86" s="658" t="s">
        <v>170</v>
      </c>
      <c r="D86" s="517"/>
      <c r="E86" s="236"/>
      <c r="F86" s="236"/>
      <c r="G86" s="234"/>
    </row>
    <row r="87" spans="1:8" x14ac:dyDescent="0.35">
      <c r="A87" s="654"/>
      <c r="B87" s="654"/>
      <c r="C87" s="659"/>
      <c r="D87" s="517"/>
      <c r="E87" s="236"/>
      <c r="F87" s="236"/>
      <c r="G87" s="234"/>
    </row>
    <row r="88" spans="1:8" ht="15" thickBot="1" x14ac:dyDescent="0.4">
      <c r="A88" s="434">
        <f>IF(C51="Y",G73,0)</f>
        <v>0</v>
      </c>
      <c r="B88" s="434">
        <f>IF(C51="Y",G77,0)</f>
        <v>0</v>
      </c>
      <c r="C88" s="435">
        <f>IF(C51="Y",G75,0)</f>
        <v>0</v>
      </c>
      <c r="D88" s="517"/>
      <c r="E88" s="236"/>
      <c r="F88" s="236"/>
      <c r="G88" s="234"/>
    </row>
    <row r="89" spans="1:8" ht="28.5" customHeight="1" x14ac:dyDescent="0.35">
      <c r="A89" s="653" t="s">
        <v>240</v>
      </c>
      <c r="B89" s="653" t="s">
        <v>227</v>
      </c>
      <c r="C89" s="658" t="s">
        <v>172</v>
      </c>
      <c r="D89" s="517"/>
      <c r="E89" s="236"/>
      <c r="F89" s="236"/>
      <c r="G89" s="234"/>
    </row>
    <row r="90" spans="1:8" x14ac:dyDescent="0.35">
      <c r="A90" s="654"/>
      <c r="B90" s="654"/>
      <c r="C90" s="659"/>
      <c r="D90" s="517"/>
      <c r="E90" s="236"/>
      <c r="F90" s="236"/>
      <c r="G90" s="234"/>
    </row>
    <row r="91" spans="1:8" ht="15" thickBot="1" x14ac:dyDescent="0.4">
      <c r="A91" s="434">
        <f>IF(C51="Y",G74,0)</f>
        <v>0</v>
      </c>
      <c r="B91" s="434">
        <f>IF(C51="Y",MAX(A76*G62,400),0)</f>
        <v>0</v>
      </c>
      <c r="C91" s="435">
        <f>IF(C51="Y",A76*G61,0)</f>
        <v>0</v>
      </c>
      <c r="D91" s="517"/>
      <c r="E91" s="236"/>
      <c r="F91" s="236"/>
      <c r="G91" s="234"/>
    </row>
    <row r="92" spans="1:8" ht="15" thickBot="1" x14ac:dyDescent="0.4">
      <c r="A92" s="258"/>
      <c r="B92" s="259"/>
      <c r="C92" s="260"/>
      <c r="D92" s="517"/>
      <c r="E92" s="236"/>
      <c r="F92" s="236"/>
      <c r="G92" s="234"/>
    </row>
    <row r="93" spans="1:8" ht="39.65" customHeight="1" thickBot="1" x14ac:dyDescent="0.4">
      <c r="A93" s="664" t="s">
        <v>241</v>
      </c>
      <c r="B93" s="725"/>
      <c r="C93" s="726"/>
      <c r="D93" s="517"/>
      <c r="E93" s="242"/>
      <c r="F93" s="236"/>
      <c r="G93" s="234"/>
    </row>
    <row r="94" spans="1:8" x14ac:dyDescent="0.35">
      <c r="A94" s="667" t="s">
        <v>195</v>
      </c>
      <c r="B94" s="651" t="s">
        <v>235</v>
      </c>
      <c r="C94" s="660" t="s">
        <v>242</v>
      </c>
      <c r="D94" s="517"/>
      <c r="E94" s="242"/>
      <c r="F94" s="236"/>
      <c r="G94" s="234"/>
    </row>
    <row r="95" spans="1:8" x14ac:dyDescent="0.35">
      <c r="A95" s="668"/>
      <c r="B95" s="652"/>
      <c r="C95" s="661"/>
      <c r="D95" s="517"/>
      <c r="E95" s="242"/>
      <c r="F95" s="236"/>
      <c r="G95" s="234"/>
    </row>
    <row r="96" spans="1:8" ht="15" thickBot="1" x14ac:dyDescent="0.4">
      <c r="A96" s="163">
        <v>0</v>
      </c>
      <c r="B96" s="164">
        <v>0</v>
      </c>
      <c r="C96" s="256">
        <v>0</v>
      </c>
      <c r="D96" s="517"/>
      <c r="E96" s="242"/>
      <c r="F96" s="236"/>
      <c r="G96" s="234"/>
    </row>
    <row r="97" spans="1:7" ht="29.25" customHeight="1" x14ac:dyDescent="0.35">
      <c r="A97" s="653" t="s">
        <v>205</v>
      </c>
      <c r="B97" s="653" t="s">
        <v>206</v>
      </c>
      <c r="C97" s="658" t="s">
        <v>164</v>
      </c>
      <c r="D97" s="517"/>
      <c r="E97" s="242"/>
      <c r="F97" s="236"/>
      <c r="G97" s="234"/>
    </row>
    <row r="98" spans="1:7" x14ac:dyDescent="0.35">
      <c r="A98" s="654"/>
      <c r="B98" s="654"/>
      <c r="C98" s="659"/>
      <c r="D98" s="517"/>
      <c r="E98" s="236"/>
      <c r="F98" s="236"/>
      <c r="G98" s="234"/>
    </row>
    <row r="99" spans="1:7" ht="15" thickBot="1" x14ac:dyDescent="0.4">
      <c r="A99" s="166">
        <v>0</v>
      </c>
      <c r="B99" s="166">
        <f>IF($E$9="Y",SUM(ROUNDUP(B96*0.33,0.1)*100),0)</f>
        <v>0</v>
      </c>
      <c r="C99" s="171">
        <v>0</v>
      </c>
      <c r="D99" s="517"/>
      <c r="E99" s="236"/>
      <c r="F99" s="236"/>
      <c r="G99" s="234"/>
    </row>
    <row r="100" spans="1:7" ht="29.25" customHeight="1" x14ac:dyDescent="0.35">
      <c r="A100" s="653" t="s">
        <v>146</v>
      </c>
      <c r="B100" s="653" t="s">
        <v>156</v>
      </c>
      <c r="C100" s="658" t="s">
        <v>166</v>
      </c>
      <c r="D100" s="517"/>
      <c r="E100" s="236"/>
      <c r="F100" s="236"/>
      <c r="G100" s="234"/>
    </row>
    <row r="101" spans="1:7" x14ac:dyDescent="0.35">
      <c r="A101" s="654"/>
      <c r="B101" s="654"/>
      <c r="C101" s="659"/>
      <c r="D101" s="517"/>
      <c r="E101" s="236"/>
      <c r="F101" s="236"/>
      <c r="G101" s="234"/>
    </row>
    <row r="102" spans="1:7" ht="15" thickBot="1" x14ac:dyDescent="0.4">
      <c r="A102" s="166">
        <v>0</v>
      </c>
      <c r="B102" s="166">
        <v>0</v>
      </c>
      <c r="C102" s="171">
        <v>0</v>
      </c>
      <c r="D102" s="517"/>
      <c r="E102" s="236"/>
      <c r="F102" s="236"/>
      <c r="G102" s="234"/>
    </row>
    <row r="103" spans="1:7" ht="29.25" customHeight="1" thickBot="1" x14ac:dyDescent="0.4">
      <c r="A103" s="653" t="s">
        <v>148</v>
      </c>
      <c r="B103" s="653" t="s">
        <v>214</v>
      </c>
      <c r="C103" s="658" t="s">
        <v>238</v>
      </c>
      <c r="D103" s="363" t="s">
        <v>216</v>
      </c>
      <c r="E103" s="236"/>
      <c r="F103" s="236"/>
      <c r="G103" s="234"/>
    </row>
    <row r="104" spans="1:7" ht="15" thickBot="1" x14ac:dyDescent="0.4">
      <c r="A104" s="654"/>
      <c r="B104" s="654"/>
      <c r="C104" s="659"/>
      <c r="D104" s="364" t="s">
        <v>218</v>
      </c>
      <c r="E104" s="236"/>
      <c r="F104" s="236"/>
      <c r="G104" s="234"/>
    </row>
    <row r="105" spans="1:7" ht="15" thickBot="1" x14ac:dyDescent="0.4">
      <c r="A105" s="166">
        <v>0</v>
      </c>
      <c r="B105" s="166">
        <v>0</v>
      </c>
      <c r="C105" s="171">
        <v>0</v>
      </c>
      <c r="D105" s="517"/>
      <c r="E105" s="236"/>
      <c r="F105" s="236"/>
      <c r="G105" s="234"/>
    </row>
    <row r="106" spans="1:7" ht="29.25" customHeight="1" x14ac:dyDescent="0.35">
      <c r="A106" s="653" t="s">
        <v>221</v>
      </c>
      <c r="B106" s="653" t="s">
        <v>222</v>
      </c>
      <c r="C106" s="658" t="s">
        <v>170</v>
      </c>
      <c r="D106" s="517"/>
      <c r="E106" s="236"/>
      <c r="F106" s="236"/>
      <c r="G106" s="234"/>
    </row>
    <row r="107" spans="1:7" x14ac:dyDescent="0.35">
      <c r="A107" s="654"/>
      <c r="B107" s="654"/>
      <c r="C107" s="659"/>
      <c r="D107" s="517"/>
      <c r="E107" s="236"/>
      <c r="F107" s="236"/>
      <c r="G107" s="234"/>
    </row>
    <row r="108" spans="1:7" ht="15" thickBot="1" x14ac:dyDescent="0.4">
      <c r="A108" s="166">
        <v>0</v>
      </c>
      <c r="B108" s="166">
        <v>0</v>
      </c>
      <c r="C108" s="171">
        <v>0</v>
      </c>
      <c r="D108" s="517"/>
      <c r="E108" s="236"/>
      <c r="F108" s="236"/>
      <c r="G108" s="234"/>
    </row>
    <row r="109" spans="1:7" ht="29.25" customHeight="1" x14ac:dyDescent="0.35">
      <c r="A109" s="653" t="s">
        <v>240</v>
      </c>
      <c r="B109" s="653" t="s">
        <v>227</v>
      </c>
      <c r="C109" s="658" t="s">
        <v>172</v>
      </c>
      <c r="D109" s="517"/>
      <c r="E109" s="236"/>
      <c r="F109" s="236"/>
      <c r="G109" s="234"/>
    </row>
    <row r="110" spans="1:7" x14ac:dyDescent="0.35">
      <c r="A110" s="654"/>
      <c r="B110" s="654"/>
      <c r="C110" s="659"/>
      <c r="D110" s="517"/>
      <c r="E110" s="236"/>
      <c r="F110" s="236"/>
      <c r="G110" s="234"/>
    </row>
    <row r="111" spans="1:7" ht="15" thickBot="1" x14ac:dyDescent="0.4">
      <c r="A111" s="166">
        <v>0</v>
      </c>
      <c r="B111" s="166">
        <v>0</v>
      </c>
      <c r="C111" s="171">
        <v>0</v>
      </c>
      <c r="D111" s="519"/>
      <c r="E111" s="241"/>
      <c r="F111" s="241"/>
      <c r="G111" s="254"/>
    </row>
  </sheetData>
  <mergeCells count="114">
    <mergeCell ref="A77:A78"/>
    <mergeCell ref="B77:B78"/>
    <mergeCell ref="A74:A75"/>
    <mergeCell ref="B74:B75"/>
    <mergeCell ref="A93:C93"/>
    <mergeCell ref="B89:B90"/>
    <mergeCell ref="A89:A90"/>
    <mergeCell ref="B86:B87"/>
    <mergeCell ref="A86:A87"/>
    <mergeCell ref="B83:B84"/>
    <mergeCell ref="A83:A84"/>
    <mergeCell ref="A80:A81"/>
    <mergeCell ref="B80:B81"/>
    <mergeCell ref="A57:A58"/>
    <mergeCell ref="B57:B58"/>
    <mergeCell ref="E59:H59"/>
    <mergeCell ref="A60:A61"/>
    <mergeCell ref="B60:B61"/>
    <mergeCell ref="A63:A64"/>
    <mergeCell ref="B63:B64"/>
    <mergeCell ref="A66:A67"/>
    <mergeCell ref="B66:B67"/>
    <mergeCell ref="C63:C64"/>
    <mergeCell ref="C57:C58"/>
    <mergeCell ref="C60:C61"/>
    <mergeCell ref="E56:E57"/>
    <mergeCell ref="F56:F57"/>
    <mergeCell ref="G56:G57"/>
    <mergeCell ref="H56:H57"/>
    <mergeCell ref="F51:G51"/>
    <mergeCell ref="A54:A55"/>
    <mergeCell ref="A24:D24"/>
    <mergeCell ref="A30:D30"/>
    <mergeCell ref="A31:D31"/>
    <mergeCell ref="A32:D32"/>
    <mergeCell ref="A33:D33"/>
    <mergeCell ref="A26:D26"/>
    <mergeCell ref="A27:D27"/>
    <mergeCell ref="A28:D28"/>
    <mergeCell ref="A29:D29"/>
    <mergeCell ref="A25:D25"/>
    <mergeCell ref="A53:C53"/>
    <mergeCell ref="A9:D9"/>
    <mergeCell ref="A11:D11"/>
    <mergeCell ref="A12:D12"/>
    <mergeCell ref="A21:D21"/>
    <mergeCell ref="A22:D22"/>
    <mergeCell ref="A23:D23"/>
    <mergeCell ref="C54:C55"/>
    <mergeCell ref="A39:D39"/>
    <mergeCell ref="A41:H41"/>
    <mergeCell ref="A42:D42"/>
    <mergeCell ref="F48:G49"/>
    <mergeCell ref="F50:G50"/>
    <mergeCell ref="A43:D43"/>
    <mergeCell ref="A44:D44"/>
    <mergeCell ref="A45:D45"/>
    <mergeCell ref="A49:A50"/>
    <mergeCell ref="B49:B50"/>
    <mergeCell ref="C49:C50"/>
    <mergeCell ref="D49:D50"/>
    <mergeCell ref="A48:E48"/>
    <mergeCell ref="B54:B55"/>
    <mergeCell ref="E53:H53"/>
    <mergeCell ref="E54:H54"/>
    <mergeCell ref="E49:E50"/>
    <mergeCell ref="A106:A107"/>
    <mergeCell ref="B106:B107"/>
    <mergeCell ref="A109:A110"/>
    <mergeCell ref="B109:B110"/>
    <mergeCell ref="A94:A95"/>
    <mergeCell ref="A7:G7"/>
    <mergeCell ref="A10:D10"/>
    <mergeCell ref="A1:B1"/>
    <mergeCell ref="A2:B2"/>
    <mergeCell ref="A3:B3"/>
    <mergeCell ref="A4:B4"/>
    <mergeCell ref="A5:B5"/>
    <mergeCell ref="A19:H19"/>
    <mergeCell ref="A20:D20"/>
    <mergeCell ref="A13:H13"/>
    <mergeCell ref="A17:D17"/>
    <mergeCell ref="A18:D18"/>
    <mergeCell ref="A15:D15"/>
    <mergeCell ref="A16:D16"/>
    <mergeCell ref="A34:D34"/>
    <mergeCell ref="A35:D35"/>
    <mergeCell ref="A36:D36"/>
    <mergeCell ref="A37:D37"/>
    <mergeCell ref="A38:D38"/>
    <mergeCell ref="B94:B95"/>
    <mergeCell ref="A97:A98"/>
    <mergeCell ref="B97:B98"/>
    <mergeCell ref="A100:A101"/>
    <mergeCell ref="B100:B101"/>
    <mergeCell ref="C69:C70"/>
    <mergeCell ref="C66:C67"/>
    <mergeCell ref="C109:C110"/>
    <mergeCell ref="C89:C90"/>
    <mergeCell ref="C94:C95"/>
    <mergeCell ref="C74:C75"/>
    <mergeCell ref="C103:C104"/>
    <mergeCell ref="C106:C107"/>
    <mergeCell ref="C97:C98"/>
    <mergeCell ref="C100:C101"/>
    <mergeCell ref="C83:C84"/>
    <mergeCell ref="C86:C87"/>
    <mergeCell ref="C77:C78"/>
    <mergeCell ref="C80:C81"/>
    <mergeCell ref="A73:C73"/>
    <mergeCell ref="A69:A70"/>
    <mergeCell ref="B69:B70"/>
    <mergeCell ref="A103:A104"/>
    <mergeCell ref="B103:B104"/>
  </mergeCells>
  <dataValidations count="6">
    <dataValidation type="list" allowBlank="1" showInputMessage="1" showErrorMessage="1" sqref="C96" xr:uid="{372AA750-88D0-491E-9AA1-C67596F5958B}">
      <formula1>"1,2,3,4,5,6,7,8,9,10,11,12,13,14,15,16,17,18,19,20"</formula1>
    </dataValidation>
    <dataValidation type="list" allowBlank="1" showInputMessage="1" showErrorMessage="1" sqref="A76:B76 A96:B96 A56" xr:uid="{B6E37F1B-4106-4E9A-B1CF-BBF4DA842291}">
      <formula1>"0,1,2,3,4,5,6,7,8"</formula1>
    </dataValidation>
    <dataValidation type="list" allowBlank="1" showInputMessage="1" showErrorMessage="1" sqref="B51:D51" xr:uid="{1E7BAD12-147D-4FBD-A93A-1A6928EBECFF}">
      <formula1>"N,Y,-"</formula1>
    </dataValidation>
    <dataValidation type="list" allowBlank="1" showInputMessage="1" showErrorMessage="1" sqref="E51" xr:uid="{CED58BAD-F742-41A7-934F-D9BDB34DAD77}">
      <formula1>"0,1,2,3,4"</formula1>
    </dataValidation>
    <dataValidation type="list" allowBlank="1" showInputMessage="1" showErrorMessage="1" sqref="B56" xr:uid="{3D3F657C-A354-49FE-B979-88D7CD67DBD4}">
      <formula1>"0,1,2,3,4,5,6,7,8,9,10,11,12"</formula1>
    </dataValidation>
    <dataValidation type="list" allowBlank="1" showInputMessage="1" showErrorMessage="1" sqref="D64 D84 D104" xr:uid="{5D9F73FA-16BA-41DE-A5A7-36AE984DE7B9}">
      <formula1>"SELECT ONE, YES, NO"</formula1>
    </dataValidation>
  </dataValidations>
  <hyperlinks>
    <hyperlink ref="H6" r:id="rId1" display="WBDG - AFMAN 32-1084" xr:uid="{961ACCD5-41D4-49A3-84EB-449AA5418FE5}"/>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584DDAF-654F-4876-9C3B-1619A87B3F43}">
          <x14:formula1>
            <xm:f>'Sheet References'!$L$1:$L$978</xm:f>
          </x14:formula1>
          <xm:sqref>E1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7E6A7-F237-4512-A2FC-109AFB84E380}">
  <sheetPr>
    <tabColor rgb="FFFFFF99"/>
    <pageSetUpPr fitToPage="1"/>
  </sheetPr>
  <dimension ref="A1:P57"/>
  <sheetViews>
    <sheetView topLeftCell="A7" zoomScaleNormal="100" workbookViewId="0">
      <selection activeCell="A7" sqref="A7:G7"/>
    </sheetView>
  </sheetViews>
  <sheetFormatPr defaultColWidth="9.26953125" defaultRowHeight="14.5" x14ac:dyDescent="0.35"/>
  <cols>
    <col min="1" max="2" width="30.7265625" style="1" customWidth="1"/>
    <col min="3" max="3" width="18.81640625" style="1" bestFit="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740672</v>
      </c>
      <c r="F1" s="38"/>
      <c r="G1" s="38"/>
      <c r="H1" s="38"/>
    </row>
    <row r="2" spans="1:8" ht="21" customHeight="1" x14ac:dyDescent="0.35">
      <c r="A2" s="676" t="s">
        <v>21</v>
      </c>
      <c r="B2" s="676"/>
      <c r="C2" s="38"/>
      <c r="D2" s="36" t="s">
        <v>107</v>
      </c>
      <c r="E2" s="37" t="str">
        <f>VLOOKUP(E1,'Sheet References'!L:M,2,FALSE)</f>
        <v>MWR Supply and NAF Central Storage</v>
      </c>
      <c r="F2" s="38"/>
      <c r="G2" s="38"/>
      <c r="H2" s="38"/>
    </row>
    <row r="3" spans="1:8" ht="21" customHeight="1" x14ac:dyDescent="0.35">
      <c r="A3" s="676" t="s">
        <v>22</v>
      </c>
      <c r="B3" s="676"/>
      <c r="C3" s="36"/>
      <c r="D3" s="36" t="s">
        <v>108</v>
      </c>
      <c r="E3" s="37" t="str">
        <f>VLOOKUP(CATCode,'Sheet References'!L:O,4,FALSE)</f>
        <v>https://www.wbdg.org/FFC/AF/AFMAN/740672_MWR_Supply_and_NAF_Central_Storage.pdf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612</v>
      </c>
      <c r="B8" s="743"/>
      <c r="C8" s="743"/>
      <c r="D8" s="743"/>
      <c r="E8" s="296">
        <f>D26</f>
        <v>0</v>
      </c>
      <c r="F8" s="68">
        <v>1</v>
      </c>
      <c r="G8" s="45">
        <f>E8*F8</f>
        <v>0</v>
      </c>
      <c r="H8" s="345">
        <v>740672</v>
      </c>
    </row>
    <row r="9" spans="1:8" x14ac:dyDescent="0.35">
      <c r="A9" s="757" t="s">
        <v>180</v>
      </c>
      <c r="B9" s="757"/>
      <c r="C9" s="757"/>
      <c r="D9" s="757"/>
      <c r="E9" s="48" t="s">
        <v>126</v>
      </c>
      <c r="F9" s="65"/>
      <c r="G9" s="51">
        <f>SUM(G8:G8)</f>
        <v>0</v>
      </c>
      <c r="H9" s="35"/>
    </row>
    <row r="10" spans="1:8" x14ac:dyDescent="0.35">
      <c r="A10" s="758" t="s">
        <v>249</v>
      </c>
      <c r="B10" s="759"/>
      <c r="C10" s="759"/>
      <c r="D10" s="759"/>
      <c r="E10" s="50">
        <v>0</v>
      </c>
      <c r="F10" s="42"/>
      <c r="G10" s="66">
        <f>E10*G9</f>
        <v>0</v>
      </c>
      <c r="H10" s="35" t="s">
        <v>176</v>
      </c>
    </row>
    <row r="11" spans="1:8" x14ac:dyDescent="0.35">
      <c r="A11" s="757" t="s">
        <v>182</v>
      </c>
      <c r="B11" s="743"/>
      <c r="C11" s="743"/>
      <c r="D11" s="743"/>
      <c r="E11" s="47" t="s">
        <v>126</v>
      </c>
      <c r="F11" s="67"/>
      <c r="G11" s="51">
        <f>SUM(G9:G10)</f>
        <v>0</v>
      </c>
      <c r="H11" s="35"/>
    </row>
    <row r="12" spans="1:8" x14ac:dyDescent="0.35">
      <c r="A12" s="743"/>
      <c r="B12" s="743"/>
      <c r="C12" s="743"/>
      <c r="D12" s="743"/>
      <c r="E12" s="743"/>
      <c r="F12" s="743"/>
      <c r="G12" s="743"/>
      <c r="H12" s="743"/>
    </row>
    <row r="13" spans="1:8" s="4" customFormat="1" ht="15.5" x14ac:dyDescent="0.35">
      <c r="A13" s="744" t="s">
        <v>250</v>
      </c>
      <c r="B13" s="745"/>
      <c r="C13" s="745"/>
      <c r="D13" s="745"/>
      <c r="E13" s="745"/>
      <c r="F13" s="745"/>
      <c r="G13" s="745"/>
      <c r="H13" s="745"/>
    </row>
    <row r="14" spans="1:8" x14ac:dyDescent="0.35">
      <c r="A14" s="746" t="s">
        <v>251</v>
      </c>
      <c r="B14" s="743"/>
      <c r="C14" s="743"/>
      <c r="D14" s="743"/>
      <c r="E14" s="69" t="s">
        <v>252</v>
      </c>
      <c r="F14" s="70"/>
      <c r="G14" s="66">
        <f>G11</f>
        <v>0</v>
      </c>
      <c r="H14" s="46"/>
    </row>
    <row r="15" spans="1:8" x14ac:dyDescent="0.35">
      <c r="A15" s="746" t="s">
        <v>253</v>
      </c>
      <c r="B15" s="753"/>
      <c r="C15" s="753"/>
      <c r="D15" s="753"/>
      <c r="E15" s="50">
        <v>0</v>
      </c>
      <c r="F15" s="43"/>
      <c r="G15" s="45">
        <f>G14*E15</f>
        <v>0</v>
      </c>
      <c r="H15" s="35" t="s">
        <v>176</v>
      </c>
    </row>
    <row r="16" spans="1:8" x14ac:dyDescent="0.35">
      <c r="E16" s="48" t="s">
        <v>254</v>
      </c>
      <c r="F16" s="71"/>
      <c r="G16" s="51">
        <f>G9</f>
        <v>0</v>
      </c>
    </row>
    <row r="17" spans="1:12" ht="15" thickBot="1" x14ac:dyDescent="0.4"/>
    <row r="18" spans="1:12" ht="21.65" customHeight="1" thickBot="1" x14ac:dyDescent="0.4">
      <c r="A18" s="711" t="s">
        <v>613</v>
      </c>
      <c r="B18" s="712"/>
      <c r="C18" s="712"/>
      <c r="D18" s="173" t="s">
        <v>614</v>
      </c>
      <c r="E18" s="460"/>
      <c r="F18" s="460"/>
      <c r="G18" s="460"/>
      <c r="K18" s="216"/>
      <c r="L18" s="216"/>
    </row>
    <row r="19" spans="1:12" ht="14.5" customHeight="1" thickBot="1" x14ac:dyDescent="0.4">
      <c r="A19" s="975" t="s">
        <v>615</v>
      </c>
      <c r="B19" s="977" t="s">
        <v>514</v>
      </c>
      <c r="C19" s="684" t="s">
        <v>616</v>
      </c>
      <c r="D19" s="223">
        <f>VLOOKUP(B24,A47:D57,3,TRUE)</f>
        <v>0</v>
      </c>
      <c r="E19" s="198"/>
      <c r="F19" s="198"/>
      <c r="G19" s="198"/>
      <c r="H19" s="216"/>
      <c r="I19" s="216"/>
      <c r="J19" s="216"/>
      <c r="K19" s="216"/>
      <c r="L19" s="216"/>
    </row>
    <row r="20" spans="1:12" ht="15" customHeight="1" thickBot="1" x14ac:dyDescent="0.4">
      <c r="A20" s="976"/>
      <c r="B20" s="927"/>
      <c r="C20" s="876"/>
      <c r="D20" s="653" t="s">
        <v>617</v>
      </c>
      <c r="E20" s="462"/>
      <c r="F20" s="462"/>
      <c r="G20" s="462"/>
      <c r="H20" s="216"/>
      <c r="I20" s="216"/>
      <c r="J20" s="216"/>
      <c r="K20" s="216"/>
      <c r="L20" s="216"/>
    </row>
    <row r="21" spans="1:12" ht="15" customHeight="1" thickBot="1" x14ac:dyDescent="0.4">
      <c r="A21" s="213">
        <f>IF(C24="YES",'Instructions &amp; Pop Data'!D8+'Instructions &amp; Pop Data'!D10,'Instructions &amp; Pop Data'!D8)</f>
        <v>0</v>
      </c>
      <c r="B21" s="213">
        <f>'Instructions &amp; Pop Data'!D28</f>
        <v>0</v>
      </c>
      <c r="C21" s="515" t="s">
        <v>191</v>
      </c>
      <c r="D21" s="655"/>
      <c r="E21" s="462"/>
      <c r="F21" s="462"/>
      <c r="G21" s="462"/>
      <c r="K21" s="198"/>
      <c r="L21" s="198"/>
    </row>
    <row r="22" spans="1:12" ht="15" thickBot="1" x14ac:dyDescent="0.4">
      <c r="A22" s="662" t="s">
        <v>618</v>
      </c>
      <c r="B22" s="662" t="s">
        <v>619</v>
      </c>
      <c r="C22" s="244"/>
      <c r="D22" s="461">
        <f>VLOOKUP(A24,A36:D43,3,TRUE)</f>
        <v>0</v>
      </c>
      <c r="E22" s="462"/>
      <c r="F22" s="462"/>
      <c r="G22" s="462"/>
      <c r="K22" s="217"/>
      <c r="L22" s="217"/>
    </row>
    <row r="23" spans="1:12" ht="29.5" customHeight="1" thickBot="1" x14ac:dyDescent="0.4">
      <c r="A23" s="663"/>
      <c r="B23" s="663"/>
      <c r="C23" s="249" t="s">
        <v>528</v>
      </c>
      <c r="D23" s="968" t="s">
        <v>620</v>
      </c>
      <c r="E23" s="462"/>
      <c r="F23" s="462"/>
      <c r="G23" s="462"/>
      <c r="H23" s="114"/>
      <c r="I23" s="114"/>
      <c r="J23" s="250"/>
    </row>
    <row r="24" spans="1:12" ht="15" thickBot="1" x14ac:dyDescent="0.4">
      <c r="A24" s="213">
        <f>A21+B21*0.25</f>
        <v>0</v>
      </c>
      <c r="B24" s="213">
        <f>IF(C21="Y",A21+B21*0.15,0)</f>
        <v>0</v>
      </c>
      <c r="C24" s="463">
        <f>'Instructions &amp; Pop Data'!K4</f>
        <v>0</v>
      </c>
      <c r="D24" s="969"/>
      <c r="E24" s="462"/>
      <c r="F24" s="462"/>
      <c r="G24" s="462"/>
      <c r="H24" s="114"/>
      <c r="I24" s="114"/>
      <c r="J24" s="250"/>
    </row>
    <row r="25" spans="1:12" ht="15" thickBot="1" x14ac:dyDescent="0.4">
      <c r="A25" s="505"/>
      <c r="B25" s="505"/>
      <c r="D25" s="221" t="s">
        <v>190</v>
      </c>
      <c r="E25" s="462"/>
      <c r="F25" s="462"/>
      <c r="G25" s="462"/>
      <c r="H25" s="114"/>
      <c r="I25" s="114"/>
      <c r="J25" s="250"/>
    </row>
    <row r="26" spans="1:12" ht="15" thickBot="1" x14ac:dyDescent="0.4">
      <c r="A26" s="458"/>
      <c r="B26" s="458"/>
      <c r="D26" s="174">
        <f>D19+D22</f>
        <v>0</v>
      </c>
      <c r="E26" s="459"/>
      <c r="F26" s="458"/>
      <c r="G26" s="458"/>
      <c r="H26" s="114"/>
      <c r="I26" s="114"/>
      <c r="J26" s="250"/>
    </row>
    <row r="27" spans="1:12" ht="15" thickBot="1" x14ac:dyDescent="0.4">
      <c r="A27" s="457"/>
      <c r="B27" s="456"/>
      <c r="G27" s="304"/>
    </row>
    <row r="28" spans="1:12" ht="31" customHeight="1" thickBot="1" x14ac:dyDescent="0.4">
      <c r="A28" s="970" t="s">
        <v>621</v>
      </c>
      <c r="B28" s="971"/>
      <c r="C28" s="971"/>
      <c r="D28" s="971"/>
      <c r="E28" s="971"/>
      <c r="F28" s="971"/>
      <c r="G28" s="972"/>
      <c r="H28" s="251"/>
      <c r="I28" s="251"/>
      <c r="J28" s="251"/>
      <c r="K28" s="251"/>
      <c r="L28" s="251"/>
    </row>
    <row r="29" spans="1:12" ht="29.5" customHeight="1" thickBot="1" x14ac:dyDescent="0.4">
      <c r="A29" s="965" t="s">
        <v>622</v>
      </c>
      <c r="B29" s="966"/>
      <c r="C29" s="966"/>
      <c r="D29" s="966"/>
      <c r="E29" s="966"/>
      <c r="F29" s="966"/>
      <c r="G29" s="967"/>
      <c r="H29" s="252"/>
      <c r="I29" s="252"/>
      <c r="J29" s="252"/>
      <c r="K29" s="252"/>
      <c r="L29" s="252"/>
    </row>
    <row r="30" spans="1:12" ht="61.5" customHeight="1" thickBot="1" x14ac:dyDescent="0.4">
      <c r="A30" s="965" t="s">
        <v>623</v>
      </c>
      <c r="B30" s="966"/>
      <c r="C30" s="966"/>
      <c r="D30" s="966"/>
      <c r="E30" s="966"/>
      <c r="F30" s="966"/>
      <c r="G30" s="967"/>
      <c r="H30" s="252"/>
      <c r="I30" s="252"/>
      <c r="J30" s="252"/>
      <c r="K30" s="252"/>
      <c r="L30" s="252"/>
    </row>
    <row r="31" spans="1:12" ht="74.150000000000006" customHeight="1" thickBot="1" x14ac:dyDescent="0.4">
      <c r="A31" s="965" t="s">
        <v>624</v>
      </c>
      <c r="B31" s="966"/>
      <c r="C31" s="966"/>
      <c r="D31" s="966"/>
      <c r="E31" s="966"/>
      <c r="F31" s="966"/>
      <c r="G31" s="967"/>
      <c r="H31" s="252"/>
      <c r="I31" s="252"/>
      <c r="J31" s="252"/>
      <c r="K31" s="252"/>
      <c r="L31" s="252"/>
    </row>
    <row r="33" spans="1:4" ht="18.5" x14ac:dyDescent="0.45">
      <c r="A33" s="797" t="s">
        <v>625</v>
      </c>
      <c r="B33" s="798"/>
      <c r="C33" s="798"/>
      <c r="D33" s="799"/>
    </row>
    <row r="34" spans="1:4" ht="14.5" customHeight="1" x14ac:dyDescent="0.35">
      <c r="A34" s="720" t="s">
        <v>626</v>
      </c>
      <c r="B34" s="720"/>
      <c r="C34" s="720"/>
      <c r="D34" s="720"/>
    </row>
    <row r="35" spans="1:4" x14ac:dyDescent="0.35">
      <c r="A35" s="815" t="s">
        <v>455</v>
      </c>
      <c r="B35" s="815"/>
      <c r="C35" s="978" t="s">
        <v>190</v>
      </c>
      <c r="D35" s="873"/>
    </row>
    <row r="36" spans="1:4" x14ac:dyDescent="0.35">
      <c r="A36" s="522">
        <v>0</v>
      </c>
      <c r="B36" s="522">
        <v>0</v>
      </c>
      <c r="C36" s="979">
        <v>0</v>
      </c>
      <c r="D36" s="980"/>
    </row>
    <row r="37" spans="1:4" x14ac:dyDescent="0.35">
      <c r="A37" s="526">
        <v>1</v>
      </c>
      <c r="B37" s="526">
        <v>1000</v>
      </c>
      <c r="C37" s="973">
        <v>3500</v>
      </c>
      <c r="D37" s="974"/>
    </row>
    <row r="38" spans="1:4" x14ac:dyDescent="0.35">
      <c r="A38" s="526">
        <v>1001</v>
      </c>
      <c r="B38" s="526">
        <v>2000</v>
      </c>
      <c r="C38" s="973">
        <v>5000</v>
      </c>
      <c r="D38" s="974"/>
    </row>
    <row r="39" spans="1:4" x14ac:dyDescent="0.35">
      <c r="A39" s="526">
        <v>2001</v>
      </c>
      <c r="B39" s="526">
        <v>4000</v>
      </c>
      <c r="C39" s="973">
        <v>7500</v>
      </c>
      <c r="D39" s="974"/>
    </row>
    <row r="40" spans="1:4" x14ac:dyDescent="0.35">
      <c r="A40" s="526">
        <v>4001</v>
      </c>
      <c r="B40" s="526">
        <v>8000</v>
      </c>
      <c r="C40" s="973">
        <v>10000</v>
      </c>
      <c r="D40" s="974"/>
    </row>
    <row r="41" spans="1:4" x14ac:dyDescent="0.35">
      <c r="A41" s="526">
        <v>8001</v>
      </c>
      <c r="B41" s="526">
        <v>12000</v>
      </c>
      <c r="C41" s="973">
        <v>12500</v>
      </c>
      <c r="D41" s="974"/>
    </row>
    <row r="42" spans="1:4" x14ac:dyDescent="0.35">
      <c r="A42" s="526">
        <v>12001</v>
      </c>
      <c r="B42" s="526">
        <v>20000</v>
      </c>
      <c r="C42" s="973">
        <v>16000</v>
      </c>
      <c r="D42" s="974"/>
    </row>
    <row r="43" spans="1:4" x14ac:dyDescent="0.35">
      <c r="A43" s="526">
        <v>20001</v>
      </c>
      <c r="B43" s="526">
        <v>50000</v>
      </c>
      <c r="C43" s="973">
        <v>20500</v>
      </c>
      <c r="D43" s="974"/>
    </row>
    <row r="44" spans="1:4" ht="14.5" customHeight="1" x14ac:dyDescent="0.35">
      <c r="A44" s="132"/>
      <c r="B44"/>
      <c r="C44"/>
      <c r="D44" s="142"/>
    </row>
    <row r="45" spans="1:4" x14ac:dyDescent="0.35">
      <c r="A45" s="720" t="s">
        <v>627</v>
      </c>
      <c r="B45" s="720"/>
      <c r="C45" s="720"/>
      <c r="D45" s="720"/>
    </row>
    <row r="46" spans="1:4" x14ac:dyDescent="0.35">
      <c r="A46" s="815" t="s">
        <v>455</v>
      </c>
      <c r="B46" s="815"/>
      <c r="C46" s="978" t="s">
        <v>190</v>
      </c>
      <c r="D46" s="873"/>
    </row>
    <row r="47" spans="1:4" x14ac:dyDescent="0.35">
      <c r="A47" s="526">
        <v>0</v>
      </c>
      <c r="B47" s="526">
        <v>100</v>
      </c>
      <c r="C47" s="973">
        <v>0</v>
      </c>
      <c r="D47" s="974"/>
    </row>
    <row r="48" spans="1:4" x14ac:dyDescent="0.35">
      <c r="A48" s="526">
        <v>101</v>
      </c>
      <c r="B48" s="526">
        <v>1000</v>
      </c>
      <c r="C48" s="973">
        <v>3500</v>
      </c>
      <c r="D48" s="974"/>
    </row>
    <row r="49" spans="1:4" x14ac:dyDescent="0.35">
      <c r="A49" s="526">
        <v>1001</v>
      </c>
      <c r="B49" s="526">
        <v>3000</v>
      </c>
      <c r="C49" s="973">
        <v>5800</v>
      </c>
      <c r="D49" s="974"/>
    </row>
    <row r="50" spans="1:4" x14ac:dyDescent="0.35">
      <c r="A50" s="526">
        <v>3001</v>
      </c>
      <c r="B50" s="526">
        <v>5000</v>
      </c>
      <c r="C50" s="973">
        <v>8450</v>
      </c>
      <c r="D50" s="974"/>
    </row>
    <row r="51" spans="1:4" x14ac:dyDescent="0.35">
      <c r="A51" s="526">
        <v>5001</v>
      </c>
      <c r="B51" s="526">
        <v>7000</v>
      </c>
      <c r="C51" s="973">
        <v>10500</v>
      </c>
      <c r="D51" s="974"/>
    </row>
    <row r="52" spans="1:4" x14ac:dyDescent="0.35">
      <c r="A52" s="526">
        <v>7001</v>
      </c>
      <c r="B52" s="526">
        <v>10000</v>
      </c>
      <c r="C52" s="973">
        <v>12650</v>
      </c>
      <c r="D52" s="974"/>
    </row>
    <row r="53" spans="1:4" x14ac:dyDescent="0.35">
      <c r="A53" s="526">
        <v>10001</v>
      </c>
      <c r="B53" s="526">
        <v>15000</v>
      </c>
      <c r="C53" s="973">
        <v>15600</v>
      </c>
      <c r="D53" s="974"/>
    </row>
    <row r="54" spans="1:4" x14ac:dyDescent="0.35">
      <c r="A54" s="526">
        <v>15001</v>
      </c>
      <c r="B54" s="526">
        <v>20000</v>
      </c>
      <c r="C54" s="973">
        <v>18700</v>
      </c>
      <c r="D54" s="974"/>
    </row>
    <row r="55" spans="1:4" x14ac:dyDescent="0.35">
      <c r="A55" s="526">
        <v>20001</v>
      </c>
      <c r="B55" s="526">
        <v>25000</v>
      </c>
      <c r="C55" s="973">
        <v>20800</v>
      </c>
      <c r="D55" s="974"/>
    </row>
    <row r="56" spans="1:4" x14ac:dyDescent="0.35">
      <c r="A56" s="526">
        <v>25001</v>
      </c>
      <c r="B56" s="526">
        <v>30000</v>
      </c>
      <c r="C56" s="973">
        <v>22000</v>
      </c>
      <c r="D56" s="974"/>
    </row>
    <row r="57" spans="1:4" x14ac:dyDescent="0.35">
      <c r="A57" s="526">
        <v>30001</v>
      </c>
      <c r="B57" s="526">
        <v>40000</v>
      </c>
      <c r="C57" s="973">
        <v>23600</v>
      </c>
      <c r="D57" s="974"/>
    </row>
  </sheetData>
  <mergeCells count="53">
    <mergeCell ref="C54:D54"/>
    <mergeCell ref="C55:D55"/>
    <mergeCell ref="C56:D56"/>
    <mergeCell ref="C57:D57"/>
    <mergeCell ref="C49:D49"/>
    <mergeCell ref="C50:D50"/>
    <mergeCell ref="C51:D51"/>
    <mergeCell ref="C52:D52"/>
    <mergeCell ref="C53:D53"/>
    <mergeCell ref="A45:D45"/>
    <mergeCell ref="A46:B46"/>
    <mergeCell ref="C46:D46"/>
    <mergeCell ref="C47:D47"/>
    <mergeCell ref="C48:D48"/>
    <mergeCell ref="C40:D40"/>
    <mergeCell ref="C41:D41"/>
    <mergeCell ref="A35:B35"/>
    <mergeCell ref="A33:D33"/>
    <mergeCell ref="A34:D34"/>
    <mergeCell ref="C35:D35"/>
    <mergeCell ref="C36:D36"/>
    <mergeCell ref="C42:D42"/>
    <mergeCell ref="C43:D43"/>
    <mergeCell ref="A6:D6"/>
    <mergeCell ref="A19:A20"/>
    <mergeCell ref="B19:B20"/>
    <mergeCell ref="C19:C20"/>
    <mergeCell ref="A15:D15"/>
    <mergeCell ref="A7:G7"/>
    <mergeCell ref="A13:H13"/>
    <mergeCell ref="A14:D14"/>
    <mergeCell ref="A8:D8"/>
    <mergeCell ref="A9:D9"/>
    <mergeCell ref="A10:D10"/>
    <mergeCell ref="C37:D37"/>
    <mergeCell ref="C38:D38"/>
    <mergeCell ref="C39:D39"/>
    <mergeCell ref="A11:D11"/>
    <mergeCell ref="A1:B1"/>
    <mergeCell ref="A2:B2"/>
    <mergeCell ref="A3:B3"/>
    <mergeCell ref="A4:B4"/>
    <mergeCell ref="A5:B5"/>
    <mergeCell ref="A12:H12"/>
    <mergeCell ref="A28:G28"/>
    <mergeCell ref="A29:G29"/>
    <mergeCell ref="A30:G30"/>
    <mergeCell ref="A18:C18"/>
    <mergeCell ref="A31:G31"/>
    <mergeCell ref="A22:A23"/>
    <mergeCell ref="B22:B23"/>
    <mergeCell ref="D20:D21"/>
    <mergeCell ref="D23:D24"/>
  </mergeCells>
  <dataValidations count="1">
    <dataValidation type="list" allowBlank="1" showInputMessage="1" showErrorMessage="1" sqref="C21" xr:uid="{9DC1B6D7-C6F0-4B33-8D25-CFE3D5AF0C7E}">
      <formula1>"N,Y,-"</formula1>
    </dataValidation>
  </dataValidations>
  <hyperlinks>
    <hyperlink ref="H6" r:id="rId1" display="WBDG - AFMAN 32-1084" xr:uid="{B14757A9-4B8F-4F63-A040-F98BED6FB2CB}"/>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5AE7FFF-91C8-46DA-A589-F49D4AE7780D}">
          <x14:formula1>
            <xm:f>'Sheet References'!$L$1:$L$978</xm:f>
          </x14:formula1>
          <xm:sqref>E1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CB0C9-4321-48BD-AD75-AEC3076ED078}">
  <sheetPr>
    <tabColor rgb="FFFFFF99"/>
    <pageSetUpPr fitToPage="1"/>
  </sheetPr>
  <dimension ref="A1:P60"/>
  <sheetViews>
    <sheetView zoomScaleNormal="100" workbookViewId="0">
      <selection activeCell="H25" sqref="H25"/>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740674</v>
      </c>
      <c r="F1" s="38"/>
      <c r="G1" s="38"/>
      <c r="H1" s="38"/>
    </row>
    <row r="2" spans="1:8" ht="21" customHeight="1" x14ac:dyDescent="0.35">
      <c r="A2" s="676" t="s">
        <v>21</v>
      </c>
      <c r="B2" s="676"/>
      <c r="C2" s="38"/>
      <c r="D2" s="36" t="s">
        <v>107</v>
      </c>
      <c r="E2" s="37" t="str">
        <f>VLOOKUP(E1,'Sheet References'!L:M,2,FALSE)</f>
        <v>Gymnasium</v>
      </c>
      <c r="F2" s="38"/>
      <c r="G2" s="38"/>
      <c r="H2" s="38"/>
    </row>
    <row r="3" spans="1:8" ht="21" customHeight="1" x14ac:dyDescent="0.35">
      <c r="A3" s="676" t="s">
        <v>22</v>
      </c>
      <c r="B3" s="676"/>
      <c r="C3" s="36"/>
      <c r="D3" s="36" t="s">
        <v>108</v>
      </c>
      <c r="E3" s="37" t="str">
        <f>VLOOKUP(CATCode,'Sheet References'!L:O,4,FALSE)</f>
        <v>https://www.wbdg.org/FFC/AF/AFMAN/740674_Gymnasium_Fitness_Center.pdf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628</v>
      </c>
      <c r="B8" s="743"/>
      <c r="C8" s="743"/>
      <c r="D8" s="743"/>
      <c r="E8" s="355">
        <f>IF(E23="YES",H23*C60,H23)</f>
        <v>0</v>
      </c>
      <c r="F8" s="68">
        <v>1</v>
      </c>
      <c r="G8" s="45">
        <f>E8*F8</f>
        <v>0</v>
      </c>
      <c r="H8" s="35" t="s">
        <v>629</v>
      </c>
    </row>
    <row r="9" spans="1:8" x14ac:dyDescent="0.35">
      <c r="A9" s="753" t="s">
        <v>630</v>
      </c>
      <c r="B9" s="743"/>
      <c r="C9" s="743"/>
      <c r="D9" s="743"/>
      <c r="E9" s="355">
        <f>F23</f>
        <v>0</v>
      </c>
      <c r="F9" s="68">
        <v>1</v>
      </c>
      <c r="G9" s="45">
        <f>E9*F9</f>
        <v>0</v>
      </c>
      <c r="H9" s="46" t="s">
        <v>631</v>
      </c>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x14ac:dyDescent="0.35">
      <c r="A17" s="746" t="s">
        <v>253</v>
      </c>
      <c r="B17" s="753"/>
      <c r="C17" s="753"/>
      <c r="D17" s="753"/>
      <c r="E17" s="50">
        <v>0</v>
      </c>
      <c r="F17" s="43"/>
      <c r="G17" s="45">
        <f>G16*E17</f>
        <v>0</v>
      </c>
      <c r="H17" s="35" t="s">
        <v>176</v>
      </c>
    </row>
    <row r="18" spans="1:8" x14ac:dyDescent="0.35">
      <c r="E18" s="48" t="s">
        <v>254</v>
      </c>
      <c r="F18" s="71"/>
      <c r="G18" s="51">
        <f>SUM(G16:G17)</f>
        <v>0</v>
      </c>
    </row>
    <row r="19" spans="1:8" ht="15" thickBot="1" x14ac:dyDescent="0.4"/>
    <row r="20" spans="1:8" ht="19" customHeight="1" thickBot="1" x14ac:dyDescent="0.4">
      <c r="A20" s="711" t="s">
        <v>632</v>
      </c>
      <c r="B20" s="712"/>
      <c r="C20" s="713"/>
      <c r="D20" s="415" t="s">
        <v>633</v>
      </c>
      <c r="E20" s="414"/>
      <c r="F20" s="697" t="s">
        <v>634</v>
      </c>
      <c r="G20" s="698"/>
      <c r="H20" s="698" t="s">
        <v>635</v>
      </c>
    </row>
    <row r="21" spans="1:8" ht="15" thickBot="1" x14ac:dyDescent="0.4">
      <c r="A21" s="662" t="s">
        <v>417</v>
      </c>
      <c r="B21" s="662" t="s">
        <v>636</v>
      </c>
      <c r="C21" s="867" t="s">
        <v>495</v>
      </c>
      <c r="D21" s="662" t="s">
        <v>637</v>
      </c>
      <c r="E21" s="662" t="s">
        <v>421</v>
      </c>
      <c r="F21" s="699"/>
      <c r="G21" s="700"/>
      <c r="H21" s="700"/>
    </row>
    <row r="22" spans="1:8" ht="20.25" customHeight="1" thickBot="1" x14ac:dyDescent="0.4">
      <c r="A22" s="663"/>
      <c r="B22" s="663"/>
      <c r="C22" s="927"/>
      <c r="D22" s="663"/>
      <c r="E22" s="663"/>
      <c r="F22" s="985" t="s">
        <v>190</v>
      </c>
      <c r="G22" s="986"/>
      <c r="H22" s="506" t="s">
        <v>460</v>
      </c>
    </row>
    <row r="23" spans="1:8" ht="15" thickBot="1" x14ac:dyDescent="0.4">
      <c r="A23" s="403">
        <f>IF(E23="NO",'Instructions &amp; Pop Data'!D8,'Instructions &amp; Pop Data'!D8+'Instructions &amp; Pop Data'!D10)</f>
        <v>0</v>
      </c>
      <c r="B23" s="404">
        <f>IF(E23="NO",'Instructions &amp; Pop Data'!D29,'Instructions &amp; Pop Data'!D30)</f>
        <v>0</v>
      </c>
      <c r="C23" s="402">
        <f>A23+B23*0.5</f>
        <v>0</v>
      </c>
      <c r="D23" s="281">
        <v>0</v>
      </c>
      <c r="E23" s="455">
        <f>'Instructions &amp; Pop Data'!K4</f>
        <v>0</v>
      </c>
      <c r="F23" s="987">
        <f>D23</f>
        <v>0</v>
      </c>
      <c r="G23" s="988"/>
      <c r="H23" s="174">
        <f>VLOOKUP(C23,A29:C59,3,TRUE)-F23</f>
        <v>0</v>
      </c>
    </row>
    <row r="24" spans="1:8" ht="18" customHeight="1" x14ac:dyDescent="0.35">
      <c r="A24" s="984" t="s">
        <v>638</v>
      </c>
      <c r="B24" s="984"/>
      <c r="C24" s="984"/>
      <c r="D24" s="984"/>
      <c r="E24" s="984"/>
      <c r="F24" s="984"/>
      <c r="G24" s="984"/>
    </row>
    <row r="25" spans="1:8" ht="15" thickBot="1" x14ac:dyDescent="0.4"/>
    <row r="26" spans="1:8" ht="18.5" x14ac:dyDescent="0.45">
      <c r="A26" s="981" t="s">
        <v>639</v>
      </c>
      <c r="B26" s="982"/>
      <c r="C26" s="982"/>
      <c r="D26" s="983"/>
    </row>
    <row r="27" spans="1:8" x14ac:dyDescent="0.35">
      <c r="A27" s="719" t="s">
        <v>640</v>
      </c>
      <c r="B27" s="720"/>
      <c r="C27" s="720"/>
      <c r="D27" s="721"/>
    </row>
    <row r="28" spans="1:8" x14ac:dyDescent="0.35">
      <c r="A28" s="923" t="s">
        <v>455</v>
      </c>
      <c r="B28" s="924"/>
      <c r="C28" s="310" t="s">
        <v>641</v>
      </c>
      <c r="D28" s="493" t="s">
        <v>642</v>
      </c>
    </row>
    <row r="29" spans="1:8" x14ac:dyDescent="0.35">
      <c r="A29" s="521">
        <v>0</v>
      </c>
      <c r="B29" s="522">
        <v>0</v>
      </c>
      <c r="C29" s="522">
        <v>0</v>
      </c>
      <c r="D29" s="493" t="s">
        <v>643</v>
      </c>
    </row>
    <row r="30" spans="1:8" x14ac:dyDescent="0.35">
      <c r="A30" s="313">
        <v>1</v>
      </c>
      <c r="B30" s="526">
        <v>1000</v>
      </c>
      <c r="C30" s="526">
        <v>51029</v>
      </c>
      <c r="D30" s="495" t="s">
        <v>644</v>
      </c>
    </row>
    <row r="31" spans="1:8" x14ac:dyDescent="0.35">
      <c r="A31" s="305">
        <v>1001</v>
      </c>
      <c r="B31" s="526">
        <v>2000</v>
      </c>
      <c r="C31" s="526">
        <v>57229</v>
      </c>
      <c r="D31" s="495" t="s">
        <v>645</v>
      </c>
    </row>
    <row r="32" spans="1:8" x14ac:dyDescent="0.35">
      <c r="A32" s="305">
        <v>2001</v>
      </c>
      <c r="B32" s="526">
        <v>3000</v>
      </c>
      <c r="C32" s="526">
        <v>64429</v>
      </c>
      <c r="D32" s="495" t="s">
        <v>646</v>
      </c>
    </row>
    <row r="33" spans="1:4" x14ac:dyDescent="0.35">
      <c r="A33" s="305">
        <v>3001</v>
      </c>
      <c r="B33" s="526">
        <v>4000</v>
      </c>
      <c r="C33" s="526">
        <v>71629</v>
      </c>
      <c r="D33" s="495" t="s">
        <v>647</v>
      </c>
    </row>
    <row r="34" spans="1:4" x14ac:dyDescent="0.35">
      <c r="A34" s="305">
        <v>4001</v>
      </c>
      <c r="B34" s="526">
        <v>5000</v>
      </c>
      <c r="C34" s="526">
        <v>78829</v>
      </c>
      <c r="D34" s="495" t="s">
        <v>648</v>
      </c>
    </row>
    <row r="35" spans="1:4" x14ac:dyDescent="0.35">
      <c r="A35" s="305">
        <v>5001</v>
      </c>
      <c r="B35" s="526">
        <v>6000</v>
      </c>
      <c r="C35" s="526">
        <v>85029</v>
      </c>
      <c r="D35" s="495" t="s">
        <v>649</v>
      </c>
    </row>
    <row r="36" spans="1:4" x14ac:dyDescent="0.35">
      <c r="A36" s="305">
        <v>6001</v>
      </c>
      <c r="B36" s="526">
        <v>7000</v>
      </c>
      <c r="C36" s="526">
        <v>92236</v>
      </c>
      <c r="D36" s="495" t="s">
        <v>650</v>
      </c>
    </row>
    <row r="37" spans="1:4" x14ac:dyDescent="0.35">
      <c r="A37" s="305">
        <v>7001</v>
      </c>
      <c r="B37" s="526">
        <v>8000</v>
      </c>
      <c r="C37" s="526">
        <v>97236</v>
      </c>
      <c r="D37" s="495" t="s">
        <v>651</v>
      </c>
    </row>
    <row r="38" spans="1:4" x14ac:dyDescent="0.35">
      <c r="A38" s="305">
        <v>8001</v>
      </c>
      <c r="B38" s="526">
        <v>9000</v>
      </c>
      <c r="C38" s="526">
        <v>102236</v>
      </c>
      <c r="D38" s="495" t="s">
        <v>652</v>
      </c>
    </row>
    <row r="39" spans="1:4" x14ac:dyDescent="0.35">
      <c r="A39" s="305">
        <v>9001</v>
      </c>
      <c r="B39" s="526">
        <v>10000</v>
      </c>
      <c r="C39" s="526">
        <v>107236</v>
      </c>
      <c r="D39" s="495" t="s">
        <v>653</v>
      </c>
    </row>
    <row r="40" spans="1:4" x14ac:dyDescent="0.35">
      <c r="A40" s="305">
        <v>10001</v>
      </c>
      <c r="B40" s="526">
        <v>11000</v>
      </c>
      <c r="C40" s="526">
        <v>112236</v>
      </c>
      <c r="D40" s="495" t="s">
        <v>654</v>
      </c>
    </row>
    <row r="41" spans="1:4" x14ac:dyDescent="0.35">
      <c r="A41" s="305">
        <v>11001</v>
      </c>
      <c r="B41" s="526">
        <v>12000</v>
      </c>
      <c r="C41" s="526">
        <v>117236</v>
      </c>
      <c r="D41" s="495" t="s">
        <v>655</v>
      </c>
    </row>
    <row r="42" spans="1:4" x14ac:dyDescent="0.35">
      <c r="A42" s="305">
        <v>12001</v>
      </c>
      <c r="B42" s="526">
        <v>13000</v>
      </c>
      <c r="C42" s="526">
        <v>122236</v>
      </c>
      <c r="D42" s="495" t="s">
        <v>656</v>
      </c>
    </row>
    <row r="43" spans="1:4" x14ac:dyDescent="0.35">
      <c r="A43" s="305">
        <v>13001</v>
      </c>
      <c r="B43" s="526">
        <v>14000</v>
      </c>
      <c r="C43" s="526">
        <v>127236</v>
      </c>
      <c r="D43" s="495" t="s">
        <v>657</v>
      </c>
    </row>
    <row r="44" spans="1:4" x14ac:dyDescent="0.35">
      <c r="A44" s="305">
        <v>14001</v>
      </c>
      <c r="B44" s="526">
        <v>15000</v>
      </c>
      <c r="C44" s="526">
        <v>132236</v>
      </c>
      <c r="D44" s="495" t="s">
        <v>658</v>
      </c>
    </row>
    <row r="45" spans="1:4" x14ac:dyDescent="0.35">
      <c r="A45" s="305">
        <v>15001</v>
      </c>
      <c r="B45" s="526">
        <v>16000</v>
      </c>
      <c r="C45" s="526">
        <v>137236</v>
      </c>
      <c r="D45" s="495" t="s">
        <v>659</v>
      </c>
    </row>
    <row r="46" spans="1:4" x14ac:dyDescent="0.35">
      <c r="A46" s="305">
        <v>16001</v>
      </c>
      <c r="B46" s="526">
        <v>17000</v>
      </c>
      <c r="C46" s="526">
        <v>142236</v>
      </c>
      <c r="D46" s="495" t="s">
        <v>660</v>
      </c>
    </row>
    <row r="47" spans="1:4" x14ac:dyDescent="0.35">
      <c r="A47" s="305">
        <v>17001</v>
      </c>
      <c r="B47" s="526">
        <v>18000</v>
      </c>
      <c r="C47" s="526">
        <v>147236</v>
      </c>
      <c r="D47" s="495" t="s">
        <v>661</v>
      </c>
    </row>
    <row r="48" spans="1:4" x14ac:dyDescent="0.35">
      <c r="A48" s="305">
        <v>18001</v>
      </c>
      <c r="B48" s="526">
        <v>19000</v>
      </c>
      <c r="C48" s="526">
        <v>152236</v>
      </c>
      <c r="D48" s="495" t="s">
        <v>662</v>
      </c>
    </row>
    <row r="49" spans="1:4" x14ac:dyDescent="0.35">
      <c r="A49" s="305">
        <v>19001</v>
      </c>
      <c r="B49" s="526">
        <v>20000</v>
      </c>
      <c r="C49" s="526">
        <v>157236</v>
      </c>
      <c r="D49" s="495" t="s">
        <v>663</v>
      </c>
    </row>
    <row r="50" spans="1:4" x14ac:dyDescent="0.35">
      <c r="A50" s="305">
        <v>20001</v>
      </c>
      <c r="B50" s="526">
        <v>21000</v>
      </c>
      <c r="C50" s="526">
        <v>162236</v>
      </c>
      <c r="D50" s="495" t="s">
        <v>664</v>
      </c>
    </row>
    <row r="51" spans="1:4" x14ac:dyDescent="0.35">
      <c r="A51" s="305">
        <v>21001</v>
      </c>
      <c r="B51" s="526">
        <v>22000</v>
      </c>
      <c r="C51" s="526">
        <v>167236</v>
      </c>
      <c r="D51" s="495" t="s">
        <v>665</v>
      </c>
    </row>
    <row r="52" spans="1:4" x14ac:dyDescent="0.35">
      <c r="A52" s="305">
        <v>22001</v>
      </c>
      <c r="B52" s="526">
        <v>23000</v>
      </c>
      <c r="C52" s="526">
        <v>172236</v>
      </c>
      <c r="D52" s="495" t="s">
        <v>666</v>
      </c>
    </row>
    <row r="53" spans="1:4" x14ac:dyDescent="0.35">
      <c r="A53" s="305">
        <v>23001</v>
      </c>
      <c r="B53" s="526">
        <v>24000</v>
      </c>
      <c r="C53" s="526">
        <v>177236</v>
      </c>
      <c r="D53" s="495" t="s">
        <v>667</v>
      </c>
    </row>
    <row r="54" spans="1:4" x14ac:dyDescent="0.35">
      <c r="A54" s="305">
        <v>24001</v>
      </c>
      <c r="B54" s="526">
        <v>25000</v>
      </c>
      <c r="C54" s="526">
        <v>182236</v>
      </c>
      <c r="D54" s="495" t="s">
        <v>668</v>
      </c>
    </row>
    <row r="55" spans="1:4" x14ac:dyDescent="0.35">
      <c r="A55" s="305">
        <v>25001</v>
      </c>
      <c r="B55" s="526">
        <v>26000</v>
      </c>
      <c r="C55" s="526">
        <v>187236</v>
      </c>
      <c r="D55" s="495" t="s">
        <v>669</v>
      </c>
    </row>
    <row r="56" spans="1:4" x14ac:dyDescent="0.35">
      <c r="A56" s="305">
        <v>26001</v>
      </c>
      <c r="B56" s="526">
        <v>27000</v>
      </c>
      <c r="C56" s="526">
        <v>192236</v>
      </c>
      <c r="D56" s="495" t="s">
        <v>670</v>
      </c>
    </row>
    <row r="57" spans="1:4" x14ac:dyDescent="0.35">
      <c r="A57" s="305">
        <v>27001</v>
      </c>
      <c r="B57" s="526">
        <v>28000</v>
      </c>
      <c r="C57" s="526">
        <v>197236</v>
      </c>
      <c r="D57" s="495" t="s">
        <v>671</v>
      </c>
    </row>
    <row r="58" spans="1:4" x14ac:dyDescent="0.35">
      <c r="A58" s="305">
        <v>28001</v>
      </c>
      <c r="B58" s="526">
        <v>29000</v>
      </c>
      <c r="C58" s="526">
        <v>202236</v>
      </c>
      <c r="D58" s="495" t="s">
        <v>672</v>
      </c>
    </row>
    <row r="59" spans="1:4" x14ac:dyDescent="0.35">
      <c r="A59" s="305">
        <v>29001</v>
      </c>
      <c r="B59" s="526">
        <v>30000</v>
      </c>
      <c r="C59" s="526">
        <v>207236</v>
      </c>
      <c r="D59" s="495" t="s">
        <v>673</v>
      </c>
    </row>
    <row r="60" spans="1:4" ht="15" thickBot="1" x14ac:dyDescent="0.4">
      <c r="A60" s="314"/>
      <c r="B60" s="306" t="s">
        <v>674</v>
      </c>
      <c r="C60" s="315">
        <v>1.1000000000000001</v>
      </c>
      <c r="D60" s="316"/>
    </row>
  </sheetData>
  <mergeCells count="31">
    <mergeCell ref="A26:D26"/>
    <mergeCell ref="A27:D27"/>
    <mergeCell ref="A28:B28"/>
    <mergeCell ref="A24:G24"/>
    <mergeCell ref="F20:G21"/>
    <mergeCell ref="F22:G22"/>
    <mergeCell ref="F23:G23"/>
    <mergeCell ref="A20:C20"/>
    <mergeCell ref="A6:D6"/>
    <mergeCell ref="A17:D17"/>
    <mergeCell ref="A7:G7"/>
    <mergeCell ref="A8:D8"/>
    <mergeCell ref="A9:D9"/>
    <mergeCell ref="A10:D10"/>
    <mergeCell ref="A11:D11"/>
    <mergeCell ref="A12:D12"/>
    <mergeCell ref="A13:D13"/>
    <mergeCell ref="A14:H14"/>
    <mergeCell ref="A15:H15"/>
    <mergeCell ref="A16:D16"/>
    <mergeCell ref="H20:H21"/>
    <mergeCell ref="A21:A22"/>
    <mergeCell ref="B21:B22"/>
    <mergeCell ref="C21:C22"/>
    <mergeCell ref="D21:D22"/>
    <mergeCell ref="E21:E22"/>
    <mergeCell ref="A1:B1"/>
    <mergeCell ref="A2:B2"/>
    <mergeCell ref="A3:B3"/>
    <mergeCell ref="A4:B4"/>
    <mergeCell ref="A5:B5"/>
  </mergeCells>
  <hyperlinks>
    <hyperlink ref="H6" r:id="rId1" display="WBDG - AFMAN 32-1084" xr:uid="{E4B8C61A-7D94-4EB0-87EE-DF58AFE1739A}"/>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1710211-A25E-46A3-BF31-51480E783E81}">
          <x14:formula1>
            <xm:f>'Sheet References'!$L$1:$L$978</xm:f>
          </x14:formula1>
          <xm:sqref>E1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BA40E-8D36-4E42-ACC0-284D098C4C01}">
  <sheetPr>
    <tabColor rgb="FFFFFF99"/>
    <pageSetUpPr fitToPage="1"/>
  </sheetPr>
  <dimension ref="A1:P60"/>
  <sheetViews>
    <sheetView zoomScaleNormal="100" workbookViewId="0">
      <selection activeCell="H23" sqref="H23"/>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740675</v>
      </c>
      <c r="F1" s="38"/>
      <c r="G1" s="38"/>
      <c r="H1" s="38"/>
    </row>
    <row r="2" spans="1:8" ht="21" customHeight="1" x14ac:dyDescent="0.35">
      <c r="A2" s="676" t="s">
        <v>21</v>
      </c>
      <c r="B2" s="676"/>
      <c r="C2" s="38"/>
      <c r="D2" s="36" t="s">
        <v>107</v>
      </c>
      <c r="E2" s="37" t="str">
        <f>VLOOKUP(E1,'Sheet References'!L:M,2,FALSE)</f>
        <v>Base Library</v>
      </c>
      <c r="F2" s="38"/>
      <c r="G2" s="38"/>
      <c r="H2" s="38"/>
    </row>
    <row r="3" spans="1:8" ht="21" customHeight="1" x14ac:dyDescent="0.35">
      <c r="A3" s="676" t="s">
        <v>22</v>
      </c>
      <c r="B3" s="676"/>
      <c r="C3" s="36"/>
      <c r="D3" s="36" t="s">
        <v>108</v>
      </c>
      <c r="E3" s="37" t="str">
        <f>VLOOKUP(CATCode,'Sheet References'!L:O,4,FALSE)</f>
        <v>https://www.wbdg.org/FFC/AF/AFMAN/740675_Base_Library.pdf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675</v>
      </c>
      <c r="B8" s="743"/>
      <c r="C8" s="743"/>
      <c r="D8" s="743"/>
      <c r="E8" s="355">
        <f>H23</f>
        <v>0</v>
      </c>
      <c r="F8" s="68">
        <v>1</v>
      </c>
      <c r="G8" s="45">
        <f>E8*F8</f>
        <v>0</v>
      </c>
      <c r="H8" s="35"/>
    </row>
    <row r="9" spans="1:8" ht="29" x14ac:dyDescent="0.35">
      <c r="A9" s="753" t="s">
        <v>676</v>
      </c>
      <c r="B9" s="743"/>
      <c r="C9" s="743"/>
      <c r="D9" s="743"/>
      <c r="E9" s="365">
        <f>C26</f>
        <v>0</v>
      </c>
      <c r="F9" s="68">
        <v>1</v>
      </c>
      <c r="G9" s="45">
        <f>E9*F9</f>
        <v>0</v>
      </c>
      <c r="H9" s="46" t="s">
        <v>677</v>
      </c>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10" x14ac:dyDescent="0.35">
      <c r="A17" s="746" t="s">
        <v>253</v>
      </c>
      <c r="B17" s="753"/>
      <c r="C17" s="753"/>
      <c r="D17" s="753"/>
      <c r="E17" s="50">
        <v>0</v>
      </c>
      <c r="F17" s="43"/>
      <c r="G17" s="45">
        <f>G16*E17</f>
        <v>0</v>
      </c>
      <c r="H17" s="35" t="s">
        <v>176</v>
      </c>
    </row>
    <row r="18" spans="1:10" x14ac:dyDescent="0.35">
      <c r="E18" s="48" t="s">
        <v>254</v>
      </c>
      <c r="F18" s="71"/>
      <c r="G18" s="51">
        <f>SUM(G16:G17)</f>
        <v>0</v>
      </c>
    </row>
    <row r="19" spans="1:10" ht="15" thickBot="1" x14ac:dyDescent="0.4"/>
    <row r="20" spans="1:10" ht="19" customHeight="1" thickBot="1" x14ac:dyDescent="0.4">
      <c r="A20" s="413" t="s">
        <v>678</v>
      </c>
      <c r="B20" s="414"/>
      <c r="C20" s="414"/>
      <c r="D20" s="995" t="s">
        <v>679</v>
      </c>
      <c r="E20" s="996"/>
      <c r="F20" s="996"/>
      <c r="G20" s="997"/>
      <c r="H20" s="359"/>
      <c r="I20" s="360"/>
      <c r="J20" s="361"/>
    </row>
    <row r="21" spans="1:10" ht="15" customHeight="1" thickBot="1" x14ac:dyDescent="0.4">
      <c r="A21" s="662" t="s">
        <v>523</v>
      </c>
      <c r="B21" s="662" t="s">
        <v>493</v>
      </c>
      <c r="C21" s="662" t="s">
        <v>495</v>
      </c>
      <c r="D21" s="662" t="s">
        <v>421</v>
      </c>
      <c r="E21" s="662" t="s">
        <v>680</v>
      </c>
      <c r="F21" s="955" t="s">
        <v>681</v>
      </c>
      <c r="G21" s="956"/>
      <c r="H21" s="220" t="s">
        <v>682</v>
      </c>
      <c r="I21" s="216"/>
    </row>
    <row r="22" spans="1:10" ht="19.5" customHeight="1" thickBot="1" x14ac:dyDescent="0.4">
      <c r="A22" s="663"/>
      <c r="B22" s="663"/>
      <c r="C22" s="663"/>
      <c r="D22" s="663"/>
      <c r="E22" s="663"/>
      <c r="F22" s="957"/>
      <c r="G22" s="958"/>
      <c r="H22" s="221" t="s">
        <v>683</v>
      </c>
      <c r="I22" s="216"/>
    </row>
    <row r="23" spans="1:10" ht="15" thickBot="1" x14ac:dyDescent="0.4">
      <c r="A23" s="402">
        <f>IF(E23="NO",'Instructions &amp; Pop Data'!D8,'Instructions &amp; Pop Data'!D8+'Instructions &amp; Pop Data'!D10)</f>
        <v>0</v>
      </c>
      <c r="B23" s="410">
        <f>IF(D23="NO",'Instructions &amp; Pop Data'!D27,'Instructions &amp; Pop Data'!D28)</f>
        <v>0</v>
      </c>
      <c r="C23" s="402">
        <f>A23+B23*0.4</f>
        <v>0</v>
      </c>
      <c r="D23" s="374">
        <f>'Instructions &amp; Pop Data'!K4</f>
        <v>0</v>
      </c>
      <c r="E23" s="224" t="s">
        <v>191</v>
      </c>
      <c r="F23" s="1001" t="s">
        <v>191</v>
      </c>
      <c r="G23" s="1002"/>
      <c r="H23" s="222">
        <f>IF(D21="YES",SUM(A26+B26)*1.1,SUM(A26+B26))</f>
        <v>0</v>
      </c>
      <c r="I23" s="198"/>
    </row>
    <row r="24" spans="1:10" ht="44" thickBot="1" x14ac:dyDescent="0.4">
      <c r="A24" s="662" t="s">
        <v>684</v>
      </c>
      <c r="B24" s="662" t="s">
        <v>685</v>
      </c>
      <c r="C24" s="662" t="s">
        <v>686</v>
      </c>
      <c r="D24" s="518"/>
      <c r="E24" s="173" t="s">
        <v>687</v>
      </c>
      <c r="F24" s="1003"/>
      <c r="G24" s="1003"/>
      <c r="H24" s="228"/>
      <c r="I24" s="217"/>
    </row>
    <row r="25" spans="1:10" ht="15" thickBot="1" x14ac:dyDescent="0.4">
      <c r="A25" s="663"/>
      <c r="B25" s="663"/>
      <c r="C25" s="663"/>
      <c r="D25" s="518"/>
      <c r="E25" s="225">
        <v>0</v>
      </c>
      <c r="F25" s="1004"/>
      <c r="G25" s="1004"/>
      <c r="H25" s="228"/>
    </row>
    <row r="26" spans="1:10" ht="15" thickBot="1" x14ac:dyDescent="0.4">
      <c r="A26" s="411">
        <f>VLOOKUP(C23,A32:D46,4,TRUE)</f>
        <v>0</v>
      </c>
      <c r="B26" s="412">
        <f>VLOOKUP(E25,A51:C60,3,TRUE)</f>
        <v>0</v>
      </c>
      <c r="C26" s="412">
        <f>IF(AND(F23="Y",C23&gt;=13000),C48,0)</f>
        <v>0</v>
      </c>
      <c r="D26" s="518"/>
      <c r="E26" s="226"/>
      <c r="F26" s="226"/>
      <c r="G26" s="227"/>
      <c r="H26" s="228"/>
    </row>
    <row r="27" spans="1:10" ht="17.149999999999999" customHeight="1" thickBot="1" x14ac:dyDescent="0.4">
      <c r="A27" s="998" t="s">
        <v>688</v>
      </c>
      <c r="B27" s="999"/>
      <c r="C27" s="999"/>
      <c r="D27" s="999"/>
      <c r="E27" s="999"/>
      <c r="F27" s="999"/>
      <c r="G27" s="999"/>
      <c r="H27" s="1000"/>
    </row>
    <row r="28" spans="1:10" ht="15" thickBot="1" x14ac:dyDescent="0.4"/>
    <row r="29" spans="1:10" ht="18.5" x14ac:dyDescent="0.45">
      <c r="A29" s="981" t="s">
        <v>689</v>
      </c>
      <c r="B29" s="982"/>
      <c r="C29" s="982"/>
      <c r="D29" s="983"/>
    </row>
    <row r="30" spans="1:10" x14ac:dyDescent="0.35">
      <c r="A30" s="719" t="s">
        <v>690</v>
      </c>
      <c r="B30" s="720"/>
      <c r="C30" s="720"/>
      <c r="D30" s="721"/>
    </row>
    <row r="31" spans="1:10" x14ac:dyDescent="0.35">
      <c r="A31" s="923" t="s">
        <v>455</v>
      </c>
      <c r="B31" s="924"/>
      <c r="C31" s="310" t="s">
        <v>190</v>
      </c>
      <c r="D31" s="346" t="s">
        <v>691</v>
      </c>
    </row>
    <row r="32" spans="1:10" x14ac:dyDescent="0.35">
      <c r="A32" s="521">
        <v>0</v>
      </c>
      <c r="B32" s="522">
        <v>0</v>
      </c>
      <c r="C32" s="522">
        <v>0</v>
      </c>
      <c r="D32" s="493">
        <v>0</v>
      </c>
    </row>
    <row r="33" spans="1:4" x14ac:dyDescent="0.35">
      <c r="A33" s="305">
        <v>1</v>
      </c>
      <c r="B33" s="526">
        <v>500</v>
      </c>
      <c r="C33" s="526">
        <v>2500</v>
      </c>
      <c r="D33" s="311">
        <f>C33*1.1</f>
        <v>2750</v>
      </c>
    </row>
    <row r="34" spans="1:4" x14ac:dyDescent="0.35">
      <c r="A34" s="305">
        <v>501</v>
      </c>
      <c r="B34" s="526">
        <v>1500</v>
      </c>
      <c r="C34" s="526">
        <v>4500</v>
      </c>
      <c r="D34" s="311">
        <f t="shared" ref="D34:D46" si="0">C34*1.1</f>
        <v>4950</v>
      </c>
    </row>
    <row r="35" spans="1:4" x14ac:dyDescent="0.35">
      <c r="A35" s="305">
        <v>1501</v>
      </c>
      <c r="B35" s="526">
        <v>2500</v>
      </c>
      <c r="C35" s="526">
        <v>6250</v>
      </c>
      <c r="D35" s="311">
        <f t="shared" si="0"/>
        <v>6875.0000000000009</v>
      </c>
    </row>
    <row r="36" spans="1:4" x14ac:dyDescent="0.35">
      <c r="A36" s="305">
        <v>2501</v>
      </c>
      <c r="B36" s="526">
        <v>4000</v>
      </c>
      <c r="C36" s="526">
        <v>8000</v>
      </c>
      <c r="D36" s="311">
        <f t="shared" si="0"/>
        <v>8800</v>
      </c>
    </row>
    <row r="37" spans="1:4" x14ac:dyDescent="0.35">
      <c r="A37" s="305">
        <v>4001</v>
      </c>
      <c r="B37" s="526">
        <v>6000</v>
      </c>
      <c r="C37" s="526">
        <v>10500</v>
      </c>
      <c r="D37" s="311">
        <f t="shared" si="0"/>
        <v>11550.000000000002</v>
      </c>
    </row>
    <row r="38" spans="1:4" x14ac:dyDescent="0.35">
      <c r="A38" s="305">
        <v>6001</v>
      </c>
      <c r="B38" s="526">
        <v>8000</v>
      </c>
      <c r="C38" s="526">
        <v>12000</v>
      </c>
      <c r="D38" s="311">
        <f t="shared" si="0"/>
        <v>13200.000000000002</v>
      </c>
    </row>
    <row r="39" spans="1:4" x14ac:dyDescent="0.35">
      <c r="A39" s="305">
        <v>8001</v>
      </c>
      <c r="B39" s="526">
        <v>12000</v>
      </c>
      <c r="C39" s="526">
        <v>18000</v>
      </c>
      <c r="D39" s="311">
        <f t="shared" si="0"/>
        <v>19800</v>
      </c>
    </row>
    <row r="40" spans="1:4" x14ac:dyDescent="0.35">
      <c r="A40" s="305">
        <v>12001</v>
      </c>
      <c r="B40" s="526">
        <v>16000</v>
      </c>
      <c r="C40" s="526">
        <v>20800</v>
      </c>
      <c r="D40" s="311">
        <f t="shared" si="0"/>
        <v>22880.000000000004</v>
      </c>
    </row>
    <row r="41" spans="1:4" x14ac:dyDescent="0.35">
      <c r="A41" s="305">
        <v>16001</v>
      </c>
      <c r="B41" s="526">
        <v>20000</v>
      </c>
      <c r="C41" s="526">
        <v>24000</v>
      </c>
      <c r="D41" s="311">
        <f t="shared" si="0"/>
        <v>26400.000000000004</v>
      </c>
    </row>
    <row r="42" spans="1:4" x14ac:dyDescent="0.35">
      <c r="A42" s="305">
        <v>2001</v>
      </c>
      <c r="B42" s="526">
        <v>26000</v>
      </c>
      <c r="C42" s="526">
        <v>30000</v>
      </c>
      <c r="D42" s="311">
        <f t="shared" si="0"/>
        <v>33000</v>
      </c>
    </row>
    <row r="43" spans="1:4" x14ac:dyDescent="0.35">
      <c r="A43" s="305">
        <v>26001</v>
      </c>
      <c r="B43" s="526">
        <v>32000</v>
      </c>
      <c r="C43" s="526">
        <v>36000</v>
      </c>
      <c r="D43" s="311">
        <f t="shared" si="0"/>
        <v>39600</v>
      </c>
    </row>
    <row r="44" spans="1:4" x14ac:dyDescent="0.35">
      <c r="A44" s="305">
        <v>32001</v>
      </c>
      <c r="B44" s="526">
        <v>40000</v>
      </c>
      <c r="C44" s="526">
        <v>44000</v>
      </c>
      <c r="D44" s="311">
        <f t="shared" si="0"/>
        <v>48400.000000000007</v>
      </c>
    </row>
    <row r="45" spans="1:4" x14ac:dyDescent="0.35">
      <c r="A45" s="305">
        <v>40001</v>
      </c>
      <c r="B45" s="526">
        <v>50000</v>
      </c>
      <c r="C45" s="526">
        <v>54000</v>
      </c>
      <c r="D45" s="311">
        <f t="shared" si="0"/>
        <v>59400.000000000007</v>
      </c>
    </row>
    <row r="46" spans="1:4" x14ac:dyDescent="0.35">
      <c r="A46" s="305">
        <v>50001</v>
      </c>
      <c r="B46" s="526">
        <v>60000</v>
      </c>
      <c r="C46" s="526">
        <v>64000</v>
      </c>
      <c r="D46" s="311">
        <f t="shared" si="0"/>
        <v>70400</v>
      </c>
    </row>
    <row r="47" spans="1:4" x14ac:dyDescent="0.35">
      <c r="A47" s="989" t="s">
        <v>692</v>
      </c>
      <c r="B47" s="845"/>
      <c r="C47" s="993">
        <v>1.1000000000000001</v>
      </c>
      <c r="D47" s="994"/>
    </row>
    <row r="48" spans="1:4" x14ac:dyDescent="0.35">
      <c r="A48" s="989" t="s">
        <v>676</v>
      </c>
      <c r="B48" s="845"/>
      <c r="C48" s="526">
        <v>4000</v>
      </c>
      <c r="D48" s="495"/>
    </row>
    <row r="49" spans="1:4" ht="14.5" customHeight="1" x14ac:dyDescent="0.35">
      <c r="A49" s="990" t="s">
        <v>693</v>
      </c>
      <c r="B49" s="991"/>
      <c r="C49" s="991"/>
      <c r="D49" s="992"/>
    </row>
    <row r="50" spans="1:4" x14ac:dyDescent="0.35">
      <c r="A50" s="923" t="s">
        <v>694</v>
      </c>
      <c r="B50" s="924"/>
      <c r="C50" s="310" t="s">
        <v>190</v>
      </c>
      <c r="D50" s="495"/>
    </row>
    <row r="51" spans="1:4" x14ac:dyDescent="0.35">
      <c r="A51" s="521">
        <v>0</v>
      </c>
      <c r="B51" s="522">
        <v>0</v>
      </c>
      <c r="C51" s="522">
        <v>0</v>
      </c>
      <c r="D51" s="495"/>
    </row>
    <row r="52" spans="1:4" x14ac:dyDescent="0.35">
      <c r="A52" s="305">
        <v>1</v>
      </c>
      <c r="B52" s="526">
        <v>40000</v>
      </c>
      <c r="C52" s="526">
        <v>6000</v>
      </c>
      <c r="D52" s="495"/>
    </row>
    <row r="53" spans="1:4" x14ac:dyDescent="0.35">
      <c r="A53" s="305">
        <v>40001</v>
      </c>
      <c r="B53" s="526">
        <v>60000</v>
      </c>
      <c r="C53" s="526">
        <v>10000</v>
      </c>
      <c r="D53" s="495"/>
    </row>
    <row r="54" spans="1:4" x14ac:dyDescent="0.35">
      <c r="A54" s="305">
        <v>60001</v>
      </c>
      <c r="B54" s="526">
        <v>80000</v>
      </c>
      <c r="C54" s="526">
        <v>13000</v>
      </c>
      <c r="D54" s="495"/>
    </row>
    <row r="55" spans="1:4" x14ac:dyDescent="0.35">
      <c r="A55" s="305">
        <v>80001</v>
      </c>
      <c r="B55" s="526">
        <v>100000</v>
      </c>
      <c r="C55" s="526">
        <v>16000</v>
      </c>
      <c r="D55" s="495"/>
    </row>
    <row r="56" spans="1:4" x14ac:dyDescent="0.35">
      <c r="A56" s="305">
        <v>100001</v>
      </c>
      <c r="B56" s="526">
        <v>120000</v>
      </c>
      <c r="C56" s="526">
        <v>19000</v>
      </c>
      <c r="D56" s="495"/>
    </row>
    <row r="57" spans="1:4" x14ac:dyDescent="0.35">
      <c r="A57" s="305">
        <v>120001</v>
      </c>
      <c r="B57" s="526">
        <v>140000</v>
      </c>
      <c r="C57" s="526">
        <v>22000</v>
      </c>
      <c r="D57" s="495"/>
    </row>
    <row r="58" spans="1:4" x14ac:dyDescent="0.35">
      <c r="A58" s="305">
        <v>140001</v>
      </c>
      <c r="B58" s="526">
        <v>160000</v>
      </c>
      <c r="C58" s="526">
        <v>24000</v>
      </c>
      <c r="D58" s="495"/>
    </row>
    <row r="59" spans="1:4" x14ac:dyDescent="0.35">
      <c r="A59" s="305">
        <v>160001</v>
      </c>
      <c r="B59" s="526">
        <v>180000</v>
      </c>
      <c r="C59" s="526">
        <v>26000</v>
      </c>
      <c r="D59" s="495"/>
    </row>
    <row r="60" spans="1:4" ht="15" thickBot="1" x14ac:dyDescent="0.4">
      <c r="A60" s="348">
        <v>180001</v>
      </c>
      <c r="B60" s="528">
        <v>200000</v>
      </c>
      <c r="C60" s="528">
        <v>28000</v>
      </c>
      <c r="D60" s="312"/>
    </row>
  </sheetData>
  <mergeCells count="39">
    <mergeCell ref="D20:G20"/>
    <mergeCell ref="A27:H27"/>
    <mergeCell ref="E21:E22"/>
    <mergeCell ref="A24:A25"/>
    <mergeCell ref="B24:B25"/>
    <mergeCell ref="C24:C25"/>
    <mergeCell ref="F21:G22"/>
    <mergeCell ref="F23:G23"/>
    <mergeCell ref="F24:G24"/>
    <mergeCell ref="F25:G25"/>
    <mergeCell ref="A21:A22"/>
    <mergeCell ref="B21:B22"/>
    <mergeCell ref="C21:C22"/>
    <mergeCell ref="D21:D22"/>
    <mergeCell ref="A48:B48"/>
    <mergeCell ref="A50:B50"/>
    <mergeCell ref="A49:D49"/>
    <mergeCell ref="A29:D29"/>
    <mergeCell ref="A30:D30"/>
    <mergeCell ref="A31:B31"/>
    <mergeCell ref="A47:B47"/>
    <mergeCell ref="C47:D47"/>
    <mergeCell ref="A1:B1"/>
    <mergeCell ref="A2:B2"/>
    <mergeCell ref="A3:B3"/>
    <mergeCell ref="A4:B4"/>
    <mergeCell ref="A5:B5"/>
    <mergeCell ref="A6:D6"/>
    <mergeCell ref="A17:D17"/>
    <mergeCell ref="A7:G7"/>
    <mergeCell ref="A8:D8"/>
    <mergeCell ref="A9:D9"/>
    <mergeCell ref="A10:D10"/>
    <mergeCell ref="A11:D11"/>
    <mergeCell ref="A12:D12"/>
    <mergeCell ref="A13:D13"/>
    <mergeCell ref="A14:H14"/>
    <mergeCell ref="A15:H15"/>
    <mergeCell ref="A16:D16"/>
  </mergeCells>
  <dataValidations count="2">
    <dataValidation type="list" allowBlank="1" showInputMessage="1" showErrorMessage="1" sqref="E23" xr:uid="{C41AA12E-E9FB-4A4C-BBD0-31A16223674A}">
      <formula1>"N,Y,-"</formula1>
    </dataValidation>
    <dataValidation type="list" allowBlank="1" showInputMessage="1" showErrorMessage="1" sqref="F23:G23" xr:uid="{EB992FA8-5682-43EC-9F2A-19BB5A77AFEB}">
      <formula1>#REF!</formula1>
    </dataValidation>
  </dataValidations>
  <hyperlinks>
    <hyperlink ref="H6" r:id="rId1" display="WBDG - AFMAN 32-1084" xr:uid="{F129F340-37BD-4733-85AD-BB48499780E3}"/>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B694C9D-1AC5-45A8-9E22-7B3C50E4AD08}">
          <x14:formula1>
            <xm:f>'Sheet References'!$L$1:$L$978</xm:f>
          </x14:formula1>
          <xm:sqref>E1</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3AA55-AB2E-4377-9DB3-E25D766C1B7C}">
  <sheetPr>
    <tabColor rgb="FFFFFF99"/>
    <pageSetUpPr fitToPage="1"/>
  </sheetPr>
  <dimension ref="A1:P43"/>
  <sheetViews>
    <sheetView topLeftCell="A5" zoomScaleNormal="100" workbookViewId="0">
      <selection activeCell="A29" sqref="A29:G29"/>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740677</v>
      </c>
      <c r="F1" s="38"/>
      <c r="G1" s="38"/>
      <c r="H1" s="38"/>
    </row>
    <row r="2" spans="1:8" ht="21" customHeight="1" x14ac:dyDescent="0.35">
      <c r="A2" s="676" t="s">
        <v>21</v>
      </c>
      <c r="B2" s="676"/>
      <c r="C2" s="38"/>
      <c r="D2" s="36" t="s">
        <v>107</v>
      </c>
      <c r="E2" s="37" t="str">
        <f>VLOOKUP(E1,'Sheet References'!L:M,2,FALSE)</f>
        <v>Swimming Pool, Indoor</v>
      </c>
      <c r="F2" s="38"/>
      <c r="G2" s="38"/>
      <c r="H2" s="38"/>
    </row>
    <row r="3" spans="1:8" ht="21" customHeight="1" x14ac:dyDescent="0.35">
      <c r="A3" s="676" t="s">
        <v>22</v>
      </c>
      <c r="B3" s="676"/>
      <c r="C3" s="36"/>
      <c r="D3" s="36" t="s">
        <v>108</v>
      </c>
      <c r="E3" s="37" t="str">
        <f>VLOOKUP(CATCode,'Sheet References'!L:O,4,FALSE)</f>
        <v>https://www.wbdg.org/FFC/AF/AFMAN/740677_Indoor_Swimming_Pool.pdf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695</v>
      </c>
      <c r="B8" s="743"/>
      <c r="C8" s="743"/>
      <c r="D8" s="743"/>
      <c r="E8" s="355">
        <f>E25</f>
        <v>0</v>
      </c>
      <c r="F8" s="68">
        <v>1</v>
      </c>
      <c r="G8" s="45">
        <f>E8*F8</f>
        <v>0</v>
      </c>
      <c r="H8" s="35"/>
    </row>
    <row r="9" spans="1:8" x14ac:dyDescent="0.35">
      <c r="A9" s="753" t="s">
        <v>257</v>
      </c>
      <c r="B9" s="743"/>
      <c r="C9" s="743"/>
      <c r="D9" s="743"/>
      <c r="E9" s="42"/>
      <c r="F9" s="68"/>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9" x14ac:dyDescent="0.35">
      <c r="A17" s="746" t="s">
        <v>253</v>
      </c>
      <c r="B17" s="753"/>
      <c r="C17" s="753"/>
      <c r="D17" s="753"/>
      <c r="E17" s="50">
        <v>0</v>
      </c>
      <c r="F17" s="43"/>
      <c r="G17" s="45">
        <f>G16*E17</f>
        <v>0</v>
      </c>
      <c r="H17" s="35" t="s">
        <v>176</v>
      </c>
    </row>
    <row r="18" spans="1:9" x14ac:dyDescent="0.35">
      <c r="E18" s="48" t="s">
        <v>254</v>
      </c>
      <c r="F18" s="71"/>
      <c r="G18" s="51">
        <f>SUM(G16:G17)</f>
        <v>0</v>
      </c>
    </row>
    <row r="19" spans="1:9" ht="15" thickBot="1" x14ac:dyDescent="0.4">
      <c r="G19" s="10">
        <f>G18*1.1</f>
        <v>0</v>
      </c>
    </row>
    <row r="20" spans="1:9" ht="19" customHeight="1" thickBot="1" x14ac:dyDescent="0.4">
      <c r="A20" s="711" t="s">
        <v>696</v>
      </c>
      <c r="B20" s="712"/>
      <c r="C20" s="712"/>
      <c r="D20" s="712"/>
      <c r="E20" s="712"/>
      <c r="F20" s="712"/>
      <c r="G20" s="713"/>
      <c r="I20" s="1015"/>
    </row>
    <row r="21" spans="1:9" ht="15" customHeight="1" x14ac:dyDescent="0.35">
      <c r="A21" s="668" t="s">
        <v>583</v>
      </c>
      <c r="B21" s="824" t="s">
        <v>514</v>
      </c>
      <c r="C21" s="710" t="s">
        <v>495</v>
      </c>
      <c r="D21" s="654" t="s">
        <v>421</v>
      </c>
      <c r="E21" s="226"/>
      <c r="F21" s="226"/>
      <c r="G21" s="231"/>
      <c r="H21" s="216"/>
      <c r="I21" s="1015"/>
    </row>
    <row r="22" spans="1:9" ht="15" thickBot="1" x14ac:dyDescent="0.4">
      <c r="A22" s="1016"/>
      <c r="B22" s="1017"/>
      <c r="C22" s="1018"/>
      <c r="D22" s="663"/>
      <c r="E22" s="226"/>
      <c r="F22" s="232"/>
      <c r="G22" s="233"/>
      <c r="H22" s="505"/>
      <c r="I22" s="505"/>
    </row>
    <row r="23" spans="1:9" ht="15" thickBot="1" x14ac:dyDescent="0.4">
      <c r="A23" s="399">
        <f>IF(D23="YES",'Instructions &amp; Pop Data'!D8+'Instructions &amp; Pop Data'!D10,'Instructions &amp; Pop Data'!D8)</f>
        <v>0</v>
      </c>
      <c r="B23" s="400">
        <f>IF(D23="YES",'Instructions &amp; Pop Data'!D28,'Instructions &amp; Pop Data'!D27)</f>
        <v>0</v>
      </c>
      <c r="C23" s="401">
        <f>A23+(B23*0.7)</f>
        <v>0</v>
      </c>
      <c r="D23" s="374">
        <f>'Instructions &amp; Pop Data'!K4</f>
        <v>0</v>
      </c>
      <c r="E23" s="226"/>
      <c r="F23" s="226"/>
      <c r="G23" s="234"/>
      <c r="I23" s="539"/>
    </row>
    <row r="24" spans="1:9" ht="14.5" customHeight="1" thickBot="1" x14ac:dyDescent="0.4">
      <c r="A24" s="230" t="s">
        <v>697</v>
      </c>
      <c r="B24" s="229" t="s">
        <v>698</v>
      </c>
      <c r="C24" s="1011" t="s">
        <v>699</v>
      </c>
      <c r="D24" s="1012"/>
      <c r="E24" s="1011" t="s">
        <v>700</v>
      </c>
      <c r="F24" s="1013"/>
      <c r="G24" s="1012"/>
    </row>
    <row r="25" spans="1:9" ht="16.5" customHeight="1" thickBot="1" x14ac:dyDescent="0.4">
      <c r="A25" s="200">
        <v>0</v>
      </c>
      <c r="B25" s="402">
        <f>VLOOKUP(C23,A32:D38,4,TRUE)</f>
        <v>0</v>
      </c>
      <c r="C25" s="880">
        <f>VLOOKUP(C23,A32:C38,3,TRUE)</f>
        <v>0</v>
      </c>
      <c r="D25" s="881"/>
      <c r="E25" s="880">
        <f>B25*C39</f>
        <v>0</v>
      </c>
      <c r="F25" s="1014"/>
      <c r="G25" s="881"/>
      <c r="I25" s="172"/>
    </row>
    <row r="26" spans="1:9" ht="15.65" customHeight="1" x14ac:dyDescent="0.35">
      <c r="A26" s="1005" t="s">
        <v>701</v>
      </c>
      <c r="B26" s="1006"/>
      <c r="C26" s="1006"/>
      <c r="D26" s="1006"/>
      <c r="E26" s="1006"/>
      <c r="F26" s="1006"/>
      <c r="G26" s="1007"/>
      <c r="H26" s="172"/>
    </row>
    <row r="27" spans="1:9" ht="15" thickBot="1" x14ac:dyDescent="0.4">
      <c r="A27" s="1008"/>
      <c r="B27" s="1009"/>
      <c r="C27" s="1009"/>
      <c r="D27" s="1009"/>
      <c r="E27" s="1009"/>
      <c r="F27" s="1009"/>
      <c r="G27" s="1010"/>
    </row>
    <row r="28" spans="1:9" ht="15" thickBot="1" x14ac:dyDescent="0.4"/>
    <row r="29" spans="1:9" ht="19" thickBot="1" x14ac:dyDescent="0.5">
      <c r="A29" s="1019" t="s">
        <v>702</v>
      </c>
      <c r="B29" s="1020"/>
      <c r="C29" s="1020"/>
      <c r="D29" s="1020"/>
      <c r="E29" s="1020"/>
      <c r="F29" s="1020"/>
      <c r="G29" s="1021"/>
    </row>
    <row r="30" spans="1:9" ht="14.5" customHeight="1" x14ac:dyDescent="0.35">
      <c r="A30" s="1022" t="s">
        <v>703</v>
      </c>
      <c r="B30" s="1023"/>
      <c r="C30" s="1023"/>
      <c r="D30" s="1023"/>
      <c r="E30" s="1023"/>
      <c r="F30" s="1023"/>
      <c r="G30" s="1024"/>
    </row>
    <row r="31" spans="1:9" ht="31" customHeight="1" x14ac:dyDescent="0.35">
      <c r="A31" s="843" t="s">
        <v>455</v>
      </c>
      <c r="B31" s="844"/>
      <c r="C31" s="35" t="s">
        <v>704</v>
      </c>
      <c r="D31" s="513" t="s">
        <v>705</v>
      </c>
      <c r="E31" s="513" t="s">
        <v>706</v>
      </c>
      <c r="F31" s="844" t="s">
        <v>707</v>
      </c>
      <c r="G31" s="1025"/>
    </row>
    <row r="32" spans="1:9" x14ac:dyDescent="0.35">
      <c r="A32" s="521">
        <v>0</v>
      </c>
      <c r="B32" s="522">
        <v>0</v>
      </c>
      <c r="C32" s="514">
        <v>0</v>
      </c>
      <c r="D32" s="513">
        <v>0</v>
      </c>
      <c r="E32" s="513">
        <v>0</v>
      </c>
      <c r="F32" s="844">
        <v>0</v>
      </c>
      <c r="G32" s="1025"/>
    </row>
    <row r="33" spans="1:7" x14ac:dyDescent="0.35">
      <c r="A33" s="305">
        <v>1</v>
      </c>
      <c r="B33" s="526">
        <v>250</v>
      </c>
      <c r="C33" s="526">
        <f>D41</f>
        <v>800</v>
      </c>
      <c r="D33" s="526">
        <f>C41</f>
        <v>1250</v>
      </c>
      <c r="E33" s="526">
        <v>0</v>
      </c>
      <c r="F33" s="1026">
        <v>0</v>
      </c>
      <c r="G33" s="1027"/>
    </row>
    <row r="34" spans="1:7" x14ac:dyDescent="0.35">
      <c r="A34" s="305">
        <v>251</v>
      </c>
      <c r="B34" s="526">
        <v>3000</v>
      </c>
      <c r="C34" s="526">
        <v>4000</v>
      </c>
      <c r="D34" s="526">
        <f>E34*C42</f>
        <v>7918</v>
      </c>
      <c r="E34" s="526">
        <v>1</v>
      </c>
      <c r="F34" s="1026">
        <v>0</v>
      </c>
      <c r="G34" s="1027"/>
    </row>
    <row r="35" spans="1:7" x14ac:dyDescent="0.35">
      <c r="A35" s="305">
        <v>3001</v>
      </c>
      <c r="B35" s="526">
        <v>10000</v>
      </c>
      <c r="C35" s="526">
        <v>4000</v>
      </c>
      <c r="D35" s="526">
        <f>E35*C42</f>
        <v>7918</v>
      </c>
      <c r="E35" s="526">
        <v>1</v>
      </c>
      <c r="F35" s="1026">
        <v>0</v>
      </c>
      <c r="G35" s="1027"/>
    </row>
    <row r="36" spans="1:7" x14ac:dyDescent="0.35">
      <c r="A36" s="305">
        <v>10001</v>
      </c>
      <c r="B36" s="526">
        <v>15000</v>
      </c>
      <c r="C36" s="526">
        <f>D40*2</f>
        <v>8000</v>
      </c>
      <c r="D36" s="526">
        <f>E36*C42</f>
        <v>15836</v>
      </c>
      <c r="E36" s="526">
        <v>2</v>
      </c>
      <c r="F36" s="1026">
        <v>1</v>
      </c>
      <c r="G36" s="1027"/>
    </row>
    <row r="37" spans="1:7" x14ac:dyDescent="0.35">
      <c r="A37" s="305">
        <v>15001</v>
      </c>
      <c r="B37" s="526">
        <v>20000</v>
      </c>
      <c r="C37" s="526">
        <f>D40*3</f>
        <v>12000</v>
      </c>
      <c r="D37" s="526">
        <f>E37*C42</f>
        <v>23754</v>
      </c>
      <c r="E37" s="526">
        <v>3</v>
      </c>
      <c r="F37" s="1038">
        <v>1.5</v>
      </c>
      <c r="G37" s="1039"/>
    </row>
    <row r="38" spans="1:7" ht="15" thickBot="1" x14ac:dyDescent="0.4">
      <c r="A38" s="348">
        <v>20001</v>
      </c>
      <c r="B38" s="528">
        <v>25000</v>
      </c>
      <c r="C38" s="528">
        <f>D40*4</f>
        <v>16000</v>
      </c>
      <c r="D38" s="528">
        <f>E38*C42</f>
        <v>31672</v>
      </c>
      <c r="E38" s="528">
        <v>4</v>
      </c>
      <c r="F38" s="1030">
        <v>2</v>
      </c>
      <c r="G38" s="1031"/>
    </row>
    <row r="39" spans="1:7" ht="15" thickBot="1" x14ac:dyDescent="0.4">
      <c r="A39" s="1028" t="s">
        <v>708</v>
      </c>
      <c r="B39" s="1029"/>
      <c r="C39" s="1032">
        <v>1.1000000000000001</v>
      </c>
      <c r="D39" s="1033"/>
      <c r="E39" s="1033"/>
      <c r="F39" s="1033"/>
      <c r="G39" s="1034"/>
    </row>
    <row r="40" spans="1:7" x14ac:dyDescent="0.35">
      <c r="A40" s="1035" t="s">
        <v>709</v>
      </c>
      <c r="B40" s="1040" t="s">
        <v>710</v>
      </c>
      <c r="C40" s="1041"/>
      <c r="D40" s="308">
        <v>4000</v>
      </c>
      <c r="E40" s="309">
        <v>6500</v>
      </c>
      <c r="F40" s="9"/>
    </row>
    <row r="41" spans="1:7" x14ac:dyDescent="0.35">
      <c r="A41" s="1036"/>
      <c r="B41" s="148" t="s">
        <v>711</v>
      </c>
      <c r="C41" s="526">
        <v>1250</v>
      </c>
      <c r="D41" s="342">
        <v>800</v>
      </c>
      <c r="E41" s="343"/>
      <c r="F41" s="9"/>
    </row>
    <row r="42" spans="1:7" x14ac:dyDescent="0.35">
      <c r="A42" s="1036"/>
      <c r="B42" s="148" t="s">
        <v>712</v>
      </c>
      <c r="C42" s="526">
        <v>7918</v>
      </c>
      <c r="D42" s="1026" t="s">
        <v>713</v>
      </c>
      <c r="E42" s="1027"/>
      <c r="F42" s="9"/>
    </row>
    <row r="43" spans="1:7" ht="15" thickBot="1" x14ac:dyDescent="0.4">
      <c r="A43" s="1037"/>
      <c r="B43" s="150" t="s">
        <v>714</v>
      </c>
      <c r="C43" s="528">
        <f>C42*2</f>
        <v>15836</v>
      </c>
      <c r="D43" s="1030" t="s">
        <v>715</v>
      </c>
      <c r="E43" s="1031"/>
      <c r="F43" s="9"/>
    </row>
  </sheetData>
  <mergeCells count="45">
    <mergeCell ref="A39:B39"/>
    <mergeCell ref="D42:E42"/>
    <mergeCell ref="D43:E43"/>
    <mergeCell ref="C39:G39"/>
    <mergeCell ref="A31:B31"/>
    <mergeCell ref="A40:A43"/>
    <mergeCell ref="F34:G34"/>
    <mergeCell ref="F35:G35"/>
    <mergeCell ref="F36:G36"/>
    <mergeCell ref="F37:G37"/>
    <mergeCell ref="F38:G38"/>
    <mergeCell ref="B40:C40"/>
    <mergeCell ref="A29:G29"/>
    <mergeCell ref="A30:G30"/>
    <mergeCell ref="F31:G31"/>
    <mergeCell ref="F32:G32"/>
    <mergeCell ref="F33:G33"/>
    <mergeCell ref="A6:D6"/>
    <mergeCell ref="I20:I21"/>
    <mergeCell ref="A21:A22"/>
    <mergeCell ref="B21:B22"/>
    <mergeCell ref="C21:C22"/>
    <mergeCell ref="D21:D22"/>
    <mergeCell ref="A17:D17"/>
    <mergeCell ref="A7:G7"/>
    <mergeCell ref="A8:D8"/>
    <mergeCell ref="A9:D9"/>
    <mergeCell ref="A15:H15"/>
    <mergeCell ref="A16:D16"/>
    <mergeCell ref="A10:D10"/>
    <mergeCell ref="A11:D11"/>
    <mergeCell ref="A12:D12"/>
    <mergeCell ref="A20:G20"/>
    <mergeCell ref="A1:B1"/>
    <mergeCell ref="A2:B2"/>
    <mergeCell ref="A3:B3"/>
    <mergeCell ref="A4:B4"/>
    <mergeCell ref="A5:B5"/>
    <mergeCell ref="A26:G27"/>
    <mergeCell ref="A13:D13"/>
    <mergeCell ref="A14:H14"/>
    <mergeCell ref="C24:D24"/>
    <mergeCell ref="C25:D25"/>
    <mergeCell ref="E24:G24"/>
    <mergeCell ref="E25:G25"/>
  </mergeCells>
  <dataValidations count="1">
    <dataValidation type="list" allowBlank="1" showInputMessage="1" showErrorMessage="1" sqref="A25" xr:uid="{8B5BAD22-C240-4002-93AB-D9BE70977510}">
      <formula1>"0,1,2,3,4"</formula1>
    </dataValidation>
  </dataValidations>
  <hyperlinks>
    <hyperlink ref="H6" r:id="rId1" display="WBDG - AFMAN 32-1084" xr:uid="{B30140EB-1B2B-484D-B995-D3510D49D4C7}"/>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041777F-034B-4F05-9720-A502146460D1}">
          <x14:formula1>
            <xm:f>'Sheet References'!$L$1:$L$978</xm:f>
          </x14:formula1>
          <xm:sqref>E1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28BB0-19A9-42C3-86B5-F372628CA461}">
  <sheetPr>
    <tabColor rgb="FFFFFF99"/>
    <pageSetUpPr fitToPage="1"/>
  </sheetPr>
  <dimension ref="A1:P22"/>
  <sheetViews>
    <sheetView topLeftCell="D1" zoomScaleNormal="100" workbookViewId="0">
      <selection activeCell="H31" sqref="H31"/>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740735</v>
      </c>
      <c r="F1" s="38"/>
      <c r="G1" s="38"/>
      <c r="H1" s="38"/>
    </row>
    <row r="2" spans="1:8" ht="21" customHeight="1" x14ac:dyDescent="0.35">
      <c r="A2" s="676" t="s">
        <v>21</v>
      </c>
      <c r="B2" s="676"/>
      <c r="C2" s="38"/>
      <c r="D2" s="36" t="s">
        <v>107</v>
      </c>
      <c r="E2" s="37" t="str">
        <f>VLOOKUP(E1,'Sheet References'!L:M,2,FALSE)</f>
        <v>Restaurant, Base</v>
      </c>
      <c r="F2" s="38"/>
      <c r="G2" s="38"/>
      <c r="H2" s="38"/>
    </row>
    <row r="3" spans="1:8" ht="21" customHeight="1" x14ac:dyDescent="0.35">
      <c r="A3" s="676" t="s">
        <v>22</v>
      </c>
      <c r="B3" s="676"/>
      <c r="C3" s="36"/>
      <c r="D3" s="36" t="s">
        <v>108</v>
      </c>
      <c r="E3" s="37" t="str">
        <f>VLOOKUP(CATCode,'Sheet References'!L:O,4,FALSE)</f>
        <v>https://www.wbdg.org/FFC/AF/AFMAN/740735_Base_Restaurant.pdf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248</v>
      </c>
      <c r="B8" s="743"/>
      <c r="C8" s="743"/>
      <c r="D8" s="743"/>
      <c r="E8" s="42"/>
      <c r="F8" s="68"/>
      <c r="G8" s="45">
        <f>E8*F8</f>
        <v>0</v>
      </c>
      <c r="H8" s="35"/>
    </row>
    <row r="9" spans="1:8" x14ac:dyDescent="0.35">
      <c r="A9" s="753" t="s">
        <v>314</v>
      </c>
      <c r="B9" s="743"/>
      <c r="C9" s="743"/>
      <c r="D9" s="743"/>
      <c r="E9" s="42"/>
      <c r="F9" s="68"/>
      <c r="G9" s="45">
        <f>E9*F9</f>
        <v>0</v>
      </c>
      <c r="H9" s="35"/>
    </row>
    <row r="10" spans="1:8" x14ac:dyDescent="0.35">
      <c r="A10" s="753" t="s">
        <v>257</v>
      </c>
      <c r="B10" s="743"/>
      <c r="C10" s="743"/>
      <c r="D10" s="743"/>
      <c r="E10" s="42"/>
      <c r="F10" s="68"/>
      <c r="G10" s="45">
        <f>E10*F10</f>
        <v>0</v>
      </c>
      <c r="H10" s="46"/>
    </row>
    <row r="11" spans="1:8" x14ac:dyDescent="0.35">
      <c r="A11" s="753" t="s">
        <v>257</v>
      </c>
      <c r="B11" s="743"/>
      <c r="C11" s="743"/>
      <c r="D11" s="743"/>
      <c r="E11" s="42"/>
      <c r="F11" s="68"/>
      <c r="G11" s="45">
        <f>E11*F11</f>
        <v>0</v>
      </c>
      <c r="H11" s="46"/>
    </row>
    <row r="12" spans="1:8" x14ac:dyDescent="0.35">
      <c r="A12" s="757" t="s">
        <v>180</v>
      </c>
      <c r="B12" s="757"/>
      <c r="C12" s="757"/>
      <c r="D12" s="757"/>
      <c r="E12" s="48" t="s">
        <v>126</v>
      </c>
      <c r="F12" s="65"/>
      <c r="G12" s="51">
        <f>SUM(G8:G11)</f>
        <v>0</v>
      </c>
      <c r="H12" s="35"/>
    </row>
    <row r="13" spans="1:8" x14ac:dyDescent="0.35">
      <c r="A13" s="758" t="s">
        <v>249</v>
      </c>
      <c r="B13" s="759"/>
      <c r="C13" s="759"/>
      <c r="D13" s="759"/>
      <c r="E13" s="50">
        <v>0</v>
      </c>
      <c r="F13" s="42"/>
      <c r="G13" s="66">
        <f>E13*G12</f>
        <v>0</v>
      </c>
      <c r="H13" s="35" t="s">
        <v>176</v>
      </c>
    </row>
    <row r="14" spans="1:8" x14ac:dyDescent="0.35">
      <c r="A14" s="757" t="s">
        <v>182</v>
      </c>
      <c r="B14" s="743"/>
      <c r="C14" s="743"/>
      <c r="D14" s="743"/>
      <c r="E14" s="47" t="s">
        <v>126</v>
      </c>
      <c r="F14" s="67"/>
      <c r="G14" s="51">
        <f>SUM(G12:G13)</f>
        <v>0</v>
      </c>
      <c r="H14" s="35"/>
    </row>
    <row r="15" spans="1:8" x14ac:dyDescent="0.35">
      <c r="A15" s="743"/>
      <c r="B15" s="743"/>
      <c r="C15" s="743"/>
      <c r="D15" s="743"/>
      <c r="E15" s="743"/>
      <c r="F15" s="743"/>
      <c r="G15" s="743"/>
      <c r="H15" s="743"/>
    </row>
    <row r="16" spans="1:8" s="4" customFormat="1" ht="15.5" x14ac:dyDescent="0.35">
      <c r="A16" s="744" t="s">
        <v>250</v>
      </c>
      <c r="B16" s="745"/>
      <c r="C16" s="745"/>
      <c r="D16" s="745"/>
      <c r="E16" s="745"/>
      <c r="F16" s="745"/>
      <c r="G16" s="745"/>
      <c r="H16" s="745"/>
    </row>
    <row r="17" spans="1:8" x14ac:dyDescent="0.35">
      <c r="A17" s="746" t="s">
        <v>251</v>
      </c>
      <c r="B17" s="743"/>
      <c r="C17" s="743"/>
      <c r="D17" s="743"/>
      <c r="E17" s="69" t="s">
        <v>252</v>
      </c>
      <c r="F17" s="70"/>
      <c r="G17" s="66">
        <f>G14</f>
        <v>0</v>
      </c>
      <c r="H17" s="46"/>
    </row>
    <row r="18" spans="1:8" x14ac:dyDescent="0.35">
      <c r="A18" s="746" t="s">
        <v>253</v>
      </c>
      <c r="B18" s="753"/>
      <c r="C18" s="753"/>
      <c r="D18" s="753"/>
      <c r="E18" s="50">
        <v>0</v>
      </c>
      <c r="F18" s="43"/>
      <c r="G18" s="45">
        <f>G17*E18</f>
        <v>0</v>
      </c>
      <c r="H18" s="35" t="s">
        <v>176</v>
      </c>
    </row>
    <row r="19" spans="1:8" x14ac:dyDescent="0.35">
      <c r="E19" s="48" t="s">
        <v>254</v>
      </c>
      <c r="F19" s="71"/>
      <c r="G19" s="51">
        <f>SUM(G17:G18)</f>
        <v>0</v>
      </c>
    </row>
    <row r="20" spans="1:8" ht="15" thickBot="1" x14ac:dyDescent="0.4">
      <c r="E20" s="512"/>
      <c r="F20" s="437"/>
      <c r="G20" s="438"/>
    </row>
    <row r="21" spans="1:8" ht="30" customHeight="1" thickBot="1" x14ac:dyDescent="0.4">
      <c r="A21" s="1045" t="s">
        <v>716</v>
      </c>
      <c r="B21" s="1046"/>
      <c r="C21" s="1046"/>
      <c r="D21" s="1047"/>
    </row>
    <row r="22" spans="1:8" ht="29.15" customHeight="1" thickBot="1" x14ac:dyDescent="0.4">
      <c r="A22" s="1042" t="s">
        <v>717</v>
      </c>
      <c r="B22" s="1043"/>
      <c r="C22" s="1043"/>
      <c r="D22" s="1044"/>
    </row>
  </sheetData>
  <mergeCells count="20">
    <mergeCell ref="A12:D12"/>
    <mergeCell ref="A13:D13"/>
    <mergeCell ref="A7:G7"/>
    <mergeCell ref="A8:D8"/>
    <mergeCell ref="A9:D9"/>
    <mergeCell ref="A10:D10"/>
    <mergeCell ref="A11:D11"/>
    <mergeCell ref="A6:D6"/>
    <mergeCell ref="A1:B1"/>
    <mergeCell ref="A2:B2"/>
    <mergeCell ref="A3:B3"/>
    <mergeCell ref="A4:B4"/>
    <mergeCell ref="A5:B5"/>
    <mergeCell ref="A14:D14"/>
    <mergeCell ref="A15:H15"/>
    <mergeCell ref="A16:H16"/>
    <mergeCell ref="A17:D17"/>
    <mergeCell ref="A22:D22"/>
    <mergeCell ref="A21:D21"/>
    <mergeCell ref="A18:D18"/>
  </mergeCells>
  <hyperlinks>
    <hyperlink ref="H6" r:id="rId1" display="WBDG - AFMAN 32-1084" xr:uid="{7D6CF22B-7E4B-4517-890D-1E5AADB95548}"/>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64F5BCA-22A5-4184-9FDA-E3970929842F}">
          <x14:formula1>
            <xm:f>'Sheet References'!$L$1:$L$978</xm:f>
          </x14:formula1>
          <xm:sqref>E1</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7C4C8-0869-493E-B393-0640EC995311}">
  <sheetPr>
    <tabColor rgb="FFFFFF99"/>
    <pageSetUpPr fitToPage="1"/>
  </sheetPr>
  <dimension ref="A1:P31"/>
  <sheetViews>
    <sheetView zoomScaleNormal="100" workbookViewId="0">
      <selection activeCell="A19" sqref="A19:C19"/>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740873</v>
      </c>
      <c r="F1" s="38"/>
      <c r="G1" s="38"/>
      <c r="H1" s="38"/>
    </row>
    <row r="2" spans="1:8" ht="21" customHeight="1" x14ac:dyDescent="0.35">
      <c r="A2" s="676" t="s">
        <v>21</v>
      </c>
      <c r="B2" s="676"/>
      <c r="C2" s="38"/>
      <c r="D2" s="36" t="s">
        <v>107</v>
      </c>
      <c r="E2" s="37" t="str">
        <f>VLOOKUP(E1,'Sheet References'!L:M,2,FALSE)</f>
        <v>Base Auditorium/Theater</v>
      </c>
      <c r="F2" s="38"/>
      <c r="G2" s="38"/>
      <c r="H2" s="38"/>
    </row>
    <row r="3" spans="1:8" ht="21" customHeight="1" x14ac:dyDescent="0.35">
      <c r="A3" s="676" t="s">
        <v>22</v>
      </c>
      <c r="B3" s="676"/>
      <c r="C3" s="36"/>
      <c r="D3" s="36" t="s">
        <v>108</v>
      </c>
      <c r="E3" s="37" t="str">
        <f>VLOOKUP(CATCode,'Sheet References'!L:O,4,FALSE)</f>
        <v>https://www.wbdg.org/FFC/AF/AFMAN/740873_Base_Theater.pdf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718</v>
      </c>
      <c r="B8" s="743"/>
      <c r="C8" s="743"/>
      <c r="D8" s="743"/>
      <c r="E8" s="42"/>
      <c r="F8" s="68"/>
      <c r="G8" s="45">
        <f>E8*F8</f>
        <v>0</v>
      </c>
      <c r="H8" s="35"/>
    </row>
    <row r="9" spans="1:8" x14ac:dyDescent="0.35">
      <c r="A9" s="753" t="s">
        <v>257</v>
      </c>
      <c r="B9" s="743"/>
      <c r="C9" s="743"/>
      <c r="D9" s="743"/>
      <c r="E9" s="42"/>
      <c r="F9" s="68"/>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x14ac:dyDescent="0.35">
      <c r="A17" s="746" t="s">
        <v>253</v>
      </c>
      <c r="B17" s="753"/>
      <c r="C17" s="753"/>
      <c r="D17" s="753"/>
      <c r="E17" s="50">
        <v>0</v>
      </c>
      <c r="F17" s="43"/>
      <c r="G17" s="45">
        <f>G16*E17</f>
        <v>0</v>
      </c>
      <c r="H17" s="35" t="s">
        <v>176</v>
      </c>
    </row>
    <row r="18" spans="1:8" ht="15" thickBot="1" x14ac:dyDescent="0.4">
      <c r="E18" s="48" t="s">
        <v>254</v>
      </c>
      <c r="F18" s="71"/>
      <c r="G18" s="51">
        <f>SUM(G16:G17)</f>
        <v>0</v>
      </c>
    </row>
    <row r="19" spans="1:8" ht="19" thickBot="1" x14ac:dyDescent="0.5">
      <c r="A19" s="1050" t="s">
        <v>719</v>
      </c>
      <c r="B19" s="1051"/>
      <c r="C19" s="1052"/>
    </row>
    <row r="21" spans="1:8" ht="18.5" x14ac:dyDescent="0.45">
      <c r="D21" s="347"/>
      <c r="E21" s="347"/>
      <c r="F21" s="347"/>
      <c r="G21" s="347"/>
    </row>
    <row r="22" spans="1:8" x14ac:dyDescent="0.35">
      <c r="A22" s="1048"/>
      <c r="B22" s="1048"/>
      <c r="C22" s="9"/>
      <c r="D22" s="9"/>
      <c r="E22" s="9"/>
      <c r="F22" s="1049"/>
      <c r="G22" s="1049"/>
    </row>
    <row r="23" spans="1:8" x14ac:dyDescent="0.35">
      <c r="A23" s="530"/>
      <c r="B23" s="9"/>
      <c r="C23" s="9"/>
      <c r="D23" s="9"/>
      <c r="E23" s="9"/>
      <c r="F23" s="1049"/>
      <c r="G23" s="1049"/>
    </row>
    <row r="24" spans="1:8" x14ac:dyDescent="0.35">
      <c r="A24" s="9"/>
      <c r="B24" s="9"/>
      <c r="C24" s="9"/>
      <c r="D24" s="9"/>
      <c r="E24" s="9"/>
      <c r="F24" s="1049"/>
      <c r="G24" s="1049"/>
    </row>
    <row r="25" spans="1:8" x14ac:dyDescent="0.35">
      <c r="A25" s="9"/>
      <c r="B25" s="9"/>
      <c r="C25" s="9"/>
      <c r="D25" s="9"/>
      <c r="E25" s="9"/>
      <c r="F25" s="1049"/>
      <c r="G25" s="1049"/>
    </row>
    <row r="26" spans="1:8" x14ac:dyDescent="0.35">
      <c r="A26" s="9"/>
      <c r="B26" s="9"/>
      <c r="C26" s="9"/>
      <c r="D26" s="9"/>
      <c r="E26" s="9"/>
      <c r="F26" s="1049"/>
      <c r="G26" s="1049"/>
    </row>
    <row r="27" spans="1:8" x14ac:dyDescent="0.35">
      <c r="A27" s="9"/>
      <c r="B27" s="9"/>
      <c r="C27" s="9"/>
      <c r="D27" s="9"/>
      <c r="E27" s="9"/>
      <c r="F27" s="1049"/>
      <c r="G27" s="1049"/>
    </row>
    <row r="28" spans="1:8" x14ac:dyDescent="0.35">
      <c r="A28" s="9"/>
      <c r="B28" s="9"/>
      <c r="C28" s="9"/>
      <c r="D28" s="9"/>
      <c r="E28" s="9"/>
      <c r="F28" s="1049"/>
      <c r="G28" s="1049"/>
    </row>
    <row r="29" spans="1:8" x14ac:dyDescent="0.35">
      <c r="A29" s="9"/>
      <c r="B29" s="9"/>
      <c r="C29" s="9"/>
      <c r="D29" s="9"/>
      <c r="E29" s="9"/>
      <c r="F29" s="1049"/>
      <c r="G29" s="1049"/>
    </row>
    <row r="30" spans="1:8" x14ac:dyDescent="0.35">
      <c r="A30" s="9"/>
      <c r="B30" s="9"/>
      <c r="C30" s="9"/>
      <c r="D30" s="9"/>
      <c r="E30" s="9"/>
      <c r="F30" s="1049"/>
      <c r="G30" s="1049"/>
    </row>
    <row r="31" spans="1:8" x14ac:dyDescent="0.35">
      <c r="A31" s="9"/>
      <c r="B31" s="9"/>
      <c r="C31" s="9"/>
      <c r="D31" s="9"/>
      <c r="E31" s="9"/>
      <c r="F31" s="1049"/>
      <c r="G31" s="1049"/>
    </row>
  </sheetData>
  <mergeCells count="29">
    <mergeCell ref="F30:G30"/>
    <mergeCell ref="F31:G31"/>
    <mergeCell ref="F25:G25"/>
    <mergeCell ref="F26:G26"/>
    <mergeCell ref="F27:G27"/>
    <mergeCell ref="F28:G28"/>
    <mergeCell ref="F29:G29"/>
    <mergeCell ref="A22:B22"/>
    <mergeCell ref="F22:G22"/>
    <mergeCell ref="F23:G23"/>
    <mergeCell ref="F24:G24"/>
    <mergeCell ref="A19:C19"/>
    <mergeCell ref="A6:D6"/>
    <mergeCell ref="A1:B1"/>
    <mergeCell ref="A2:B2"/>
    <mergeCell ref="A3:B3"/>
    <mergeCell ref="A4:B4"/>
    <mergeCell ref="A5:B5"/>
    <mergeCell ref="A17:D17"/>
    <mergeCell ref="A7:G7"/>
    <mergeCell ref="A8:D8"/>
    <mergeCell ref="A9:D9"/>
    <mergeCell ref="A10:D10"/>
    <mergeCell ref="A11:D11"/>
    <mergeCell ref="A12:D12"/>
    <mergeCell ref="A13:D13"/>
    <mergeCell ref="A14:H14"/>
    <mergeCell ref="A15:H15"/>
    <mergeCell ref="A16:D16"/>
  </mergeCells>
  <hyperlinks>
    <hyperlink ref="H6" r:id="rId1" display="WBDG - AFMAN 32-1084" xr:uid="{9E214AA1-7137-46DC-ACF7-45E8DCFDBEE4}"/>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7FA156-081B-46FC-A1BF-063972C953EF}">
          <x14:formula1>
            <xm:f>'Sheet References'!$L$1:$L$978</xm:f>
          </x14:formula1>
          <xm:sqref>E1</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399C6-82A2-4BD8-A6A7-C1BF9871BBA6}">
  <sheetPr>
    <tabColor rgb="FFFFFF99"/>
    <pageSetUpPr fitToPage="1"/>
  </sheetPr>
  <dimension ref="A1:P36"/>
  <sheetViews>
    <sheetView zoomScaleNormal="100" workbookViewId="0">
      <selection activeCell="I8" sqref="I8"/>
    </sheetView>
  </sheetViews>
  <sheetFormatPr defaultColWidth="9.26953125" defaultRowHeight="14.5" x14ac:dyDescent="0.35"/>
  <cols>
    <col min="1" max="1" width="29.81640625" style="1" customWidth="1"/>
    <col min="2" max="2" width="30.7265625" style="1" customWidth="1"/>
    <col min="3" max="3" width="23.7265625" style="1" customWidth="1"/>
    <col min="4" max="4" width="25.269531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740874</v>
      </c>
      <c r="F1" s="38"/>
      <c r="G1" s="38"/>
      <c r="H1" s="38"/>
    </row>
    <row r="2" spans="1:8" ht="21" customHeight="1" x14ac:dyDescent="0.35">
      <c r="A2" s="676" t="s">
        <v>21</v>
      </c>
      <c r="B2" s="676"/>
      <c r="C2" s="38"/>
      <c r="D2" s="36" t="s">
        <v>107</v>
      </c>
      <c r="E2" s="37" t="str">
        <f>VLOOKUP(E1,'Sheet References'!L:M,2,FALSE)</f>
        <v>Conference Center</v>
      </c>
      <c r="F2" s="38"/>
      <c r="G2" s="38"/>
      <c r="H2" s="38"/>
    </row>
    <row r="3" spans="1:8" ht="21" customHeight="1" x14ac:dyDescent="0.35">
      <c r="A3" s="676" t="s">
        <v>22</v>
      </c>
      <c r="B3" s="676"/>
      <c r="C3" s="36"/>
      <c r="D3" s="36" t="s">
        <v>108</v>
      </c>
      <c r="E3" s="37" t="str">
        <f>VLOOKUP(CATCode,'Sheet References'!L:O,4,FALSE)</f>
        <v>No Standards/Criteria available</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248</v>
      </c>
      <c r="B8" s="743"/>
      <c r="C8" s="743"/>
      <c r="D8" s="743"/>
      <c r="E8" s="42"/>
      <c r="F8" s="68"/>
      <c r="G8" s="45">
        <f>E8*F8</f>
        <v>0</v>
      </c>
      <c r="H8" s="35"/>
    </row>
    <row r="9" spans="1:8" x14ac:dyDescent="0.35">
      <c r="A9" s="753" t="s">
        <v>314</v>
      </c>
      <c r="B9" s="743"/>
      <c r="C9" s="743"/>
      <c r="D9" s="743"/>
      <c r="E9" s="42"/>
      <c r="F9" s="68"/>
      <c r="G9" s="45">
        <f>E9*F9</f>
        <v>0</v>
      </c>
      <c r="H9" s="35"/>
    </row>
    <row r="10" spans="1:8" x14ac:dyDescent="0.35">
      <c r="A10" s="753" t="s">
        <v>257</v>
      </c>
      <c r="B10" s="743"/>
      <c r="C10" s="743"/>
      <c r="D10" s="743"/>
      <c r="E10" s="42"/>
      <c r="F10" s="68"/>
      <c r="G10" s="45">
        <f>E10*F10</f>
        <v>0</v>
      </c>
      <c r="H10" s="46"/>
    </row>
    <row r="11" spans="1:8" x14ac:dyDescent="0.35">
      <c r="A11" s="753" t="s">
        <v>257</v>
      </c>
      <c r="B11" s="743"/>
      <c r="C11" s="743"/>
      <c r="D11" s="743"/>
      <c r="E11" s="42"/>
      <c r="F11" s="68"/>
      <c r="G11" s="45">
        <f>E11*F11</f>
        <v>0</v>
      </c>
      <c r="H11" s="46"/>
    </row>
    <row r="12" spans="1:8" x14ac:dyDescent="0.35">
      <c r="A12" s="757" t="s">
        <v>180</v>
      </c>
      <c r="B12" s="757"/>
      <c r="C12" s="757"/>
      <c r="D12" s="757"/>
      <c r="E12" s="48" t="s">
        <v>126</v>
      </c>
      <c r="F12" s="65"/>
      <c r="G12" s="51">
        <f>SUM(G8:G11)</f>
        <v>0</v>
      </c>
      <c r="H12" s="35"/>
    </row>
    <row r="13" spans="1:8" x14ac:dyDescent="0.35">
      <c r="A13" s="758" t="s">
        <v>249</v>
      </c>
      <c r="B13" s="759"/>
      <c r="C13" s="759"/>
      <c r="D13" s="759"/>
      <c r="E13" s="50">
        <v>0</v>
      </c>
      <c r="F13" s="42"/>
      <c r="G13" s="66">
        <f>E13*G12</f>
        <v>0</v>
      </c>
      <c r="H13" s="35" t="s">
        <v>176</v>
      </c>
    </row>
    <row r="14" spans="1:8" x14ac:dyDescent="0.35">
      <c r="A14" s="757" t="s">
        <v>182</v>
      </c>
      <c r="B14" s="743"/>
      <c r="C14" s="743"/>
      <c r="D14" s="743"/>
      <c r="E14" s="47" t="s">
        <v>126</v>
      </c>
      <c r="F14" s="67"/>
      <c r="G14" s="51">
        <f>SUM(G12:G13)</f>
        <v>0</v>
      </c>
      <c r="H14" s="35"/>
    </row>
    <row r="15" spans="1:8" x14ac:dyDescent="0.35">
      <c r="A15" s="743"/>
      <c r="B15" s="743"/>
      <c r="C15" s="743"/>
      <c r="D15" s="743"/>
      <c r="E15" s="743"/>
      <c r="F15" s="743"/>
      <c r="G15" s="743"/>
      <c r="H15" s="743"/>
    </row>
    <row r="16" spans="1:8" s="4" customFormat="1" ht="15.5" x14ac:dyDescent="0.35">
      <c r="A16" s="744" t="s">
        <v>250</v>
      </c>
      <c r="B16" s="745"/>
      <c r="C16" s="745"/>
      <c r="D16" s="745"/>
      <c r="E16" s="745"/>
      <c r="F16" s="745"/>
      <c r="G16" s="745"/>
      <c r="H16" s="745"/>
    </row>
    <row r="17" spans="1:8" x14ac:dyDescent="0.35">
      <c r="A17" s="746" t="s">
        <v>251</v>
      </c>
      <c r="B17" s="743"/>
      <c r="C17" s="743"/>
      <c r="D17" s="743"/>
      <c r="E17" s="69" t="s">
        <v>252</v>
      </c>
      <c r="F17" s="70"/>
      <c r="G17" s="66">
        <f>G14</f>
        <v>0</v>
      </c>
      <c r="H17" s="46"/>
    </row>
    <row r="18" spans="1:8" x14ac:dyDescent="0.35">
      <c r="A18" s="746" t="s">
        <v>253</v>
      </c>
      <c r="B18" s="753"/>
      <c r="C18" s="753"/>
      <c r="D18" s="753"/>
      <c r="E18" s="50">
        <v>0</v>
      </c>
      <c r="F18" s="43"/>
      <c r="G18" s="45">
        <f>G17*E18</f>
        <v>0</v>
      </c>
      <c r="H18" s="35" t="s">
        <v>176</v>
      </c>
    </row>
    <row r="19" spans="1:8" x14ac:dyDescent="0.35">
      <c r="E19" s="48" t="s">
        <v>254</v>
      </c>
      <c r="F19" s="71"/>
      <c r="G19" s="51">
        <f>SUM(G17:G18)</f>
        <v>0</v>
      </c>
    </row>
    <row r="20" spans="1:8" ht="15" thickBot="1" x14ac:dyDescent="0.4"/>
    <row r="21" spans="1:8" ht="19" thickBot="1" x14ac:dyDescent="0.5">
      <c r="A21" s="1050" t="s">
        <v>720</v>
      </c>
      <c r="B21" s="1051"/>
      <c r="C21" s="1051"/>
      <c r="D21" s="1052"/>
    </row>
    <row r="22" spans="1:8" x14ac:dyDescent="0.35">
      <c r="A22" s="1053"/>
      <c r="B22" s="1053"/>
      <c r="C22" s="1053"/>
      <c r="D22" s="1053"/>
    </row>
    <row r="23" spans="1:8" x14ac:dyDescent="0.35">
      <c r="A23" s="1054"/>
      <c r="B23" s="1054"/>
      <c r="C23" s="307"/>
      <c r="D23" s="530"/>
    </row>
    <row r="24" spans="1:8" x14ac:dyDescent="0.35">
      <c r="A24" s="541"/>
      <c r="B24" s="541"/>
      <c r="C24" s="541"/>
      <c r="D24" s="541"/>
    </row>
    <row r="25" spans="1:8" x14ac:dyDescent="0.35">
      <c r="A25" s="541"/>
      <c r="B25" s="541"/>
      <c r="C25" s="541"/>
      <c r="D25" s="541"/>
    </row>
    <row r="26" spans="1:8" x14ac:dyDescent="0.35">
      <c r="A26" s="541"/>
      <c r="B26" s="541"/>
      <c r="C26" s="541"/>
      <c r="D26" s="541"/>
    </row>
    <row r="27" spans="1:8" x14ac:dyDescent="0.35">
      <c r="A27" s="541"/>
      <c r="B27" s="541"/>
      <c r="C27" s="541"/>
      <c r="D27" s="541"/>
    </row>
    <row r="28" spans="1:8" x14ac:dyDescent="0.35">
      <c r="A28" s="541"/>
      <c r="B28" s="541"/>
      <c r="C28" s="541"/>
      <c r="D28" s="541"/>
    </row>
    <row r="29" spans="1:8" x14ac:dyDescent="0.35">
      <c r="A29" s="541"/>
      <c r="B29" s="541"/>
      <c r="C29" s="541"/>
      <c r="D29" s="541"/>
    </row>
    <row r="30" spans="1:8" x14ac:dyDescent="0.35">
      <c r="A30" s="541"/>
      <c r="B30" s="541"/>
      <c r="C30" s="541"/>
      <c r="D30" s="541"/>
    </row>
    <row r="31" spans="1:8" x14ac:dyDescent="0.35">
      <c r="A31" s="541"/>
      <c r="B31" s="541"/>
      <c r="C31" s="541"/>
      <c r="D31" s="541"/>
    </row>
    <row r="32" spans="1:8" x14ac:dyDescent="0.35">
      <c r="A32" s="541"/>
      <c r="B32" s="541"/>
      <c r="C32" s="541"/>
      <c r="D32" s="541"/>
    </row>
    <row r="33" spans="1:4" x14ac:dyDescent="0.35">
      <c r="A33" s="541"/>
      <c r="B33" s="541"/>
      <c r="C33" s="541"/>
      <c r="D33" s="541"/>
    </row>
    <row r="34" spans="1:4" x14ac:dyDescent="0.35">
      <c r="A34" s="541"/>
      <c r="B34" s="541"/>
      <c r="C34" s="541"/>
      <c r="D34" s="541"/>
    </row>
    <row r="35" spans="1:4" x14ac:dyDescent="0.35">
      <c r="A35" s="541"/>
      <c r="B35" s="541"/>
      <c r="C35" s="541"/>
      <c r="D35" s="541"/>
    </row>
    <row r="36" spans="1:4" x14ac:dyDescent="0.35">
      <c r="A36" s="541"/>
      <c r="B36" s="541"/>
      <c r="C36" s="541"/>
      <c r="D36" s="541"/>
    </row>
  </sheetData>
  <mergeCells count="21">
    <mergeCell ref="A21:D21"/>
    <mergeCell ref="A22:D22"/>
    <mergeCell ref="A23:B23"/>
    <mergeCell ref="A6:D6"/>
    <mergeCell ref="A1:B1"/>
    <mergeCell ref="A2:B2"/>
    <mergeCell ref="A3:B3"/>
    <mergeCell ref="A4:B4"/>
    <mergeCell ref="A5:B5"/>
    <mergeCell ref="A18:D18"/>
    <mergeCell ref="A7:G7"/>
    <mergeCell ref="A8:D8"/>
    <mergeCell ref="A9:D9"/>
    <mergeCell ref="A10:D10"/>
    <mergeCell ref="A11:D11"/>
    <mergeCell ref="A12:D12"/>
    <mergeCell ref="A13:D13"/>
    <mergeCell ref="A14:D14"/>
    <mergeCell ref="A15:H15"/>
    <mergeCell ref="A16:H16"/>
    <mergeCell ref="A17:D17"/>
  </mergeCells>
  <hyperlinks>
    <hyperlink ref="H6" r:id="rId1" display="WBDG - AFMAN 32-1084" xr:uid="{A2B56FA9-5658-46A9-BB8E-D53997695CAB}"/>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8D3E71D-F55C-4D1E-8701-D3EC7545A6DF}">
          <x14:formula1>
            <xm:f>'Sheet References'!$L$1:$L$978</xm:f>
          </x14:formula1>
          <xm:sqref>E1</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2F80C-0E95-4805-A868-6F61EF3E467E}">
  <sheetPr>
    <tabColor rgb="FFFFFF99"/>
    <pageSetUpPr fitToPage="1"/>
  </sheetPr>
  <dimension ref="A1:P62"/>
  <sheetViews>
    <sheetView topLeftCell="A16" zoomScaleNormal="100" workbookViewId="0">
      <selection activeCell="D28" sqref="D28:D29"/>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740883</v>
      </c>
      <c r="F1" s="38"/>
      <c r="G1" s="38"/>
      <c r="H1" s="38"/>
    </row>
    <row r="2" spans="1:8" ht="21" customHeight="1" x14ac:dyDescent="0.35">
      <c r="A2" s="676" t="s">
        <v>21</v>
      </c>
      <c r="B2" s="676"/>
      <c r="C2" s="38"/>
      <c r="D2" s="36" t="s">
        <v>107</v>
      </c>
      <c r="E2" s="37" t="str">
        <f>VLOOKUP(E1,'Sheet References'!L:M,2,FALSE)</f>
        <v>Youth Center</v>
      </c>
      <c r="F2" s="38"/>
      <c r="G2" s="38"/>
      <c r="H2" s="38"/>
    </row>
    <row r="3" spans="1:8" ht="21" customHeight="1" x14ac:dyDescent="0.35">
      <c r="A3" s="676" t="s">
        <v>22</v>
      </c>
      <c r="B3" s="676"/>
      <c r="C3" s="36"/>
      <c r="D3" s="36" t="s">
        <v>108</v>
      </c>
      <c r="E3" s="37" t="str">
        <f>VLOOKUP(CATCode,'Sheet References'!L:O,4,FALSE)</f>
        <v>https://www.wbdg.org/FFC/AF/AFMAN/740883_Youth_Center.pdf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721</v>
      </c>
      <c r="B8" s="743"/>
      <c r="C8" s="743"/>
      <c r="D8" s="743"/>
      <c r="E8" s="355">
        <f>H23</f>
        <v>0</v>
      </c>
      <c r="F8" s="68">
        <v>1</v>
      </c>
      <c r="G8" s="45">
        <f>E8*F8</f>
        <v>0</v>
      </c>
      <c r="H8" s="35"/>
    </row>
    <row r="9" spans="1:8" x14ac:dyDescent="0.35">
      <c r="A9" s="753" t="s">
        <v>257</v>
      </c>
      <c r="B9" s="743"/>
      <c r="C9" s="743"/>
      <c r="D9" s="743"/>
      <c r="E9" s="42"/>
      <c r="F9" s="68"/>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x14ac:dyDescent="0.35">
      <c r="A17" s="746" t="s">
        <v>253</v>
      </c>
      <c r="B17" s="753"/>
      <c r="C17" s="753"/>
      <c r="D17" s="753"/>
      <c r="E17" s="50">
        <v>0</v>
      </c>
      <c r="F17" s="43"/>
      <c r="G17" s="45">
        <f>G16*E17</f>
        <v>0</v>
      </c>
      <c r="H17" s="35" t="s">
        <v>176</v>
      </c>
    </row>
    <row r="18" spans="1:8" x14ac:dyDescent="0.35">
      <c r="E18" s="48" t="s">
        <v>254</v>
      </c>
      <c r="F18" s="71"/>
      <c r="G18" s="51">
        <f>SUM(G16:G17)</f>
        <v>0</v>
      </c>
    </row>
    <row r="19" spans="1:8" ht="15" thickBot="1" x14ac:dyDescent="0.4"/>
    <row r="20" spans="1:8" ht="19" thickBot="1" x14ac:dyDescent="0.4">
      <c r="A20" s="407" t="s">
        <v>722</v>
      </c>
      <c r="B20" s="995" t="s">
        <v>723</v>
      </c>
      <c r="C20" s="996"/>
      <c r="D20" s="997"/>
      <c r="E20" s="408"/>
      <c r="F20" s="408"/>
      <c r="G20" s="409"/>
      <c r="H20" s="816" t="s">
        <v>724</v>
      </c>
    </row>
    <row r="21" spans="1:8" ht="15" customHeight="1" thickBot="1" x14ac:dyDescent="0.4">
      <c r="A21" s="662" t="s">
        <v>725</v>
      </c>
      <c r="B21" s="662" t="s">
        <v>726</v>
      </c>
      <c r="C21" s="1058" t="s">
        <v>727</v>
      </c>
      <c r="D21" s="977" t="s">
        <v>728</v>
      </c>
      <c r="E21" s="696" t="s">
        <v>729</v>
      </c>
      <c r="F21" s="656" t="s">
        <v>730</v>
      </c>
      <c r="G21" s="714"/>
      <c r="H21" s="700"/>
    </row>
    <row r="22" spans="1:8" ht="30.75" customHeight="1" thickBot="1" x14ac:dyDescent="0.4">
      <c r="A22" s="663"/>
      <c r="B22" s="663"/>
      <c r="C22" s="663"/>
      <c r="D22" s="927"/>
      <c r="E22" s="937"/>
      <c r="F22" s="789"/>
      <c r="G22" s="790"/>
      <c r="H22" s="506" t="s">
        <v>190</v>
      </c>
    </row>
    <row r="23" spans="1:8" ht="15" thickBot="1" x14ac:dyDescent="0.4">
      <c r="A23" s="416">
        <f>'Instructions &amp; Pop Data'!D39+'Instructions &amp; Pop Data'!D40</f>
        <v>0</v>
      </c>
      <c r="B23" s="200" t="s">
        <v>267</v>
      </c>
      <c r="C23" s="200" t="s">
        <v>267</v>
      </c>
      <c r="D23" s="200" t="s">
        <v>731</v>
      </c>
      <c r="E23" s="402">
        <f>VLOOKUP(A23,A37:D45,4,TRUE)</f>
        <v>0</v>
      </c>
      <c r="F23" s="1059">
        <f>SUM(VLOOKUP(D26,G37:H42,2,TRUE)+VLOOKUP(D30,G44:H52,2,TRUE))</f>
        <v>0</v>
      </c>
      <c r="G23" s="1060"/>
      <c r="H23" s="174">
        <f>E23+E26+E30+F30+F26+F23</f>
        <v>0</v>
      </c>
    </row>
    <row r="24" spans="1:8" ht="14.5" customHeight="1" thickBot="1" x14ac:dyDescent="0.4">
      <c r="A24" s="479"/>
      <c r="B24" s="473">
        <f>VLOOKUP(B23,A59:B62,2,FALSE)</f>
        <v>0</v>
      </c>
      <c r="C24" s="473">
        <f>VLOOKUP(C23,C59:D62,2,FALSE)</f>
        <v>0</v>
      </c>
      <c r="D24" s="473">
        <f>VLOOKUP(D23,E37:F41,2,FALSE)</f>
        <v>0</v>
      </c>
      <c r="E24" s="658" t="s">
        <v>732</v>
      </c>
      <c r="F24" s="656" t="s">
        <v>733</v>
      </c>
      <c r="G24" s="714"/>
      <c r="H24" s="481"/>
    </row>
    <row r="25" spans="1:8" ht="30.65" customHeight="1" thickBot="1" x14ac:dyDescent="0.4">
      <c r="A25" s="508" t="s">
        <v>734</v>
      </c>
      <c r="B25" s="508" t="s">
        <v>735</v>
      </c>
      <c r="C25" s="534" t="s">
        <v>736</v>
      </c>
      <c r="D25" s="508" t="s">
        <v>737</v>
      </c>
      <c r="E25" s="937"/>
      <c r="F25" s="789"/>
      <c r="G25" s="790"/>
      <c r="H25" s="481"/>
    </row>
    <row r="26" spans="1:8" ht="15" thickBot="1" x14ac:dyDescent="0.4">
      <c r="A26" s="416">
        <f>'Instructions &amp; Pop Data'!D41+'Instructions &amp; Pop Data'!D42</f>
        <v>0</v>
      </c>
      <c r="B26" s="200" t="s">
        <v>731</v>
      </c>
      <c r="C26" s="200" t="s">
        <v>731</v>
      </c>
      <c r="D26" s="374">
        <f>ROUNDUP((A23+A26+A30)/47,-0.1)</f>
        <v>0</v>
      </c>
      <c r="E26" s="402">
        <f>VLOOKUP(A26,A47:C51,3,TRUE)</f>
        <v>0</v>
      </c>
      <c r="F26" s="1059">
        <f>VLOOKUP(D23,E37:F41,2,FALSE)</f>
        <v>0</v>
      </c>
      <c r="G26" s="1060"/>
      <c r="H26" s="481"/>
    </row>
    <row r="27" spans="1:8" ht="15" thickBot="1" x14ac:dyDescent="0.4">
      <c r="A27" s="478"/>
      <c r="B27" s="472">
        <f>VLOOKUP(B26,E46:F49,2,FALSE)</f>
        <v>0</v>
      </c>
      <c r="C27" s="472">
        <f>VLOOKUP(C26,E54:F56,2,FALSE)</f>
        <v>0</v>
      </c>
      <c r="D27" s="473">
        <f>VLOOKUP(D26,G36:H42,2,TRUE)</f>
        <v>0</v>
      </c>
      <c r="E27" s="476"/>
      <c r="F27" s="474"/>
      <c r="G27" s="477"/>
      <c r="H27" s="481"/>
    </row>
    <row r="28" spans="1:8" ht="14.5" customHeight="1" x14ac:dyDescent="0.35">
      <c r="A28" s="662" t="s">
        <v>738</v>
      </c>
      <c r="B28" s="1076" t="s">
        <v>739</v>
      </c>
      <c r="C28" s="662" t="s">
        <v>740</v>
      </c>
      <c r="D28" s="1077" t="s">
        <v>741</v>
      </c>
      <c r="E28" s="662" t="s">
        <v>742</v>
      </c>
      <c r="F28" s="1079" t="s">
        <v>743</v>
      </c>
      <c r="G28" s="1080"/>
      <c r="H28" s="481"/>
    </row>
    <row r="29" spans="1:8" ht="15" thickBot="1" x14ac:dyDescent="0.4">
      <c r="A29" s="663"/>
      <c r="B29" s="663"/>
      <c r="C29" s="663"/>
      <c r="D29" s="1078"/>
      <c r="E29" s="663"/>
      <c r="F29" s="1081"/>
      <c r="G29" s="1082"/>
      <c r="H29" s="481"/>
    </row>
    <row r="30" spans="1:8" ht="15" thickBot="1" x14ac:dyDescent="0.4">
      <c r="A30" s="402">
        <f>'Instructions &amp; Pop Data'!D43+'Instructions &amp; Pop Data'!D44</f>
        <v>0</v>
      </c>
      <c r="B30" s="200" t="s">
        <v>731</v>
      </c>
      <c r="C30" s="200" t="s">
        <v>731</v>
      </c>
      <c r="D30" s="200">
        <v>0</v>
      </c>
      <c r="E30" s="402">
        <f>VLOOKUP(A30,A53:C57,3,TRUE)</f>
        <v>0</v>
      </c>
      <c r="F30" s="1061">
        <f>B24+B27+B31+C31+C27+C24</f>
        <v>0</v>
      </c>
      <c r="G30" s="1062"/>
      <c r="H30" s="481"/>
    </row>
    <row r="31" spans="1:8" ht="15" thickBot="1" x14ac:dyDescent="0.4">
      <c r="A31" s="480"/>
      <c r="B31" s="374">
        <f>VLOOKUP(B30,E51:F52,2,FALSE)</f>
        <v>0</v>
      </c>
      <c r="C31" s="374">
        <f>VLOOKUP(C30,E58:F60,2,FALSE)</f>
        <v>0</v>
      </c>
      <c r="D31" s="374">
        <f>VLOOKUP(D30,G44:H52,2,FALSE)</f>
        <v>0</v>
      </c>
      <c r="E31" s="474"/>
      <c r="F31" s="475"/>
      <c r="G31" s="475"/>
      <c r="H31" s="481"/>
    </row>
    <row r="32" spans="1:8" ht="14.15" customHeight="1" thickBot="1" x14ac:dyDescent="0.4">
      <c r="A32" s="1055" t="s">
        <v>744</v>
      </c>
      <c r="B32" s="1056"/>
      <c r="C32" s="1056"/>
      <c r="D32" s="1056"/>
      <c r="E32" s="1056"/>
      <c r="F32" s="1056"/>
      <c r="G32" s="1056"/>
      <c r="H32" s="1057"/>
    </row>
    <row r="33" spans="1:8" ht="15" thickBot="1" x14ac:dyDescent="0.4">
      <c r="A33" s="914" t="s">
        <v>745</v>
      </c>
      <c r="B33" s="915"/>
      <c r="C33" s="915"/>
      <c r="D33" s="915"/>
      <c r="E33" s="915"/>
      <c r="F33" s="915"/>
      <c r="G33" s="915"/>
      <c r="H33" s="916"/>
    </row>
    <row r="34" spans="1:8" ht="15" thickBot="1" x14ac:dyDescent="0.4"/>
    <row r="35" spans="1:8" ht="19" thickBot="1" x14ac:dyDescent="0.4">
      <c r="A35" s="1073" t="s">
        <v>746</v>
      </c>
      <c r="B35" s="1074"/>
      <c r="C35" s="1074"/>
      <c r="D35" s="1074"/>
      <c r="E35" s="1074"/>
      <c r="F35" s="1074"/>
      <c r="G35" s="1074"/>
      <c r="H35" s="1075"/>
    </row>
    <row r="36" spans="1:8" ht="16.5" x14ac:dyDescent="0.35">
      <c r="A36" s="1063" t="s">
        <v>747</v>
      </c>
      <c r="B36" s="1064"/>
      <c r="C36" s="532" t="s">
        <v>748</v>
      </c>
      <c r="D36" s="532" t="s">
        <v>749</v>
      </c>
      <c r="E36" s="1065" t="s">
        <v>750</v>
      </c>
      <c r="F36" s="1066"/>
      <c r="G36" s="1065" t="s">
        <v>751</v>
      </c>
      <c r="H36" s="1066"/>
    </row>
    <row r="37" spans="1:8" x14ac:dyDescent="0.35">
      <c r="A37" s="300">
        <v>0</v>
      </c>
      <c r="B37" s="9">
        <v>12</v>
      </c>
      <c r="C37" s="9">
        <v>0</v>
      </c>
      <c r="D37" s="9">
        <v>0</v>
      </c>
      <c r="E37" s="350" t="s">
        <v>731</v>
      </c>
      <c r="F37" s="351">
        <v>0</v>
      </c>
      <c r="G37" s="144">
        <v>0</v>
      </c>
      <c r="H37" s="142">
        <v>0</v>
      </c>
    </row>
    <row r="38" spans="1:8" x14ac:dyDescent="0.35">
      <c r="A38" s="144">
        <v>13</v>
      </c>
      <c r="B38" s="9">
        <v>24</v>
      </c>
      <c r="C38" s="9">
        <v>1</v>
      </c>
      <c r="D38" s="9">
        <v>1710</v>
      </c>
      <c r="E38" s="144" t="s">
        <v>644</v>
      </c>
      <c r="F38" s="439">
        <v>1111</v>
      </c>
      <c r="G38" s="144">
        <v>1</v>
      </c>
      <c r="H38" s="142">
        <v>140</v>
      </c>
    </row>
    <row r="39" spans="1:8" x14ac:dyDescent="0.35">
      <c r="A39" s="144">
        <v>25</v>
      </c>
      <c r="B39" s="9">
        <v>48</v>
      </c>
      <c r="C39" s="9">
        <v>2</v>
      </c>
      <c r="D39" s="9">
        <v>3420</v>
      </c>
      <c r="E39" s="144" t="s">
        <v>752</v>
      </c>
      <c r="F39" s="439">
        <v>1608</v>
      </c>
      <c r="G39" s="144">
        <v>2</v>
      </c>
      <c r="H39" s="142">
        <v>280</v>
      </c>
    </row>
    <row r="40" spans="1:8" x14ac:dyDescent="0.35">
      <c r="A40" s="144">
        <v>49</v>
      </c>
      <c r="B40" s="9">
        <v>72</v>
      </c>
      <c r="C40" s="9">
        <v>3</v>
      </c>
      <c r="D40" s="9">
        <v>5130</v>
      </c>
      <c r="E40" s="144" t="s">
        <v>649</v>
      </c>
      <c r="F40" s="439">
        <v>1959</v>
      </c>
      <c r="G40" s="144">
        <v>3</v>
      </c>
      <c r="H40" s="142">
        <v>420</v>
      </c>
    </row>
    <row r="41" spans="1:8" ht="14.5" customHeight="1" thickBot="1" x14ac:dyDescent="0.4">
      <c r="A41" s="144">
        <v>73</v>
      </c>
      <c r="B41" s="9">
        <v>96</v>
      </c>
      <c r="C41" s="9">
        <v>4</v>
      </c>
      <c r="D41" s="9">
        <v>6840</v>
      </c>
      <c r="E41" s="301" t="s">
        <v>753</v>
      </c>
      <c r="F41" s="440">
        <v>2280</v>
      </c>
      <c r="G41" s="144">
        <v>4</v>
      </c>
      <c r="H41" s="142">
        <v>560</v>
      </c>
    </row>
    <row r="42" spans="1:8" x14ac:dyDescent="0.35">
      <c r="A42" s="144">
        <v>97</v>
      </c>
      <c r="B42" s="9">
        <v>120</v>
      </c>
      <c r="C42" s="9">
        <v>5</v>
      </c>
      <c r="D42" s="9">
        <v>8550</v>
      </c>
      <c r="E42" s="1069" t="s">
        <v>754</v>
      </c>
      <c r="F42" s="1070"/>
      <c r="G42" s="9">
        <v>5</v>
      </c>
      <c r="H42" s="142">
        <v>700</v>
      </c>
    </row>
    <row r="43" spans="1:8" ht="17" thickBot="1" x14ac:dyDescent="0.4">
      <c r="A43" s="144">
        <v>121</v>
      </c>
      <c r="B43" s="9">
        <v>144</v>
      </c>
      <c r="C43" s="9">
        <v>6</v>
      </c>
      <c r="D43" s="9">
        <v>10260</v>
      </c>
      <c r="E43" s="1071"/>
      <c r="F43" s="1072"/>
      <c r="G43" s="1067" t="s">
        <v>755</v>
      </c>
      <c r="H43" s="1068"/>
    </row>
    <row r="44" spans="1:8" x14ac:dyDescent="0.35">
      <c r="A44" s="144">
        <v>145</v>
      </c>
      <c r="B44" s="9">
        <v>168</v>
      </c>
      <c r="C44" s="9">
        <v>7</v>
      </c>
      <c r="D44" s="9">
        <v>11970</v>
      </c>
      <c r="E44" s="1090" t="s">
        <v>756</v>
      </c>
      <c r="F44" s="1091"/>
      <c r="G44" s="144">
        <v>0</v>
      </c>
      <c r="H44" s="142">
        <v>0</v>
      </c>
    </row>
    <row r="45" spans="1:8" ht="15" thickBot="1" x14ac:dyDescent="0.4">
      <c r="A45" s="301">
        <v>169</v>
      </c>
      <c r="B45" s="302">
        <v>192</v>
      </c>
      <c r="C45" s="302">
        <v>8</v>
      </c>
      <c r="D45" s="302">
        <v>13680</v>
      </c>
      <c r="E45" s="144" t="s">
        <v>757</v>
      </c>
      <c r="F45" s="352" t="s">
        <v>749</v>
      </c>
      <c r="G45" s="144">
        <v>1</v>
      </c>
      <c r="H45" s="142">
        <v>58</v>
      </c>
    </row>
    <row r="46" spans="1:8" x14ac:dyDescent="0.35">
      <c r="A46" s="1063" t="s">
        <v>758</v>
      </c>
      <c r="B46" s="1064"/>
      <c r="C46" s="532" t="s">
        <v>759</v>
      </c>
      <c r="D46" s="143"/>
      <c r="E46" s="144" t="s">
        <v>731</v>
      </c>
      <c r="F46" s="9">
        <v>0</v>
      </c>
      <c r="G46" s="144">
        <v>2</v>
      </c>
      <c r="H46" s="142">
        <v>115</v>
      </c>
    </row>
    <row r="47" spans="1:8" x14ac:dyDescent="0.35">
      <c r="A47" s="300">
        <v>0</v>
      </c>
      <c r="B47" s="530">
        <v>0</v>
      </c>
      <c r="C47" s="9">
        <v>0</v>
      </c>
      <c r="D47" s="142"/>
      <c r="E47" s="144" t="s">
        <v>760</v>
      </c>
      <c r="F47" s="9">
        <v>80</v>
      </c>
      <c r="G47" s="144">
        <v>3</v>
      </c>
      <c r="H47" s="142">
        <v>173</v>
      </c>
    </row>
    <row r="48" spans="1:8" x14ac:dyDescent="0.35">
      <c r="A48" s="540">
        <v>1</v>
      </c>
      <c r="B48" s="541">
        <v>60</v>
      </c>
      <c r="C48" s="9">
        <v>2793</v>
      </c>
      <c r="D48" s="142"/>
      <c r="E48" s="144" t="s">
        <v>761</v>
      </c>
      <c r="F48" s="9">
        <v>80</v>
      </c>
      <c r="G48" s="144">
        <v>4</v>
      </c>
      <c r="H48" s="142">
        <v>230</v>
      </c>
    </row>
    <row r="49" spans="1:8" ht="15" thickBot="1" x14ac:dyDescent="0.4">
      <c r="A49" s="540">
        <v>61</v>
      </c>
      <c r="B49" s="541">
        <v>90</v>
      </c>
      <c r="C49" s="9">
        <v>4755</v>
      </c>
      <c r="D49" s="142"/>
      <c r="E49" s="301" t="s">
        <v>762</v>
      </c>
      <c r="F49" s="302">
        <v>160</v>
      </c>
      <c r="G49" s="144">
        <v>5</v>
      </c>
      <c r="H49" s="142">
        <v>288</v>
      </c>
    </row>
    <row r="50" spans="1:8" x14ac:dyDescent="0.35">
      <c r="A50" s="540">
        <v>91</v>
      </c>
      <c r="B50" s="541">
        <v>135</v>
      </c>
      <c r="C50" s="9">
        <v>7502</v>
      </c>
      <c r="D50" s="142"/>
      <c r="E50" s="1065" t="s">
        <v>763</v>
      </c>
      <c r="F50" s="1087"/>
      <c r="G50" s="144">
        <v>6</v>
      </c>
      <c r="H50" s="142">
        <v>346</v>
      </c>
    </row>
    <row r="51" spans="1:8" ht="15" thickBot="1" x14ac:dyDescent="0.4">
      <c r="A51" s="141">
        <v>136</v>
      </c>
      <c r="B51" s="124">
        <v>155</v>
      </c>
      <c r="C51" s="302">
        <v>9560</v>
      </c>
      <c r="D51" s="142"/>
      <c r="E51" s="144" t="s">
        <v>731</v>
      </c>
      <c r="F51" s="9">
        <v>0</v>
      </c>
      <c r="G51" s="144">
        <v>7</v>
      </c>
      <c r="H51" s="142">
        <v>403</v>
      </c>
    </row>
    <row r="52" spans="1:8" ht="15" thickBot="1" x14ac:dyDescent="0.4">
      <c r="A52" s="1063" t="s">
        <v>764</v>
      </c>
      <c r="B52" s="1064"/>
      <c r="C52" s="532" t="s">
        <v>759</v>
      </c>
      <c r="D52" s="143"/>
      <c r="E52" s="144" t="s">
        <v>765</v>
      </c>
      <c r="F52" s="9">
        <v>270</v>
      </c>
      <c r="G52" s="144">
        <v>8</v>
      </c>
      <c r="H52" s="142">
        <v>461</v>
      </c>
    </row>
    <row r="53" spans="1:8" x14ac:dyDescent="0.35">
      <c r="A53" s="300">
        <v>0</v>
      </c>
      <c r="B53" s="530">
        <v>0</v>
      </c>
      <c r="C53" s="9">
        <v>0</v>
      </c>
      <c r="D53" s="142"/>
      <c r="E53" s="1065" t="s">
        <v>766</v>
      </c>
      <c r="F53" s="1087"/>
      <c r="G53" s="1092" t="s">
        <v>767</v>
      </c>
      <c r="H53" s="1093"/>
    </row>
    <row r="54" spans="1:8" x14ac:dyDescent="0.35">
      <c r="A54" s="540">
        <v>1</v>
      </c>
      <c r="B54" s="541">
        <v>15</v>
      </c>
      <c r="C54" s="9">
        <v>644</v>
      </c>
      <c r="D54" s="142"/>
      <c r="E54" s="9" t="s">
        <v>731</v>
      </c>
      <c r="F54" s="9">
        <v>0</v>
      </c>
      <c r="G54" s="151" t="s">
        <v>768</v>
      </c>
      <c r="H54" s="139"/>
    </row>
    <row r="55" spans="1:8" x14ac:dyDescent="0.35">
      <c r="A55" s="540">
        <v>16</v>
      </c>
      <c r="B55" s="541">
        <v>30</v>
      </c>
      <c r="C55" s="9">
        <v>1243</v>
      </c>
      <c r="D55" s="142"/>
      <c r="E55" s="144" t="s">
        <v>769</v>
      </c>
      <c r="F55" s="9">
        <v>70</v>
      </c>
      <c r="G55" s="151"/>
      <c r="H55" s="139"/>
    </row>
    <row r="56" spans="1:8" ht="15" thickBot="1" x14ac:dyDescent="0.4">
      <c r="A56" s="540">
        <v>31</v>
      </c>
      <c r="B56" s="541">
        <v>45</v>
      </c>
      <c r="C56" s="9">
        <v>1887</v>
      </c>
      <c r="D56" s="142"/>
      <c r="E56" s="301" t="s">
        <v>770</v>
      </c>
      <c r="F56" s="302">
        <v>130</v>
      </c>
      <c r="G56" s="1083" t="s">
        <v>771</v>
      </c>
      <c r="H56" s="1084"/>
    </row>
    <row r="57" spans="1:8" ht="15" thickBot="1" x14ac:dyDescent="0.4">
      <c r="A57" s="141">
        <v>46</v>
      </c>
      <c r="B57" s="124">
        <v>60</v>
      </c>
      <c r="C57" s="302">
        <v>2485</v>
      </c>
      <c r="D57" s="303"/>
      <c r="E57" s="1065" t="s">
        <v>772</v>
      </c>
      <c r="F57" s="1087"/>
      <c r="G57" s="1083"/>
      <c r="H57" s="1084"/>
    </row>
    <row r="58" spans="1:8" ht="15" thickBot="1" x14ac:dyDescent="0.4">
      <c r="A58" s="1088" t="s">
        <v>773</v>
      </c>
      <c r="B58" s="1089"/>
      <c r="C58" s="1065" t="s">
        <v>774</v>
      </c>
      <c r="D58" s="1066"/>
      <c r="E58" s="9" t="s">
        <v>731</v>
      </c>
      <c r="F58" s="9">
        <v>0</v>
      </c>
      <c r="G58" s="1085"/>
      <c r="H58" s="1086"/>
    </row>
    <row r="59" spans="1:8" x14ac:dyDescent="0.35">
      <c r="A59" s="300" t="s">
        <v>267</v>
      </c>
      <c r="B59" s="541">
        <v>0</v>
      </c>
      <c r="C59" s="144" t="s">
        <v>267</v>
      </c>
      <c r="D59" s="142">
        <v>0</v>
      </c>
      <c r="E59" s="9" t="s">
        <v>644</v>
      </c>
      <c r="F59" s="142">
        <v>240</v>
      </c>
      <c r="G59" s="132"/>
      <c r="H59" s="121"/>
    </row>
    <row r="60" spans="1:8" ht="15" thickBot="1" x14ac:dyDescent="0.4">
      <c r="A60" s="300" t="s">
        <v>775</v>
      </c>
      <c r="B60" s="541">
        <v>4307</v>
      </c>
      <c r="C60" s="144" t="s">
        <v>776</v>
      </c>
      <c r="D60" s="142">
        <v>72</v>
      </c>
      <c r="E60" s="302" t="s">
        <v>649</v>
      </c>
      <c r="F60" s="303">
        <v>756</v>
      </c>
      <c r="G60" s="9"/>
      <c r="H60" s="18"/>
    </row>
    <row r="61" spans="1:8" x14ac:dyDescent="0.35">
      <c r="A61" s="300" t="s">
        <v>777</v>
      </c>
      <c r="B61" s="541">
        <v>5020</v>
      </c>
      <c r="C61" s="144" t="s">
        <v>778</v>
      </c>
      <c r="D61" s="142">
        <v>144</v>
      </c>
      <c r="E61" s="9"/>
      <c r="F61" s="121"/>
      <c r="G61" s="121"/>
      <c r="H61" s="349"/>
    </row>
    <row r="62" spans="1:8" ht="15" thickBot="1" x14ac:dyDescent="0.4">
      <c r="A62" s="301" t="s">
        <v>779</v>
      </c>
      <c r="B62" s="124">
        <v>8554</v>
      </c>
      <c r="C62" s="301" t="s">
        <v>780</v>
      </c>
      <c r="D62" s="303">
        <v>216</v>
      </c>
      <c r="E62" s="9"/>
      <c r="F62" s="121"/>
      <c r="G62" s="121"/>
      <c r="H62" s="121"/>
    </row>
  </sheetData>
  <mergeCells count="54">
    <mergeCell ref="G56:H58"/>
    <mergeCell ref="E57:F57"/>
    <mergeCell ref="A58:B58"/>
    <mergeCell ref="C58:D58"/>
    <mergeCell ref="E44:F44"/>
    <mergeCell ref="A46:B46"/>
    <mergeCell ref="E50:F50"/>
    <mergeCell ref="A52:B52"/>
    <mergeCell ref="E53:F53"/>
    <mergeCell ref="G53:H53"/>
    <mergeCell ref="A35:H35"/>
    <mergeCell ref="A28:A29"/>
    <mergeCell ref="B28:B29"/>
    <mergeCell ref="C28:C29"/>
    <mergeCell ref="D28:D29"/>
    <mergeCell ref="E28:E29"/>
    <mergeCell ref="F28:G29"/>
    <mergeCell ref="A36:B36"/>
    <mergeCell ref="E36:F36"/>
    <mergeCell ref="G36:H36"/>
    <mergeCell ref="G43:H43"/>
    <mergeCell ref="E42:F43"/>
    <mergeCell ref="F23:G23"/>
    <mergeCell ref="F24:G25"/>
    <mergeCell ref="F30:G30"/>
    <mergeCell ref="A12:D12"/>
    <mergeCell ref="A13:D13"/>
    <mergeCell ref="A14:H14"/>
    <mergeCell ref="A15:H15"/>
    <mergeCell ref="A16:D16"/>
    <mergeCell ref="B20:D20"/>
    <mergeCell ref="E24:E25"/>
    <mergeCell ref="F26:G26"/>
    <mergeCell ref="A6:D6"/>
    <mergeCell ref="A32:H32"/>
    <mergeCell ref="A33:H33"/>
    <mergeCell ref="H20:H21"/>
    <mergeCell ref="A21:A22"/>
    <mergeCell ref="B21:B22"/>
    <mergeCell ref="C21:C22"/>
    <mergeCell ref="D21:D22"/>
    <mergeCell ref="E21:E22"/>
    <mergeCell ref="F21:G22"/>
    <mergeCell ref="A17:D17"/>
    <mergeCell ref="A7:G7"/>
    <mergeCell ref="A8:D8"/>
    <mergeCell ref="A9:D9"/>
    <mergeCell ref="A10:D10"/>
    <mergeCell ref="A11:D11"/>
    <mergeCell ref="A1:B1"/>
    <mergeCell ref="A2:B2"/>
    <mergeCell ref="A3:B3"/>
    <mergeCell ref="A4:B4"/>
    <mergeCell ref="A5:B5"/>
  </mergeCells>
  <dataValidations count="9">
    <dataValidation type="list" allowBlank="1" showInputMessage="1" showErrorMessage="1" sqref="D30" xr:uid="{8454C637-B910-4910-A24C-2C9D8980D21D}">
      <formula1>"0,1,2,3,4,5,6,7,8"</formula1>
    </dataValidation>
    <dataValidation type="list" allowBlank="1" showInputMessage="1" showErrorMessage="1" sqref="D23" xr:uid="{493FBEB0-6335-4339-82C4-70B9EBE03A1C}">
      <formula1>$E$37:$E$41</formula1>
    </dataValidation>
    <dataValidation type="list" allowBlank="1" showInputMessage="1" showErrorMessage="1" sqref="C30" xr:uid="{D472590C-30D3-49EA-8A83-C4C8BF167689}">
      <formula1>$E$58:$E$60</formula1>
    </dataValidation>
    <dataValidation type="list" allowBlank="1" showInputMessage="1" showErrorMessage="1" sqref="C26" xr:uid="{EEE564DA-44FD-43CD-8254-83EDD826825C}">
      <formula1>$E$54:$E$56</formula1>
    </dataValidation>
    <dataValidation type="list" allowBlank="1" showInputMessage="1" showErrorMessage="1" sqref="C23" xr:uid="{230B3BC4-560E-4D5C-B774-05560E38B5A4}">
      <formula1>$C$59:$C$62</formula1>
    </dataValidation>
    <dataValidation type="list" allowBlank="1" showInputMessage="1" showErrorMessage="1" sqref="B30" xr:uid="{66DD22AF-0D8B-40AA-9F9A-61ABB9E57EFB}">
      <formula1>$E$51:$E$52</formula1>
    </dataValidation>
    <dataValidation type="list" allowBlank="1" showInputMessage="1" showErrorMessage="1" sqref="B26" xr:uid="{343E5B7C-D541-42A3-9FCA-3CD7BFB56922}">
      <formula1>$E$46:$E$49</formula1>
    </dataValidation>
    <dataValidation type="list" allowBlank="1" showInputMessage="1" showErrorMessage="1" sqref="B23" xr:uid="{CE2ADA5F-5C32-43BD-B727-8B288B5669DB}">
      <formula1>$A$59:$A$62</formula1>
    </dataValidation>
    <dataValidation type="list" allowBlank="1" showInputMessage="1" showErrorMessage="1" sqref="B23" xr:uid="{509FA8D8-AD4E-43DF-B451-EC5BED2E8D57}">
      <formula1>"Half-court w/o Bleachers, Half-court w/ Bleachers, Full-court w/ Bleachers,None"</formula1>
    </dataValidation>
  </dataValidations>
  <hyperlinks>
    <hyperlink ref="H6" r:id="rId1" display="WBDG - AFMAN 32-1084" xr:uid="{DC662895-24C3-409C-A58F-A1446EEF8A60}"/>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81C8A9-3406-4DA0-8028-91D1CEDEF9E0}">
          <x14:formula1>
            <xm:f>'Sheet References'!$L$1:$L$978</xm:f>
          </x14:formula1>
          <xm:sqref>E1</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A407E-DC44-4CA8-A927-1FB37B25E957}">
  <sheetPr>
    <tabColor rgb="FFFFFF99"/>
    <pageSetUpPr fitToPage="1"/>
  </sheetPr>
  <dimension ref="A1:P77"/>
  <sheetViews>
    <sheetView zoomScaleNormal="100" workbookViewId="0">
      <selection activeCell="I12" sqref="I12"/>
    </sheetView>
  </sheetViews>
  <sheetFormatPr defaultColWidth="9.26953125" defaultRowHeight="14.5" x14ac:dyDescent="0.35"/>
  <cols>
    <col min="1" max="2" width="30.7265625" style="1" customWidth="1"/>
    <col min="3" max="3" width="23.7265625" style="1" customWidth="1"/>
    <col min="4" max="4" width="23.7265625" style="2" customWidth="1"/>
    <col min="5" max="5" width="19.5429687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740884</v>
      </c>
      <c r="F1" s="38"/>
      <c r="G1" s="38"/>
      <c r="H1" s="38"/>
    </row>
    <row r="2" spans="1:8" ht="21" customHeight="1" x14ac:dyDescent="0.35">
      <c r="A2" s="676" t="s">
        <v>21</v>
      </c>
      <c r="B2" s="676"/>
      <c r="C2" s="38"/>
      <c r="D2" s="36" t="s">
        <v>107</v>
      </c>
      <c r="E2" s="37" t="str">
        <f>VLOOKUP(E1,'Sheet References'!L:M,2,FALSE)</f>
        <v>Child Development Center</v>
      </c>
      <c r="F2" s="38"/>
      <c r="G2" s="38"/>
      <c r="H2" s="38"/>
    </row>
    <row r="3" spans="1:8" ht="21" customHeight="1" x14ac:dyDescent="0.35">
      <c r="A3" s="676" t="s">
        <v>22</v>
      </c>
      <c r="B3" s="676"/>
      <c r="C3" s="36"/>
      <c r="D3" s="36" t="s">
        <v>108</v>
      </c>
      <c r="E3" s="37" t="str">
        <f>VLOOKUP(CATCode,'Sheet References'!L:O,4,FALSE)</f>
        <v>https://www.wbdg.org/FFC/AF/AFMAN/740884_Child_Development_Center.pdf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781</v>
      </c>
      <c r="B8" s="743"/>
      <c r="C8" s="743"/>
      <c r="D8" s="743"/>
      <c r="E8" s="354">
        <f>H25</f>
        <v>0</v>
      </c>
      <c r="F8" s="68">
        <v>1</v>
      </c>
      <c r="G8" s="45">
        <f>E8*F8</f>
        <v>0</v>
      </c>
      <c r="H8" s="35" t="s">
        <v>782</v>
      </c>
    </row>
    <row r="9" spans="1:8" x14ac:dyDescent="0.35">
      <c r="A9" s="695" t="s">
        <v>783</v>
      </c>
      <c r="B9" s="821"/>
      <c r="C9" s="821"/>
      <c r="D9" s="822"/>
      <c r="E9" s="353">
        <v>100</v>
      </c>
      <c r="F9" s="68">
        <v>0</v>
      </c>
      <c r="G9" s="45">
        <f>E9*F9</f>
        <v>0</v>
      </c>
      <c r="H9" s="35" t="s">
        <v>784</v>
      </c>
    </row>
    <row r="10" spans="1:8" x14ac:dyDescent="0.35">
      <c r="A10" s="753" t="s">
        <v>785</v>
      </c>
      <c r="B10" s="743"/>
      <c r="C10" s="743"/>
      <c r="D10" s="743"/>
      <c r="E10" s="353"/>
      <c r="F10" s="68">
        <v>0</v>
      </c>
      <c r="G10" s="45">
        <f>E10*F10</f>
        <v>0</v>
      </c>
      <c r="H10" s="46" t="s">
        <v>786</v>
      </c>
    </row>
    <row r="11" spans="1:8" x14ac:dyDescent="0.35">
      <c r="A11" s="753" t="s">
        <v>787</v>
      </c>
      <c r="B11" s="743"/>
      <c r="C11" s="743"/>
      <c r="D11" s="743"/>
      <c r="E11" s="353"/>
      <c r="F11" s="68">
        <v>0</v>
      </c>
      <c r="G11" s="45">
        <f>E11*F11</f>
        <v>0</v>
      </c>
      <c r="H11" s="46" t="s">
        <v>788</v>
      </c>
    </row>
    <row r="12" spans="1:8" x14ac:dyDescent="0.35">
      <c r="A12" s="757" t="s">
        <v>180</v>
      </c>
      <c r="B12" s="757"/>
      <c r="C12" s="757"/>
      <c r="D12" s="757"/>
      <c r="E12" s="48" t="s">
        <v>126</v>
      </c>
      <c r="F12" s="65"/>
      <c r="G12" s="51">
        <f>SUM(G8:G11)</f>
        <v>0</v>
      </c>
      <c r="H12" s="35"/>
    </row>
    <row r="13" spans="1:8" x14ac:dyDescent="0.35">
      <c r="A13" s="758" t="s">
        <v>249</v>
      </c>
      <c r="B13" s="759"/>
      <c r="C13" s="759"/>
      <c r="D13" s="759"/>
      <c r="E13" s="50">
        <v>0</v>
      </c>
      <c r="F13" s="42"/>
      <c r="G13" s="66">
        <f>E13*G12</f>
        <v>0</v>
      </c>
      <c r="H13" s="35" t="s">
        <v>176</v>
      </c>
    </row>
    <row r="14" spans="1:8" x14ac:dyDescent="0.35">
      <c r="A14" s="757" t="s">
        <v>182</v>
      </c>
      <c r="B14" s="743"/>
      <c r="C14" s="743"/>
      <c r="D14" s="743"/>
      <c r="E14" s="47" t="s">
        <v>126</v>
      </c>
      <c r="F14" s="67"/>
      <c r="G14" s="51">
        <f>SUM(G12:G13)</f>
        <v>0</v>
      </c>
      <c r="H14" s="35"/>
    </row>
    <row r="15" spans="1:8" x14ac:dyDescent="0.35">
      <c r="A15" s="743"/>
      <c r="B15" s="743"/>
      <c r="C15" s="743"/>
      <c r="D15" s="743"/>
      <c r="E15" s="743"/>
      <c r="F15" s="743"/>
      <c r="G15" s="743"/>
      <c r="H15" s="743"/>
    </row>
    <row r="16" spans="1:8" s="4" customFormat="1" ht="15.5" x14ac:dyDescent="0.35">
      <c r="A16" s="744" t="s">
        <v>250</v>
      </c>
      <c r="B16" s="745"/>
      <c r="C16" s="745"/>
      <c r="D16" s="745"/>
      <c r="E16" s="745"/>
      <c r="F16" s="745"/>
      <c r="G16" s="745"/>
      <c r="H16" s="745"/>
    </row>
    <row r="17" spans="1:8" x14ac:dyDescent="0.35">
      <c r="A17" s="746" t="s">
        <v>251</v>
      </c>
      <c r="B17" s="743"/>
      <c r="C17" s="743"/>
      <c r="D17" s="743"/>
      <c r="E17" s="69" t="s">
        <v>252</v>
      </c>
      <c r="F17" s="70"/>
      <c r="G17" s="66">
        <f>G14</f>
        <v>0</v>
      </c>
      <c r="H17" s="46"/>
    </row>
    <row r="18" spans="1:8" x14ac:dyDescent="0.35">
      <c r="A18" s="746" t="s">
        <v>253</v>
      </c>
      <c r="B18" s="753"/>
      <c r="C18" s="753"/>
      <c r="D18" s="753"/>
      <c r="E18" s="50">
        <v>0</v>
      </c>
      <c r="F18" s="43"/>
      <c r="G18" s="45">
        <f>G17*E18</f>
        <v>0</v>
      </c>
      <c r="H18" s="35" t="s">
        <v>176</v>
      </c>
    </row>
    <row r="19" spans="1:8" x14ac:dyDescent="0.35">
      <c r="E19" s="48" t="s">
        <v>254</v>
      </c>
      <c r="F19" s="71"/>
      <c r="G19" s="51">
        <f>SUM(G17:G18)</f>
        <v>0</v>
      </c>
    </row>
    <row r="23" spans="1:8" ht="17.5" customHeight="1" x14ac:dyDescent="0.35">
      <c r="A23" s="1121" t="s">
        <v>789</v>
      </c>
      <c r="B23" s="1122"/>
      <c r="C23" s="1122"/>
      <c r="D23" s="1122"/>
      <c r="E23" s="1122"/>
      <c r="F23" s="1122"/>
      <c r="G23" s="1123"/>
      <c r="H23" s="294" t="s">
        <v>790</v>
      </c>
    </row>
    <row r="24" spans="1:8" ht="15" customHeight="1" thickBot="1" x14ac:dyDescent="0.4">
      <c r="A24" s="1098" t="s">
        <v>791</v>
      </c>
      <c r="B24" s="1098" t="s">
        <v>792</v>
      </c>
      <c r="C24" s="1098" t="s">
        <v>793</v>
      </c>
      <c r="D24" s="1117" t="s">
        <v>794</v>
      </c>
      <c r="E24" s="1096" t="s">
        <v>795</v>
      </c>
      <c r="F24" s="1127" t="s">
        <v>796</v>
      </c>
      <c r="G24" s="1128"/>
      <c r="H24" s="282" t="s">
        <v>190</v>
      </c>
    </row>
    <row r="25" spans="1:8" ht="15" thickBot="1" x14ac:dyDescent="0.4">
      <c r="A25" s="1099"/>
      <c r="B25" s="1099"/>
      <c r="C25" s="1099"/>
      <c r="D25" s="1118"/>
      <c r="E25" s="1097"/>
      <c r="F25" s="1127"/>
      <c r="G25" s="1129"/>
      <c r="H25" s="471">
        <f>IF(F29="Provide Multiple CDCs",0,F29+F45+F57)</f>
        <v>0</v>
      </c>
    </row>
    <row r="26" spans="1:8" ht="15" thickBot="1" x14ac:dyDescent="0.4">
      <c r="A26" s="386">
        <f>'Instructions &amp; Pop Data'!D31+'Instructions &amp; Pop Data'!D32-A42-A54</f>
        <v>0</v>
      </c>
      <c r="B26" s="387">
        <f>'Instructions &amp; Pop Data'!D33+'Instructions &amp; Pop Data'!D34-B42-B54</f>
        <v>0</v>
      </c>
      <c r="C26" s="387">
        <f>'Instructions &amp; Pop Data'!D35+'Instructions &amp; Pop Data'!D36-C42-C54</f>
        <v>0</v>
      </c>
      <c r="D26" s="387">
        <f>'Instructions &amp; Pop Data'!D37+'Instructions &amp; Pop Data'!D38-D42-D54</f>
        <v>0</v>
      </c>
      <c r="E26" s="394">
        <f>SUM(A26:D26)</f>
        <v>0</v>
      </c>
      <c r="F26" s="1094">
        <f>IF(E26=0,0,E73)</f>
        <v>0</v>
      </c>
      <c r="G26" s="1095"/>
      <c r="H26" s="284"/>
    </row>
    <row r="27" spans="1:8" ht="15" customHeight="1" x14ac:dyDescent="0.35">
      <c r="A27" s="1096" t="s">
        <v>797</v>
      </c>
      <c r="B27" s="1096" t="s">
        <v>798</v>
      </c>
      <c r="C27" s="1098" t="s">
        <v>799</v>
      </c>
      <c r="D27" s="1100" t="s">
        <v>800</v>
      </c>
      <c r="E27" s="1096" t="s">
        <v>801</v>
      </c>
      <c r="F27" s="1108" t="s">
        <v>802</v>
      </c>
      <c r="G27" s="1110"/>
      <c r="H27" s="285"/>
    </row>
    <row r="28" spans="1:8" ht="15" thickBot="1" x14ac:dyDescent="0.4">
      <c r="A28" s="1097"/>
      <c r="B28" s="1097"/>
      <c r="C28" s="1099"/>
      <c r="D28" s="1101"/>
      <c r="E28" s="1097"/>
      <c r="F28" s="1119"/>
      <c r="G28" s="1120"/>
      <c r="H28" s="285"/>
    </row>
    <row r="29" spans="1:8" ht="15" thickBot="1" x14ac:dyDescent="0.4">
      <c r="A29" s="388">
        <f>ROUNDUP(SUM(A26/8),0)</f>
        <v>0</v>
      </c>
      <c r="B29" s="389">
        <f>ROUNDUP(SUM(B26/10),0)</f>
        <v>0</v>
      </c>
      <c r="C29" s="390">
        <f>ROUNDUP(SUM(C26/14),0)</f>
        <v>0</v>
      </c>
      <c r="D29" s="391">
        <f>ROUNDUP(SUM(D26/24),0)</f>
        <v>0</v>
      </c>
      <c r="E29" s="389">
        <f>VLOOKUP(E26,A66:D70,4,TRUE)</f>
        <v>0</v>
      </c>
      <c r="F29" s="1106">
        <f>IF(E26&gt;305,"Provide Multiple CDCs",SUM(E32+E29+F26)*B77)</f>
        <v>0</v>
      </c>
      <c r="G29" s="1107"/>
      <c r="H29" s="285"/>
    </row>
    <row r="30" spans="1:8" x14ac:dyDescent="0.35">
      <c r="A30" s="1096" t="s">
        <v>803</v>
      </c>
      <c r="B30" s="1096" t="s">
        <v>804</v>
      </c>
      <c r="C30" s="1098" t="s">
        <v>805</v>
      </c>
      <c r="D30" s="1100" t="s">
        <v>806</v>
      </c>
      <c r="E30" s="1096" t="s">
        <v>807</v>
      </c>
      <c r="F30" s="287"/>
      <c r="G30" s="288"/>
      <c r="H30" s="285"/>
    </row>
    <row r="31" spans="1:8" x14ac:dyDescent="0.35">
      <c r="A31" s="1097"/>
      <c r="B31" s="1097"/>
      <c r="C31" s="1099"/>
      <c r="D31" s="1101"/>
      <c r="E31" s="1097"/>
      <c r="F31" s="287"/>
      <c r="G31" s="288"/>
      <c r="H31" s="285"/>
    </row>
    <row r="32" spans="1:8" ht="15" thickBot="1" x14ac:dyDescent="0.4">
      <c r="A32" s="392">
        <f>A29*C73</f>
        <v>0</v>
      </c>
      <c r="B32" s="392">
        <f>B29*C74</f>
        <v>0</v>
      </c>
      <c r="C32" s="392">
        <f>C29*C75</f>
        <v>0</v>
      </c>
      <c r="D32" s="392">
        <f>D29*C76</f>
        <v>0</v>
      </c>
      <c r="E32" s="393">
        <f>SUM(A32:D32)</f>
        <v>0</v>
      </c>
      <c r="F32" s="287"/>
      <c r="G32" s="288"/>
      <c r="H32" s="285"/>
    </row>
    <row r="33" spans="1:8" ht="16.5" customHeight="1" x14ac:dyDescent="0.35">
      <c r="A33" s="1124" t="s">
        <v>808</v>
      </c>
      <c r="B33" s="1125"/>
      <c r="C33" s="1125"/>
      <c r="D33" s="1125"/>
      <c r="E33" s="1125"/>
      <c r="F33" s="1125"/>
      <c r="G33" s="1125"/>
      <c r="H33" s="1126"/>
    </row>
    <row r="34" spans="1:8" ht="16.5" customHeight="1" x14ac:dyDescent="0.35">
      <c r="A34" s="1111" t="s">
        <v>809</v>
      </c>
      <c r="B34" s="1112"/>
      <c r="C34" s="1112"/>
      <c r="D34" s="1112"/>
      <c r="E34" s="1112"/>
      <c r="F34" s="1112"/>
      <c r="G34" s="1112"/>
      <c r="H34" s="1113"/>
    </row>
    <row r="35" spans="1:8" ht="16.5" customHeight="1" x14ac:dyDescent="0.35">
      <c r="A35" s="1111" t="s">
        <v>810</v>
      </c>
      <c r="B35" s="1112"/>
      <c r="C35" s="1112"/>
      <c r="D35" s="1112"/>
      <c r="E35" s="1112"/>
      <c r="F35" s="1112"/>
      <c r="G35" s="1112"/>
      <c r="H35" s="1113"/>
    </row>
    <row r="36" spans="1:8" ht="16.5" customHeight="1" x14ac:dyDescent="0.35">
      <c r="A36" s="1111" t="s">
        <v>811</v>
      </c>
      <c r="B36" s="1112"/>
      <c r="C36" s="1112"/>
      <c r="D36" s="1112"/>
      <c r="E36" s="1112"/>
      <c r="F36" s="1112"/>
      <c r="G36" s="1112"/>
      <c r="H36" s="1113"/>
    </row>
    <row r="37" spans="1:8" ht="16.5" customHeight="1" thickBot="1" x14ac:dyDescent="0.4">
      <c r="A37" s="1114" t="s">
        <v>812</v>
      </c>
      <c r="B37" s="1115"/>
      <c r="C37" s="1115"/>
      <c r="D37" s="1115"/>
      <c r="E37" s="1115"/>
      <c r="F37" s="1115"/>
      <c r="G37" s="1115"/>
      <c r="H37" s="1116"/>
    </row>
    <row r="38" spans="1:8" ht="15" thickBot="1" x14ac:dyDescent="0.4">
      <c r="A38" s="291"/>
      <c r="B38" s="291"/>
      <c r="C38" s="291"/>
      <c r="D38" s="292"/>
      <c r="E38" s="291"/>
      <c r="F38" s="291"/>
      <c r="G38" s="293"/>
      <c r="H38" s="291"/>
    </row>
    <row r="39" spans="1:8" ht="18.5" x14ac:dyDescent="0.35">
      <c r="A39" s="1121" t="s">
        <v>789</v>
      </c>
      <c r="B39" s="1122"/>
      <c r="C39" s="1122"/>
      <c r="D39" s="1122"/>
      <c r="E39" s="1122"/>
      <c r="F39" s="1122"/>
      <c r="G39" s="1123"/>
      <c r="H39" s="294" t="s">
        <v>790</v>
      </c>
    </row>
    <row r="40" spans="1:8" x14ac:dyDescent="0.35">
      <c r="A40" s="1098" t="s">
        <v>791</v>
      </c>
      <c r="B40" s="1098" t="s">
        <v>792</v>
      </c>
      <c r="C40" s="1098" t="s">
        <v>793</v>
      </c>
      <c r="D40" s="1117" t="s">
        <v>794</v>
      </c>
      <c r="E40" s="1096" t="s">
        <v>795</v>
      </c>
      <c r="F40" s="1108" t="s">
        <v>813</v>
      </c>
      <c r="G40" s="1109"/>
      <c r="H40" s="282" t="s">
        <v>190</v>
      </c>
    </row>
    <row r="41" spans="1:8" ht="15" thickBot="1" x14ac:dyDescent="0.4">
      <c r="A41" s="1099"/>
      <c r="B41" s="1099"/>
      <c r="C41" s="1099"/>
      <c r="D41" s="1118"/>
      <c r="E41" s="1097"/>
      <c r="F41" s="1108"/>
      <c r="G41" s="1110"/>
      <c r="H41" s="283" t="s">
        <v>192</v>
      </c>
    </row>
    <row r="42" spans="1:8" ht="15" thickBot="1" x14ac:dyDescent="0.4">
      <c r="A42" s="395">
        <v>0</v>
      </c>
      <c r="B42" s="396">
        <v>0</v>
      </c>
      <c r="C42" s="396">
        <v>0</v>
      </c>
      <c r="D42" s="396">
        <v>0</v>
      </c>
      <c r="E42" s="394">
        <f>SUM(A42:D42)</f>
        <v>0</v>
      </c>
      <c r="F42" s="1094">
        <f>IF(E42=0,0,E74)</f>
        <v>0</v>
      </c>
      <c r="G42" s="1095"/>
      <c r="H42" s="284"/>
    </row>
    <row r="43" spans="1:8" x14ac:dyDescent="0.35">
      <c r="A43" s="1096" t="s">
        <v>814</v>
      </c>
      <c r="B43" s="1096" t="s">
        <v>815</v>
      </c>
      <c r="C43" s="1098" t="s">
        <v>816</v>
      </c>
      <c r="D43" s="1100" t="s">
        <v>817</v>
      </c>
      <c r="E43" s="1096" t="s">
        <v>801</v>
      </c>
      <c r="F43" s="1108" t="s">
        <v>802</v>
      </c>
      <c r="G43" s="1110"/>
      <c r="H43" s="285"/>
    </row>
    <row r="44" spans="1:8" ht="15" thickBot="1" x14ac:dyDescent="0.4">
      <c r="A44" s="1097"/>
      <c r="B44" s="1097"/>
      <c r="C44" s="1099"/>
      <c r="D44" s="1101"/>
      <c r="E44" s="1097"/>
      <c r="F44" s="1119"/>
      <c r="G44" s="1120"/>
      <c r="H44" s="1130" t="s">
        <v>818</v>
      </c>
    </row>
    <row r="45" spans="1:8" ht="15" thickBot="1" x14ac:dyDescent="0.4">
      <c r="A45" s="388">
        <f>ROUNDUP(SUM(A42/8),0)</f>
        <v>0</v>
      </c>
      <c r="B45" s="389">
        <f>ROUNDUP(SUM(B42/10),0)</f>
        <v>0</v>
      </c>
      <c r="C45" s="390">
        <f>ROUNDUP(SUM(C42/14),0)</f>
        <v>0</v>
      </c>
      <c r="D45" s="391">
        <f>ROUNDUP(SUM(D42/24),0)</f>
        <v>0</v>
      </c>
      <c r="E45" s="389">
        <f>VLOOKUP(E42,A66:D70,4,TRUE)</f>
        <v>0</v>
      </c>
      <c r="F45" s="1106">
        <f>IF(E42&gt;305,"Provide Multiple CDCs",SUM(E45+E48+F42)*B77)</f>
        <v>0</v>
      </c>
      <c r="G45" s="1107"/>
      <c r="H45" s="1130"/>
    </row>
    <row r="46" spans="1:8" x14ac:dyDescent="0.35">
      <c r="A46" s="1096" t="s">
        <v>803</v>
      </c>
      <c r="B46" s="1096" t="s">
        <v>804</v>
      </c>
      <c r="C46" s="1098" t="s">
        <v>805</v>
      </c>
      <c r="D46" s="1100" t="s">
        <v>806</v>
      </c>
      <c r="E46" s="1096" t="s">
        <v>807</v>
      </c>
      <c r="F46" s="287"/>
      <c r="G46" s="288"/>
      <c r="H46" s="1130"/>
    </row>
    <row r="47" spans="1:8" x14ac:dyDescent="0.35">
      <c r="A47" s="1097"/>
      <c r="B47" s="1097"/>
      <c r="C47" s="1099"/>
      <c r="D47" s="1101"/>
      <c r="E47" s="1097"/>
      <c r="F47" s="287"/>
      <c r="G47" s="288"/>
      <c r="H47" s="285"/>
    </row>
    <row r="48" spans="1:8" x14ac:dyDescent="0.35">
      <c r="A48" s="392">
        <f>A45*C73</f>
        <v>0</v>
      </c>
      <c r="B48" s="392">
        <f>B45*C74</f>
        <v>0</v>
      </c>
      <c r="C48" s="392">
        <f>C45*C75</f>
        <v>0</v>
      </c>
      <c r="D48" s="392">
        <f>D45*C76</f>
        <v>0</v>
      </c>
      <c r="E48" s="393">
        <f>SUM(A48:D48)</f>
        <v>0</v>
      </c>
      <c r="F48" s="289"/>
      <c r="G48" s="290"/>
      <c r="H48" s="286"/>
    </row>
    <row r="49" spans="1:8" ht="15.5" x14ac:dyDescent="0.35">
      <c r="A49" s="1102"/>
      <c r="B49" s="1103"/>
      <c r="C49" s="1103"/>
      <c r="D49" s="1103"/>
      <c r="E49" s="1103"/>
      <c r="F49" s="1104"/>
      <c r="G49" s="1104"/>
      <c r="H49" s="1105"/>
    </row>
    <row r="50" spans="1:8" x14ac:dyDescent="0.35">
      <c r="A50" s="291"/>
      <c r="B50" s="291"/>
      <c r="C50" s="291"/>
      <c r="D50" s="292"/>
      <c r="E50" s="291"/>
      <c r="F50" s="291"/>
      <c r="G50" s="293"/>
      <c r="H50" s="291"/>
    </row>
    <row r="51" spans="1:8" ht="18.5" x14ac:dyDescent="0.35">
      <c r="A51" s="1121" t="s">
        <v>789</v>
      </c>
      <c r="B51" s="1122"/>
      <c r="C51" s="1122"/>
      <c r="D51" s="1122"/>
      <c r="E51" s="1122"/>
      <c r="F51" s="1122"/>
      <c r="G51" s="1123"/>
      <c r="H51" s="294" t="s">
        <v>790</v>
      </c>
    </row>
    <row r="52" spans="1:8" x14ac:dyDescent="0.35">
      <c r="A52" s="1098" t="s">
        <v>791</v>
      </c>
      <c r="B52" s="1098" t="s">
        <v>792</v>
      </c>
      <c r="C52" s="1098" t="s">
        <v>793</v>
      </c>
      <c r="D52" s="1117" t="s">
        <v>794</v>
      </c>
      <c r="E52" s="1096" t="s">
        <v>795</v>
      </c>
      <c r="F52" s="1108" t="s">
        <v>813</v>
      </c>
      <c r="G52" s="1109"/>
      <c r="H52" s="282" t="s">
        <v>190</v>
      </c>
    </row>
    <row r="53" spans="1:8" x14ac:dyDescent="0.35">
      <c r="A53" s="1099"/>
      <c r="B53" s="1099"/>
      <c r="C53" s="1099"/>
      <c r="D53" s="1118"/>
      <c r="E53" s="1097"/>
      <c r="F53" s="1108"/>
      <c r="G53" s="1110"/>
      <c r="H53" s="283" t="s">
        <v>819</v>
      </c>
    </row>
    <row r="54" spans="1:8" x14ac:dyDescent="0.35">
      <c r="A54" s="395">
        <v>0</v>
      </c>
      <c r="B54" s="396">
        <v>0</v>
      </c>
      <c r="C54" s="396">
        <v>0</v>
      </c>
      <c r="D54" s="396">
        <v>0</v>
      </c>
      <c r="E54" s="394">
        <f>SUM(A54:D54)</f>
        <v>0</v>
      </c>
      <c r="F54" s="1094">
        <f>IF(E54=0,0,E74)</f>
        <v>0</v>
      </c>
      <c r="G54" s="1095"/>
      <c r="H54" s="284"/>
    </row>
    <row r="55" spans="1:8" x14ac:dyDescent="0.35">
      <c r="A55" s="1096" t="s">
        <v>814</v>
      </c>
      <c r="B55" s="1096" t="s">
        <v>815</v>
      </c>
      <c r="C55" s="1098" t="s">
        <v>816</v>
      </c>
      <c r="D55" s="1100" t="s">
        <v>817</v>
      </c>
      <c r="E55" s="1096" t="s">
        <v>801</v>
      </c>
      <c r="F55" s="1108" t="s">
        <v>802</v>
      </c>
      <c r="G55" s="1110"/>
      <c r="H55" s="285"/>
    </row>
    <row r="56" spans="1:8" ht="15" thickBot="1" x14ac:dyDescent="0.4">
      <c r="A56" s="1097"/>
      <c r="B56" s="1097"/>
      <c r="C56" s="1099"/>
      <c r="D56" s="1101"/>
      <c r="E56" s="1097"/>
      <c r="F56" s="1119"/>
      <c r="G56" s="1120"/>
      <c r="H56" s="1130" t="s">
        <v>820</v>
      </c>
    </row>
    <row r="57" spans="1:8" ht="15" thickBot="1" x14ac:dyDescent="0.4">
      <c r="A57" s="388">
        <f>ROUNDUP(SUM(A54/8),0)</f>
        <v>0</v>
      </c>
      <c r="B57" s="389">
        <f>ROUNDUP(SUM(B54/10),0)</f>
        <v>0</v>
      </c>
      <c r="C57" s="390">
        <f>ROUNDUP(SUM(C54/14),0)</f>
        <v>0</v>
      </c>
      <c r="D57" s="391">
        <f>ROUNDUP(SUM(D54/14),0)</f>
        <v>0</v>
      </c>
      <c r="E57" s="389">
        <f>VLOOKUP(E54,A66:D70,4,TRUE)</f>
        <v>0</v>
      </c>
      <c r="F57" s="1106">
        <f>IF(E54&gt;305,"Provide Multiple CDCs",SUM(E57+E60+F54)*B77)</f>
        <v>0</v>
      </c>
      <c r="G57" s="1107"/>
      <c r="H57" s="1130"/>
    </row>
    <row r="58" spans="1:8" x14ac:dyDescent="0.35">
      <c r="A58" s="1096" t="s">
        <v>803</v>
      </c>
      <c r="B58" s="1096" t="s">
        <v>804</v>
      </c>
      <c r="C58" s="1098" t="s">
        <v>805</v>
      </c>
      <c r="D58" s="1100" t="s">
        <v>806</v>
      </c>
      <c r="E58" s="1096" t="s">
        <v>807</v>
      </c>
      <c r="F58" s="287"/>
      <c r="G58" s="288"/>
      <c r="H58" s="1130"/>
    </row>
    <row r="59" spans="1:8" x14ac:dyDescent="0.35">
      <c r="A59" s="1097"/>
      <c r="B59" s="1097"/>
      <c r="C59" s="1099"/>
      <c r="D59" s="1101"/>
      <c r="E59" s="1097"/>
      <c r="F59" s="287"/>
      <c r="G59" s="288"/>
      <c r="H59" s="285"/>
    </row>
    <row r="60" spans="1:8" x14ac:dyDescent="0.35">
      <c r="A60" s="392">
        <f>A57*C73</f>
        <v>0</v>
      </c>
      <c r="B60" s="393">
        <f>B57*C74</f>
        <v>0</v>
      </c>
      <c r="C60" s="397">
        <f>C57*C75</f>
        <v>0</v>
      </c>
      <c r="D60" s="398">
        <f>D57*C76</f>
        <v>0</v>
      </c>
      <c r="E60" s="393">
        <f>SUM(A60:D60)</f>
        <v>0</v>
      </c>
      <c r="F60" s="289"/>
      <c r="G60" s="290"/>
      <c r="H60" s="286"/>
    </row>
    <row r="61" spans="1:8" ht="15.5" x14ac:dyDescent="0.35">
      <c r="A61" s="1102"/>
      <c r="B61" s="1103"/>
      <c r="C61" s="1103"/>
      <c r="D61" s="1103"/>
      <c r="E61" s="1103"/>
      <c r="F61" s="1104"/>
      <c r="G61" s="1104"/>
      <c r="H61" s="1105"/>
    </row>
    <row r="62" spans="1:8" ht="15" thickBot="1" x14ac:dyDescent="0.4"/>
    <row r="63" spans="1:8" ht="19" thickBot="1" x14ac:dyDescent="0.4">
      <c r="A63" s="1073" t="s">
        <v>821</v>
      </c>
      <c r="B63" s="1074"/>
      <c r="C63" s="1074"/>
      <c r="D63" s="1074"/>
      <c r="E63" s="1075"/>
    </row>
    <row r="64" spans="1:8" x14ac:dyDescent="0.35">
      <c r="A64" s="152" t="s">
        <v>822</v>
      </c>
      <c r="B64" s="153"/>
      <c r="C64" s="154"/>
      <c r="D64" s="154"/>
      <c r="E64" s="155"/>
    </row>
    <row r="65" spans="1:5" x14ac:dyDescent="0.35">
      <c r="A65" s="1131" t="s">
        <v>823</v>
      </c>
      <c r="B65" s="1132"/>
      <c r="C65" s="536" t="s">
        <v>824</v>
      </c>
      <c r="D65" s="536" t="s">
        <v>825</v>
      </c>
      <c r="E65" s="156"/>
    </row>
    <row r="66" spans="1:5" x14ac:dyDescent="0.35">
      <c r="A66" s="540">
        <v>0</v>
      </c>
      <c r="B66" s="531">
        <v>0</v>
      </c>
      <c r="C66" s="531">
        <v>0</v>
      </c>
      <c r="D66" s="531">
        <v>0</v>
      </c>
      <c r="E66" s="157"/>
    </row>
    <row r="67" spans="1:5" x14ac:dyDescent="0.35">
      <c r="A67" s="129">
        <v>1</v>
      </c>
      <c r="B67" s="541">
        <v>100</v>
      </c>
      <c r="C67" s="541" t="s">
        <v>644</v>
      </c>
      <c r="D67" s="541">
        <v>2595</v>
      </c>
      <c r="E67" s="130"/>
    </row>
    <row r="68" spans="1:5" x14ac:dyDescent="0.35">
      <c r="A68" s="129">
        <v>101</v>
      </c>
      <c r="B68" s="541">
        <v>200</v>
      </c>
      <c r="C68" s="541" t="s">
        <v>752</v>
      </c>
      <c r="D68" s="541">
        <v>3185</v>
      </c>
      <c r="E68" s="130"/>
    </row>
    <row r="69" spans="1:5" x14ac:dyDescent="0.35">
      <c r="A69" s="129">
        <v>201</v>
      </c>
      <c r="B69" s="541">
        <v>305</v>
      </c>
      <c r="C69" s="541" t="s">
        <v>649</v>
      </c>
      <c r="D69" s="541">
        <v>4255</v>
      </c>
      <c r="E69" s="130"/>
    </row>
    <row r="70" spans="1:5" x14ac:dyDescent="0.35">
      <c r="A70" s="145">
        <v>306</v>
      </c>
      <c r="B70" s="146">
        <v>999999</v>
      </c>
      <c r="C70" s="146" t="s">
        <v>327</v>
      </c>
      <c r="D70" s="149" t="s">
        <v>826</v>
      </c>
      <c r="E70" s="147"/>
    </row>
    <row r="71" spans="1:5" x14ac:dyDescent="0.35">
      <c r="A71" s="158" t="s">
        <v>827</v>
      </c>
      <c r="B71" s="342"/>
      <c r="C71" s="342"/>
      <c r="D71" s="1133" t="s">
        <v>828</v>
      </c>
      <c r="E71" s="1134"/>
    </row>
    <row r="72" spans="1:5" ht="29" x14ac:dyDescent="0.35">
      <c r="A72" s="535" t="s">
        <v>829</v>
      </c>
      <c r="B72" s="536" t="s">
        <v>830</v>
      </c>
      <c r="C72" s="536" t="s">
        <v>831</v>
      </c>
      <c r="D72" s="159" t="s">
        <v>832</v>
      </c>
      <c r="E72" s="156" t="s">
        <v>759</v>
      </c>
    </row>
    <row r="73" spans="1:5" x14ac:dyDescent="0.35">
      <c r="A73" s="129" t="s">
        <v>833</v>
      </c>
      <c r="B73" s="541">
        <v>8</v>
      </c>
      <c r="C73" s="541">
        <v>804</v>
      </c>
      <c r="D73" s="160" t="s">
        <v>834</v>
      </c>
      <c r="E73" s="130">
        <v>392</v>
      </c>
    </row>
    <row r="74" spans="1:5" x14ac:dyDescent="0.35">
      <c r="A74" s="129" t="s">
        <v>835</v>
      </c>
      <c r="B74" s="541">
        <v>10</v>
      </c>
      <c r="C74" s="541">
        <v>804</v>
      </c>
      <c r="D74" s="160" t="s">
        <v>836</v>
      </c>
      <c r="E74" s="130">
        <v>292</v>
      </c>
    </row>
    <row r="75" spans="1:5" x14ac:dyDescent="0.35">
      <c r="A75" s="129" t="s">
        <v>837</v>
      </c>
      <c r="B75" s="541">
        <v>14</v>
      </c>
      <c r="C75" s="541">
        <v>974</v>
      </c>
      <c r="D75" s="1135" t="s">
        <v>838</v>
      </c>
      <c r="E75" s="1136"/>
    </row>
    <row r="76" spans="1:5" x14ac:dyDescent="0.35">
      <c r="A76" s="129" t="s">
        <v>839</v>
      </c>
      <c r="B76" s="541">
        <v>24</v>
      </c>
      <c r="C76" s="541">
        <v>1461</v>
      </c>
      <c r="D76" s="1135"/>
      <c r="E76" s="1136"/>
    </row>
    <row r="77" spans="1:5" ht="15" thickBot="1" x14ac:dyDescent="0.4">
      <c r="A77" s="161" t="s">
        <v>840</v>
      </c>
      <c r="B77" s="162">
        <v>1.1499999999999999</v>
      </c>
      <c r="C77" s="124"/>
      <c r="D77" s="1137"/>
      <c r="E77" s="1138"/>
    </row>
  </sheetData>
  <mergeCells count="91">
    <mergeCell ref="H44:H46"/>
    <mergeCell ref="H56:H58"/>
    <mergeCell ref="A65:B65"/>
    <mergeCell ref="D71:E71"/>
    <mergeCell ref="D75:E77"/>
    <mergeCell ref="A63:E63"/>
    <mergeCell ref="F45:G45"/>
    <mergeCell ref="A46:A47"/>
    <mergeCell ref="B46:B47"/>
    <mergeCell ref="C46:C47"/>
    <mergeCell ref="D46:D47"/>
    <mergeCell ref="E46:E47"/>
    <mergeCell ref="E55:E56"/>
    <mergeCell ref="F55:G56"/>
    <mergeCell ref="A49:H49"/>
    <mergeCell ref="A51:G51"/>
    <mergeCell ref="A6:D6"/>
    <mergeCell ref="A18:D18"/>
    <mergeCell ref="A7:G7"/>
    <mergeCell ref="A8:D8"/>
    <mergeCell ref="A10:D10"/>
    <mergeCell ref="A11:D11"/>
    <mergeCell ref="A12:D12"/>
    <mergeCell ref="A13:D13"/>
    <mergeCell ref="A14:D14"/>
    <mergeCell ref="A15:H15"/>
    <mergeCell ref="A16:H16"/>
    <mergeCell ref="A17:D17"/>
    <mergeCell ref="A9:D9"/>
    <mergeCell ref="A1:B1"/>
    <mergeCell ref="A2:B2"/>
    <mergeCell ref="A3:B3"/>
    <mergeCell ref="A4:B4"/>
    <mergeCell ref="A5:B5"/>
    <mergeCell ref="D27:D28"/>
    <mergeCell ref="E27:E28"/>
    <mergeCell ref="F24:G25"/>
    <mergeCell ref="F26:G26"/>
    <mergeCell ref="F27:G28"/>
    <mergeCell ref="F29:G29"/>
    <mergeCell ref="A33:H33"/>
    <mergeCell ref="A23:G23"/>
    <mergeCell ref="A30:A31"/>
    <mergeCell ref="B30:B31"/>
    <mergeCell ref="C30:C31"/>
    <mergeCell ref="D30:D31"/>
    <mergeCell ref="E30:E31"/>
    <mergeCell ref="A24:A25"/>
    <mergeCell ref="B24:B25"/>
    <mergeCell ref="C24:C25"/>
    <mergeCell ref="D24:D25"/>
    <mergeCell ref="E24:E25"/>
    <mergeCell ref="A27:A28"/>
    <mergeCell ref="B27:B28"/>
    <mergeCell ref="C27:C28"/>
    <mergeCell ref="F43:G44"/>
    <mergeCell ref="A39:G39"/>
    <mergeCell ref="A40:A41"/>
    <mergeCell ref="B40:B41"/>
    <mergeCell ref="C40:C41"/>
    <mergeCell ref="D40:D41"/>
    <mergeCell ref="E40:E41"/>
    <mergeCell ref="F40:G41"/>
    <mergeCell ref="F52:G53"/>
    <mergeCell ref="A34:H34"/>
    <mergeCell ref="A35:H35"/>
    <mergeCell ref="A36:H36"/>
    <mergeCell ref="A37:H37"/>
    <mergeCell ref="A52:A53"/>
    <mergeCell ref="B52:B53"/>
    <mergeCell ref="C52:C53"/>
    <mergeCell ref="D52:D53"/>
    <mergeCell ref="E52:E53"/>
    <mergeCell ref="F42:G42"/>
    <mergeCell ref="A43:A44"/>
    <mergeCell ref="B43:B44"/>
    <mergeCell ref="C43:C44"/>
    <mergeCell ref="D43:D44"/>
    <mergeCell ref="E43:E44"/>
    <mergeCell ref="A61:H61"/>
    <mergeCell ref="F57:G57"/>
    <mergeCell ref="A58:A59"/>
    <mergeCell ref="B58:B59"/>
    <mergeCell ref="C58:C59"/>
    <mergeCell ref="D58:D59"/>
    <mergeCell ref="E58:E59"/>
    <mergeCell ref="F54:G54"/>
    <mergeCell ref="A55:A56"/>
    <mergeCell ref="B55:B56"/>
    <mergeCell ref="C55:C56"/>
    <mergeCell ref="D55:D56"/>
  </mergeCells>
  <hyperlinks>
    <hyperlink ref="H6" r:id="rId1" display="WBDG - AFMAN 32-1084" xr:uid="{5FD904B6-0EDA-443B-9F79-3C560B631E0F}"/>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9238DD4-3190-4473-BC4D-8C8149612572}">
          <x14:formula1>
            <xm:f>'Sheet References'!$L$1:$L$978</xm:f>
          </x14:formula1>
          <xm:sqref>E1</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8C026-6490-4980-8F13-3C7272CD7710}">
  <sheetPr>
    <tabColor rgb="FFFFFF99"/>
    <pageSetUpPr fitToPage="1"/>
  </sheetPr>
  <dimension ref="A1:P34"/>
  <sheetViews>
    <sheetView topLeftCell="B1" zoomScaleNormal="100" workbookViewId="0">
      <selection activeCell="H28" sqref="H28"/>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750422</v>
      </c>
      <c r="F1" s="38"/>
      <c r="G1" s="38"/>
      <c r="H1" s="38"/>
    </row>
    <row r="2" spans="1:8" ht="21" customHeight="1" x14ac:dyDescent="0.35">
      <c r="A2" s="676" t="s">
        <v>21</v>
      </c>
      <c r="B2" s="676"/>
      <c r="C2" s="38"/>
      <c r="D2" s="36" t="s">
        <v>107</v>
      </c>
      <c r="E2" s="37" t="str">
        <f>VLOOKUP(E1,'Sheet References'!L:M,2,FALSE)</f>
        <v>Golf Clubhouse</v>
      </c>
      <c r="F2" s="38"/>
      <c r="G2" s="38"/>
      <c r="H2" s="38"/>
    </row>
    <row r="3" spans="1:8" ht="21" customHeight="1" x14ac:dyDescent="0.35">
      <c r="A3" s="676" t="s">
        <v>22</v>
      </c>
      <c r="B3" s="676"/>
      <c r="C3" s="36"/>
      <c r="D3" s="36" t="s">
        <v>108</v>
      </c>
      <c r="E3" s="37" t="str">
        <f>VLOOKUP(CATCode,'Sheet References'!L:O,4,FALSE)</f>
        <v>https://www.wbdg.org/FFC/AF/AFMAN/750422_Golf_Clubhouse.pdf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841</v>
      </c>
      <c r="B8" s="743"/>
      <c r="C8" s="743"/>
      <c r="D8" s="743"/>
      <c r="E8" s="355">
        <f>A24</f>
        <v>0</v>
      </c>
      <c r="F8" s="68">
        <v>1</v>
      </c>
      <c r="G8" s="45">
        <f>E8*F8</f>
        <v>0</v>
      </c>
      <c r="H8" s="35" t="s">
        <v>842</v>
      </c>
    </row>
    <row r="9" spans="1:8" x14ac:dyDescent="0.35">
      <c r="A9" s="757" t="s">
        <v>180</v>
      </c>
      <c r="B9" s="757"/>
      <c r="C9" s="757"/>
      <c r="D9" s="757"/>
      <c r="E9" s="48" t="s">
        <v>126</v>
      </c>
      <c r="F9" s="65"/>
      <c r="G9" s="51">
        <f>SUM(G8:G8)</f>
        <v>0</v>
      </c>
      <c r="H9" s="35"/>
    </row>
    <row r="10" spans="1:8" x14ac:dyDescent="0.35">
      <c r="A10" s="758" t="s">
        <v>249</v>
      </c>
      <c r="B10" s="759"/>
      <c r="C10" s="759"/>
      <c r="D10" s="759"/>
      <c r="E10" s="50">
        <v>0</v>
      </c>
      <c r="F10" s="42"/>
      <c r="G10" s="66">
        <f>E10*G9</f>
        <v>0</v>
      </c>
      <c r="H10" s="35" t="s">
        <v>843</v>
      </c>
    </row>
    <row r="11" spans="1:8" x14ac:dyDescent="0.35">
      <c r="A11" s="757" t="s">
        <v>182</v>
      </c>
      <c r="B11" s="743"/>
      <c r="C11" s="743"/>
      <c r="D11" s="743"/>
      <c r="E11" s="47" t="s">
        <v>126</v>
      </c>
      <c r="F11" s="67"/>
      <c r="G11" s="51">
        <f>SUM(G9:G10)</f>
        <v>0</v>
      </c>
      <c r="H11" s="35"/>
    </row>
    <row r="12" spans="1:8" x14ac:dyDescent="0.35">
      <c r="A12" s="743"/>
      <c r="B12" s="743"/>
      <c r="C12" s="743"/>
      <c r="D12" s="743"/>
      <c r="E12" s="743"/>
      <c r="F12" s="743"/>
      <c r="G12" s="743"/>
      <c r="H12" s="743"/>
    </row>
    <row r="13" spans="1:8" s="4" customFormat="1" ht="15.5" x14ac:dyDescent="0.35">
      <c r="A13" s="744" t="s">
        <v>250</v>
      </c>
      <c r="B13" s="745"/>
      <c r="C13" s="745"/>
      <c r="D13" s="745"/>
      <c r="E13" s="745"/>
      <c r="F13" s="745"/>
      <c r="G13" s="745"/>
      <c r="H13" s="745"/>
    </row>
    <row r="14" spans="1:8" x14ac:dyDescent="0.35">
      <c r="A14" s="746" t="s">
        <v>251</v>
      </c>
      <c r="B14" s="743"/>
      <c r="C14" s="743"/>
      <c r="D14" s="743"/>
      <c r="E14" s="69" t="s">
        <v>252</v>
      </c>
      <c r="F14" s="70"/>
      <c r="G14" s="66">
        <f>G11</f>
        <v>0</v>
      </c>
      <c r="H14" s="46"/>
    </row>
    <row r="15" spans="1:8" x14ac:dyDescent="0.35">
      <c r="A15" s="746" t="s">
        <v>253</v>
      </c>
      <c r="B15" s="753"/>
      <c r="C15" s="753"/>
      <c r="D15" s="753"/>
      <c r="E15" s="50">
        <v>0</v>
      </c>
      <c r="F15" s="43"/>
      <c r="G15" s="45">
        <f>G14*E15</f>
        <v>0</v>
      </c>
      <c r="H15" s="35" t="s">
        <v>843</v>
      </c>
    </row>
    <row r="16" spans="1:8" x14ac:dyDescent="0.35">
      <c r="E16" s="48" t="s">
        <v>254</v>
      </c>
      <c r="F16" s="71"/>
      <c r="G16" s="51">
        <f>SUM(G14:G15)</f>
        <v>0</v>
      </c>
    </row>
    <row r="17" spans="1:8" ht="15" thickBot="1" x14ac:dyDescent="0.4"/>
    <row r="18" spans="1:8" ht="19" customHeight="1" thickBot="1" x14ac:dyDescent="0.4">
      <c r="A18" s="711" t="s">
        <v>844</v>
      </c>
      <c r="B18" s="712"/>
      <c r="C18" s="712"/>
      <c r="D18" s="712"/>
      <c r="E18" s="713"/>
      <c r="G18" s="216"/>
    </row>
    <row r="19" spans="1:8" ht="15" customHeight="1" x14ac:dyDescent="0.35">
      <c r="A19" s="653" t="s">
        <v>583</v>
      </c>
      <c r="B19" s="653" t="s">
        <v>514</v>
      </c>
      <c r="C19" s="653" t="s">
        <v>494</v>
      </c>
      <c r="D19" s="653" t="s">
        <v>495</v>
      </c>
      <c r="E19" s="653" t="s">
        <v>421</v>
      </c>
      <c r="F19" s="216"/>
      <c r="G19" s="216"/>
      <c r="H19" s="216"/>
    </row>
    <row r="20" spans="1:8" ht="24" customHeight="1" thickBot="1" x14ac:dyDescent="0.4">
      <c r="A20" s="655"/>
      <c r="B20" s="655"/>
      <c r="C20" s="655"/>
      <c r="D20" s="655"/>
      <c r="E20" s="655"/>
      <c r="G20" s="198"/>
    </row>
    <row r="21" spans="1:8" ht="15" thickBot="1" x14ac:dyDescent="0.4">
      <c r="A21" s="403">
        <f>IF(E21="YES",'Instructions &amp; Pop Data'!D8+'Instructions &amp; Pop Data'!D10,'Instructions &amp; Pop Data'!D8)</f>
        <v>0</v>
      </c>
      <c r="B21" s="404">
        <f>IF(E21="YES",'Instructions &amp; Pop Data'!D28,'Instructions &amp; Pop Data'!D27)</f>
        <v>0</v>
      </c>
      <c r="C21" s="405">
        <f>'Instructions &amp; Pop Data'!D12</f>
        <v>0</v>
      </c>
      <c r="D21" s="406">
        <f>A21+B21*0.2+C21*0.4</f>
        <v>0</v>
      </c>
      <c r="E21" s="374">
        <f>'Instructions &amp; Pop Data'!K4</f>
        <v>0</v>
      </c>
      <c r="G21" s="217"/>
    </row>
    <row r="22" spans="1:8" ht="16" thickBot="1" x14ac:dyDescent="0.4">
      <c r="A22" s="1011" t="s">
        <v>845</v>
      </c>
      <c r="B22" s="1012"/>
      <c r="C22" s="1141" t="s">
        <v>846</v>
      </c>
      <c r="D22" s="1142"/>
      <c r="E22" s="1143"/>
      <c r="G22" s="304"/>
    </row>
    <row r="23" spans="1:8" ht="15" thickBot="1" x14ac:dyDescent="0.4">
      <c r="A23" s="985" t="s">
        <v>190</v>
      </c>
      <c r="B23" s="986"/>
      <c r="C23" s="701" t="s">
        <v>190</v>
      </c>
      <c r="D23" s="1144"/>
      <c r="E23" s="702"/>
    </row>
    <row r="24" spans="1:8" ht="15" thickBot="1" x14ac:dyDescent="0.4">
      <c r="A24" s="722">
        <f>VLOOKUP(D21,A29:C33,3,TRUE)*IF(E21="Y",1.1,1)</f>
        <v>0</v>
      </c>
      <c r="B24" s="723"/>
      <c r="C24" s="1145">
        <f>VLOOKUP(D21,A29:D33,4,TRUE)*IF(E21="Y",1.1,1)</f>
        <v>0</v>
      </c>
      <c r="D24" s="1146"/>
      <c r="E24" s="1147"/>
    </row>
    <row r="25" spans="1:8" ht="15" thickBot="1" x14ac:dyDescent="0.4"/>
    <row r="26" spans="1:8" ht="18.5" x14ac:dyDescent="0.45">
      <c r="A26" s="981" t="s">
        <v>847</v>
      </c>
      <c r="B26" s="982"/>
      <c r="C26" s="982"/>
      <c r="D26" s="983"/>
    </row>
    <row r="27" spans="1:8" x14ac:dyDescent="0.35">
      <c r="A27" s="719" t="s">
        <v>848</v>
      </c>
      <c r="B27" s="720"/>
      <c r="C27" s="720"/>
      <c r="D27" s="721"/>
    </row>
    <row r="28" spans="1:8" ht="29" x14ac:dyDescent="0.35">
      <c r="A28" s="1139" t="s">
        <v>455</v>
      </c>
      <c r="B28" s="1140"/>
      <c r="C28" s="538" t="s">
        <v>849</v>
      </c>
      <c r="D28" s="507" t="s">
        <v>850</v>
      </c>
    </row>
    <row r="29" spans="1:8" x14ac:dyDescent="0.35">
      <c r="A29" s="305">
        <v>0</v>
      </c>
      <c r="B29" s="526">
        <v>1999</v>
      </c>
      <c r="C29" s="526">
        <v>0</v>
      </c>
      <c r="D29" s="527">
        <v>0</v>
      </c>
    </row>
    <row r="30" spans="1:8" x14ac:dyDescent="0.35">
      <c r="A30" s="305">
        <v>2000</v>
      </c>
      <c r="B30" s="526">
        <v>4000</v>
      </c>
      <c r="C30" s="526">
        <v>7000</v>
      </c>
      <c r="D30" s="527">
        <v>7000</v>
      </c>
    </row>
    <row r="31" spans="1:8" x14ac:dyDescent="0.35">
      <c r="A31" s="305">
        <v>4001</v>
      </c>
      <c r="B31" s="526">
        <v>8000</v>
      </c>
      <c r="C31" s="526">
        <v>12000</v>
      </c>
      <c r="D31" s="527">
        <v>10000</v>
      </c>
    </row>
    <row r="32" spans="1:8" x14ac:dyDescent="0.35">
      <c r="A32" s="305">
        <v>8001</v>
      </c>
      <c r="B32" s="526">
        <v>14000</v>
      </c>
      <c r="C32" s="526">
        <v>15000</v>
      </c>
      <c r="D32" s="527">
        <v>10000</v>
      </c>
    </row>
    <row r="33" spans="1:4" x14ac:dyDescent="0.35">
      <c r="A33" s="305">
        <v>14001</v>
      </c>
      <c r="B33" s="526">
        <v>10000000</v>
      </c>
      <c r="C33" s="526">
        <v>20000</v>
      </c>
      <c r="D33" s="527">
        <v>12000</v>
      </c>
    </row>
    <row r="34" spans="1:4" x14ac:dyDescent="0.35">
      <c r="A34" s="348"/>
      <c r="B34" s="528" t="s">
        <v>692</v>
      </c>
      <c r="C34" s="306">
        <v>1.1000000000000001</v>
      </c>
      <c r="D34" s="529"/>
    </row>
  </sheetData>
  <mergeCells count="30">
    <mergeCell ref="A26:D26"/>
    <mergeCell ref="A27:D27"/>
    <mergeCell ref="A28:B28"/>
    <mergeCell ref="C22:E22"/>
    <mergeCell ref="C23:E23"/>
    <mergeCell ref="C24:E24"/>
    <mergeCell ref="A22:B22"/>
    <mergeCell ref="A23:B23"/>
    <mergeCell ref="A24:B24"/>
    <mergeCell ref="A6:D6"/>
    <mergeCell ref="A19:A20"/>
    <mergeCell ref="B19:B20"/>
    <mergeCell ref="C19:C20"/>
    <mergeCell ref="D19:D20"/>
    <mergeCell ref="A15:D15"/>
    <mergeCell ref="A7:G7"/>
    <mergeCell ref="A8:D8"/>
    <mergeCell ref="A14:D14"/>
    <mergeCell ref="A9:D9"/>
    <mergeCell ref="A10:D10"/>
    <mergeCell ref="A11:D11"/>
    <mergeCell ref="A12:H12"/>
    <mergeCell ref="A13:H13"/>
    <mergeCell ref="E19:E20"/>
    <mergeCell ref="A18:E18"/>
    <mergeCell ref="A1:B1"/>
    <mergeCell ref="A2:B2"/>
    <mergeCell ref="A3:B3"/>
    <mergeCell ref="A4:B4"/>
    <mergeCell ref="A5:B5"/>
  </mergeCells>
  <hyperlinks>
    <hyperlink ref="H6" r:id="rId1" display="WBDG - AFMAN 32-1084" xr:uid="{F3BAC534-42FE-42A3-90BC-189349E3C43D}"/>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B0A5C4F-5E01-4FA0-9792-70BA9B1AB540}">
          <x14:formula1>
            <xm:f>'Sheet References'!$L$1:$L$978</xm:f>
          </x14:formula1>
          <xm:sqref>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B6B72-B7B6-4663-8C4A-00EE460BEDE4}">
  <sheetPr>
    <tabColor rgb="FFFFFF99"/>
    <pageSetUpPr fitToPage="1"/>
  </sheetPr>
  <dimension ref="A1:P22"/>
  <sheetViews>
    <sheetView zoomScaleNormal="100" workbookViewId="0">
      <selection activeCell="A21" sqref="A21:C22"/>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432283</v>
      </c>
      <c r="F1" s="38"/>
      <c r="G1" s="38"/>
      <c r="H1" s="38"/>
    </row>
    <row r="2" spans="1:8" ht="21" customHeight="1" x14ac:dyDescent="0.35">
      <c r="A2" s="676" t="s">
        <v>21</v>
      </c>
      <c r="B2" s="676"/>
      <c r="C2" s="38"/>
      <c r="D2" s="36" t="s">
        <v>107</v>
      </c>
      <c r="E2" s="37" t="str">
        <f>VLOOKUP(E1,'Sheet References'!L:M,2,FALSE)</f>
        <v>Cold Storage, Base</v>
      </c>
      <c r="F2" s="38"/>
      <c r="G2" s="38"/>
      <c r="H2" s="38"/>
    </row>
    <row r="3" spans="1:8" ht="21" customHeight="1" x14ac:dyDescent="0.35">
      <c r="A3" s="676" t="s">
        <v>22</v>
      </c>
      <c r="B3" s="676"/>
      <c r="C3" s="36"/>
      <c r="D3" s="36" t="s">
        <v>108</v>
      </c>
      <c r="E3" s="37" t="str">
        <f>VLOOKUP(CATCode,'Sheet References'!L:O,4,FALSE)</f>
        <v>https://www.wbdg.org/FFC/AF/AFMAN/432283_Cold_Storage_Base.pdf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248</v>
      </c>
      <c r="B8" s="743"/>
      <c r="C8" s="743"/>
      <c r="D8" s="743"/>
      <c r="E8" s="42"/>
      <c r="F8" s="68"/>
      <c r="G8" s="45">
        <f>E8*F8</f>
        <v>0</v>
      </c>
      <c r="H8" s="35"/>
    </row>
    <row r="9" spans="1:8" ht="14.5" customHeight="1" x14ac:dyDescent="0.35">
      <c r="A9" s="756" t="s">
        <v>248</v>
      </c>
      <c r="B9" s="743"/>
      <c r="C9" s="743"/>
      <c r="D9" s="743"/>
      <c r="E9" s="42"/>
      <c r="F9" s="68"/>
      <c r="G9" s="45">
        <f>E9*F9</f>
        <v>0</v>
      </c>
      <c r="H9" s="35"/>
    </row>
    <row r="10" spans="1:8" x14ac:dyDescent="0.35">
      <c r="A10" s="756" t="s">
        <v>248</v>
      </c>
      <c r="B10" s="743"/>
      <c r="C10" s="743"/>
      <c r="D10" s="743"/>
      <c r="E10" s="42"/>
      <c r="F10" s="68"/>
      <c r="G10" s="45">
        <f>E10*F10</f>
        <v>0</v>
      </c>
      <c r="H10" s="46"/>
    </row>
    <row r="11" spans="1:8" x14ac:dyDescent="0.35">
      <c r="A11" s="756" t="s">
        <v>248</v>
      </c>
      <c r="B11" s="743"/>
      <c r="C11" s="743"/>
      <c r="D11" s="743"/>
      <c r="E11" s="42"/>
      <c r="F11" s="68"/>
      <c r="G11" s="45">
        <f>E11*F11</f>
        <v>0</v>
      </c>
      <c r="H11" s="46"/>
    </row>
    <row r="12" spans="1:8" x14ac:dyDescent="0.35">
      <c r="A12" s="757" t="s">
        <v>180</v>
      </c>
      <c r="B12" s="757"/>
      <c r="C12" s="757"/>
      <c r="D12" s="757"/>
      <c r="E12" s="48" t="s">
        <v>126</v>
      </c>
      <c r="F12" s="65"/>
      <c r="G12" s="51">
        <f>SUM(G8:G11)</f>
        <v>0</v>
      </c>
      <c r="H12" s="35"/>
    </row>
    <row r="13" spans="1:8" x14ac:dyDescent="0.35">
      <c r="A13" s="758" t="s">
        <v>249</v>
      </c>
      <c r="B13" s="759"/>
      <c r="C13" s="759"/>
      <c r="D13" s="759"/>
      <c r="E13" s="50">
        <v>0</v>
      </c>
      <c r="F13" s="42"/>
      <c r="G13" s="66">
        <f>E13*G12</f>
        <v>0</v>
      </c>
      <c r="H13" s="35" t="s">
        <v>176</v>
      </c>
    </row>
    <row r="14" spans="1:8" x14ac:dyDescent="0.35">
      <c r="A14" s="757" t="s">
        <v>182</v>
      </c>
      <c r="B14" s="743"/>
      <c r="C14" s="743"/>
      <c r="D14" s="743"/>
      <c r="E14" s="47" t="s">
        <v>126</v>
      </c>
      <c r="F14" s="67"/>
      <c r="G14" s="51">
        <f>SUM(G12:G13)</f>
        <v>0</v>
      </c>
      <c r="H14" s="35"/>
    </row>
    <row r="15" spans="1:8" x14ac:dyDescent="0.35">
      <c r="A15" s="743"/>
      <c r="B15" s="743"/>
      <c r="C15" s="743"/>
      <c r="D15" s="743"/>
      <c r="E15" s="743"/>
      <c r="F15" s="743"/>
      <c r="G15" s="743"/>
      <c r="H15" s="743"/>
    </row>
    <row r="16" spans="1:8" s="4" customFormat="1" ht="15.5" x14ac:dyDescent="0.35">
      <c r="A16" s="744" t="s">
        <v>250</v>
      </c>
      <c r="B16" s="745"/>
      <c r="C16" s="745"/>
      <c r="D16" s="745"/>
      <c r="E16" s="745"/>
      <c r="F16" s="745"/>
      <c r="G16" s="745"/>
      <c r="H16" s="745"/>
    </row>
    <row r="17" spans="1:8" x14ac:dyDescent="0.35">
      <c r="A17" s="746" t="s">
        <v>251</v>
      </c>
      <c r="B17" s="743"/>
      <c r="C17" s="743"/>
      <c r="D17" s="743"/>
      <c r="E17" s="69" t="s">
        <v>252</v>
      </c>
      <c r="F17" s="70"/>
      <c r="G17" s="66">
        <f>G14</f>
        <v>0</v>
      </c>
      <c r="H17" s="46"/>
    </row>
    <row r="18" spans="1:8" x14ac:dyDescent="0.35">
      <c r="A18" s="746" t="s">
        <v>253</v>
      </c>
      <c r="B18" s="753"/>
      <c r="C18" s="753"/>
      <c r="D18" s="753"/>
      <c r="E18" s="50">
        <v>0</v>
      </c>
      <c r="F18" s="43"/>
      <c r="G18" s="45">
        <f>G17*E18</f>
        <v>0</v>
      </c>
      <c r="H18" s="35" t="s">
        <v>176</v>
      </c>
    </row>
    <row r="19" spans="1:8" ht="15" thickBot="1" x14ac:dyDescent="0.4">
      <c r="E19" s="48" t="s">
        <v>254</v>
      </c>
      <c r="F19" s="71"/>
      <c r="G19" s="51">
        <f>SUM(G17:G18)</f>
        <v>0</v>
      </c>
    </row>
    <row r="20" spans="1:8" ht="16" thickBot="1" x14ac:dyDescent="0.4">
      <c r="A20" s="747" t="s">
        <v>255</v>
      </c>
      <c r="B20" s="748"/>
      <c r="C20" s="749"/>
    </row>
    <row r="21" spans="1:8" x14ac:dyDescent="0.35">
      <c r="A21" s="737" t="s">
        <v>256</v>
      </c>
      <c r="B21" s="738"/>
      <c r="C21" s="739"/>
    </row>
    <row r="22" spans="1:8" ht="29.5" customHeight="1" thickBot="1" x14ac:dyDescent="0.4">
      <c r="A22" s="740"/>
      <c r="B22" s="741"/>
      <c r="C22" s="742"/>
    </row>
  </sheetData>
  <mergeCells count="20">
    <mergeCell ref="A6:D6"/>
    <mergeCell ref="A18:D18"/>
    <mergeCell ref="A7:G7"/>
    <mergeCell ref="A8:D8"/>
    <mergeCell ref="A9:D9"/>
    <mergeCell ref="A10:D10"/>
    <mergeCell ref="A11:D11"/>
    <mergeCell ref="A12:D12"/>
    <mergeCell ref="A13:D13"/>
    <mergeCell ref="A14:D14"/>
    <mergeCell ref="A1:B1"/>
    <mergeCell ref="A2:B2"/>
    <mergeCell ref="A3:B3"/>
    <mergeCell ref="A4:B4"/>
    <mergeCell ref="A5:B5"/>
    <mergeCell ref="A21:C22"/>
    <mergeCell ref="A15:H15"/>
    <mergeCell ref="A16:H16"/>
    <mergeCell ref="A17:D17"/>
    <mergeCell ref="A20:C20"/>
  </mergeCells>
  <hyperlinks>
    <hyperlink ref="H6" r:id="rId1" display="WBDG - AFMAN 32-1084" xr:uid="{372A5318-CDF8-44AF-96D0-46D2E3418B79}"/>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632100F-7E40-4DAE-970A-9C137137E9D2}">
          <x14:formula1>
            <xm:f>'Sheet References'!$L$1:$L$978</xm:f>
          </x14:formula1>
          <xm:sqref>E1</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A38AA-ADE7-4B13-A71C-DBF8E6B8BBCC}">
  <sheetPr>
    <tabColor rgb="FFFFFF99"/>
    <pageSetUpPr fitToPage="1"/>
  </sheetPr>
  <dimension ref="A1:P34"/>
  <sheetViews>
    <sheetView zoomScaleNormal="100" workbookViewId="0">
      <selection activeCell="A26" sqref="A26:D26"/>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750423</v>
      </c>
      <c r="F1" s="38"/>
      <c r="G1" s="38"/>
      <c r="H1" s="38"/>
    </row>
    <row r="2" spans="1:8" ht="21" customHeight="1" x14ac:dyDescent="0.35">
      <c r="A2" s="676" t="s">
        <v>21</v>
      </c>
      <c r="B2" s="676"/>
      <c r="C2" s="38"/>
      <c r="D2" s="36" t="s">
        <v>107</v>
      </c>
      <c r="E2" s="37" t="str">
        <f>VLOOKUP(E1,'Sheet References'!L:M,2,FALSE)</f>
        <v>Golf Equipment Building</v>
      </c>
      <c r="F2" s="38"/>
      <c r="G2" s="38"/>
      <c r="H2" s="38"/>
    </row>
    <row r="3" spans="1:8" ht="21" customHeight="1" x14ac:dyDescent="0.35">
      <c r="A3" s="676" t="s">
        <v>22</v>
      </c>
      <c r="B3" s="676"/>
      <c r="C3" s="36"/>
      <c r="D3" s="36" t="s">
        <v>108</v>
      </c>
      <c r="E3" s="37" t="str">
        <f>VLOOKUP(CATCode,'Sheet References'!L:O,4,FALSE)</f>
        <v>https://www.wbdg.org/FFC/AF/AFMAN/750423_Golf_Equipment_Building.pdf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ht="14.5" customHeight="1" x14ac:dyDescent="0.35">
      <c r="A8" s="753" t="s">
        <v>851</v>
      </c>
      <c r="B8" s="743"/>
      <c r="C8" s="743"/>
      <c r="D8" s="743"/>
      <c r="E8" s="354">
        <f>C24</f>
        <v>0</v>
      </c>
      <c r="F8" s="68">
        <v>1</v>
      </c>
      <c r="G8" s="45">
        <f>E8*F8</f>
        <v>0</v>
      </c>
      <c r="H8" s="35" t="s">
        <v>852</v>
      </c>
    </row>
    <row r="9" spans="1:8" x14ac:dyDescent="0.35">
      <c r="A9" s="757" t="s">
        <v>180</v>
      </c>
      <c r="B9" s="757"/>
      <c r="C9" s="757"/>
      <c r="D9" s="757"/>
      <c r="E9" s="48" t="s">
        <v>126</v>
      </c>
      <c r="F9" s="65"/>
      <c r="G9" s="51">
        <f>SUM(G8:G8)</f>
        <v>0</v>
      </c>
      <c r="H9" s="35"/>
    </row>
    <row r="10" spans="1:8" x14ac:dyDescent="0.35">
      <c r="A10" s="758" t="s">
        <v>249</v>
      </c>
      <c r="B10" s="759"/>
      <c r="C10" s="759"/>
      <c r="D10" s="759"/>
      <c r="E10" s="50">
        <v>0</v>
      </c>
      <c r="F10" s="42"/>
      <c r="G10" s="66">
        <f>E10*G9</f>
        <v>0</v>
      </c>
      <c r="H10" s="35" t="s">
        <v>843</v>
      </c>
    </row>
    <row r="11" spans="1:8" x14ac:dyDescent="0.35">
      <c r="A11" s="757" t="s">
        <v>182</v>
      </c>
      <c r="B11" s="743"/>
      <c r="C11" s="743"/>
      <c r="D11" s="743"/>
      <c r="E11" s="47" t="s">
        <v>126</v>
      </c>
      <c r="F11" s="67"/>
      <c r="G11" s="51">
        <f>SUM(G9:G10)</f>
        <v>0</v>
      </c>
      <c r="H11" s="35"/>
    </row>
    <row r="12" spans="1:8" x14ac:dyDescent="0.35">
      <c r="A12" s="743"/>
      <c r="B12" s="743"/>
      <c r="C12" s="743"/>
      <c r="D12" s="743"/>
      <c r="E12" s="743"/>
      <c r="F12" s="743"/>
      <c r="G12" s="743"/>
      <c r="H12" s="743"/>
    </row>
    <row r="13" spans="1:8" s="4" customFormat="1" ht="15.5" x14ac:dyDescent="0.35">
      <c r="A13" s="744" t="s">
        <v>250</v>
      </c>
      <c r="B13" s="745"/>
      <c r="C13" s="745"/>
      <c r="D13" s="745"/>
      <c r="E13" s="745"/>
      <c r="F13" s="745"/>
      <c r="G13" s="745"/>
      <c r="H13" s="745"/>
    </row>
    <row r="14" spans="1:8" x14ac:dyDescent="0.35">
      <c r="A14" s="746" t="s">
        <v>251</v>
      </c>
      <c r="B14" s="743"/>
      <c r="C14" s="743"/>
      <c r="D14" s="743"/>
      <c r="E14" s="69" t="s">
        <v>252</v>
      </c>
      <c r="F14" s="70"/>
      <c r="G14" s="66">
        <f>G11</f>
        <v>0</v>
      </c>
      <c r="H14" s="46"/>
    </row>
    <row r="15" spans="1:8" x14ac:dyDescent="0.35">
      <c r="A15" s="746" t="s">
        <v>253</v>
      </c>
      <c r="B15" s="753"/>
      <c r="C15" s="753"/>
      <c r="D15" s="753"/>
      <c r="E15" s="50">
        <v>0</v>
      </c>
      <c r="F15" s="43"/>
      <c r="G15" s="45">
        <f>G14*E15</f>
        <v>0</v>
      </c>
      <c r="H15" s="35" t="s">
        <v>843</v>
      </c>
    </row>
    <row r="16" spans="1:8" x14ac:dyDescent="0.35">
      <c r="E16" s="48" t="s">
        <v>254</v>
      </c>
      <c r="F16" s="71"/>
      <c r="G16" s="51">
        <f>SUM(G14:G15)</f>
        <v>0</v>
      </c>
    </row>
    <row r="17" spans="1:8" ht="15" thickBot="1" x14ac:dyDescent="0.4"/>
    <row r="18" spans="1:8" ht="19" thickBot="1" x14ac:dyDescent="0.4">
      <c r="A18" s="711" t="s">
        <v>844</v>
      </c>
      <c r="B18" s="712"/>
      <c r="C18" s="712"/>
      <c r="D18" s="712"/>
      <c r="E18" s="713"/>
      <c r="F18" s="1015"/>
      <c r="G18" s="1015"/>
      <c r="H18" s="1015"/>
    </row>
    <row r="19" spans="1:8" x14ac:dyDescent="0.35">
      <c r="A19" s="653" t="s">
        <v>583</v>
      </c>
      <c r="B19" s="653" t="s">
        <v>514</v>
      </c>
      <c r="C19" s="653" t="s">
        <v>494</v>
      </c>
      <c r="D19" s="653" t="s">
        <v>495</v>
      </c>
      <c r="E19" s="653" t="s">
        <v>421</v>
      </c>
      <c r="F19" s="1015"/>
      <c r="G19" s="1015"/>
      <c r="H19" s="1015"/>
    </row>
    <row r="20" spans="1:8" ht="15" thickBot="1" x14ac:dyDescent="0.4">
      <c r="A20" s="655"/>
      <c r="B20" s="655"/>
      <c r="C20" s="655"/>
      <c r="D20" s="655"/>
      <c r="E20" s="655"/>
      <c r="F20" s="694"/>
      <c r="G20" s="694"/>
      <c r="H20" s="505"/>
    </row>
    <row r="21" spans="1:8" ht="15" thickBot="1" x14ac:dyDescent="0.4">
      <c r="A21" s="403">
        <f>IF(E21="YES",'Instructions &amp; Pop Data'!D8+'Instructions &amp; Pop Data'!D10,'Instructions &amp; Pop Data'!D8)</f>
        <v>0</v>
      </c>
      <c r="B21" s="404">
        <f>IF(E21="YES",'Instructions &amp; Pop Data'!D28,'Instructions &amp; Pop Data'!D27)</f>
        <v>0</v>
      </c>
      <c r="C21" s="405">
        <f>'Instructions &amp; Pop Data'!D12</f>
        <v>0</v>
      </c>
      <c r="D21" s="406">
        <f>A21+B21*0.2+C21*0.4</f>
        <v>0</v>
      </c>
      <c r="E21" s="374">
        <f>'Instructions &amp; Pop Data'!K4</f>
        <v>0</v>
      </c>
      <c r="F21" s="1150"/>
      <c r="G21" s="1150"/>
      <c r="H21" s="539"/>
    </row>
    <row r="22" spans="1:8" ht="15" customHeight="1" thickBot="1" x14ac:dyDescent="0.4">
      <c r="A22" s="1011" t="s">
        <v>845</v>
      </c>
      <c r="B22" s="1012"/>
      <c r="C22" s="1141" t="s">
        <v>846</v>
      </c>
      <c r="D22" s="1142"/>
      <c r="E22" s="1143"/>
    </row>
    <row r="23" spans="1:8" ht="15" thickBot="1" x14ac:dyDescent="0.4">
      <c r="A23" s="985" t="s">
        <v>190</v>
      </c>
      <c r="B23" s="986"/>
      <c r="C23" s="701" t="s">
        <v>190</v>
      </c>
      <c r="D23" s="1144"/>
      <c r="E23" s="702"/>
    </row>
    <row r="24" spans="1:8" ht="15" thickBot="1" x14ac:dyDescent="0.4">
      <c r="A24" s="1148">
        <f>VLOOKUP(D21,A29:C33,3,TRUE)*IF(E21="Y",1.1,1)</f>
        <v>0</v>
      </c>
      <c r="B24" s="1149"/>
      <c r="C24" s="962">
        <f>VLOOKUP(D21,A29:D33,4,TRUE)*IF(E21="Y",1.1,1)</f>
        <v>0</v>
      </c>
      <c r="D24" s="896"/>
      <c r="E24" s="897"/>
    </row>
    <row r="25" spans="1:8" ht="15" thickBot="1" x14ac:dyDescent="0.4"/>
    <row r="26" spans="1:8" ht="18.5" x14ac:dyDescent="0.45">
      <c r="A26" s="981" t="s">
        <v>847</v>
      </c>
      <c r="B26" s="982"/>
      <c r="C26" s="982"/>
      <c r="D26" s="983"/>
    </row>
    <row r="27" spans="1:8" x14ac:dyDescent="0.35">
      <c r="A27" s="719" t="s">
        <v>848</v>
      </c>
      <c r="B27" s="720"/>
      <c r="C27" s="720"/>
      <c r="D27" s="721"/>
    </row>
    <row r="28" spans="1:8" ht="29" x14ac:dyDescent="0.35">
      <c r="A28" s="1139" t="s">
        <v>455</v>
      </c>
      <c r="B28" s="1140"/>
      <c r="C28" s="538" t="s">
        <v>849</v>
      </c>
      <c r="D28" s="507" t="s">
        <v>850</v>
      </c>
    </row>
    <row r="29" spans="1:8" x14ac:dyDescent="0.35">
      <c r="A29" s="305">
        <v>0</v>
      </c>
      <c r="B29" s="526">
        <v>1999</v>
      </c>
      <c r="C29" s="526">
        <v>0</v>
      </c>
      <c r="D29" s="527">
        <v>0</v>
      </c>
    </row>
    <row r="30" spans="1:8" x14ac:dyDescent="0.35">
      <c r="A30" s="305">
        <v>2000</v>
      </c>
      <c r="B30" s="526">
        <v>4000</v>
      </c>
      <c r="C30" s="526">
        <v>7000</v>
      </c>
      <c r="D30" s="527">
        <v>7000</v>
      </c>
    </row>
    <row r="31" spans="1:8" x14ac:dyDescent="0.35">
      <c r="A31" s="305">
        <v>4001</v>
      </c>
      <c r="B31" s="526">
        <v>8000</v>
      </c>
      <c r="C31" s="526">
        <v>12000</v>
      </c>
      <c r="D31" s="527">
        <v>10000</v>
      </c>
    </row>
    <row r="32" spans="1:8" x14ac:dyDescent="0.35">
      <c r="A32" s="305">
        <v>8001</v>
      </c>
      <c r="B32" s="526">
        <v>14000</v>
      </c>
      <c r="C32" s="526">
        <v>15000</v>
      </c>
      <c r="D32" s="527">
        <v>10000</v>
      </c>
    </row>
    <row r="33" spans="1:4" x14ac:dyDescent="0.35">
      <c r="A33" s="305">
        <v>14001</v>
      </c>
      <c r="B33" s="526">
        <v>10000000</v>
      </c>
      <c r="C33" s="526">
        <v>20000</v>
      </c>
      <c r="D33" s="527">
        <v>12000</v>
      </c>
    </row>
    <row r="34" spans="1:4" ht="15" thickBot="1" x14ac:dyDescent="0.4">
      <c r="A34" s="348"/>
      <c r="B34" s="528" t="s">
        <v>692</v>
      </c>
      <c r="C34" s="306">
        <v>1.1000000000000001</v>
      </c>
      <c r="D34" s="529"/>
    </row>
  </sheetData>
  <mergeCells count="34">
    <mergeCell ref="F21:G21"/>
    <mergeCell ref="A26:D26"/>
    <mergeCell ref="F18:G19"/>
    <mergeCell ref="E19:E20"/>
    <mergeCell ref="F20:G20"/>
    <mergeCell ref="A18:E18"/>
    <mergeCell ref="A27:D27"/>
    <mergeCell ref="C22:E22"/>
    <mergeCell ref="C23:E23"/>
    <mergeCell ref="C24:E24"/>
    <mergeCell ref="A22:B22"/>
    <mergeCell ref="A23:B23"/>
    <mergeCell ref="A24:B24"/>
    <mergeCell ref="A13:H13"/>
    <mergeCell ref="H18:H19"/>
    <mergeCell ref="A10:D10"/>
    <mergeCell ref="A11:D11"/>
    <mergeCell ref="A12:H12"/>
    <mergeCell ref="A28:B28"/>
    <mergeCell ref="A1:B1"/>
    <mergeCell ref="A2:B2"/>
    <mergeCell ref="A3:B3"/>
    <mergeCell ref="A4:B4"/>
    <mergeCell ref="A5:B5"/>
    <mergeCell ref="A6:D6"/>
    <mergeCell ref="A19:A20"/>
    <mergeCell ref="B19:B20"/>
    <mergeCell ref="C19:C20"/>
    <mergeCell ref="D19:D20"/>
    <mergeCell ref="A15:D15"/>
    <mergeCell ref="A7:G7"/>
    <mergeCell ref="A8:D8"/>
    <mergeCell ref="A14:D14"/>
    <mergeCell ref="A9:D9"/>
  </mergeCells>
  <hyperlinks>
    <hyperlink ref="H6" r:id="rId1" display="WBDG - AFMAN 32-1084" xr:uid="{3ACC40C4-1655-4859-B0FE-28FFB0928558}"/>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F733534-27DB-4525-868F-762B5454421A}">
          <x14:formula1>
            <xm:f>'Sheet References'!$L$1:$L$978</xm:f>
          </x14:formula1>
          <xm:sqref>E1</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8D874-070D-4D65-92FE-736C6950AEB9}">
  <sheetPr>
    <tabColor rgb="FFFF0000"/>
    <pageSetUpPr fitToPage="1"/>
  </sheetPr>
  <dimension ref="A1:P36"/>
  <sheetViews>
    <sheetView topLeftCell="B1" zoomScaleNormal="100" workbookViewId="0">
      <selection activeCell="E27" sqref="E27"/>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750583</v>
      </c>
      <c r="F1" s="38"/>
      <c r="G1" s="38"/>
      <c r="H1" s="38"/>
    </row>
    <row r="2" spans="1:8" ht="21" customHeight="1" x14ac:dyDescent="0.35">
      <c r="A2" s="676" t="s">
        <v>21</v>
      </c>
      <c r="B2" s="676"/>
      <c r="C2" s="38"/>
      <c r="D2" s="36" t="s">
        <v>107</v>
      </c>
      <c r="E2" s="37" t="str">
        <f>VLOOKUP(E1,'Sheet References'!L:M,2,FALSE)</f>
        <v>Riding Stables</v>
      </c>
      <c r="F2" s="38"/>
      <c r="G2" s="38"/>
      <c r="H2" s="38"/>
    </row>
    <row r="3" spans="1:8" ht="21" customHeight="1" x14ac:dyDescent="0.35">
      <c r="A3" s="676" t="s">
        <v>22</v>
      </c>
      <c r="B3" s="676"/>
      <c r="C3" s="36"/>
      <c r="D3" s="36" t="s">
        <v>108</v>
      </c>
      <c r="E3" s="37" t="str">
        <f>VLOOKUP(CATCode,'Sheet References'!L:O,4,FALSE)</f>
        <v>https://www.wbdg.org/FFC/AF/AFMAN/750583_Riding_Stables.pdf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3" t="s">
        <v>314</v>
      </c>
      <c r="B8" s="743"/>
      <c r="C8" s="743"/>
      <c r="D8" s="743"/>
      <c r="E8" s="354">
        <f>E22</f>
        <v>0</v>
      </c>
      <c r="F8" s="68">
        <v>1</v>
      </c>
      <c r="G8" s="45">
        <f>E8*F8</f>
        <v>0</v>
      </c>
      <c r="H8" s="35"/>
    </row>
    <row r="9" spans="1:8" x14ac:dyDescent="0.35">
      <c r="A9" s="753" t="s">
        <v>257</v>
      </c>
      <c r="B9" s="743"/>
      <c r="C9" s="743"/>
      <c r="D9" s="743"/>
      <c r="E9" s="42"/>
      <c r="F9" s="68"/>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ht="43.5" x14ac:dyDescent="0.35">
      <c r="A12" s="758" t="s">
        <v>249</v>
      </c>
      <c r="B12" s="759"/>
      <c r="C12" s="759"/>
      <c r="D12" s="759"/>
      <c r="E12" s="50">
        <v>0</v>
      </c>
      <c r="F12" s="42"/>
      <c r="G12" s="66">
        <f>E12*G11</f>
        <v>0</v>
      </c>
      <c r="H12" s="35" t="s">
        <v>315</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ht="44.15" customHeight="1" x14ac:dyDescent="0.35">
      <c r="A17" s="746" t="s">
        <v>253</v>
      </c>
      <c r="B17" s="753"/>
      <c r="C17" s="753"/>
      <c r="D17" s="753"/>
      <c r="E17" s="50">
        <v>0</v>
      </c>
      <c r="F17" s="43"/>
      <c r="G17" s="45">
        <f>G16*E17</f>
        <v>0</v>
      </c>
      <c r="H17" s="35" t="s">
        <v>316</v>
      </c>
    </row>
    <row r="18" spans="1:8" x14ac:dyDescent="0.35">
      <c r="E18" s="48" t="s">
        <v>254</v>
      </c>
      <c r="F18" s="71"/>
      <c r="G18" s="51">
        <f>SUM(G16:G17)</f>
        <v>0</v>
      </c>
    </row>
    <row r="19" spans="1:8" ht="15" thickBot="1" x14ac:dyDescent="0.4"/>
    <row r="20" spans="1:8" ht="19" thickBot="1" x14ac:dyDescent="0.4">
      <c r="A20" s="711" t="s">
        <v>853</v>
      </c>
      <c r="B20" s="712"/>
      <c r="C20" s="712"/>
      <c r="D20" s="712"/>
      <c r="E20" s="713"/>
    </row>
    <row r="21" spans="1:8" ht="29.5" thickBot="1" x14ac:dyDescent="0.4">
      <c r="A21" s="366" t="s">
        <v>854</v>
      </c>
      <c r="B21" s="366" t="s">
        <v>514</v>
      </c>
      <c r="C21" s="173" t="s">
        <v>495</v>
      </c>
      <c r="D21" s="366" t="s">
        <v>421</v>
      </c>
      <c r="E21" s="366" t="s">
        <v>855</v>
      </c>
    </row>
    <row r="22" spans="1:8" ht="15" thickBot="1" x14ac:dyDescent="0.4">
      <c r="A22" s="367">
        <f>IF(D22="YES",'Instructions &amp; Pop Data'!D8+'Instructions &amp; Pop Data'!D10,'Instructions &amp; Pop Data'!D8)</f>
        <v>0</v>
      </c>
      <c r="B22" s="369">
        <f>IF(D22="YES",'Instructions &amp; Pop Data'!D28,'Instructions &amp; Pop Data'!C27)</f>
        <v>0</v>
      </c>
      <c r="C22" s="368">
        <f>A22+(B22*0.25)</f>
        <v>0</v>
      </c>
      <c r="D22" s="364">
        <f>'Instructions &amp; Pop Data'!K4</f>
        <v>0</v>
      </c>
      <c r="E22" s="367">
        <f>VLOOKUP(C22,A26:C36,3,TRUE)</f>
        <v>0</v>
      </c>
    </row>
    <row r="23" spans="1:8" ht="15" thickBot="1" x14ac:dyDescent="0.4"/>
    <row r="24" spans="1:8" ht="18.5" x14ac:dyDescent="0.45">
      <c r="A24" s="1151" t="s">
        <v>856</v>
      </c>
      <c r="B24" s="1152"/>
      <c r="C24" s="1153"/>
    </row>
    <row r="25" spans="1:8" x14ac:dyDescent="0.35">
      <c r="A25" s="1154" t="s">
        <v>455</v>
      </c>
      <c r="B25" s="1054"/>
      <c r="C25" s="140" t="s">
        <v>516</v>
      </c>
    </row>
    <row r="26" spans="1:8" x14ac:dyDescent="0.35">
      <c r="A26" s="129">
        <v>0</v>
      </c>
      <c r="B26" s="541">
        <v>100</v>
      </c>
      <c r="C26" s="130">
        <v>0</v>
      </c>
    </row>
    <row r="27" spans="1:8" x14ac:dyDescent="0.35">
      <c r="A27" s="129">
        <v>101</v>
      </c>
      <c r="B27" s="541">
        <v>1000</v>
      </c>
      <c r="C27" s="130">
        <v>2100</v>
      </c>
    </row>
    <row r="28" spans="1:8" x14ac:dyDescent="0.35">
      <c r="A28" s="129">
        <v>1001</v>
      </c>
      <c r="B28" s="541">
        <v>3000</v>
      </c>
      <c r="C28" s="130">
        <v>2500</v>
      </c>
    </row>
    <row r="29" spans="1:8" x14ac:dyDescent="0.35">
      <c r="A29" s="129">
        <v>3001</v>
      </c>
      <c r="B29" s="541">
        <v>5000</v>
      </c>
      <c r="C29" s="130">
        <v>3600</v>
      </c>
    </row>
    <row r="30" spans="1:8" x14ac:dyDescent="0.35">
      <c r="A30" s="540">
        <v>5001</v>
      </c>
      <c r="B30" s="541">
        <v>7000</v>
      </c>
      <c r="C30" s="130">
        <v>4700</v>
      </c>
    </row>
    <row r="31" spans="1:8" x14ac:dyDescent="0.35">
      <c r="A31" s="540">
        <v>7001</v>
      </c>
      <c r="B31" s="541">
        <v>10000</v>
      </c>
      <c r="C31" s="130">
        <v>5900</v>
      </c>
    </row>
    <row r="32" spans="1:8" x14ac:dyDescent="0.35">
      <c r="A32" s="129">
        <v>10001</v>
      </c>
      <c r="B32" s="541">
        <v>15000</v>
      </c>
      <c r="C32" s="130">
        <v>7700</v>
      </c>
    </row>
    <row r="33" spans="1:3" x14ac:dyDescent="0.35">
      <c r="A33" s="300">
        <v>15001</v>
      </c>
      <c r="B33" s="541">
        <v>20000</v>
      </c>
      <c r="C33" s="130">
        <v>9600</v>
      </c>
    </row>
    <row r="34" spans="1:3" x14ac:dyDescent="0.35">
      <c r="A34" s="129">
        <v>20001</v>
      </c>
      <c r="B34" s="541">
        <v>25000</v>
      </c>
      <c r="C34" s="130">
        <v>11250</v>
      </c>
    </row>
    <row r="35" spans="1:3" x14ac:dyDescent="0.35">
      <c r="A35" s="129">
        <v>25001</v>
      </c>
      <c r="B35" s="541">
        <v>30000</v>
      </c>
      <c r="C35" s="130">
        <v>12800</v>
      </c>
    </row>
    <row r="36" spans="1:3" ht="15" thickBot="1" x14ac:dyDescent="0.4">
      <c r="A36" s="141">
        <v>30001</v>
      </c>
      <c r="B36" s="124">
        <v>40000</v>
      </c>
      <c r="C36" s="138">
        <v>17800</v>
      </c>
    </row>
  </sheetData>
  <mergeCells count="20">
    <mergeCell ref="A11:D11"/>
    <mergeCell ref="A12:D12"/>
    <mergeCell ref="A13:D13"/>
    <mergeCell ref="A7:G7"/>
    <mergeCell ref="A8:D8"/>
    <mergeCell ref="A9:D9"/>
    <mergeCell ref="A10:D10"/>
    <mergeCell ref="A6:D6"/>
    <mergeCell ref="A1:B1"/>
    <mergeCell ref="A2:B2"/>
    <mergeCell ref="A3:B3"/>
    <mergeCell ref="A4:B4"/>
    <mergeCell ref="A5:B5"/>
    <mergeCell ref="A14:H14"/>
    <mergeCell ref="A15:H15"/>
    <mergeCell ref="A16:D16"/>
    <mergeCell ref="A24:C24"/>
    <mergeCell ref="A25:B25"/>
    <mergeCell ref="A17:D17"/>
    <mergeCell ref="A20:E20"/>
  </mergeCells>
  <hyperlinks>
    <hyperlink ref="H6" r:id="rId1" display="WBDG - AFMAN 32-1084" xr:uid="{FD3BFCC1-E8A2-456D-982B-1CF388E22324}"/>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F4E39D2-6C23-410B-B67C-5D3C3B96AD65}">
          <x14:formula1>
            <xm:f>'Sheet References'!$L$1:$L$978</xm:f>
          </x14:formula1>
          <xm:sqref>E1</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F0839-8C46-47D8-A0F0-781067BE6AC2}">
  <sheetPr>
    <tabColor rgb="FFFFFF99"/>
    <pageSetUpPr fitToPage="1"/>
  </sheetPr>
  <dimension ref="A1:P30"/>
  <sheetViews>
    <sheetView zoomScaleNormal="100" workbookViewId="0">
      <selection activeCell="A24" sqref="A24:D24"/>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5.453125" style="1" bestFit="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750612</v>
      </c>
      <c r="F1" s="38"/>
      <c r="G1" s="38"/>
      <c r="H1" s="38"/>
    </row>
    <row r="2" spans="1:8" ht="21" customHeight="1" x14ac:dyDescent="0.35">
      <c r="A2" s="676" t="s">
        <v>21</v>
      </c>
      <c r="B2" s="676"/>
      <c r="C2" s="38"/>
      <c r="D2" s="36" t="s">
        <v>107</v>
      </c>
      <c r="E2" s="37" t="str">
        <f>VLOOKUP(E1,'Sheet References'!L:M,2,FALSE)</f>
        <v>Family Camping Support Facility</v>
      </c>
      <c r="F2" s="38"/>
      <c r="G2" s="38"/>
      <c r="H2" s="38"/>
    </row>
    <row r="3" spans="1:8" ht="21" customHeight="1" x14ac:dyDescent="0.35">
      <c r="A3" s="676" t="s">
        <v>22</v>
      </c>
      <c r="B3" s="676"/>
      <c r="C3" s="36"/>
      <c r="D3" s="36" t="s">
        <v>108</v>
      </c>
      <c r="E3" s="37" t="str">
        <f>VLOOKUP(CATCode,'Sheet References'!L:O,4,FALSE)</f>
        <v>https://www.wbdg.org/FFC/AF/AFMAN/750612_Family_Camping_Support_Facility.pdf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857</v>
      </c>
      <c r="B8" s="743"/>
      <c r="C8" s="743"/>
      <c r="D8" s="743"/>
      <c r="E8" s="355">
        <f>B22</f>
        <v>0</v>
      </c>
      <c r="F8" s="68">
        <v>1</v>
      </c>
      <c r="G8" s="45">
        <f>E8*F8</f>
        <v>0</v>
      </c>
      <c r="H8" s="35"/>
    </row>
    <row r="9" spans="1:8" x14ac:dyDescent="0.35">
      <c r="A9" s="757" t="s">
        <v>180</v>
      </c>
      <c r="B9" s="757"/>
      <c r="C9" s="757"/>
      <c r="D9" s="757"/>
      <c r="E9" s="48" t="s">
        <v>126</v>
      </c>
      <c r="F9" s="65"/>
      <c r="G9" s="51">
        <f>SUM(G8:G8)</f>
        <v>0</v>
      </c>
      <c r="H9" s="35"/>
    </row>
    <row r="10" spans="1:8" ht="43.5" x14ac:dyDescent="0.35">
      <c r="A10" s="758" t="s">
        <v>249</v>
      </c>
      <c r="B10" s="759"/>
      <c r="C10" s="759"/>
      <c r="D10" s="759"/>
      <c r="E10" s="50">
        <v>0</v>
      </c>
      <c r="F10" s="42"/>
      <c r="G10" s="66">
        <f>E10*G9</f>
        <v>0</v>
      </c>
      <c r="H10" s="35" t="s">
        <v>315</v>
      </c>
    </row>
    <row r="11" spans="1:8" x14ac:dyDescent="0.35">
      <c r="A11" s="757" t="s">
        <v>182</v>
      </c>
      <c r="B11" s="743"/>
      <c r="C11" s="743"/>
      <c r="D11" s="743"/>
      <c r="E11" s="47" t="s">
        <v>126</v>
      </c>
      <c r="F11" s="67"/>
      <c r="G11" s="51">
        <f>SUM(G9:G10)</f>
        <v>0</v>
      </c>
      <c r="H11" s="35"/>
    </row>
    <row r="12" spans="1:8" x14ac:dyDescent="0.35">
      <c r="A12" s="743"/>
      <c r="B12" s="743"/>
      <c r="C12" s="743"/>
      <c r="D12" s="743"/>
      <c r="E12" s="743"/>
      <c r="F12" s="743"/>
      <c r="G12" s="743"/>
      <c r="H12" s="743"/>
    </row>
    <row r="13" spans="1:8" s="4" customFormat="1" ht="15.5" x14ac:dyDescent="0.35">
      <c r="A13" s="744" t="s">
        <v>250</v>
      </c>
      <c r="B13" s="745"/>
      <c r="C13" s="745"/>
      <c r="D13" s="745"/>
      <c r="E13" s="745"/>
      <c r="F13" s="745"/>
      <c r="G13" s="745"/>
      <c r="H13" s="745"/>
    </row>
    <row r="14" spans="1:8" x14ac:dyDescent="0.35">
      <c r="A14" s="746" t="s">
        <v>251</v>
      </c>
      <c r="B14" s="743"/>
      <c r="C14" s="743"/>
      <c r="D14" s="743"/>
      <c r="E14" s="69" t="s">
        <v>252</v>
      </c>
      <c r="F14" s="70"/>
      <c r="G14" s="66">
        <f>G11</f>
        <v>0</v>
      </c>
      <c r="H14" s="46"/>
    </row>
    <row r="15" spans="1:8" ht="44.15" customHeight="1" x14ac:dyDescent="0.35">
      <c r="A15" s="746" t="s">
        <v>253</v>
      </c>
      <c r="B15" s="753"/>
      <c r="C15" s="753"/>
      <c r="D15" s="753"/>
      <c r="E15" s="50">
        <v>0</v>
      </c>
      <c r="F15" s="43"/>
      <c r="G15" s="45">
        <f>G14*E15</f>
        <v>0</v>
      </c>
      <c r="H15" s="35" t="s">
        <v>316</v>
      </c>
    </row>
    <row r="16" spans="1:8" x14ac:dyDescent="0.35">
      <c r="E16" s="48" t="s">
        <v>254</v>
      </c>
      <c r="F16" s="71"/>
      <c r="G16" s="51">
        <f>SUM(G14:G15)</f>
        <v>0</v>
      </c>
    </row>
    <row r="18" spans="1:7" ht="15" thickBot="1" x14ac:dyDescent="0.4"/>
    <row r="19" spans="1:7" ht="19" customHeight="1" thickBot="1" x14ac:dyDescent="0.4">
      <c r="A19" s="711" t="s">
        <v>858</v>
      </c>
      <c r="B19" s="713"/>
      <c r="D19" s="1"/>
      <c r="G19" s="1"/>
    </row>
    <row r="20" spans="1:7" ht="15" customHeight="1" x14ac:dyDescent="0.35">
      <c r="A20" s="662" t="s">
        <v>859</v>
      </c>
      <c r="B20" s="653" t="s">
        <v>860</v>
      </c>
      <c r="D20" s="1"/>
      <c r="G20" s="1"/>
    </row>
    <row r="21" spans="1:7" ht="15" thickBot="1" x14ac:dyDescent="0.4">
      <c r="A21" s="663"/>
      <c r="B21" s="727"/>
      <c r="D21" s="1"/>
      <c r="G21" s="1"/>
    </row>
    <row r="22" spans="1:7" ht="15" thickBot="1" x14ac:dyDescent="0.4">
      <c r="A22" s="225">
        <v>0</v>
      </c>
      <c r="B22" s="174">
        <f>VLOOKUP(A22,A27:D30,3,TRUE)</f>
        <v>0</v>
      </c>
      <c r="D22" s="1"/>
      <c r="G22" s="1"/>
    </row>
    <row r="23" spans="1:7" ht="15" thickBot="1" x14ac:dyDescent="0.4">
      <c r="D23" s="1"/>
      <c r="G23" s="1"/>
    </row>
    <row r="24" spans="1:7" ht="19" thickBot="1" x14ac:dyDescent="0.5">
      <c r="A24" s="1050" t="s">
        <v>861</v>
      </c>
      <c r="B24" s="1051"/>
      <c r="C24" s="1051"/>
      <c r="D24" s="1052"/>
      <c r="G24" s="1"/>
    </row>
    <row r="25" spans="1:7" x14ac:dyDescent="0.35">
      <c r="A25" s="1155" t="s">
        <v>862</v>
      </c>
      <c r="B25" s="1156"/>
      <c r="C25" s="1156"/>
      <c r="D25" s="1157"/>
      <c r="G25" s="1"/>
    </row>
    <row r="26" spans="1:7" x14ac:dyDescent="0.35">
      <c r="A26" s="923" t="s">
        <v>863</v>
      </c>
      <c r="B26" s="924"/>
      <c r="C26" s="924" t="s">
        <v>864</v>
      </c>
      <c r="D26" s="1158"/>
    </row>
    <row r="27" spans="1:7" x14ac:dyDescent="0.35">
      <c r="A27" s="305">
        <v>0</v>
      </c>
      <c r="B27" s="526">
        <v>0</v>
      </c>
      <c r="C27" s="1026">
        <v>0</v>
      </c>
      <c r="D27" s="1027"/>
    </row>
    <row r="28" spans="1:7" x14ac:dyDescent="0.35">
      <c r="A28" s="305">
        <v>1</v>
      </c>
      <c r="B28" s="526">
        <v>24</v>
      </c>
      <c r="C28" s="1026">
        <v>500</v>
      </c>
      <c r="D28" s="1027"/>
    </row>
    <row r="29" spans="1:7" x14ac:dyDescent="0.35">
      <c r="A29" s="305">
        <v>25</v>
      </c>
      <c r="B29" s="526">
        <v>48</v>
      </c>
      <c r="C29" s="1026">
        <v>1000</v>
      </c>
      <c r="D29" s="1027"/>
    </row>
    <row r="30" spans="1:7" ht="15" thickBot="1" x14ac:dyDescent="0.4">
      <c r="A30" s="348">
        <v>49</v>
      </c>
      <c r="B30" s="528">
        <v>72</v>
      </c>
      <c r="C30" s="1030">
        <v>1500</v>
      </c>
      <c r="D30" s="1031"/>
    </row>
  </sheetData>
  <mergeCells count="26">
    <mergeCell ref="A24:D24"/>
    <mergeCell ref="A25:D25"/>
    <mergeCell ref="A26:B26"/>
    <mergeCell ref="C26:D26"/>
    <mergeCell ref="C27:D27"/>
    <mergeCell ref="C28:D28"/>
    <mergeCell ref="C29:D29"/>
    <mergeCell ref="C30:D30"/>
    <mergeCell ref="A1:B1"/>
    <mergeCell ref="A2:B2"/>
    <mergeCell ref="A3:B3"/>
    <mergeCell ref="A4:B4"/>
    <mergeCell ref="A5:B5"/>
    <mergeCell ref="A12:H12"/>
    <mergeCell ref="A13:H13"/>
    <mergeCell ref="A14:D14"/>
    <mergeCell ref="A6:D6"/>
    <mergeCell ref="B20:B21"/>
    <mergeCell ref="A19:B19"/>
    <mergeCell ref="A20:A21"/>
    <mergeCell ref="A15:D15"/>
    <mergeCell ref="A7:G7"/>
    <mergeCell ref="A8:D8"/>
    <mergeCell ref="A9:D9"/>
    <mergeCell ref="A10:D10"/>
    <mergeCell ref="A11:D11"/>
  </mergeCells>
  <hyperlinks>
    <hyperlink ref="H6" r:id="rId1" display="WBDG - AFMAN 32-1084" xr:uid="{160AAC29-D85C-4C0B-B4FC-BF0B5DABFE7A}"/>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626A3A4-D34C-45A3-AC19-C1C97F728025}">
          <x14:formula1>
            <xm:f>'Sheet References'!$L$1:$L$978</xm:f>
          </x14:formula1>
          <xm:sqref>E1</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81DC4-1002-4217-8AC8-9D5789B202A6}">
  <sheetPr>
    <tabColor rgb="FFFFFF99"/>
    <pageSetUpPr fitToPage="1"/>
  </sheetPr>
  <dimension ref="A1:P50"/>
  <sheetViews>
    <sheetView zoomScaleNormal="100" workbookViewId="0">
      <selection activeCell="A30" sqref="A30:G30"/>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750811</v>
      </c>
      <c r="F1" s="38"/>
      <c r="G1" s="38"/>
      <c r="H1" s="38"/>
    </row>
    <row r="2" spans="1:8" ht="21" customHeight="1" x14ac:dyDescent="0.35">
      <c r="A2" s="676" t="s">
        <v>21</v>
      </c>
      <c r="B2" s="676"/>
      <c r="C2" s="38"/>
      <c r="D2" s="36" t="s">
        <v>107</v>
      </c>
      <c r="E2" s="37" t="str">
        <f>VLOOKUP(E1,'Sheet References'!L:M,2,FALSE)</f>
        <v>Swimmers Bath House</v>
      </c>
      <c r="F2" s="38"/>
      <c r="G2" s="38"/>
      <c r="H2" s="38"/>
    </row>
    <row r="3" spans="1:8" ht="21" customHeight="1" x14ac:dyDescent="0.35">
      <c r="A3" s="676" t="s">
        <v>22</v>
      </c>
      <c r="B3" s="676"/>
      <c r="C3" s="36"/>
      <c r="D3" s="36" t="s">
        <v>108</v>
      </c>
      <c r="E3" s="37" t="str">
        <f>VLOOKUP(CATCode,'Sheet References'!L:O,4,FALSE)</f>
        <v>https://www.wbdg.org/FFC/AF/AFMAN/750811_Swimmers_Bath_House.pdf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865</v>
      </c>
      <c r="B8" s="743"/>
      <c r="C8" s="743"/>
      <c r="D8" s="743"/>
      <c r="E8" s="355">
        <f>C26</f>
        <v>0</v>
      </c>
      <c r="F8" s="68">
        <v>1</v>
      </c>
      <c r="G8" s="45">
        <f>E8*F8</f>
        <v>0</v>
      </c>
      <c r="H8" s="35"/>
    </row>
    <row r="9" spans="1:8" x14ac:dyDescent="0.35">
      <c r="A9" s="753" t="s">
        <v>257</v>
      </c>
      <c r="B9" s="743"/>
      <c r="C9" s="743"/>
      <c r="D9" s="743"/>
      <c r="E9" s="42"/>
      <c r="F9" s="68"/>
      <c r="G9" s="45">
        <f>E9*F9</f>
        <v>0</v>
      </c>
      <c r="H9" s="35"/>
    </row>
    <row r="10" spans="1:8" x14ac:dyDescent="0.35">
      <c r="A10" s="753" t="s">
        <v>257</v>
      </c>
      <c r="B10" s="743"/>
      <c r="C10" s="743"/>
      <c r="D10" s="743"/>
      <c r="E10" s="42"/>
      <c r="F10" s="68"/>
      <c r="G10" s="45">
        <f>E10*F10</f>
        <v>0</v>
      </c>
      <c r="H10" s="46"/>
    </row>
    <row r="11" spans="1:8" x14ac:dyDescent="0.35">
      <c r="A11" s="753" t="s">
        <v>257</v>
      </c>
      <c r="B11" s="743"/>
      <c r="C11" s="743"/>
      <c r="D11" s="743"/>
      <c r="E11" s="42"/>
      <c r="F11" s="68"/>
      <c r="G11" s="45">
        <f>E11*F11</f>
        <v>0</v>
      </c>
      <c r="H11" s="46"/>
    </row>
    <row r="12" spans="1:8" x14ac:dyDescent="0.35">
      <c r="A12" s="757" t="s">
        <v>180</v>
      </c>
      <c r="B12" s="757"/>
      <c r="C12" s="757"/>
      <c r="D12" s="757"/>
      <c r="E12" s="48" t="s">
        <v>126</v>
      </c>
      <c r="F12" s="65"/>
      <c r="G12" s="51">
        <f>SUM(G8:G11)</f>
        <v>0</v>
      </c>
      <c r="H12" s="35"/>
    </row>
    <row r="13" spans="1:8" x14ac:dyDescent="0.35">
      <c r="A13" s="758" t="s">
        <v>249</v>
      </c>
      <c r="B13" s="759"/>
      <c r="C13" s="759"/>
      <c r="D13" s="759"/>
      <c r="E13" s="50">
        <v>0</v>
      </c>
      <c r="F13" s="42"/>
      <c r="G13" s="66">
        <f>E13*G12</f>
        <v>0</v>
      </c>
      <c r="H13" s="35" t="s">
        <v>843</v>
      </c>
    </row>
    <row r="14" spans="1:8" x14ac:dyDescent="0.35">
      <c r="A14" s="757" t="s">
        <v>182</v>
      </c>
      <c r="B14" s="743"/>
      <c r="C14" s="743"/>
      <c r="D14" s="743"/>
      <c r="E14" s="47" t="s">
        <v>126</v>
      </c>
      <c r="F14" s="67"/>
      <c r="G14" s="51">
        <f>SUM(G12:G13)</f>
        <v>0</v>
      </c>
      <c r="H14" s="35"/>
    </row>
    <row r="15" spans="1:8" x14ac:dyDescent="0.35">
      <c r="A15" s="743"/>
      <c r="B15" s="743"/>
      <c r="C15" s="743"/>
      <c r="D15" s="743"/>
      <c r="E15" s="743"/>
      <c r="F15" s="743"/>
      <c r="G15" s="743"/>
      <c r="H15" s="743"/>
    </row>
    <row r="16" spans="1:8" s="4" customFormat="1" ht="15.5" x14ac:dyDescent="0.35">
      <c r="A16" s="744" t="s">
        <v>250</v>
      </c>
      <c r="B16" s="745"/>
      <c r="C16" s="745"/>
      <c r="D16" s="745"/>
      <c r="E16" s="745"/>
      <c r="F16" s="745"/>
      <c r="G16" s="745"/>
      <c r="H16" s="745"/>
    </row>
    <row r="17" spans="1:8" x14ac:dyDescent="0.35">
      <c r="A17" s="746" t="s">
        <v>251</v>
      </c>
      <c r="B17" s="743"/>
      <c r="C17" s="743"/>
      <c r="D17" s="743"/>
      <c r="E17" s="69" t="s">
        <v>252</v>
      </c>
      <c r="F17" s="70"/>
      <c r="G17" s="66">
        <f>G14</f>
        <v>0</v>
      </c>
      <c r="H17" s="46"/>
    </row>
    <row r="18" spans="1:8" x14ac:dyDescent="0.35">
      <c r="A18" s="746" t="s">
        <v>253</v>
      </c>
      <c r="B18" s="753"/>
      <c r="C18" s="753"/>
      <c r="D18" s="753"/>
      <c r="E18" s="50">
        <v>0</v>
      </c>
      <c r="F18" s="43"/>
      <c r="G18" s="45">
        <f>G17*E18</f>
        <v>0</v>
      </c>
      <c r="H18" s="35" t="s">
        <v>843</v>
      </c>
    </row>
    <row r="19" spans="1:8" x14ac:dyDescent="0.35">
      <c r="E19" s="48" t="s">
        <v>254</v>
      </c>
      <c r="F19" s="71"/>
      <c r="G19" s="51">
        <f>SUM(G17:G18)</f>
        <v>0</v>
      </c>
    </row>
    <row r="20" spans="1:8" ht="15" thickBot="1" x14ac:dyDescent="0.4"/>
    <row r="21" spans="1:8" ht="19" thickBot="1" x14ac:dyDescent="0.4">
      <c r="A21" s="711" t="s">
        <v>696</v>
      </c>
      <c r="B21" s="712"/>
      <c r="C21" s="712"/>
      <c r="D21" s="712"/>
      <c r="E21" s="712"/>
      <c r="F21" s="712"/>
      <c r="G21" s="713"/>
    </row>
    <row r="22" spans="1:8" x14ac:dyDescent="0.35">
      <c r="A22" s="668" t="s">
        <v>583</v>
      </c>
      <c r="B22" s="824" t="s">
        <v>514</v>
      </c>
      <c r="C22" s="710" t="s">
        <v>495</v>
      </c>
      <c r="D22" s="654" t="s">
        <v>421</v>
      </c>
      <c r="E22" s="226"/>
      <c r="F22" s="226"/>
      <c r="G22" s="231"/>
    </row>
    <row r="23" spans="1:8" ht="15" thickBot="1" x14ac:dyDescent="0.4">
      <c r="A23" s="1016"/>
      <c r="B23" s="1017"/>
      <c r="C23" s="1018"/>
      <c r="D23" s="663"/>
      <c r="E23" s="226"/>
      <c r="F23" s="232"/>
      <c r="G23" s="233"/>
    </row>
    <row r="24" spans="1:8" ht="15" thickBot="1" x14ac:dyDescent="0.4">
      <c r="A24" s="399">
        <f>IF(D24="YES",'Instructions &amp; Pop Data'!D8+'Instructions &amp; Pop Data'!D10,'Instructions &amp; Pop Data'!D8)</f>
        <v>0</v>
      </c>
      <c r="B24" s="400">
        <f>IF(D24="YES",'Instructions &amp; Pop Data'!D29,'Instructions &amp; Pop Data'!D28)</f>
        <v>0</v>
      </c>
      <c r="C24" s="401">
        <f>A24+(B24*0.7)</f>
        <v>0</v>
      </c>
      <c r="D24" s="200">
        <f>'Instructions &amp; Pop Data'!K4</f>
        <v>0</v>
      </c>
      <c r="E24" s="226"/>
      <c r="F24" s="226"/>
      <c r="G24" s="234"/>
    </row>
    <row r="25" spans="1:8" ht="16" customHeight="1" thickBot="1" x14ac:dyDescent="0.4">
      <c r="A25" s="230" t="s">
        <v>697</v>
      </c>
      <c r="B25" s="229" t="s">
        <v>698</v>
      </c>
      <c r="C25" s="1011" t="s">
        <v>699</v>
      </c>
      <c r="D25" s="1012"/>
      <c r="E25" s="1011" t="s">
        <v>700</v>
      </c>
      <c r="F25" s="1013"/>
      <c r="G25" s="1012"/>
    </row>
    <row r="26" spans="1:8" ht="15" thickBot="1" x14ac:dyDescent="0.4">
      <c r="A26" s="200">
        <v>0</v>
      </c>
      <c r="B26" s="402">
        <f>VLOOKUP(C24,A33:D39,4,TRUE)</f>
        <v>0</v>
      </c>
      <c r="C26" s="880">
        <f>VLOOKUP(C24,A33:C39,3,TRUE)</f>
        <v>0</v>
      </c>
      <c r="D26" s="881"/>
      <c r="E26" s="1159">
        <f>B26*C40</f>
        <v>0</v>
      </c>
      <c r="F26" s="1160"/>
      <c r="G26" s="1161"/>
    </row>
    <row r="27" spans="1:8" ht="14.5" customHeight="1" x14ac:dyDescent="0.35">
      <c r="A27" s="1005" t="s">
        <v>701</v>
      </c>
      <c r="B27" s="1006"/>
      <c r="C27" s="1006"/>
      <c r="D27" s="1006"/>
      <c r="E27" s="1006"/>
      <c r="F27" s="1006"/>
      <c r="G27" s="1007"/>
    </row>
    <row r="28" spans="1:8" ht="21" customHeight="1" thickBot="1" x14ac:dyDescent="0.4">
      <c r="A28" s="1008"/>
      <c r="B28" s="1009"/>
      <c r="C28" s="1009"/>
      <c r="D28" s="1009"/>
      <c r="E28" s="1009"/>
      <c r="F28" s="1009"/>
      <c r="G28" s="1010"/>
    </row>
    <row r="29" spans="1:8" ht="15" thickBot="1" x14ac:dyDescent="0.4"/>
    <row r="30" spans="1:8" ht="19" thickBot="1" x14ac:dyDescent="0.5">
      <c r="A30" s="1019" t="s">
        <v>702</v>
      </c>
      <c r="B30" s="1020"/>
      <c r="C30" s="1020"/>
      <c r="D30" s="1020"/>
      <c r="E30" s="1020"/>
      <c r="F30" s="1020"/>
      <c r="G30" s="1021"/>
    </row>
    <row r="31" spans="1:8" ht="14.5" customHeight="1" x14ac:dyDescent="0.35">
      <c r="A31" s="1022" t="s">
        <v>703</v>
      </c>
      <c r="B31" s="1023"/>
      <c r="C31" s="1023"/>
      <c r="D31" s="1023"/>
      <c r="E31" s="1023"/>
      <c r="F31" s="1023"/>
      <c r="G31" s="1024"/>
    </row>
    <row r="32" spans="1:8" ht="72.650000000000006" customHeight="1" x14ac:dyDescent="0.35">
      <c r="A32" s="843" t="s">
        <v>455</v>
      </c>
      <c r="B32" s="844"/>
      <c r="C32" s="35" t="s">
        <v>704</v>
      </c>
      <c r="D32" s="513" t="s">
        <v>705</v>
      </c>
      <c r="E32" s="513" t="s">
        <v>706</v>
      </c>
      <c r="F32" s="844" t="s">
        <v>707</v>
      </c>
      <c r="G32" s="1025"/>
    </row>
    <row r="33" spans="1:7" x14ac:dyDescent="0.35">
      <c r="A33" s="521">
        <v>0</v>
      </c>
      <c r="B33" s="522">
        <v>0</v>
      </c>
      <c r="C33" s="514">
        <v>0</v>
      </c>
      <c r="D33" s="513">
        <v>0</v>
      </c>
      <c r="E33" s="513">
        <v>0</v>
      </c>
      <c r="F33" s="844">
        <v>0</v>
      </c>
      <c r="G33" s="1025"/>
    </row>
    <row r="34" spans="1:7" x14ac:dyDescent="0.35">
      <c r="A34" s="305">
        <v>1</v>
      </c>
      <c r="B34" s="526">
        <v>250</v>
      </c>
      <c r="C34" s="526">
        <f>D42</f>
        <v>800</v>
      </c>
      <c r="D34" s="526">
        <f>C42</f>
        <v>1250</v>
      </c>
      <c r="E34" s="526">
        <v>0</v>
      </c>
      <c r="F34" s="1026">
        <v>0</v>
      </c>
      <c r="G34" s="1027"/>
    </row>
    <row r="35" spans="1:7" x14ac:dyDescent="0.35">
      <c r="A35" s="305">
        <v>251</v>
      </c>
      <c r="B35" s="526">
        <v>3000</v>
      </c>
      <c r="C35" s="526">
        <v>4000</v>
      </c>
      <c r="D35" s="526">
        <f>E35*C43</f>
        <v>7918</v>
      </c>
      <c r="E35" s="526">
        <v>1</v>
      </c>
      <c r="F35" s="1026">
        <v>0</v>
      </c>
      <c r="G35" s="1027"/>
    </row>
    <row r="36" spans="1:7" x14ac:dyDescent="0.35">
      <c r="A36" s="305">
        <v>3001</v>
      </c>
      <c r="B36" s="526">
        <v>10000</v>
      </c>
      <c r="C36" s="526">
        <v>4000</v>
      </c>
      <c r="D36" s="526">
        <f>E36*C43</f>
        <v>7918</v>
      </c>
      <c r="E36" s="526">
        <v>1</v>
      </c>
      <c r="F36" s="1026">
        <v>0</v>
      </c>
      <c r="G36" s="1027"/>
    </row>
    <row r="37" spans="1:7" x14ac:dyDescent="0.35">
      <c r="A37" s="305">
        <v>10001</v>
      </c>
      <c r="B37" s="526">
        <v>15000</v>
      </c>
      <c r="C37" s="526">
        <f>D41*2</f>
        <v>8000</v>
      </c>
      <c r="D37" s="526">
        <f>E37*C43</f>
        <v>15836</v>
      </c>
      <c r="E37" s="526">
        <v>2</v>
      </c>
      <c r="F37" s="1026">
        <v>1</v>
      </c>
      <c r="G37" s="1027"/>
    </row>
    <row r="38" spans="1:7" x14ac:dyDescent="0.35">
      <c r="A38" s="305">
        <v>15001</v>
      </c>
      <c r="B38" s="526">
        <v>20000</v>
      </c>
      <c r="C38" s="526">
        <f>D41*3</f>
        <v>12000</v>
      </c>
      <c r="D38" s="526">
        <f>E38*C43</f>
        <v>23754</v>
      </c>
      <c r="E38" s="526">
        <v>3</v>
      </c>
      <c r="F38" s="1038">
        <v>1.5</v>
      </c>
      <c r="G38" s="1039"/>
    </row>
    <row r="39" spans="1:7" ht="15" thickBot="1" x14ac:dyDescent="0.4">
      <c r="A39" s="348">
        <v>20001</v>
      </c>
      <c r="B39" s="528">
        <v>25000</v>
      </c>
      <c r="C39" s="528">
        <f>D41*4</f>
        <v>16000</v>
      </c>
      <c r="D39" s="528">
        <f>E39*C43</f>
        <v>31672</v>
      </c>
      <c r="E39" s="528">
        <v>4</v>
      </c>
      <c r="F39" s="1030">
        <v>2</v>
      </c>
      <c r="G39" s="1031"/>
    </row>
    <row r="40" spans="1:7" ht="15" thickBot="1" x14ac:dyDescent="0.4">
      <c r="A40" s="1028" t="s">
        <v>708</v>
      </c>
      <c r="B40" s="1029"/>
      <c r="C40" s="1032">
        <v>1.1000000000000001</v>
      </c>
      <c r="D40" s="1033"/>
      <c r="E40" s="1033"/>
      <c r="F40" s="1033"/>
      <c r="G40" s="1034"/>
    </row>
    <row r="41" spans="1:7" x14ac:dyDescent="0.35">
      <c r="A41" s="1164" t="s">
        <v>709</v>
      </c>
      <c r="B41" s="1167" t="s">
        <v>710</v>
      </c>
      <c r="C41" s="1167"/>
      <c r="D41" s="543">
        <v>4000</v>
      </c>
      <c r="E41" s="358">
        <v>6500</v>
      </c>
      <c r="F41" s="9"/>
    </row>
    <row r="42" spans="1:7" x14ac:dyDescent="0.35">
      <c r="A42" s="1165"/>
      <c r="B42" s="148" t="s">
        <v>711</v>
      </c>
      <c r="C42" s="526">
        <v>1250</v>
      </c>
      <c r="D42" s="526">
        <v>800</v>
      </c>
      <c r="E42" s="527"/>
      <c r="F42" s="9"/>
    </row>
    <row r="43" spans="1:7" x14ac:dyDescent="0.35">
      <c r="A43" s="1165"/>
      <c r="B43" s="148" t="s">
        <v>712</v>
      </c>
      <c r="C43" s="526">
        <v>7918</v>
      </c>
      <c r="D43" s="1026" t="s">
        <v>713</v>
      </c>
      <c r="E43" s="1027"/>
      <c r="F43" s="9"/>
    </row>
    <row r="44" spans="1:7" ht="15" thickBot="1" x14ac:dyDescent="0.4">
      <c r="A44" s="1166"/>
      <c r="B44" s="150" t="s">
        <v>714</v>
      </c>
      <c r="C44" s="528">
        <f>C43*2</f>
        <v>15836</v>
      </c>
      <c r="D44" s="1030" t="s">
        <v>715</v>
      </c>
      <c r="E44" s="1031"/>
      <c r="F44" s="9"/>
    </row>
    <row r="45" spans="1:7" x14ac:dyDescent="0.35">
      <c r="A45" s="541"/>
      <c r="B45" s="541"/>
      <c r="C45" s="541"/>
      <c r="D45" s="541"/>
      <c r="E45" s="541"/>
      <c r="F45" s="1162"/>
      <c r="G45" s="1162"/>
    </row>
    <row r="46" spans="1:7" x14ac:dyDescent="0.35">
      <c r="A46" s="1162"/>
      <c r="B46" s="1162"/>
      <c r="C46" s="1162"/>
      <c r="D46" s="1162"/>
      <c r="E46" s="1162"/>
      <c r="F46" s="1162"/>
      <c r="G46" s="1162"/>
    </row>
    <row r="47" spans="1:7" x14ac:dyDescent="0.35">
      <c r="A47" s="1163"/>
      <c r="B47"/>
      <c r="C47" s="356"/>
      <c r="D47" s="541"/>
      <c r="E47" s="541"/>
      <c r="F47" s="9"/>
      <c r="G47" s="304"/>
    </row>
    <row r="48" spans="1:7" x14ac:dyDescent="0.35">
      <c r="A48" s="1163"/>
      <c r="B48" s="357"/>
      <c r="C48" s="541"/>
      <c r="D48" s="541"/>
      <c r="E48" s="541"/>
      <c r="F48" s="9"/>
      <c r="G48" s="304"/>
    </row>
    <row r="49" spans="1:7" x14ac:dyDescent="0.35">
      <c r="A49" s="1163"/>
      <c r="B49" s="357"/>
      <c r="C49" s="541"/>
      <c r="D49" s="1162"/>
      <c r="E49" s="1162"/>
      <c r="F49" s="9"/>
      <c r="G49" s="304"/>
    </row>
    <row r="50" spans="1:7" x14ac:dyDescent="0.35">
      <c r="A50" s="1163"/>
      <c r="B50" s="357"/>
      <c r="C50" s="541"/>
      <c r="D50" s="1162"/>
      <c r="E50" s="1162"/>
      <c r="F50" s="9"/>
      <c r="G50" s="304"/>
    </row>
  </sheetData>
  <mergeCells count="50">
    <mergeCell ref="F33:G33"/>
    <mergeCell ref="F34:G34"/>
    <mergeCell ref="A46:G46"/>
    <mergeCell ref="A21:G21"/>
    <mergeCell ref="D49:E49"/>
    <mergeCell ref="A30:G30"/>
    <mergeCell ref="A31:G31"/>
    <mergeCell ref="F32:G32"/>
    <mergeCell ref="A32:B32"/>
    <mergeCell ref="A27:G28"/>
    <mergeCell ref="D50:E50"/>
    <mergeCell ref="F45:G45"/>
    <mergeCell ref="A47:A50"/>
    <mergeCell ref="F35:G35"/>
    <mergeCell ref="F36:G36"/>
    <mergeCell ref="F37:G37"/>
    <mergeCell ref="F38:G38"/>
    <mergeCell ref="F39:G39"/>
    <mergeCell ref="A40:B40"/>
    <mergeCell ref="C40:G40"/>
    <mergeCell ref="A41:A44"/>
    <mergeCell ref="B41:C41"/>
    <mergeCell ref="D43:E43"/>
    <mergeCell ref="D44:E44"/>
    <mergeCell ref="A14:D14"/>
    <mergeCell ref="A15:H15"/>
    <mergeCell ref="A16:H16"/>
    <mergeCell ref="A17:D17"/>
    <mergeCell ref="E26:G26"/>
    <mergeCell ref="E25:G25"/>
    <mergeCell ref="C26:D26"/>
    <mergeCell ref="A18:D18"/>
    <mergeCell ref="A22:A23"/>
    <mergeCell ref="B22:B23"/>
    <mergeCell ref="C22:C23"/>
    <mergeCell ref="D22:D23"/>
    <mergeCell ref="C25:D25"/>
    <mergeCell ref="A1:B1"/>
    <mergeCell ref="A2:B2"/>
    <mergeCell ref="A3:B3"/>
    <mergeCell ref="A4:B4"/>
    <mergeCell ref="A5:B5"/>
    <mergeCell ref="A11:D11"/>
    <mergeCell ref="A12:D12"/>
    <mergeCell ref="A13:D13"/>
    <mergeCell ref="A6:D6"/>
    <mergeCell ref="A7:G7"/>
    <mergeCell ref="A8:D8"/>
    <mergeCell ref="A9:D9"/>
    <mergeCell ref="A10:D10"/>
  </mergeCells>
  <dataValidations count="1">
    <dataValidation type="list" allowBlank="1" showInputMessage="1" showErrorMessage="1" sqref="A26" xr:uid="{D462EC77-B0AD-4D06-9EB2-E4EDD7F1DA46}">
      <formula1>"0,1,2,3,4"</formula1>
    </dataValidation>
  </dataValidations>
  <hyperlinks>
    <hyperlink ref="H6" r:id="rId1" display="WBDG - AFMAN 32-1084" xr:uid="{88214214-965E-4603-9D84-C03DC060FC87}"/>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020FDEE-DC53-4049-99AC-C0A0CAF739C0}">
          <x14:formula1>
            <xm:f>'Sheet References'!$L$1:$L$978</xm:f>
          </x14:formula1>
          <xm:sqref>E1</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pageSetUpPr fitToPage="1"/>
  </sheetPr>
  <dimension ref="A1:S71"/>
  <sheetViews>
    <sheetView zoomScaleNormal="100" workbookViewId="0">
      <pane ySplit="6" topLeftCell="A7" activePane="bottomLeft" state="frozen"/>
      <selection pane="bottomLeft" activeCell="M16" sqref="M16"/>
    </sheetView>
  </sheetViews>
  <sheetFormatPr defaultColWidth="9.26953125" defaultRowHeight="14.5" x14ac:dyDescent="0.35"/>
  <cols>
    <col min="1" max="1" width="30.7265625" style="3" customWidth="1"/>
    <col min="2" max="2" width="9.7265625" style="3" customWidth="1"/>
    <col min="3" max="3" width="30.7265625" style="3" customWidth="1"/>
    <col min="4" max="4" width="12.7265625" style="3" customWidth="1"/>
    <col min="5" max="5" width="9.7265625" style="3" customWidth="1"/>
    <col min="6" max="6" width="30.7265625" style="3" customWidth="1"/>
    <col min="7" max="7" width="9.7265625" style="3" customWidth="1"/>
    <col min="8" max="9" width="11.7265625" style="3" customWidth="1"/>
    <col min="10" max="10" width="30.7265625" style="3" customWidth="1"/>
    <col min="11" max="12" width="9.26953125" style="3"/>
    <col min="13" max="13" width="43.7265625" style="3" customWidth="1"/>
    <col min="14" max="16384" width="9.26953125" style="3"/>
  </cols>
  <sheetData>
    <row r="1" spans="1:19" x14ac:dyDescent="0.35">
      <c r="A1" s="1172" t="s">
        <v>20</v>
      </c>
      <c r="B1" s="1172"/>
      <c r="C1" s="1168" t="s">
        <v>866</v>
      </c>
      <c r="D1" s="1168"/>
      <c r="E1" s="1168"/>
      <c r="F1" s="1168"/>
      <c r="G1" s="1168"/>
      <c r="H1" s="1168"/>
      <c r="I1" s="1168"/>
      <c r="J1" s="1168"/>
    </row>
    <row r="2" spans="1:19" x14ac:dyDescent="0.35">
      <c r="A2" s="1173" t="s">
        <v>21</v>
      </c>
      <c r="B2" s="1173"/>
      <c r="C2" s="1169"/>
      <c r="D2" s="1169"/>
      <c r="E2" s="1169"/>
      <c r="F2" s="1169"/>
      <c r="G2" s="1169"/>
      <c r="H2" s="1169"/>
      <c r="I2" s="1169"/>
      <c r="J2" s="1169"/>
    </row>
    <row r="3" spans="1:19" x14ac:dyDescent="0.35">
      <c r="A3" s="1173" t="s">
        <v>22</v>
      </c>
      <c r="B3" s="1173"/>
      <c r="C3" s="1169"/>
      <c r="D3" s="1169"/>
      <c r="E3" s="1169"/>
      <c r="F3" s="1169"/>
      <c r="G3" s="1169"/>
      <c r="H3" s="1169"/>
      <c r="I3" s="1169"/>
      <c r="J3" s="1169"/>
    </row>
    <row r="4" spans="1:19" x14ac:dyDescent="0.35">
      <c r="A4" s="1173" t="s">
        <v>23</v>
      </c>
      <c r="B4" s="1173"/>
      <c r="C4" s="1169"/>
      <c r="D4" s="1169"/>
      <c r="E4" s="1169"/>
      <c r="F4" s="1169"/>
      <c r="G4" s="1169"/>
      <c r="H4" s="1169"/>
      <c r="I4" s="1169"/>
      <c r="J4" s="1169"/>
    </row>
    <row r="5" spans="1:19" s="2" customFormat="1" x14ac:dyDescent="0.35">
      <c r="A5" s="1171" t="str">
        <f>'Customer Summary'!B61</f>
        <v>POC:</v>
      </c>
      <c r="B5" s="1171"/>
      <c r="C5" s="1170"/>
      <c r="D5" s="1170"/>
      <c r="E5" s="1170"/>
      <c r="F5" s="1170"/>
      <c r="G5" s="1170"/>
      <c r="H5" s="1170"/>
      <c r="I5" s="1170"/>
      <c r="J5" s="1170"/>
    </row>
    <row r="6" spans="1:19" x14ac:dyDescent="0.35">
      <c r="A6" s="556" t="s">
        <v>867</v>
      </c>
      <c r="B6" s="557" t="s">
        <v>868</v>
      </c>
      <c r="C6" s="557" t="s">
        <v>869</v>
      </c>
      <c r="D6" s="557" t="s">
        <v>870</v>
      </c>
      <c r="E6" s="557" t="s">
        <v>871</v>
      </c>
      <c r="F6" s="557" t="s">
        <v>872</v>
      </c>
      <c r="G6" s="557" t="s">
        <v>873</v>
      </c>
      <c r="H6" s="557" t="s">
        <v>874</v>
      </c>
      <c r="I6" s="557" t="s">
        <v>875</v>
      </c>
      <c r="J6" s="557" t="s">
        <v>876</v>
      </c>
    </row>
    <row r="7" spans="1:19" x14ac:dyDescent="0.35">
      <c r="A7" s="72"/>
      <c r="B7" s="72"/>
      <c r="C7" s="72"/>
      <c r="D7" s="72"/>
      <c r="E7" s="72"/>
      <c r="F7" s="72"/>
      <c r="G7" s="72"/>
      <c r="H7" s="72"/>
      <c r="I7" s="72"/>
      <c r="J7" s="34"/>
      <c r="N7" s="19"/>
      <c r="O7" s="19"/>
      <c r="P7" s="19"/>
      <c r="Q7" s="19"/>
      <c r="R7" s="19"/>
      <c r="S7" s="19"/>
    </row>
    <row r="8" spans="1:19" x14ac:dyDescent="0.35">
      <c r="A8" s="72"/>
      <c r="B8" s="72"/>
      <c r="C8" s="72"/>
      <c r="D8" s="72"/>
      <c r="E8" s="72"/>
      <c r="F8" s="72"/>
      <c r="G8" s="72"/>
      <c r="H8" s="72"/>
      <c r="I8" s="72"/>
      <c r="J8" s="34"/>
      <c r="N8" s="19"/>
      <c r="O8" s="19"/>
      <c r="P8" s="19"/>
      <c r="Q8" s="19"/>
      <c r="R8" s="19"/>
      <c r="S8" s="19"/>
    </row>
    <row r="9" spans="1:19" x14ac:dyDescent="0.35">
      <c r="A9" s="72"/>
      <c r="B9" s="72"/>
      <c r="C9" s="72"/>
      <c r="D9" s="72"/>
      <c r="E9" s="72"/>
      <c r="F9" s="72"/>
      <c r="G9" s="72"/>
      <c r="H9" s="72"/>
      <c r="I9" s="72"/>
      <c r="J9" s="34"/>
      <c r="N9" s="19"/>
      <c r="O9" s="19"/>
      <c r="P9" s="19"/>
      <c r="Q9" s="19"/>
      <c r="R9" s="19"/>
      <c r="S9" s="19"/>
    </row>
    <row r="10" spans="1:19" x14ac:dyDescent="0.35">
      <c r="A10" s="72"/>
      <c r="B10" s="72"/>
      <c r="C10" s="72"/>
      <c r="D10" s="72"/>
      <c r="E10" s="72"/>
      <c r="F10" s="72"/>
      <c r="G10" s="72"/>
      <c r="H10" s="72"/>
      <c r="I10" s="72"/>
      <c r="J10" s="34"/>
      <c r="N10" s="19"/>
      <c r="O10" s="19"/>
      <c r="P10" s="19"/>
      <c r="Q10" s="19"/>
      <c r="R10" s="19"/>
      <c r="S10" s="19"/>
    </row>
    <row r="11" spans="1:19" x14ac:dyDescent="0.35">
      <c r="A11" s="72"/>
      <c r="B11" s="72"/>
      <c r="C11" s="72"/>
      <c r="D11" s="72"/>
      <c r="E11" s="72"/>
      <c r="F11" s="72"/>
      <c r="G11" s="72"/>
      <c r="H11" s="72"/>
      <c r="I11" s="72"/>
      <c r="J11" s="34"/>
      <c r="N11" s="19"/>
      <c r="O11" s="19"/>
      <c r="P11" s="19"/>
      <c r="Q11" s="19"/>
      <c r="R11" s="19"/>
      <c r="S11" s="19"/>
    </row>
    <row r="12" spans="1:19" x14ac:dyDescent="0.35">
      <c r="A12" s="72"/>
      <c r="B12" s="72"/>
      <c r="C12" s="72"/>
      <c r="D12" s="72"/>
      <c r="E12" s="72"/>
      <c r="F12" s="72"/>
      <c r="G12" s="72"/>
      <c r="H12" s="72"/>
      <c r="I12" s="72"/>
      <c r="J12" s="34"/>
    </row>
    <row r="13" spans="1:19" x14ac:dyDescent="0.35">
      <c r="A13" s="72"/>
      <c r="B13" s="72"/>
      <c r="C13" s="72"/>
      <c r="D13" s="72"/>
      <c r="E13" s="72"/>
      <c r="F13" s="72"/>
      <c r="G13" s="72"/>
      <c r="H13" s="72"/>
      <c r="I13" s="72"/>
      <c r="J13" s="34"/>
    </row>
    <row r="14" spans="1:19" x14ac:dyDescent="0.35">
      <c r="A14" s="72"/>
      <c r="B14" s="72"/>
      <c r="C14" s="72"/>
      <c r="D14" s="72"/>
      <c r="E14" s="72"/>
      <c r="F14" s="72"/>
      <c r="G14" s="72"/>
      <c r="H14" s="72"/>
      <c r="I14" s="72"/>
      <c r="J14" s="34"/>
    </row>
    <row r="15" spans="1:19" x14ac:dyDescent="0.35">
      <c r="A15" s="72"/>
      <c r="B15" s="72"/>
      <c r="C15" s="72"/>
      <c r="D15" s="72"/>
      <c r="E15" s="72"/>
      <c r="F15" s="72"/>
      <c r="G15" s="72"/>
      <c r="H15" s="72"/>
      <c r="I15" s="72"/>
      <c r="J15" s="34"/>
    </row>
    <row r="16" spans="1:19" x14ac:dyDescent="0.35">
      <c r="A16" s="72"/>
      <c r="B16" s="72"/>
      <c r="C16" s="72"/>
      <c r="D16" s="72"/>
      <c r="E16" s="72"/>
      <c r="F16" s="72"/>
      <c r="G16" s="72"/>
      <c r="H16" s="72"/>
      <c r="I16" s="72"/>
      <c r="J16" s="34"/>
    </row>
    <row r="17" spans="1:10" x14ac:dyDescent="0.35">
      <c r="A17" s="72"/>
      <c r="B17" s="72"/>
      <c r="C17" s="72"/>
      <c r="D17" s="72"/>
      <c r="E17" s="72"/>
      <c r="F17" s="72"/>
      <c r="G17" s="72"/>
      <c r="H17" s="72"/>
      <c r="I17" s="72"/>
      <c r="J17" s="34"/>
    </row>
    <row r="18" spans="1:10" x14ac:dyDescent="0.35">
      <c r="A18" s="72"/>
      <c r="B18" s="72"/>
      <c r="C18" s="72"/>
      <c r="D18" s="72"/>
      <c r="E18" s="72"/>
      <c r="F18" s="72"/>
      <c r="G18" s="72"/>
      <c r="H18" s="72"/>
      <c r="I18" s="72"/>
      <c r="J18" s="34"/>
    </row>
    <row r="19" spans="1:10" x14ac:dyDescent="0.35">
      <c r="A19" s="72"/>
      <c r="B19" s="72"/>
      <c r="C19" s="72"/>
      <c r="D19" s="72"/>
      <c r="E19" s="72"/>
      <c r="F19" s="72"/>
      <c r="G19" s="72"/>
      <c r="H19" s="72"/>
      <c r="I19" s="72"/>
      <c r="J19" s="34"/>
    </row>
    <row r="20" spans="1:10" x14ac:dyDescent="0.35">
      <c r="A20" s="72"/>
      <c r="B20" s="72"/>
      <c r="C20" s="72"/>
      <c r="D20" s="72"/>
      <c r="E20" s="72"/>
      <c r="F20" s="72"/>
      <c r="G20" s="72"/>
      <c r="H20" s="72"/>
      <c r="I20" s="72"/>
      <c r="J20" s="34"/>
    </row>
    <row r="21" spans="1:10" x14ac:dyDescent="0.35">
      <c r="A21" s="72"/>
      <c r="B21" s="72"/>
      <c r="C21" s="72"/>
      <c r="D21" s="72"/>
      <c r="E21" s="72"/>
      <c r="F21" s="72"/>
      <c r="G21" s="72"/>
      <c r="H21" s="72"/>
      <c r="I21" s="72"/>
      <c r="J21" s="34"/>
    </row>
    <row r="22" spans="1:10" x14ac:dyDescent="0.35">
      <c r="A22" s="72"/>
      <c r="B22" s="72"/>
      <c r="C22" s="72"/>
      <c r="D22" s="72"/>
      <c r="E22" s="72"/>
      <c r="F22" s="72"/>
      <c r="G22" s="72"/>
      <c r="H22" s="72"/>
      <c r="I22" s="72"/>
      <c r="J22" s="34"/>
    </row>
    <row r="23" spans="1:10" x14ac:dyDescent="0.35">
      <c r="A23" s="72"/>
      <c r="B23" s="72"/>
      <c r="C23" s="72"/>
      <c r="D23" s="72"/>
      <c r="E23" s="72"/>
      <c r="F23" s="72"/>
      <c r="G23" s="72"/>
      <c r="H23" s="72"/>
      <c r="I23" s="72"/>
      <c r="J23" s="34"/>
    </row>
    <row r="24" spans="1:10" x14ac:dyDescent="0.35">
      <c r="A24" s="72"/>
      <c r="B24" s="72"/>
      <c r="C24" s="72"/>
      <c r="D24" s="72"/>
      <c r="E24" s="72"/>
      <c r="F24" s="72"/>
      <c r="G24" s="72"/>
      <c r="H24" s="72"/>
      <c r="I24" s="72"/>
      <c r="J24" s="34"/>
    </row>
    <row r="25" spans="1:10" x14ac:dyDescent="0.35">
      <c r="A25" s="72"/>
      <c r="B25" s="72"/>
      <c r="C25" s="72"/>
      <c r="D25" s="72"/>
      <c r="E25" s="72"/>
      <c r="F25" s="72"/>
      <c r="G25" s="72"/>
      <c r="H25" s="72"/>
      <c r="I25" s="72"/>
      <c r="J25" s="34"/>
    </row>
    <row r="26" spans="1:10" x14ac:dyDescent="0.35">
      <c r="A26" s="72"/>
      <c r="B26" s="72"/>
      <c r="C26" s="72"/>
      <c r="D26" s="72"/>
      <c r="E26" s="72"/>
      <c r="F26" s="72"/>
      <c r="G26" s="72"/>
      <c r="H26" s="72"/>
      <c r="I26" s="72"/>
      <c r="J26" s="34"/>
    </row>
    <row r="27" spans="1:10" x14ac:dyDescent="0.35">
      <c r="A27" s="72"/>
      <c r="B27" s="72"/>
      <c r="C27" s="72"/>
      <c r="D27" s="72"/>
      <c r="E27" s="72"/>
      <c r="F27" s="72"/>
      <c r="G27" s="72"/>
      <c r="H27" s="72"/>
      <c r="I27" s="72"/>
      <c r="J27" s="34"/>
    </row>
    <row r="28" spans="1:10" x14ac:dyDescent="0.35">
      <c r="A28" s="72"/>
      <c r="B28" s="72"/>
      <c r="C28" s="72"/>
      <c r="D28" s="72"/>
      <c r="E28" s="72"/>
      <c r="F28" s="72"/>
      <c r="G28" s="72"/>
      <c r="H28" s="72"/>
      <c r="I28" s="72"/>
      <c r="J28" s="34"/>
    </row>
    <row r="29" spans="1:10" x14ac:dyDescent="0.35">
      <c r="A29" s="72"/>
      <c r="B29" s="72"/>
      <c r="C29" s="72"/>
      <c r="D29" s="72"/>
      <c r="E29" s="72"/>
      <c r="F29" s="72"/>
      <c r="G29" s="72"/>
      <c r="H29" s="72"/>
      <c r="I29" s="72"/>
      <c r="J29" s="34"/>
    </row>
    <row r="30" spans="1:10" x14ac:dyDescent="0.35">
      <c r="A30" s="72"/>
      <c r="B30" s="72"/>
      <c r="C30" s="72"/>
      <c r="D30" s="72"/>
      <c r="E30" s="72"/>
      <c r="F30" s="72"/>
      <c r="G30" s="72"/>
      <c r="H30" s="72"/>
      <c r="I30" s="72"/>
      <c r="J30" s="34"/>
    </row>
    <row r="31" spans="1:10" x14ac:dyDescent="0.35">
      <c r="A31" s="72"/>
      <c r="B31" s="72"/>
      <c r="C31" s="72"/>
      <c r="D31" s="72"/>
      <c r="E31" s="72"/>
      <c r="F31" s="72"/>
      <c r="G31" s="72"/>
      <c r="H31" s="72"/>
      <c r="I31" s="72"/>
      <c r="J31" s="34"/>
    </row>
    <row r="32" spans="1:10" x14ac:dyDescent="0.35">
      <c r="A32" s="72"/>
      <c r="B32" s="72"/>
      <c r="C32" s="72"/>
      <c r="D32" s="72"/>
      <c r="E32" s="72"/>
      <c r="F32" s="72"/>
      <c r="G32" s="72"/>
      <c r="H32" s="72"/>
      <c r="I32" s="72"/>
      <c r="J32" s="34"/>
    </row>
    <row r="33" spans="1:10" x14ac:dyDescent="0.35">
      <c r="A33" s="72"/>
      <c r="B33" s="72"/>
      <c r="C33" s="72"/>
      <c r="D33" s="72"/>
      <c r="E33" s="72"/>
      <c r="F33" s="72"/>
      <c r="G33" s="72"/>
      <c r="H33" s="72"/>
      <c r="I33" s="72"/>
      <c r="J33" s="34"/>
    </row>
    <row r="34" spans="1:10" x14ac:dyDescent="0.35">
      <c r="A34" s="72"/>
      <c r="B34" s="72"/>
      <c r="C34" s="72"/>
      <c r="D34" s="72"/>
      <c r="E34" s="72"/>
      <c r="F34" s="72"/>
      <c r="G34" s="72"/>
      <c r="H34" s="72"/>
      <c r="I34" s="72"/>
      <c r="J34" s="34"/>
    </row>
    <row r="35" spans="1:10" x14ac:dyDescent="0.35">
      <c r="A35" s="72"/>
      <c r="B35" s="72"/>
      <c r="C35" s="72"/>
      <c r="D35" s="72"/>
      <c r="E35" s="72"/>
      <c r="F35" s="72"/>
      <c r="G35" s="72"/>
      <c r="H35" s="72"/>
      <c r="I35" s="72"/>
      <c r="J35" s="34"/>
    </row>
    <row r="36" spans="1:10" x14ac:dyDescent="0.35">
      <c r="A36" s="72"/>
      <c r="B36" s="72"/>
      <c r="C36" s="72"/>
      <c r="D36" s="72"/>
      <c r="E36" s="72"/>
      <c r="F36" s="72"/>
      <c r="G36" s="72"/>
      <c r="H36" s="72"/>
      <c r="I36" s="72"/>
      <c r="J36" s="34"/>
    </row>
    <row r="37" spans="1:10" x14ac:dyDescent="0.35">
      <c r="A37" s="72"/>
      <c r="B37" s="72"/>
      <c r="C37" s="72"/>
      <c r="D37" s="72"/>
      <c r="E37" s="72"/>
      <c r="F37" s="72"/>
      <c r="G37" s="72"/>
      <c r="H37" s="72"/>
      <c r="I37" s="72"/>
      <c r="J37" s="34"/>
    </row>
    <row r="38" spans="1:10" x14ac:dyDescent="0.35">
      <c r="A38" s="72"/>
      <c r="B38" s="72"/>
      <c r="C38" s="72"/>
      <c r="D38" s="72"/>
      <c r="E38" s="72"/>
      <c r="F38" s="72"/>
      <c r="G38" s="72"/>
      <c r="H38" s="72"/>
      <c r="I38" s="72"/>
      <c r="J38" s="34"/>
    </row>
    <row r="39" spans="1:10" x14ac:dyDescent="0.35">
      <c r="A39" s="72"/>
      <c r="B39" s="72"/>
      <c r="C39" s="72"/>
      <c r="D39" s="72"/>
      <c r="E39" s="72"/>
      <c r="F39" s="72"/>
      <c r="G39" s="72"/>
      <c r="H39" s="72"/>
      <c r="I39" s="72"/>
      <c r="J39" s="34"/>
    </row>
    <row r="40" spans="1:10" x14ac:dyDescent="0.35">
      <c r="A40" s="72"/>
      <c r="B40" s="72"/>
      <c r="C40" s="72"/>
      <c r="D40" s="72"/>
      <c r="E40" s="72"/>
      <c r="F40" s="72"/>
      <c r="G40" s="72"/>
      <c r="H40" s="72"/>
      <c r="I40" s="72"/>
      <c r="J40" s="34"/>
    </row>
    <row r="41" spans="1:10" x14ac:dyDescent="0.35">
      <c r="A41" s="72"/>
      <c r="B41" s="72"/>
      <c r="C41" s="72"/>
      <c r="D41" s="72"/>
      <c r="E41" s="72"/>
      <c r="F41" s="72"/>
      <c r="G41" s="72"/>
      <c r="H41" s="72"/>
      <c r="I41" s="72"/>
      <c r="J41" s="34"/>
    </row>
    <row r="42" spans="1:10" x14ac:dyDescent="0.35">
      <c r="A42" s="72"/>
      <c r="B42" s="72"/>
      <c r="C42" s="72"/>
      <c r="D42" s="72"/>
      <c r="E42" s="72"/>
      <c r="F42" s="72"/>
      <c r="G42" s="72"/>
      <c r="H42" s="72"/>
      <c r="I42" s="72"/>
      <c r="J42" s="34"/>
    </row>
    <row r="43" spans="1:10" x14ac:dyDescent="0.35">
      <c r="A43" s="72"/>
      <c r="B43" s="72"/>
      <c r="C43" s="72"/>
      <c r="D43" s="72"/>
      <c r="E43" s="72"/>
      <c r="F43" s="72"/>
      <c r="G43" s="72"/>
      <c r="H43" s="72"/>
      <c r="I43" s="72"/>
      <c r="J43" s="34"/>
    </row>
    <row r="44" spans="1:10" x14ac:dyDescent="0.35">
      <c r="A44" s="72"/>
      <c r="B44" s="72"/>
      <c r="C44" s="72"/>
      <c r="D44" s="72"/>
      <c r="E44" s="72"/>
      <c r="F44" s="72"/>
      <c r="G44" s="72"/>
      <c r="H44" s="72"/>
      <c r="I44" s="72"/>
      <c r="J44" s="34"/>
    </row>
    <row r="45" spans="1:10" x14ac:dyDescent="0.35">
      <c r="A45" s="72"/>
      <c r="B45" s="72"/>
      <c r="C45" s="72"/>
      <c r="D45" s="72"/>
      <c r="E45" s="72"/>
      <c r="F45" s="72"/>
      <c r="G45" s="72"/>
      <c r="H45" s="72"/>
      <c r="I45" s="72"/>
      <c r="J45" s="34"/>
    </row>
    <row r="46" spans="1:10" x14ac:dyDescent="0.35">
      <c r="A46" s="72"/>
      <c r="B46" s="72"/>
      <c r="C46" s="72"/>
      <c r="D46" s="72"/>
      <c r="E46" s="72"/>
      <c r="F46" s="72"/>
      <c r="G46" s="72"/>
      <c r="H46" s="72"/>
      <c r="I46" s="72"/>
      <c r="J46" s="34"/>
    </row>
    <row r="47" spans="1:10" x14ac:dyDescent="0.35">
      <c r="A47" s="72"/>
      <c r="B47" s="72"/>
      <c r="C47" s="72"/>
      <c r="D47" s="72"/>
      <c r="E47" s="72"/>
      <c r="F47" s="72"/>
      <c r="G47" s="72"/>
      <c r="H47" s="72"/>
      <c r="I47" s="72"/>
      <c r="J47" s="34"/>
    </row>
    <row r="48" spans="1:10" x14ac:dyDescent="0.35">
      <c r="A48" s="72"/>
      <c r="B48" s="72"/>
      <c r="C48" s="72"/>
      <c r="D48" s="72"/>
      <c r="E48" s="72"/>
      <c r="F48" s="72"/>
      <c r="G48" s="72"/>
      <c r="H48" s="72"/>
      <c r="I48" s="72"/>
      <c r="J48" s="34"/>
    </row>
    <row r="49" spans="1:10" x14ac:dyDescent="0.35">
      <c r="A49" s="72"/>
      <c r="B49" s="72"/>
      <c r="C49" s="72"/>
      <c r="D49" s="72"/>
      <c r="E49" s="72"/>
      <c r="F49" s="72"/>
      <c r="G49" s="72"/>
      <c r="H49" s="72"/>
      <c r="I49" s="72"/>
      <c r="J49" s="34"/>
    </row>
    <row r="50" spans="1:10" x14ac:dyDescent="0.35">
      <c r="A50" s="72"/>
      <c r="B50" s="72"/>
      <c r="C50" s="72"/>
      <c r="D50" s="72"/>
      <c r="E50" s="72"/>
      <c r="F50" s="72"/>
      <c r="G50" s="72"/>
      <c r="H50" s="72"/>
      <c r="I50" s="72"/>
      <c r="J50" s="34"/>
    </row>
    <row r="51" spans="1:10" x14ac:dyDescent="0.35">
      <c r="A51" s="72"/>
      <c r="B51" s="72"/>
      <c r="C51" s="72"/>
      <c r="D51" s="72"/>
      <c r="E51" s="72"/>
      <c r="F51" s="72"/>
      <c r="G51" s="72"/>
      <c r="H51" s="72"/>
      <c r="I51" s="72"/>
      <c r="J51" s="34"/>
    </row>
    <row r="52" spans="1:10" x14ac:dyDescent="0.35">
      <c r="A52" s="72"/>
      <c r="B52" s="72"/>
      <c r="C52" s="72"/>
      <c r="D52" s="72"/>
      <c r="E52" s="72"/>
      <c r="F52" s="72"/>
      <c r="G52" s="72"/>
      <c r="H52" s="72"/>
      <c r="I52" s="72"/>
      <c r="J52" s="34"/>
    </row>
    <row r="53" spans="1:10" x14ac:dyDescent="0.35">
      <c r="A53" s="72"/>
      <c r="B53" s="72"/>
      <c r="C53" s="72"/>
      <c r="D53" s="72"/>
      <c r="E53" s="72"/>
      <c r="F53" s="72"/>
      <c r="G53" s="72"/>
      <c r="H53" s="72"/>
      <c r="I53" s="72"/>
      <c r="J53" s="34"/>
    </row>
    <row r="54" spans="1:10" x14ac:dyDescent="0.35">
      <c r="A54" s="72"/>
      <c r="B54" s="72"/>
      <c r="C54" s="72"/>
      <c r="D54" s="72"/>
      <c r="E54" s="72"/>
      <c r="F54" s="72"/>
      <c r="G54" s="72"/>
      <c r="H54" s="72"/>
      <c r="I54" s="72"/>
      <c r="J54" s="34"/>
    </row>
    <row r="55" spans="1:10" x14ac:dyDescent="0.35">
      <c r="A55" s="72"/>
      <c r="B55" s="72"/>
      <c r="C55" s="72"/>
      <c r="D55" s="72"/>
      <c r="E55" s="72"/>
      <c r="F55" s="72"/>
      <c r="G55" s="72"/>
      <c r="H55" s="72"/>
      <c r="I55" s="72"/>
      <c r="J55" s="34"/>
    </row>
    <row r="56" spans="1:10" x14ac:dyDescent="0.35">
      <c r="A56" s="72"/>
      <c r="B56" s="72"/>
      <c r="C56" s="72"/>
      <c r="D56" s="72"/>
      <c r="E56" s="72"/>
      <c r="F56" s="72"/>
      <c r="G56" s="72"/>
      <c r="H56" s="72"/>
      <c r="I56" s="72"/>
      <c r="J56" s="34"/>
    </row>
    <row r="57" spans="1:10" x14ac:dyDescent="0.35">
      <c r="A57" s="72"/>
      <c r="B57" s="72"/>
      <c r="C57" s="72"/>
      <c r="D57" s="72"/>
      <c r="E57" s="72"/>
      <c r="F57" s="72"/>
      <c r="G57" s="72"/>
      <c r="H57" s="72"/>
      <c r="I57" s="72"/>
      <c r="J57" s="34"/>
    </row>
    <row r="58" spans="1:10" x14ac:dyDescent="0.35">
      <c r="A58" s="72"/>
      <c r="B58" s="72"/>
      <c r="C58" s="72"/>
      <c r="D58" s="72"/>
      <c r="E58" s="72"/>
      <c r="F58" s="72"/>
      <c r="G58" s="72"/>
      <c r="H58" s="72"/>
      <c r="I58" s="72"/>
      <c r="J58" s="34"/>
    </row>
    <row r="59" spans="1:10" x14ac:dyDescent="0.35">
      <c r="A59" s="72"/>
      <c r="B59" s="72"/>
      <c r="C59" s="72"/>
      <c r="D59" s="72"/>
      <c r="E59" s="72"/>
      <c r="F59" s="72"/>
      <c r="G59" s="72"/>
      <c r="H59" s="72"/>
      <c r="I59" s="72"/>
      <c r="J59" s="34"/>
    </row>
    <row r="60" spans="1:10" x14ac:dyDescent="0.35">
      <c r="A60" s="72"/>
      <c r="B60" s="72"/>
      <c r="C60" s="72"/>
      <c r="D60" s="72"/>
      <c r="E60" s="72"/>
      <c r="F60" s="72"/>
      <c r="G60" s="72"/>
      <c r="H60" s="72"/>
      <c r="I60" s="72"/>
      <c r="J60" s="34"/>
    </row>
    <row r="61" spans="1:10" x14ac:dyDescent="0.35">
      <c r="A61" s="72"/>
      <c r="B61" s="72"/>
      <c r="C61" s="72"/>
      <c r="D61" s="72"/>
      <c r="E61" s="72"/>
      <c r="F61" s="72"/>
      <c r="G61" s="72"/>
      <c r="H61" s="72"/>
      <c r="I61" s="72"/>
      <c r="J61" s="34"/>
    </row>
    <row r="62" spans="1:10" x14ac:dyDescent="0.35">
      <c r="A62" s="72"/>
      <c r="B62" s="72"/>
      <c r="C62" s="72"/>
      <c r="D62" s="72"/>
      <c r="E62" s="72"/>
      <c r="F62" s="72"/>
      <c r="G62" s="72"/>
      <c r="H62" s="72"/>
      <c r="I62" s="72"/>
      <c r="J62" s="34"/>
    </row>
    <row r="63" spans="1:10" x14ac:dyDescent="0.35">
      <c r="A63" s="72"/>
      <c r="B63" s="72"/>
      <c r="C63" s="72"/>
      <c r="D63" s="72"/>
      <c r="E63" s="72"/>
      <c r="F63" s="72"/>
      <c r="G63" s="72"/>
      <c r="H63" s="72"/>
      <c r="I63" s="72"/>
      <c r="J63" s="34"/>
    </row>
    <row r="64" spans="1:10" x14ac:dyDescent="0.35">
      <c r="A64" s="72"/>
      <c r="B64" s="72"/>
      <c r="C64" s="72"/>
      <c r="D64" s="72"/>
      <c r="E64" s="72"/>
      <c r="F64" s="72"/>
      <c r="G64" s="72"/>
      <c r="H64" s="72"/>
      <c r="I64" s="72"/>
      <c r="J64" s="34"/>
    </row>
    <row r="65" spans="1:10" x14ac:dyDescent="0.35">
      <c r="A65" s="72"/>
      <c r="B65" s="72"/>
      <c r="C65" s="72"/>
      <c r="D65" s="72"/>
      <c r="E65" s="72"/>
      <c r="F65" s="72"/>
      <c r="G65" s="72"/>
      <c r="H65" s="72"/>
      <c r="I65" s="72"/>
      <c r="J65" s="34"/>
    </row>
    <row r="66" spans="1:10" x14ac:dyDescent="0.35">
      <c r="A66" s="72"/>
      <c r="B66" s="72"/>
      <c r="C66" s="72"/>
      <c r="D66" s="72"/>
      <c r="E66" s="72"/>
      <c r="F66" s="72"/>
      <c r="G66" s="72"/>
      <c r="H66" s="72"/>
      <c r="I66" s="72"/>
      <c r="J66" s="34"/>
    </row>
    <row r="67" spans="1:10" x14ac:dyDescent="0.35">
      <c r="A67" s="72"/>
      <c r="B67" s="72"/>
      <c r="C67" s="72"/>
      <c r="D67" s="72"/>
      <c r="E67" s="72"/>
      <c r="F67" s="72"/>
      <c r="G67" s="72"/>
      <c r="H67" s="72"/>
      <c r="I67" s="72"/>
      <c r="J67" s="34"/>
    </row>
    <row r="68" spans="1:10" x14ac:dyDescent="0.35">
      <c r="A68" s="72"/>
      <c r="B68" s="72"/>
      <c r="C68" s="72"/>
      <c r="D68" s="72"/>
      <c r="E68" s="72"/>
      <c r="F68" s="72"/>
      <c r="G68" s="72"/>
      <c r="H68" s="72"/>
      <c r="I68" s="72"/>
      <c r="J68" s="34"/>
    </row>
    <row r="69" spans="1:10" x14ac:dyDescent="0.35">
      <c r="A69" s="72"/>
      <c r="B69" s="72"/>
      <c r="C69" s="72"/>
      <c r="D69" s="72"/>
      <c r="E69" s="72"/>
      <c r="F69" s="72"/>
      <c r="G69" s="72"/>
      <c r="H69" s="72"/>
      <c r="I69" s="72"/>
      <c r="J69" s="34"/>
    </row>
    <row r="70" spans="1:10" x14ac:dyDescent="0.35">
      <c r="A70" s="72"/>
      <c r="B70" s="72"/>
      <c r="C70" s="72"/>
      <c r="D70" s="72"/>
      <c r="E70" s="72"/>
      <c r="F70" s="72"/>
      <c r="G70" s="72"/>
      <c r="H70" s="72"/>
      <c r="I70" s="72"/>
      <c r="J70" s="34"/>
    </row>
    <row r="71" spans="1:10" x14ac:dyDescent="0.35">
      <c r="A71" s="72"/>
      <c r="B71" s="72"/>
      <c r="C71" s="72"/>
      <c r="D71" s="72"/>
      <c r="E71" s="72"/>
      <c r="F71" s="72"/>
      <c r="G71" s="72"/>
      <c r="H71" s="72"/>
      <c r="I71" s="72"/>
      <c r="J71" s="34"/>
    </row>
  </sheetData>
  <mergeCells count="6">
    <mergeCell ref="C1:J5"/>
    <mergeCell ref="A5:B5"/>
    <mergeCell ref="A1:B1"/>
    <mergeCell ref="A2:B2"/>
    <mergeCell ref="A3:B3"/>
    <mergeCell ref="A4:B4"/>
  </mergeCell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21E40-01EF-4E0A-896E-3EC0B477555C}">
  <sheetPr>
    <tabColor rgb="FFFFFF99"/>
    <pageSetUpPr fitToPage="1"/>
  </sheetPr>
  <dimension ref="A1:M13"/>
  <sheetViews>
    <sheetView zoomScaleNormal="100" workbookViewId="0">
      <selection activeCell="G1" sqref="G1"/>
    </sheetView>
  </sheetViews>
  <sheetFormatPr defaultColWidth="9.26953125" defaultRowHeight="14.5" x14ac:dyDescent="0.35"/>
  <cols>
    <col min="1" max="1" width="23.1796875" style="1" customWidth="1"/>
    <col min="2" max="2" width="25.54296875" style="1" customWidth="1"/>
    <col min="3" max="3" width="23.1796875" style="1" customWidth="1"/>
    <col min="4" max="4" width="23.1796875" style="2" customWidth="1"/>
    <col min="5" max="5" width="12.81640625" style="1" customWidth="1"/>
    <col min="7" max="7" width="11.453125" customWidth="1"/>
    <col min="8" max="8" width="79.26953125" customWidth="1"/>
    <col min="14" max="16384" width="9.26953125" style="1"/>
  </cols>
  <sheetData>
    <row r="1" spans="1:8" s="5" customFormat="1" ht="21" customHeight="1" x14ac:dyDescent="0.35">
      <c r="A1" s="675" t="s">
        <v>20</v>
      </c>
      <c r="B1" s="675"/>
      <c r="C1" s="36"/>
      <c r="D1" s="36"/>
      <c r="E1" s="37"/>
      <c r="F1" s="36" t="s">
        <v>106</v>
      </c>
      <c r="G1" s="37" t="s">
        <v>3</v>
      </c>
      <c r="H1" s="79"/>
    </row>
    <row r="2" spans="1:8" ht="21" customHeight="1" x14ac:dyDescent="0.35">
      <c r="A2" s="676" t="s">
        <v>21</v>
      </c>
      <c r="B2" s="676"/>
      <c r="C2" s="38"/>
      <c r="D2" s="36"/>
      <c r="E2" s="37"/>
      <c r="F2" s="36" t="s">
        <v>107</v>
      </c>
      <c r="G2" s="37" t="str">
        <f>VLOOKUP(G1,'Sheet References'!L:M,2,FALSE)</f>
        <v>CATCode Long Name</v>
      </c>
      <c r="H2" s="79"/>
    </row>
    <row r="3" spans="1:8" ht="21" customHeight="1" x14ac:dyDescent="0.35">
      <c r="A3" s="676" t="s">
        <v>22</v>
      </c>
      <c r="B3" s="676"/>
      <c r="C3" s="36"/>
      <c r="D3" s="36"/>
      <c r="E3" s="37"/>
      <c r="F3" s="36" t="s">
        <v>108</v>
      </c>
      <c r="G3" s="37" t="str">
        <f>VLOOKUP(G1,'Sheet References'!L:O,4,FALSE)</f>
        <v>Standards/Criteria Reference (if available)</v>
      </c>
      <c r="H3" s="79"/>
    </row>
    <row r="4" spans="1:8" ht="21" customHeight="1" x14ac:dyDescent="0.35">
      <c r="A4" s="676" t="s">
        <v>23</v>
      </c>
      <c r="B4" s="676"/>
      <c r="C4" s="24"/>
      <c r="D4" s="76"/>
      <c r="E4" s="37"/>
      <c r="F4" s="37" t="str">
        <f>'Customer Summary'!A2</f>
        <v>## Force Support Squadron (## FSS)</v>
      </c>
      <c r="G4" s="79"/>
      <c r="H4" s="79"/>
    </row>
    <row r="5" spans="1:8" ht="21" customHeight="1" x14ac:dyDescent="0.35">
      <c r="A5" s="677" t="str">
        <f>'Customer Summary'!B61</f>
        <v>POC:</v>
      </c>
      <c r="B5" s="677"/>
      <c r="C5" s="24"/>
      <c r="D5" s="24"/>
      <c r="E5" s="37"/>
      <c r="F5" s="37" t="s">
        <v>109</v>
      </c>
      <c r="G5" s="79"/>
      <c r="H5" s="79"/>
    </row>
    <row r="6" spans="1:8" ht="21" customHeight="1" x14ac:dyDescent="0.35">
      <c r="A6" s="750" t="s">
        <v>243</v>
      </c>
      <c r="B6" s="751"/>
      <c r="C6" s="751"/>
      <c r="D6" s="752"/>
      <c r="E6" s="39" t="s">
        <v>244</v>
      </c>
      <c r="F6" s="39" t="s">
        <v>115</v>
      </c>
      <c r="G6" s="40" t="s">
        <v>116</v>
      </c>
      <c r="H6" s="80" t="s">
        <v>877</v>
      </c>
    </row>
    <row r="7" spans="1:8" ht="21" customHeight="1" x14ac:dyDescent="0.35">
      <c r="A7" s="754" t="s">
        <v>878</v>
      </c>
      <c r="B7" s="678"/>
      <c r="C7" s="678"/>
      <c r="D7" s="678"/>
      <c r="E7" s="678"/>
      <c r="F7" s="678"/>
      <c r="G7" s="755"/>
      <c r="H7" s="75"/>
    </row>
    <row r="8" spans="1:8" customFormat="1" ht="30.65" customHeight="1" x14ac:dyDescent="0.35">
      <c r="A8" s="756" t="s">
        <v>879</v>
      </c>
      <c r="B8" s="743"/>
      <c r="C8" s="743"/>
      <c r="D8" s="743"/>
      <c r="E8" s="42"/>
      <c r="F8" s="68"/>
      <c r="G8" s="45">
        <f>E8*F8</f>
        <v>0</v>
      </c>
      <c r="H8" s="35" t="s">
        <v>880</v>
      </c>
    </row>
    <row r="9" spans="1:8" customFormat="1" ht="30.65" customHeight="1" x14ac:dyDescent="0.35">
      <c r="A9" s="756" t="s">
        <v>879</v>
      </c>
      <c r="B9" s="743"/>
      <c r="C9" s="743"/>
      <c r="D9" s="743"/>
      <c r="E9" s="42"/>
      <c r="F9" s="68"/>
      <c r="G9" s="45">
        <f>E9*F9</f>
        <v>0</v>
      </c>
      <c r="H9" s="35" t="s">
        <v>880</v>
      </c>
    </row>
    <row r="10" spans="1:8" customFormat="1" ht="30.65" customHeight="1" x14ac:dyDescent="0.35">
      <c r="A10" s="753" t="s">
        <v>257</v>
      </c>
      <c r="B10" s="743"/>
      <c r="C10" s="743"/>
      <c r="D10" s="743"/>
      <c r="E10" s="42"/>
      <c r="F10" s="68"/>
      <c r="G10" s="45">
        <f>E10*F10</f>
        <v>0</v>
      </c>
      <c r="H10" s="46"/>
    </row>
    <row r="11" spans="1:8" customFormat="1" ht="30.65" customHeight="1" x14ac:dyDescent="0.35">
      <c r="A11" s="753" t="s">
        <v>257</v>
      </c>
      <c r="B11" s="743"/>
      <c r="C11" s="743"/>
      <c r="D11" s="743"/>
      <c r="E11" s="42"/>
      <c r="F11" s="68"/>
      <c r="G11" s="45">
        <f>E11*F11</f>
        <v>0</v>
      </c>
      <c r="H11" s="46"/>
    </row>
    <row r="12" spans="1:8" customFormat="1" x14ac:dyDescent="0.35">
      <c r="A12" s="757" t="s">
        <v>881</v>
      </c>
      <c r="B12" s="757"/>
      <c r="C12" s="757"/>
      <c r="D12" s="757"/>
      <c r="E12" s="48" t="s">
        <v>126</v>
      </c>
      <c r="F12" s="65"/>
      <c r="G12" s="51">
        <f>SUM(G8:G11)</f>
        <v>0</v>
      </c>
      <c r="H12" s="35"/>
    </row>
    <row r="13" spans="1:8" customFormat="1" x14ac:dyDescent="0.35">
      <c r="A13" s="1"/>
      <c r="B13" s="6"/>
      <c r="C13" s="7"/>
      <c r="D13" s="8"/>
      <c r="E13" s="1"/>
    </row>
  </sheetData>
  <mergeCells count="12">
    <mergeCell ref="A6:D6"/>
    <mergeCell ref="A12:D12"/>
    <mergeCell ref="A1:B1"/>
    <mergeCell ref="A2:B2"/>
    <mergeCell ref="A3:B3"/>
    <mergeCell ref="A4:B4"/>
    <mergeCell ref="A5:B5"/>
    <mergeCell ref="A8:D8"/>
    <mergeCell ref="A9:D9"/>
    <mergeCell ref="A10:D10"/>
    <mergeCell ref="A11:D11"/>
    <mergeCell ref="A7:G7"/>
  </mergeCells>
  <hyperlinks>
    <hyperlink ref="H6" r:id="rId1" display="WBDG - AFMAN 32-1084" xr:uid="{B5847A49-7A39-4D5A-BFB8-284688F1B52A}"/>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A91F856-2866-4DA5-85D0-7507D660BC38}">
          <x14:formula1>
            <xm:f>'Sheet References'!$L$1:$L$877</xm:f>
          </x14:formula1>
          <xm:sqref>E1 G1</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V1010"/>
  <sheetViews>
    <sheetView topLeftCell="F1" workbookViewId="0">
      <pane ySplit="1" topLeftCell="A1006" activePane="bottomLeft" state="frozen"/>
      <selection pane="bottomLeft" activeCell="O6" sqref="O6"/>
    </sheetView>
  </sheetViews>
  <sheetFormatPr defaultColWidth="8.7265625" defaultRowHeight="14.5" x14ac:dyDescent="0.35"/>
  <cols>
    <col min="1" max="1" width="35" bestFit="1" customWidth="1"/>
    <col min="2" max="2" width="20.453125" customWidth="1"/>
    <col min="5" max="5" width="14.7265625" bestFit="1" customWidth="1"/>
    <col min="8" max="8" width="55.54296875" customWidth="1"/>
    <col min="9" max="9" width="16.26953125" customWidth="1"/>
    <col min="12" max="12" width="13.453125" style="9" bestFit="1" customWidth="1"/>
    <col min="13" max="13" width="66" bestFit="1" customWidth="1"/>
    <col min="14" max="14" width="66" customWidth="1"/>
    <col min="15" max="15" width="66" style="26" customWidth="1"/>
    <col min="17" max="17" width="14.26953125" style="9" customWidth="1"/>
    <col min="18" max="18" width="12" style="9" customWidth="1"/>
    <col min="19" max="19" width="16.453125" style="9" customWidth="1"/>
    <col min="20" max="21" width="12.26953125" style="9" customWidth="1"/>
    <col min="22" max="22" width="13.7265625" style="9" customWidth="1"/>
  </cols>
  <sheetData>
    <row r="1" spans="1:22" x14ac:dyDescent="0.35">
      <c r="A1" s="17" t="s">
        <v>112</v>
      </c>
      <c r="B1" s="17" t="s">
        <v>882</v>
      </c>
      <c r="E1" s="22" t="s">
        <v>272</v>
      </c>
      <c r="H1" s="20" t="s">
        <v>289</v>
      </c>
      <c r="I1" s="21" t="s">
        <v>883</v>
      </c>
      <c r="L1" s="110" t="s">
        <v>3</v>
      </c>
      <c r="M1" s="111" t="s">
        <v>884</v>
      </c>
      <c r="N1" s="111" t="s">
        <v>885</v>
      </c>
      <c r="O1" s="112" t="s">
        <v>886</v>
      </c>
      <c r="P1" t="s">
        <v>887</v>
      </c>
      <c r="Q1" s="11" t="s">
        <v>888</v>
      </c>
      <c r="R1" s="12" t="s">
        <v>889</v>
      </c>
      <c r="S1" s="12" t="s">
        <v>890</v>
      </c>
      <c r="T1" s="12" t="s">
        <v>891</v>
      </c>
      <c r="U1" s="13" t="s">
        <v>892</v>
      </c>
      <c r="V1" s="12" t="s">
        <v>893</v>
      </c>
    </row>
    <row r="2" spans="1:22" ht="42" x14ac:dyDescent="0.35">
      <c r="A2" t="s">
        <v>894</v>
      </c>
      <c r="B2">
        <v>300</v>
      </c>
      <c r="E2" t="s">
        <v>895</v>
      </c>
      <c r="H2" t="s">
        <v>399</v>
      </c>
      <c r="I2" s="3" t="s">
        <v>896</v>
      </c>
      <c r="L2" s="544">
        <v>111111</v>
      </c>
      <c r="M2" s="545" t="s">
        <v>897</v>
      </c>
      <c r="N2" s="89" t="s">
        <v>898</v>
      </c>
      <c r="O2" s="89" t="s">
        <v>899</v>
      </c>
      <c r="P2" t="s">
        <v>887</v>
      </c>
      <c r="Q2" s="14">
        <v>0</v>
      </c>
      <c r="R2" s="27"/>
      <c r="S2" s="27"/>
      <c r="T2" s="27"/>
      <c r="U2" s="27"/>
      <c r="V2" s="14">
        <v>0</v>
      </c>
    </row>
    <row r="3" spans="1:22" ht="42" x14ac:dyDescent="0.35">
      <c r="A3" t="s">
        <v>900</v>
      </c>
      <c r="B3">
        <v>160</v>
      </c>
      <c r="E3" t="s">
        <v>901</v>
      </c>
      <c r="H3" t="s">
        <v>281</v>
      </c>
      <c r="I3" s="3">
        <v>8</v>
      </c>
      <c r="L3" s="544">
        <v>111115</v>
      </c>
      <c r="M3" s="545" t="s">
        <v>902</v>
      </c>
      <c r="N3" s="89" t="s">
        <v>903</v>
      </c>
      <c r="O3" s="89" t="s">
        <v>904</v>
      </c>
      <c r="P3" t="s">
        <v>887</v>
      </c>
      <c r="Q3" s="14">
        <v>1</v>
      </c>
      <c r="R3" s="14">
        <v>9</v>
      </c>
      <c r="S3" s="14"/>
      <c r="T3" s="14"/>
      <c r="U3" s="14"/>
      <c r="V3" s="14">
        <v>150</v>
      </c>
    </row>
    <row r="4" spans="1:22" ht="56" x14ac:dyDescent="0.35">
      <c r="A4" t="s">
        <v>122</v>
      </c>
      <c r="B4">
        <v>140</v>
      </c>
      <c r="E4" t="s">
        <v>905</v>
      </c>
      <c r="H4" t="s">
        <v>906</v>
      </c>
      <c r="I4" s="3">
        <v>15</v>
      </c>
      <c r="L4" s="544">
        <v>111310</v>
      </c>
      <c r="M4" s="545" t="s">
        <v>907</v>
      </c>
      <c r="N4" s="89" t="s">
        <v>908</v>
      </c>
      <c r="O4" s="89" t="s">
        <v>909</v>
      </c>
      <c r="P4" t="s">
        <v>887</v>
      </c>
      <c r="Q4" s="9">
        <v>10</v>
      </c>
      <c r="R4" s="9">
        <v>49</v>
      </c>
      <c r="S4" s="9">
        <v>10</v>
      </c>
      <c r="T4" s="9">
        <v>150</v>
      </c>
      <c r="U4" s="9">
        <v>0</v>
      </c>
      <c r="V4" s="9">
        <v>150</v>
      </c>
    </row>
    <row r="5" spans="1:22" ht="42" x14ac:dyDescent="0.35">
      <c r="A5" t="s">
        <v>910</v>
      </c>
      <c r="B5">
        <v>100</v>
      </c>
      <c r="E5" t="s">
        <v>911</v>
      </c>
      <c r="H5" t="s">
        <v>285</v>
      </c>
      <c r="I5" s="3">
        <v>3</v>
      </c>
      <c r="L5" s="544">
        <v>111411</v>
      </c>
      <c r="M5" s="545" t="s">
        <v>912</v>
      </c>
      <c r="N5" s="89" t="s">
        <v>913</v>
      </c>
      <c r="O5" s="89" t="s">
        <v>914</v>
      </c>
      <c r="P5" t="s">
        <v>887</v>
      </c>
      <c r="Q5" s="9">
        <v>50</v>
      </c>
      <c r="R5" s="9">
        <v>99</v>
      </c>
      <c r="S5" s="9">
        <v>10</v>
      </c>
      <c r="T5" s="9">
        <v>150</v>
      </c>
      <c r="U5" s="9">
        <v>500</v>
      </c>
      <c r="V5" s="9">
        <v>650</v>
      </c>
    </row>
    <row r="6" spans="1:22" ht="84" x14ac:dyDescent="0.35">
      <c r="A6" t="s">
        <v>915</v>
      </c>
      <c r="B6">
        <v>65</v>
      </c>
      <c r="E6" t="s">
        <v>916</v>
      </c>
      <c r="H6" t="s">
        <v>382</v>
      </c>
      <c r="I6" s="3">
        <v>25</v>
      </c>
      <c r="L6" s="544">
        <v>111500</v>
      </c>
      <c r="M6" s="545" t="s">
        <v>917</v>
      </c>
      <c r="N6" s="89" t="s">
        <v>918</v>
      </c>
      <c r="O6" s="89" t="s">
        <v>909</v>
      </c>
      <c r="P6" t="s">
        <v>887</v>
      </c>
      <c r="Q6" s="9">
        <v>100</v>
      </c>
      <c r="R6" s="9">
        <v>149</v>
      </c>
      <c r="S6" s="9">
        <v>20</v>
      </c>
      <c r="T6" s="9">
        <v>300</v>
      </c>
      <c r="U6" s="9">
        <v>1150</v>
      </c>
      <c r="V6" s="9">
        <v>1450</v>
      </c>
    </row>
    <row r="7" spans="1:22" ht="70" x14ac:dyDescent="0.35">
      <c r="A7" t="s">
        <v>133</v>
      </c>
      <c r="B7">
        <v>36</v>
      </c>
      <c r="E7" t="s">
        <v>919</v>
      </c>
      <c r="H7" t="s">
        <v>379</v>
      </c>
      <c r="I7" s="3">
        <v>30</v>
      </c>
      <c r="L7" s="544">
        <v>112210</v>
      </c>
      <c r="M7" s="545" t="s">
        <v>920</v>
      </c>
      <c r="N7" s="89" t="s">
        <v>921</v>
      </c>
      <c r="O7" s="89" t="s">
        <v>909</v>
      </c>
      <c r="P7" t="s">
        <v>887</v>
      </c>
      <c r="Q7" s="9">
        <v>150</v>
      </c>
      <c r="R7" s="9">
        <v>249</v>
      </c>
      <c r="S7" s="9">
        <v>30</v>
      </c>
      <c r="T7" s="9">
        <v>450</v>
      </c>
      <c r="U7" s="9">
        <v>1350</v>
      </c>
      <c r="V7" s="9">
        <v>1800</v>
      </c>
    </row>
    <row r="8" spans="1:22" ht="42" x14ac:dyDescent="0.35">
      <c r="A8" t="s">
        <v>922</v>
      </c>
      <c r="B8">
        <v>36</v>
      </c>
      <c r="E8" t="s">
        <v>923</v>
      </c>
      <c r="G8" t="s">
        <v>924</v>
      </c>
      <c r="H8" t="s">
        <v>925</v>
      </c>
      <c r="I8" s="3">
        <v>40</v>
      </c>
      <c r="L8" s="544">
        <v>112211</v>
      </c>
      <c r="M8" s="545" t="s">
        <v>926</v>
      </c>
      <c r="N8" s="89" t="s">
        <v>927</v>
      </c>
      <c r="O8" s="89" t="s">
        <v>928</v>
      </c>
      <c r="P8" t="s">
        <v>887</v>
      </c>
      <c r="Q8" s="9">
        <v>250</v>
      </c>
      <c r="R8" s="9">
        <v>349</v>
      </c>
      <c r="S8" s="9">
        <v>40</v>
      </c>
      <c r="T8" s="9">
        <v>600</v>
      </c>
      <c r="U8" s="9">
        <v>1550</v>
      </c>
      <c r="V8" s="9">
        <v>2150</v>
      </c>
    </row>
    <row r="9" spans="1:22" ht="28" x14ac:dyDescent="0.35">
      <c r="A9" t="s">
        <v>929</v>
      </c>
      <c r="B9">
        <v>20</v>
      </c>
      <c r="E9" t="s">
        <v>930</v>
      </c>
      <c r="H9" t="s">
        <v>931</v>
      </c>
      <c r="I9" s="3">
        <v>100</v>
      </c>
      <c r="L9" s="544">
        <v>113321</v>
      </c>
      <c r="M9" s="545" t="s">
        <v>932</v>
      </c>
      <c r="N9" s="89" t="s">
        <v>933</v>
      </c>
      <c r="O9" s="89" t="s">
        <v>934</v>
      </c>
      <c r="P9" t="s">
        <v>887</v>
      </c>
      <c r="Q9" s="9">
        <v>350</v>
      </c>
      <c r="R9" s="9">
        <v>449</v>
      </c>
      <c r="S9" s="9">
        <v>50</v>
      </c>
      <c r="T9" s="9">
        <v>750</v>
      </c>
      <c r="U9" s="9">
        <v>1750</v>
      </c>
      <c r="V9" s="9">
        <v>2500</v>
      </c>
    </row>
    <row r="10" spans="1:22" ht="28" x14ac:dyDescent="0.35">
      <c r="A10" t="s">
        <v>935</v>
      </c>
      <c r="B10">
        <v>10</v>
      </c>
      <c r="E10" t="s">
        <v>936</v>
      </c>
      <c r="H10" t="s">
        <v>937</v>
      </c>
      <c r="I10" s="3" t="s">
        <v>938</v>
      </c>
      <c r="L10" s="544">
        <v>116116</v>
      </c>
      <c r="M10" s="545" t="s">
        <v>939</v>
      </c>
      <c r="N10" s="89" t="s">
        <v>940</v>
      </c>
      <c r="O10" s="89" t="s">
        <v>941</v>
      </c>
      <c r="P10" t="s">
        <v>887</v>
      </c>
      <c r="Q10" s="9">
        <v>450</v>
      </c>
      <c r="R10" s="9">
        <v>549</v>
      </c>
      <c r="S10" s="9">
        <v>60</v>
      </c>
      <c r="T10" s="9">
        <v>900</v>
      </c>
      <c r="U10" s="9">
        <v>1950</v>
      </c>
      <c r="V10" s="9">
        <v>2850</v>
      </c>
    </row>
    <row r="11" spans="1:22" ht="28" x14ac:dyDescent="0.35">
      <c r="E11" t="s">
        <v>942</v>
      </c>
      <c r="H11" t="s">
        <v>943</v>
      </c>
      <c r="I11" s="3">
        <v>20</v>
      </c>
      <c r="L11" s="546">
        <v>116150</v>
      </c>
      <c r="M11" s="545" t="s">
        <v>944</v>
      </c>
      <c r="N11" s="89" t="s">
        <v>945</v>
      </c>
      <c r="O11" s="89" t="s">
        <v>909</v>
      </c>
      <c r="P11" t="s">
        <v>887</v>
      </c>
      <c r="Q11" s="9">
        <v>550</v>
      </c>
      <c r="R11" s="9">
        <v>649</v>
      </c>
      <c r="S11" s="9">
        <v>70</v>
      </c>
      <c r="T11" s="9">
        <v>1050</v>
      </c>
      <c r="U11" s="9">
        <v>2150</v>
      </c>
      <c r="V11" s="9">
        <v>3200</v>
      </c>
    </row>
    <row r="12" spans="1:22" ht="28" x14ac:dyDescent="0.35">
      <c r="A12" t="s">
        <v>946</v>
      </c>
      <c r="E12" t="s">
        <v>947</v>
      </c>
      <c r="H12" t="s">
        <v>948</v>
      </c>
      <c r="I12" s="3">
        <v>150</v>
      </c>
      <c r="L12" s="544">
        <v>116401</v>
      </c>
      <c r="M12" s="545" t="s">
        <v>949</v>
      </c>
      <c r="N12" s="89" t="s">
        <v>950</v>
      </c>
      <c r="O12" s="89" t="s">
        <v>951</v>
      </c>
      <c r="P12" t="s">
        <v>887</v>
      </c>
      <c r="Q12" s="9">
        <v>650</v>
      </c>
      <c r="R12" s="9">
        <v>749</v>
      </c>
      <c r="S12" s="9">
        <v>80</v>
      </c>
      <c r="T12" s="9">
        <v>1200</v>
      </c>
      <c r="U12" s="9">
        <v>2350</v>
      </c>
      <c r="V12" s="9">
        <v>3550</v>
      </c>
    </row>
    <row r="13" spans="1:22" ht="112" x14ac:dyDescent="0.35">
      <c r="A13" t="s">
        <v>952</v>
      </c>
      <c r="B13" t="s">
        <v>112</v>
      </c>
      <c r="E13" t="s">
        <v>953</v>
      </c>
      <c r="H13" t="s">
        <v>377</v>
      </c>
      <c r="I13" s="3">
        <v>80</v>
      </c>
      <c r="L13" s="544">
        <v>116402</v>
      </c>
      <c r="M13" s="545" t="s">
        <v>954</v>
      </c>
      <c r="N13" s="89" t="s">
        <v>955</v>
      </c>
      <c r="O13" s="89" t="s">
        <v>956</v>
      </c>
      <c r="P13" t="s">
        <v>887</v>
      </c>
      <c r="Q13" s="9">
        <v>750</v>
      </c>
      <c r="R13" s="9">
        <v>849</v>
      </c>
      <c r="S13" s="9">
        <v>90</v>
      </c>
      <c r="T13" s="9">
        <v>1350</v>
      </c>
      <c r="U13" s="9">
        <v>2550</v>
      </c>
      <c r="V13" s="9">
        <v>3900</v>
      </c>
    </row>
    <row r="14" spans="1:22" ht="15.5" x14ac:dyDescent="0.35">
      <c r="A14" t="s">
        <v>957</v>
      </c>
      <c r="B14" t="s">
        <v>122</v>
      </c>
      <c r="E14" t="s">
        <v>958</v>
      </c>
      <c r="H14" t="s">
        <v>959</v>
      </c>
      <c r="I14" s="3">
        <v>40</v>
      </c>
      <c r="L14" s="544">
        <v>116642</v>
      </c>
      <c r="M14" s="545" t="s">
        <v>960</v>
      </c>
      <c r="N14" s="89" t="s">
        <v>961</v>
      </c>
      <c r="O14" s="89" t="s">
        <v>962</v>
      </c>
      <c r="P14" t="s">
        <v>887</v>
      </c>
      <c r="Q14" s="9">
        <v>850</v>
      </c>
      <c r="R14" s="9">
        <v>949</v>
      </c>
      <c r="S14" s="9">
        <v>100</v>
      </c>
      <c r="T14" s="9">
        <v>1500</v>
      </c>
      <c r="U14" s="9">
        <v>2750</v>
      </c>
      <c r="V14" s="9">
        <v>4250</v>
      </c>
    </row>
    <row r="15" spans="1:22" ht="28" x14ac:dyDescent="0.35">
      <c r="A15" t="s">
        <v>963</v>
      </c>
      <c r="B15" t="s">
        <v>122</v>
      </c>
      <c r="E15" t="s">
        <v>964</v>
      </c>
      <c r="H15" t="s">
        <v>965</v>
      </c>
      <c r="I15" s="3">
        <v>690</v>
      </c>
      <c r="L15" s="544">
        <v>116661</v>
      </c>
      <c r="M15" s="545" t="s">
        <v>966</v>
      </c>
      <c r="N15" s="89" t="s">
        <v>967</v>
      </c>
      <c r="O15" s="89" t="s">
        <v>968</v>
      </c>
      <c r="P15" t="s">
        <v>887</v>
      </c>
      <c r="Q15" s="9">
        <v>950</v>
      </c>
      <c r="R15" s="9">
        <v>1049</v>
      </c>
      <c r="S15" s="9">
        <v>110</v>
      </c>
      <c r="T15" s="9">
        <v>1650</v>
      </c>
      <c r="U15" s="9">
        <v>2950</v>
      </c>
      <c r="V15" s="9">
        <v>4600</v>
      </c>
    </row>
    <row r="16" spans="1:22" ht="42" x14ac:dyDescent="0.35">
      <c r="A16" t="s">
        <v>969</v>
      </c>
      <c r="B16" t="s">
        <v>910</v>
      </c>
      <c r="E16" t="s">
        <v>970</v>
      </c>
      <c r="H16" t="s">
        <v>971</v>
      </c>
      <c r="I16" s="3">
        <v>450</v>
      </c>
      <c r="L16" s="544">
        <v>116662</v>
      </c>
      <c r="M16" s="545" t="s">
        <v>972</v>
      </c>
      <c r="N16" s="89" t="s">
        <v>973</v>
      </c>
      <c r="O16" s="89" t="s">
        <v>974</v>
      </c>
      <c r="P16" t="s">
        <v>887</v>
      </c>
      <c r="Q16" s="9">
        <v>1050</v>
      </c>
      <c r="R16" s="9">
        <v>1149</v>
      </c>
      <c r="S16" s="9">
        <v>120</v>
      </c>
      <c r="T16" s="9">
        <v>1800</v>
      </c>
      <c r="U16" s="9">
        <v>3150</v>
      </c>
      <c r="V16" s="9">
        <v>4950</v>
      </c>
    </row>
    <row r="17" spans="1:22" ht="28" x14ac:dyDescent="0.35">
      <c r="A17" t="s">
        <v>975</v>
      </c>
      <c r="B17" t="s">
        <v>122</v>
      </c>
      <c r="E17" t="s">
        <v>123</v>
      </c>
      <c r="H17" t="s">
        <v>976</v>
      </c>
      <c r="I17" s="3" t="s">
        <v>896</v>
      </c>
      <c r="L17" s="544">
        <v>116663</v>
      </c>
      <c r="M17" s="545" t="s">
        <v>977</v>
      </c>
      <c r="N17" s="89" t="s">
        <v>978</v>
      </c>
      <c r="O17" s="89" t="s">
        <v>979</v>
      </c>
      <c r="P17" t="s">
        <v>887</v>
      </c>
      <c r="Q17" s="9">
        <v>1150</v>
      </c>
      <c r="R17" s="9">
        <v>1249</v>
      </c>
      <c r="S17" s="9">
        <v>130</v>
      </c>
      <c r="T17" s="9">
        <v>1950</v>
      </c>
      <c r="U17" s="9">
        <v>3350</v>
      </c>
      <c r="V17" s="9">
        <v>5300</v>
      </c>
    </row>
    <row r="18" spans="1:22" ht="28" x14ac:dyDescent="0.35">
      <c r="A18" t="s">
        <v>980</v>
      </c>
      <c r="B18" t="s">
        <v>910</v>
      </c>
      <c r="E18" t="s">
        <v>134</v>
      </c>
      <c r="H18" t="s">
        <v>981</v>
      </c>
      <c r="I18" s="3">
        <v>60</v>
      </c>
      <c r="L18" s="544">
        <v>116664</v>
      </c>
      <c r="M18" s="545" t="s">
        <v>982</v>
      </c>
      <c r="N18" s="89" t="s">
        <v>983</v>
      </c>
      <c r="O18" s="89" t="s">
        <v>984</v>
      </c>
      <c r="P18" t="s">
        <v>887</v>
      </c>
      <c r="Q18" s="9">
        <v>1250</v>
      </c>
      <c r="R18" s="9">
        <v>1349</v>
      </c>
      <c r="S18" s="9">
        <v>140</v>
      </c>
      <c r="T18" s="9">
        <v>2100</v>
      </c>
      <c r="U18" s="9">
        <v>3550</v>
      </c>
      <c r="V18" s="9">
        <v>5650</v>
      </c>
    </row>
    <row r="19" spans="1:22" ht="56" x14ac:dyDescent="0.35">
      <c r="A19" s="23" t="s">
        <v>985</v>
      </c>
      <c r="B19" t="s">
        <v>910</v>
      </c>
      <c r="E19" t="s">
        <v>986</v>
      </c>
      <c r="H19" t="s">
        <v>987</v>
      </c>
      <c r="I19" s="3">
        <v>535</v>
      </c>
      <c r="L19" s="544">
        <v>116665</v>
      </c>
      <c r="M19" s="545" t="s">
        <v>988</v>
      </c>
      <c r="N19" s="89" t="s">
        <v>989</v>
      </c>
      <c r="O19" s="89" t="s">
        <v>990</v>
      </c>
      <c r="P19" t="s">
        <v>887</v>
      </c>
      <c r="Q19" s="9">
        <v>1350</v>
      </c>
      <c r="R19" s="9">
        <v>1449</v>
      </c>
      <c r="S19" s="9">
        <v>150</v>
      </c>
      <c r="T19" s="9">
        <v>2250</v>
      </c>
      <c r="U19" s="9">
        <v>3750</v>
      </c>
      <c r="V19" s="9">
        <v>6000</v>
      </c>
    </row>
    <row r="20" spans="1:22" ht="28" x14ac:dyDescent="0.35">
      <c r="A20" t="s">
        <v>991</v>
      </c>
      <c r="B20" t="s">
        <v>894</v>
      </c>
      <c r="E20" t="s">
        <v>992</v>
      </c>
      <c r="H20" t="s">
        <v>993</v>
      </c>
      <c r="I20" s="3">
        <v>100</v>
      </c>
      <c r="L20" s="544">
        <v>116666</v>
      </c>
      <c r="M20" s="545" t="s">
        <v>994</v>
      </c>
      <c r="N20" s="89" t="s">
        <v>995</v>
      </c>
      <c r="O20" s="89" t="s">
        <v>996</v>
      </c>
      <c r="P20" t="s">
        <v>887</v>
      </c>
      <c r="Q20" s="9">
        <v>1450</v>
      </c>
      <c r="R20" s="9">
        <v>1549</v>
      </c>
      <c r="S20" s="9">
        <v>160</v>
      </c>
      <c r="T20" s="9">
        <v>2400</v>
      </c>
      <c r="U20" s="9">
        <v>3950</v>
      </c>
      <c r="V20" s="9">
        <v>6350</v>
      </c>
    </row>
    <row r="21" spans="1:22" ht="28" x14ac:dyDescent="0.35">
      <c r="A21" t="s">
        <v>997</v>
      </c>
      <c r="B21" t="s">
        <v>894</v>
      </c>
      <c r="E21" t="s">
        <v>998</v>
      </c>
      <c r="H21" t="s">
        <v>551</v>
      </c>
      <c r="I21" s="3">
        <v>10</v>
      </c>
      <c r="L21" s="544">
        <v>116667</v>
      </c>
      <c r="M21" s="545" t="s">
        <v>999</v>
      </c>
      <c r="N21" s="89" t="s">
        <v>1000</v>
      </c>
      <c r="O21" s="89" t="s">
        <v>1001</v>
      </c>
      <c r="P21" t="s">
        <v>887</v>
      </c>
      <c r="Q21" s="9">
        <v>1550</v>
      </c>
      <c r="R21" s="9">
        <v>1649</v>
      </c>
      <c r="S21" s="9">
        <v>170</v>
      </c>
      <c r="T21" s="9">
        <v>2550</v>
      </c>
      <c r="U21" s="9">
        <v>4150</v>
      </c>
      <c r="V21" s="9">
        <v>6700</v>
      </c>
    </row>
    <row r="22" spans="1:22" ht="15.5" x14ac:dyDescent="0.35">
      <c r="A22" t="s">
        <v>1002</v>
      </c>
      <c r="B22" t="s">
        <v>894</v>
      </c>
      <c r="E22" t="s">
        <v>1003</v>
      </c>
      <c r="H22" t="s">
        <v>1004</v>
      </c>
      <c r="I22" s="3">
        <v>100</v>
      </c>
      <c r="L22" s="544">
        <v>116668</v>
      </c>
      <c r="M22" s="545" t="s">
        <v>1005</v>
      </c>
      <c r="N22" s="89" t="s">
        <v>1006</v>
      </c>
      <c r="O22" s="89" t="s">
        <v>1007</v>
      </c>
      <c r="P22" t="s">
        <v>887</v>
      </c>
      <c r="Q22" s="9">
        <v>1650</v>
      </c>
      <c r="R22" s="9">
        <v>1749</v>
      </c>
      <c r="S22" s="9">
        <v>180</v>
      </c>
      <c r="T22" s="9">
        <v>2700</v>
      </c>
      <c r="U22" s="9">
        <v>4350</v>
      </c>
      <c r="V22" s="9">
        <v>7050</v>
      </c>
    </row>
    <row r="23" spans="1:22" ht="56" x14ac:dyDescent="0.35">
      <c r="A23" t="s">
        <v>1008</v>
      </c>
      <c r="B23" t="s">
        <v>894</v>
      </c>
      <c r="E23" t="s">
        <v>1009</v>
      </c>
      <c r="H23" t="s">
        <v>1010</v>
      </c>
      <c r="I23" s="3" t="s">
        <v>896</v>
      </c>
      <c r="L23" s="544">
        <v>116672</v>
      </c>
      <c r="M23" s="545" t="s">
        <v>1011</v>
      </c>
      <c r="N23" s="89" t="s">
        <v>1012</v>
      </c>
      <c r="O23" s="89" t="s">
        <v>1013</v>
      </c>
      <c r="P23" t="s">
        <v>887</v>
      </c>
      <c r="Q23" s="9">
        <v>1750</v>
      </c>
      <c r="R23" s="9">
        <v>1849</v>
      </c>
      <c r="S23" s="9">
        <v>190</v>
      </c>
      <c r="T23" s="9">
        <v>2850</v>
      </c>
      <c r="U23" s="9">
        <v>4550</v>
      </c>
      <c r="V23" s="9">
        <v>7400</v>
      </c>
    </row>
    <row r="24" spans="1:22" ht="56" x14ac:dyDescent="0.35">
      <c r="A24" t="s">
        <v>1014</v>
      </c>
      <c r="B24" t="s">
        <v>122</v>
      </c>
      <c r="E24" t="s">
        <v>1015</v>
      </c>
      <c r="H24" t="s">
        <v>390</v>
      </c>
      <c r="I24" s="3">
        <v>4</v>
      </c>
      <c r="L24" s="544">
        <v>116922</v>
      </c>
      <c r="M24" s="545" t="s">
        <v>1016</v>
      </c>
      <c r="N24" s="89" t="s">
        <v>1017</v>
      </c>
      <c r="O24" s="89" t="s">
        <v>1018</v>
      </c>
      <c r="P24" t="s">
        <v>887</v>
      </c>
      <c r="Q24" s="9">
        <v>1850</v>
      </c>
      <c r="R24" s="9">
        <v>1949</v>
      </c>
      <c r="S24" s="9">
        <v>200</v>
      </c>
      <c r="T24" s="9">
        <v>3000</v>
      </c>
      <c r="U24" s="9">
        <v>4750</v>
      </c>
      <c r="V24" s="9">
        <v>7750</v>
      </c>
    </row>
    <row r="25" spans="1:22" ht="28" x14ac:dyDescent="0.35">
      <c r="A25" t="s">
        <v>306</v>
      </c>
      <c r="B25" t="s">
        <v>900</v>
      </c>
      <c r="E25" t="s">
        <v>1019</v>
      </c>
      <c r="H25" t="s">
        <v>1020</v>
      </c>
      <c r="I25" s="3" t="s">
        <v>896</v>
      </c>
      <c r="L25" s="544">
        <v>116933</v>
      </c>
      <c r="M25" s="545" t="s">
        <v>1021</v>
      </c>
      <c r="N25" s="89" t="s">
        <v>1022</v>
      </c>
      <c r="O25" s="89" t="s">
        <v>1023</v>
      </c>
      <c r="P25" t="s">
        <v>887</v>
      </c>
      <c r="Q25" s="9">
        <v>1950</v>
      </c>
      <c r="R25" s="9">
        <v>2049</v>
      </c>
      <c r="S25" s="9">
        <v>210</v>
      </c>
      <c r="T25" s="9">
        <v>3150</v>
      </c>
      <c r="U25" s="9">
        <v>4950</v>
      </c>
      <c r="V25" s="9">
        <v>8100</v>
      </c>
    </row>
    <row r="26" spans="1:22" ht="42" x14ac:dyDescent="0.35">
      <c r="A26" t="s">
        <v>1024</v>
      </c>
      <c r="B26" t="s">
        <v>900</v>
      </c>
      <c r="E26" t="s">
        <v>1025</v>
      </c>
      <c r="H26" t="s">
        <v>1026</v>
      </c>
      <c r="I26" s="3">
        <v>690</v>
      </c>
      <c r="L26" s="544">
        <v>116945</v>
      </c>
      <c r="M26" s="545" t="s">
        <v>1027</v>
      </c>
      <c r="N26" s="89" t="s">
        <v>1028</v>
      </c>
      <c r="O26" s="89" t="s">
        <v>1029</v>
      </c>
      <c r="P26" t="s">
        <v>887</v>
      </c>
      <c r="Q26" s="9">
        <v>2050</v>
      </c>
      <c r="R26" s="9">
        <v>2149</v>
      </c>
      <c r="S26" s="9">
        <v>220</v>
      </c>
      <c r="T26" s="9">
        <v>3300</v>
      </c>
      <c r="U26" s="9">
        <v>5150</v>
      </c>
      <c r="V26" s="9">
        <v>8450</v>
      </c>
    </row>
    <row r="27" spans="1:22" ht="70" x14ac:dyDescent="0.35">
      <c r="A27" t="s">
        <v>1030</v>
      </c>
      <c r="B27" t="s">
        <v>894</v>
      </c>
      <c r="E27" t="s">
        <v>1031</v>
      </c>
      <c r="H27" t="s">
        <v>1032</v>
      </c>
      <c r="I27" s="3">
        <v>450</v>
      </c>
      <c r="L27" s="544">
        <v>121111</v>
      </c>
      <c r="M27" s="545" t="s">
        <v>1033</v>
      </c>
      <c r="N27" s="89" t="s">
        <v>1034</v>
      </c>
      <c r="O27" s="89" t="s">
        <v>1035</v>
      </c>
      <c r="P27" t="s">
        <v>887</v>
      </c>
    </row>
    <row r="28" spans="1:22" ht="238" x14ac:dyDescent="0.35">
      <c r="A28" t="s">
        <v>1036</v>
      </c>
      <c r="B28" t="s">
        <v>894</v>
      </c>
      <c r="E28" t="s">
        <v>1037</v>
      </c>
      <c r="H28" t="s">
        <v>283</v>
      </c>
      <c r="I28" s="3" t="s">
        <v>1038</v>
      </c>
      <c r="L28" s="544">
        <v>121115</v>
      </c>
      <c r="M28" s="545" t="s">
        <v>1039</v>
      </c>
      <c r="N28" s="89" t="s">
        <v>1040</v>
      </c>
      <c r="O28" s="89" t="s">
        <v>1041</v>
      </c>
      <c r="P28" t="s">
        <v>887</v>
      </c>
    </row>
    <row r="29" spans="1:22" ht="210" x14ac:dyDescent="0.35">
      <c r="A29" t="s">
        <v>1042</v>
      </c>
      <c r="B29" t="s">
        <v>894</v>
      </c>
      <c r="E29" t="s">
        <v>1043</v>
      </c>
      <c r="H29" t="s">
        <v>1044</v>
      </c>
      <c r="I29" s="3">
        <v>690</v>
      </c>
      <c r="L29" s="544">
        <v>121122</v>
      </c>
      <c r="M29" s="545" t="s">
        <v>1045</v>
      </c>
      <c r="N29" s="89" t="s">
        <v>1046</v>
      </c>
      <c r="O29" s="89" t="s">
        <v>1047</v>
      </c>
      <c r="P29" t="s">
        <v>887</v>
      </c>
      <c r="Q29" s="18" t="s">
        <v>1048</v>
      </c>
    </row>
    <row r="30" spans="1:22" ht="84" x14ac:dyDescent="0.35">
      <c r="A30" t="s">
        <v>1049</v>
      </c>
      <c r="B30" t="s">
        <v>894</v>
      </c>
      <c r="E30" t="s">
        <v>1050</v>
      </c>
      <c r="H30" t="s">
        <v>1051</v>
      </c>
      <c r="I30" s="3">
        <v>150</v>
      </c>
      <c r="L30" s="544">
        <v>121124</v>
      </c>
      <c r="M30" s="545" t="s">
        <v>1052</v>
      </c>
      <c r="N30" s="89" t="s">
        <v>1053</v>
      </c>
      <c r="O30" s="89" t="s">
        <v>1054</v>
      </c>
      <c r="P30" t="s">
        <v>887</v>
      </c>
      <c r="Q30" s="9" t="s">
        <v>888</v>
      </c>
      <c r="R30" s="9" t="s">
        <v>1055</v>
      </c>
      <c r="S30" s="9" t="s">
        <v>1056</v>
      </c>
      <c r="U30"/>
      <c r="V30"/>
    </row>
    <row r="31" spans="1:22" ht="56" x14ac:dyDescent="0.35">
      <c r="A31" t="s">
        <v>1057</v>
      </c>
      <c r="B31" t="s">
        <v>894</v>
      </c>
      <c r="E31" t="s">
        <v>1058</v>
      </c>
      <c r="H31" t="s">
        <v>1059</v>
      </c>
      <c r="I31" s="3">
        <v>400</v>
      </c>
      <c r="L31" s="544">
        <v>122111</v>
      </c>
      <c r="M31" s="545" t="s">
        <v>1060</v>
      </c>
      <c r="N31" s="89" t="s">
        <v>1061</v>
      </c>
      <c r="O31" s="89" t="s">
        <v>1062</v>
      </c>
      <c r="P31" t="s">
        <v>887</v>
      </c>
      <c r="Q31" s="9">
        <v>1</v>
      </c>
      <c r="R31" s="9">
        <v>10</v>
      </c>
      <c r="S31" s="9">
        <v>80</v>
      </c>
      <c r="U31"/>
      <c r="V31"/>
    </row>
    <row r="32" spans="1:22" ht="84" x14ac:dyDescent="0.35">
      <c r="A32" t="s">
        <v>307</v>
      </c>
      <c r="B32" t="s">
        <v>122</v>
      </c>
      <c r="E32" t="s">
        <v>472</v>
      </c>
      <c r="H32" t="s">
        <v>549</v>
      </c>
      <c r="I32" s="3">
        <v>36</v>
      </c>
      <c r="L32" s="544">
        <v>123335</v>
      </c>
      <c r="M32" s="545" t="s">
        <v>1063</v>
      </c>
      <c r="N32" s="89" t="s">
        <v>1064</v>
      </c>
      <c r="O32" s="89" t="s">
        <v>1065</v>
      </c>
      <c r="P32" t="s">
        <v>887</v>
      </c>
      <c r="Q32" s="9">
        <v>11</v>
      </c>
      <c r="R32" s="9">
        <v>19</v>
      </c>
      <c r="S32" s="9">
        <v>80</v>
      </c>
      <c r="U32"/>
      <c r="V32"/>
    </row>
    <row r="33" spans="1:22" ht="98" x14ac:dyDescent="0.35">
      <c r="A33" t="s">
        <v>1066</v>
      </c>
      <c r="B33" t="s">
        <v>122</v>
      </c>
      <c r="E33" t="s">
        <v>470</v>
      </c>
      <c r="H33" t="s">
        <v>1067</v>
      </c>
      <c r="I33" s="3">
        <v>6</v>
      </c>
      <c r="L33" s="544">
        <v>124131</v>
      </c>
      <c r="M33" s="545" t="s">
        <v>1068</v>
      </c>
      <c r="N33" s="89" t="s">
        <v>1069</v>
      </c>
      <c r="O33" s="89" t="s">
        <v>1070</v>
      </c>
      <c r="P33" t="s">
        <v>887</v>
      </c>
      <c r="Q33" s="9">
        <v>20</v>
      </c>
      <c r="R33" s="9">
        <v>39</v>
      </c>
      <c r="S33" s="9">
        <v>160</v>
      </c>
      <c r="U33"/>
      <c r="V33"/>
    </row>
    <row r="34" spans="1:22" ht="98" x14ac:dyDescent="0.35">
      <c r="A34" t="s">
        <v>305</v>
      </c>
      <c r="B34" t="s">
        <v>894</v>
      </c>
      <c r="E34" t="s">
        <v>468</v>
      </c>
      <c r="H34" t="s">
        <v>1071</v>
      </c>
      <c r="I34" s="3" t="s">
        <v>896</v>
      </c>
      <c r="L34" s="544">
        <v>124132</v>
      </c>
      <c r="M34" s="545" t="s">
        <v>1072</v>
      </c>
      <c r="N34" s="89" t="s">
        <v>1073</v>
      </c>
      <c r="O34" s="89" t="s">
        <v>1074</v>
      </c>
      <c r="P34" t="s">
        <v>887</v>
      </c>
      <c r="Q34" s="9">
        <v>40</v>
      </c>
      <c r="R34" s="9">
        <v>59</v>
      </c>
      <c r="S34" s="9">
        <v>260</v>
      </c>
      <c r="U34"/>
      <c r="V34"/>
    </row>
    <row r="35" spans="1:22" ht="98" x14ac:dyDescent="0.35">
      <c r="A35" t="s">
        <v>1075</v>
      </c>
      <c r="B35" t="s">
        <v>894</v>
      </c>
      <c r="E35" t="s">
        <v>1076</v>
      </c>
      <c r="H35" t="s">
        <v>1077</v>
      </c>
      <c r="I35" s="3">
        <v>35</v>
      </c>
      <c r="L35" s="544">
        <v>124134</v>
      </c>
      <c r="M35" s="545" t="s">
        <v>1078</v>
      </c>
      <c r="N35" s="89" t="s">
        <v>1079</v>
      </c>
      <c r="O35" s="89" t="s">
        <v>1080</v>
      </c>
      <c r="P35" t="s">
        <v>887</v>
      </c>
      <c r="Q35" s="9">
        <v>60</v>
      </c>
      <c r="R35" s="9">
        <v>79</v>
      </c>
      <c r="S35" s="9">
        <v>340</v>
      </c>
      <c r="U35"/>
      <c r="V35"/>
    </row>
    <row r="36" spans="1:22" ht="98" x14ac:dyDescent="0.35">
      <c r="A36" t="s">
        <v>1081</v>
      </c>
      <c r="B36" t="s">
        <v>910</v>
      </c>
      <c r="E36" t="s">
        <v>1082</v>
      </c>
      <c r="H36" t="s">
        <v>1083</v>
      </c>
      <c r="I36" s="3">
        <v>20</v>
      </c>
      <c r="L36" s="544">
        <v>124135</v>
      </c>
      <c r="M36" s="545" t="s">
        <v>1084</v>
      </c>
      <c r="N36" s="89" t="s">
        <v>1085</v>
      </c>
      <c r="O36" s="89" t="s">
        <v>1086</v>
      </c>
      <c r="P36" t="s">
        <v>887</v>
      </c>
      <c r="Q36" s="9">
        <v>80</v>
      </c>
      <c r="R36" s="9">
        <v>99</v>
      </c>
      <c r="S36" s="9">
        <v>420</v>
      </c>
      <c r="U36"/>
      <c r="V36"/>
    </row>
    <row r="37" spans="1:22" ht="98" x14ac:dyDescent="0.35">
      <c r="A37" t="s">
        <v>1087</v>
      </c>
      <c r="B37" t="s">
        <v>894</v>
      </c>
      <c r="E37" t="s">
        <v>1088</v>
      </c>
      <c r="H37" t="s">
        <v>1089</v>
      </c>
      <c r="I37" s="3">
        <v>690</v>
      </c>
      <c r="L37" s="544">
        <v>124137</v>
      </c>
      <c r="M37" s="545" t="s">
        <v>1090</v>
      </c>
      <c r="N37" s="89" t="s">
        <v>1091</v>
      </c>
      <c r="O37" s="89" t="s">
        <v>1092</v>
      </c>
      <c r="P37" t="s">
        <v>887</v>
      </c>
      <c r="Q37" s="9">
        <v>100</v>
      </c>
      <c r="R37" s="9">
        <v>119</v>
      </c>
      <c r="S37" s="9">
        <v>520</v>
      </c>
      <c r="U37"/>
      <c r="V37"/>
    </row>
    <row r="38" spans="1:22" ht="98" x14ac:dyDescent="0.35">
      <c r="A38" t="s">
        <v>1093</v>
      </c>
      <c r="B38" t="s">
        <v>894</v>
      </c>
      <c r="E38" t="s">
        <v>1094</v>
      </c>
      <c r="H38" t="s">
        <v>1095</v>
      </c>
      <c r="I38" s="3">
        <v>450</v>
      </c>
      <c r="L38" s="544">
        <v>124138</v>
      </c>
      <c r="M38" s="545" t="s">
        <v>1096</v>
      </c>
      <c r="N38" s="89" t="s">
        <v>1097</v>
      </c>
      <c r="O38" s="89" t="s">
        <v>1098</v>
      </c>
      <c r="P38" t="s">
        <v>887</v>
      </c>
      <c r="Q38" s="9">
        <v>120</v>
      </c>
      <c r="R38" s="9">
        <v>139</v>
      </c>
      <c r="S38" s="9">
        <v>600</v>
      </c>
      <c r="U38"/>
      <c r="V38"/>
    </row>
    <row r="39" spans="1:22" ht="28" x14ac:dyDescent="0.35">
      <c r="A39" t="s">
        <v>1099</v>
      </c>
      <c r="B39" t="s">
        <v>900</v>
      </c>
      <c r="E39" t="s">
        <v>1100</v>
      </c>
      <c r="H39" t="s">
        <v>1101</v>
      </c>
      <c r="I39" s="3">
        <v>0</v>
      </c>
      <c r="L39" s="544">
        <v>124139</v>
      </c>
      <c r="M39" s="545" t="s">
        <v>1102</v>
      </c>
      <c r="N39" s="89" t="s">
        <v>1103</v>
      </c>
      <c r="O39" s="89" t="s">
        <v>1104</v>
      </c>
      <c r="P39" t="s">
        <v>887</v>
      </c>
      <c r="Q39" s="9">
        <v>140</v>
      </c>
      <c r="R39" s="9">
        <v>159</v>
      </c>
      <c r="S39" s="9">
        <v>680</v>
      </c>
      <c r="U39"/>
      <c r="V39"/>
    </row>
    <row r="40" spans="1:22" ht="98" x14ac:dyDescent="0.35">
      <c r="A40" t="s">
        <v>1105</v>
      </c>
      <c r="B40" t="s">
        <v>900</v>
      </c>
      <c r="E40" t="s">
        <v>1106</v>
      </c>
      <c r="H40" t="s">
        <v>287</v>
      </c>
      <c r="I40" s="3">
        <v>20</v>
      </c>
      <c r="L40" s="547">
        <v>124140</v>
      </c>
      <c r="M40" s="545" t="s">
        <v>1107</v>
      </c>
      <c r="N40" s="89" t="s">
        <v>1108</v>
      </c>
      <c r="O40" s="89" t="s">
        <v>909</v>
      </c>
      <c r="P40" t="s">
        <v>887</v>
      </c>
      <c r="Q40" s="9">
        <v>160</v>
      </c>
      <c r="R40" s="9">
        <v>179</v>
      </c>
      <c r="S40" s="9">
        <v>760</v>
      </c>
      <c r="U40"/>
      <c r="V40"/>
    </row>
    <row r="41" spans="1:22" ht="98" x14ac:dyDescent="0.35">
      <c r="A41" t="s">
        <v>121</v>
      </c>
      <c r="B41" t="s">
        <v>122</v>
      </c>
      <c r="E41" t="s">
        <v>1109</v>
      </c>
      <c r="H41" t="s">
        <v>1110</v>
      </c>
      <c r="I41" s="3">
        <v>15</v>
      </c>
      <c r="L41" s="544">
        <v>124231</v>
      </c>
      <c r="M41" s="545" t="s">
        <v>1111</v>
      </c>
      <c r="N41" s="89" t="s">
        <v>1112</v>
      </c>
      <c r="O41" s="89" t="s">
        <v>909</v>
      </c>
      <c r="P41" t="s">
        <v>887</v>
      </c>
      <c r="Q41" s="9">
        <v>180</v>
      </c>
      <c r="R41" s="9">
        <v>199</v>
      </c>
      <c r="S41" s="9">
        <v>840</v>
      </c>
      <c r="U41"/>
      <c r="V41"/>
    </row>
    <row r="42" spans="1:22" ht="84" x14ac:dyDescent="0.35">
      <c r="A42" t="s">
        <v>308</v>
      </c>
      <c r="B42" t="s">
        <v>910</v>
      </c>
      <c r="E42" t="s">
        <v>1113</v>
      </c>
      <c r="H42" t="s">
        <v>403</v>
      </c>
      <c r="I42" s="3" t="s">
        <v>896</v>
      </c>
      <c r="L42" s="544">
        <v>124234</v>
      </c>
      <c r="M42" s="545" t="s">
        <v>1114</v>
      </c>
      <c r="N42" s="89" t="s">
        <v>1115</v>
      </c>
      <c r="O42" s="89" t="s">
        <v>909</v>
      </c>
      <c r="P42" t="s">
        <v>887</v>
      </c>
      <c r="Q42" s="9">
        <v>200</v>
      </c>
      <c r="R42" s="9">
        <v>219</v>
      </c>
      <c r="S42" s="541">
        <v>1020</v>
      </c>
      <c r="U42"/>
      <c r="V42"/>
    </row>
    <row r="43" spans="1:22" ht="84" x14ac:dyDescent="0.35">
      <c r="A43" t="s">
        <v>467</v>
      </c>
      <c r="B43" t="s">
        <v>910</v>
      </c>
      <c r="E43" t="s">
        <v>1116</v>
      </c>
      <c r="H43" t="s">
        <v>1117</v>
      </c>
      <c r="I43" s="3">
        <v>1000</v>
      </c>
      <c r="L43" s="544">
        <v>124235</v>
      </c>
      <c r="M43" s="545" t="s">
        <v>1118</v>
      </c>
      <c r="N43" s="89" t="s">
        <v>1119</v>
      </c>
      <c r="O43" s="89" t="s">
        <v>909</v>
      </c>
      <c r="P43" t="s">
        <v>887</v>
      </c>
      <c r="Q43" s="9">
        <v>220</v>
      </c>
      <c r="R43" s="9">
        <v>239</v>
      </c>
      <c r="S43" s="541">
        <v>1100</v>
      </c>
      <c r="U43"/>
      <c r="V43"/>
    </row>
    <row r="44" spans="1:22" ht="84" x14ac:dyDescent="0.35">
      <c r="A44" t="s">
        <v>1120</v>
      </c>
      <c r="B44" t="s">
        <v>122</v>
      </c>
      <c r="E44" t="s">
        <v>1121</v>
      </c>
      <c r="H44" t="s">
        <v>376</v>
      </c>
      <c r="I44" s="3">
        <v>20</v>
      </c>
      <c r="L44" s="544">
        <v>124237</v>
      </c>
      <c r="M44" s="545" t="s">
        <v>1122</v>
      </c>
      <c r="N44" s="89" t="s">
        <v>1123</v>
      </c>
      <c r="O44" s="89" t="s">
        <v>909</v>
      </c>
      <c r="P44" t="s">
        <v>887</v>
      </c>
      <c r="Q44" s="9">
        <v>240</v>
      </c>
      <c r="R44" s="9">
        <v>259</v>
      </c>
      <c r="S44" s="541">
        <v>1180</v>
      </c>
      <c r="U44"/>
      <c r="V44"/>
    </row>
    <row r="45" spans="1:22" ht="98" x14ac:dyDescent="0.35">
      <c r="A45" s="23" t="s">
        <v>1124</v>
      </c>
      <c r="B45" t="s">
        <v>910</v>
      </c>
      <c r="E45" t="s">
        <v>1125</v>
      </c>
      <c r="H45" t="s">
        <v>1126</v>
      </c>
      <c r="I45" s="3">
        <v>690</v>
      </c>
      <c r="L45" s="544">
        <v>124238</v>
      </c>
      <c r="M45" s="545" t="s">
        <v>1127</v>
      </c>
      <c r="N45" s="89" t="s">
        <v>1128</v>
      </c>
      <c r="O45" s="89" t="s">
        <v>909</v>
      </c>
      <c r="P45" t="s">
        <v>887</v>
      </c>
      <c r="Q45" s="9">
        <v>260</v>
      </c>
      <c r="R45" s="9">
        <v>279</v>
      </c>
      <c r="S45" s="541">
        <v>1260</v>
      </c>
      <c r="U45"/>
      <c r="V45"/>
    </row>
    <row r="46" spans="1:22" ht="42" x14ac:dyDescent="0.35">
      <c r="A46" t="s">
        <v>271</v>
      </c>
      <c r="B46" t="s">
        <v>910</v>
      </c>
      <c r="E46" t="s">
        <v>1129</v>
      </c>
      <c r="H46" t="s">
        <v>1130</v>
      </c>
      <c r="I46" s="3">
        <v>450</v>
      </c>
      <c r="L46" s="544">
        <v>124239</v>
      </c>
      <c r="M46" s="545" t="s">
        <v>1131</v>
      </c>
      <c r="N46" s="89" t="s">
        <v>1132</v>
      </c>
      <c r="O46" s="89" t="s">
        <v>909</v>
      </c>
      <c r="P46" t="s">
        <v>887</v>
      </c>
      <c r="Q46" s="9">
        <v>280</v>
      </c>
      <c r="R46" s="9">
        <v>299</v>
      </c>
      <c r="S46" s="541">
        <v>1340</v>
      </c>
      <c r="U46"/>
      <c r="V46"/>
    </row>
    <row r="47" spans="1:22" ht="98" x14ac:dyDescent="0.35">
      <c r="A47" s="23" t="s">
        <v>1133</v>
      </c>
      <c r="B47" t="s">
        <v>910</v>
      </c>
      <c r="E47" t="s">
        <v>1134</v>
      </c>
      <c r="H47" t="s">
        <v>1135</v>
      </c>
      <c r="I47" s="9">
        <v>150</v>
      </c>
      <c r="L47" s="544">
        <v>124240</v>
      </c>
      <c r="M47" s="545" t="s">
        <v>1136</v>
      </c>
      <c r="N47" s="89" t="s">
        <v>1137</v>
      </c>
      <c r="O47" s="89" t="s">
        <v>909</v>
      </c>
      <c r="P47" t="s">
        <v>887</v>
      </c>
      <c r="Q47" s="9">
        <v>300</v>
      </c>
      <c r="R47" s="9">
        <v>319</v>
      </c>
      <c r="S47" s="541">
        <v>1520</v>
      </c>
      <c r="U47"/>
      <c r="V47"/>
    </row>
    <row r="48" spans="1:22" ht="98" x14ac:dyDescent="0.35">
      <c r="A48" s="23" t="s">
        <v>1138</v>
      </c>
      <c r="B48" t="s">
        <v>910</v>
      </c>
      <c r="E48" t="s">
        <v>1139</v>
      </c>
      <c r="H48" t="s">
        <v>1140</v>
      </c>
      <c r="I48" s="3">
        <v>60</v>
      </c>
      <c r="L48" s="544">
        <v>124340</v>
      </c>
      <c r="M48" s="545" t="s">
        <v>1141</v>
      </c>
      <c r="N48" s="89" t="s">
        <v>1142</v>
      </c>
      <c r="O48" s="89" t="s">
        <v>1143</v>
      </c>
      <c r="P48" t="s">
        <v>887</v>
      </c>
      <c r="Q48" s="9">
        <v>320</v>
      </c>
      <c r="R48" s="9">
        <v>339</v>
      </c>
      <c r="S48" s="541">
        <v>1600</v>
      </c>
      <c r="U48"/>
      <c r="V48"/>
    </row>
    <row r="49" spans="1:22" ht="98" x14ac:dyDescent="0.35">
      <c r="A49" s="23" t="s">
        <v>1144</v>
      </c>
      <c r="B49" t="s">
        <v>910</v>
      </c>
      <c r="E49" t="s">
        <v>1145</v>
      </c>
      <c r="L49" s="544">
        <v>124341</v>
      </c>
      <c r="M49" s="545" t="s">
        <v>1146</v>
      </c>
      <c r="N49" s="89" t="s">
        <v>1147</v>
      </c>
      <c r="O49" s="89" t="s">
        <v>1148</v>
      </c>
      <c r="P49" t="s">
        <v>887</v>
      </c>
      <c r="Q49" s="9">
        <v>340</v>
      </c>
      <c r="R49" s="9">
        <v>359</v>
      </c>
      <c r="S49" s="541">
        <v>1680</v>
      </c>
      <c r="U49"/>
      <c r="V49"/>
    </row>
    <row r="50" spans="1:22" ht="98" x14ac:dyDescent="0.35">
      <c r="A50" s="23" t="s">
        <v>1149</v>
      </c>
      <c r="B50" t="s">
        <v>122</v>
      </c>
      <c r="E50" t="s">
        <v>1150</v>
      </c>
      <c r="L50" s="544">
        <v>124342</v>
      </c>
      <c r="M50" s="545" t="s">
        <v>1151</v>
      </c>
      <c r="N50" s="89" t="s">
        <v>1152</v>
      </c>
      <c r="O50" s="89" t="s">
        <v>1153</v>
      </c>
      <c r="P50" t="s">
        <v>887</v>
      </c>
      <c r="Q50" s="9">
        <v>360</v>
      </c>
      <c r="R50" s="9">
        <v>379</v>
      </c>
      <c r="S50" s="541">
        <v>1760</v>
      </c>
      <c r="U50"/>
      <c r="V50"/>
    </row>
    <row r="51" spans="1:22" ht="98" x14ac:dyDescent="0.35">
      <c r="A51" t="s">
        <v>1154</v>
      </c>
      <c r="B51" t="s">
        <v>910</v>
      </c>
      <c r="E51" t="s">
        <v>1050</v>
      </c>
      <c r="L51" s="544">
        <v>124440</v>
      </c>
      <c r="M51" s="545" t="s">
        <v>1155</v>
      </c>
      <c r="N51" s="89" t="s">
        <v>1156</v>
      </c>
      <c r="O51" s="89" t="s">
        <v>909</v>
      </c>
      <c r="P51" t="s">
        <v>887</v>
      </c>
      <c r="Q51" s="9">
        <v>380</v>
      </c>
      <c r="R51" s="9">
        <v>399</v>
      </c>
      <c r="S51" s="541">
        <v>1840</v>
      </c>
      <c r="U51"/>
      <c r="V51"/>
    </row>
    <row r="52" spans="1:22" ht="98" x14ac:dyDescent="0.35">
      <c r="A52" t="s">
        <v>1157</v>
      </c>
      <c r="B52" t="s">
        <v>900</v>
      </c>
      <c r="E52" t="s">
        <v>1158</v>
      </c>
      <c r="L52" s="544">
        <v>124441</v>
      </c>
      <c r="M52" s="545" t="s">
        <v>1159</v>
      </c>
      <c r="N52" s="89" t="s">
        <v>1160</v>
      </c>
      <c r="O52" s="89" t="s">
        <v>909</v>
      </c>
      <c r="P52" t="s">
        <v>887</v>
      </c>
      <c r="Q52" s="9">
        <v>400</v>
      </c>
      <c r="R52" s="9">
        <v>419</v>
      </c>
      <c r="S52" s="541">
        <v>2020</v>
      </c>
      <c r="U52"/>
      <c r="V52"/>
    </row>
    <row r="53" spans="1:22" ht="84" x14ac:dyDescent="0.35">
      <c r="A53" t="s">
        <v>1161</v>
      </c>
      <c r="B53" t="s">
        <v>122</v>
      </c>
      <c r="E53" t="s">
        <v>1162</v>
      </c>
      <c r="L53" s="544">
        <v>124442</v>
      </c>
      <c r="M53" s="545" t="s">
        <v>1163</v>
      </c>
      <c r="N53" s="89" t="s">
        <v>1164</v>
      </c>
      <c r="O53" s="89" t="s">
        <v>909</v>
      </c>
      <c r="P53" t="s">
        <v>887</v>
      </c>
      <c r="Q53" s="9">
        <v>420</v>
      </c>
      <c r="R53" s="9">
        <v>439</v>
      </c>
      <c r="S53" s="541">
        <v>2100</v>
      </c>
      <c r="U53"/>
      <c r="V53"/>
    </row>
    <row r="54" spans="1:22" ht="112" x14ac:dyDescent="0.35">
      <c r="A54" t="s">
        <v>1165</v>
      </c>
      <c r="B54" t="s">
        <v>900</v>
      </c>
      <c r="E54" t="s">
        <v>1166</v>
      </c>
      <c r="L54" s="544">
        <v>125210</v>
      </c>
      <c r="M54" s="545" t="s">
        <v>1167</v>
      </c>
      <c r="N54" s="89" t="s">
        <v>1168</v>
      </c>
      <c r="O54" s="89" t="s">
        <v>1169</v>
      </c>
      <c r="P54" t="s">
        <v>887</v>
      </c>
      <c r="Q54" s="9">
        <v>440</v>
      </c>
      <c r="R54" s="9">
        <v>459</v>
      </c>
      <c r="S54" s="541">
        <v>2180</v>
      </c>
      <c r="U54"/>
      <c r="V54"/>
    </row>
    <row r="55" spans="1:22" ht="112" x14ac:dyDescent="0.35">
      <c r="A55" t="s">
        <v>1170</v>
      </c>
      <c r="B55" t="s">
        <v>122</v>
      </c>
      <c r="E55" t="s">
        <v>1171</v>
      </c>
      <c r="L55" s="544">
        <v>125212</v>
      </c>
      <c r="M55" s="545" t="s">
        <v>1172</v>
      </c>
      <c r="N55" s="89" t="s">
        <v>1173</v>
      </c>
      <c r="O55" s="89" t="s">
        <v>909</v>
      </c>
      <c r="P55" t="s">
        <v>887</v>
      </c>
      <c r="Q55" s="9">
        <v>460</v>
      </c>
      <c r="R55" s="9">
        <v>479</v>
      </c>
      <c r="S55" s="541">
        <v>2260</v>
      </c>
      <c r="U55"/>
      <c r="V55"/>
    </row>
    <row r="56" spans="1:22" ht="126" x14ac:dyDescent="0.35">
      <c r="A56" t="s">
        <v>1174</v>
      </c>
      <c r="B56" t="s">
        <v>910</v>
      </c>
      <c r="E56" t="s">
        <v>1175</v>
      </c>
      <c r="L56" s="544">
        <v>125553</v>
      </c>
      <c r="M56" s="545" t="s">
        <v>1176</v>
      </c>
      <c r="N56" s="89" t="s">
        <v>1177</v>
      </c>
      <c r="O56" s="89" t="s">
        <v>909</v>
      </c>
      <c r="P56" t="s">
        <v>887</v>
      </c>
      <c r="Q56" s="9">
        <v>480</v>
      </c>
      <c r="R56" s="9">
        <v>499</v>
      </c>
      <c r="S56" s="541">
        <v>2340</v>
      </c>
      <c r="U56"/>
      <c r="V56"/>
    </row>
    <row r="57" spans="1:22" ht="112" x14ac:dyDescent="0.35">
      <c r="A57" t="s">
        <v>1178</v>
      </c>
      <c r="B57" t="s">
        <v>910</v>
      </c>
      <c r="E57" t="s">
        <v>1179</v>
      </c>
      <c r="L57" s="544">
        <v>125554</v>
      </c>
      <c r="M57" s="545" t="s">
        <v>1180</v>
      </c>
      <c r="N57" s="89" t="s">
        <v>1181</v>
      </c>
      <c r="O57" s="89" t="s">
        <v>1182</v>
      </c>
      <c r="P57" t="s">
        <v>887</v>
      </c>
      <c r="Q57" s="9">
        <v>500</v>
      </c>
      <c r="R57" s="9">
        <v>519</v>
      </c>
      <c r="S57" s="541">
        <v>2520</v>
      </c>
      <c r="U57"/>
      <c r="V57"/>
    </row>
    <row r="58" spans="1:22" ht="196" x14ac:dyDescent="0.35">
      <c r="E58" t="s">
        <v>1183</v>
      </c>
      <c r="L58" s="544">
        <v>125977</v>
      </c>
      <c r="M58" s="545" t="s">
        <v>1184</v>
      </c>
      <c r="N58" s="89" t="s">
        <v>1185</v>
      </c>
      <c r="O58" s="89" t="s">
        <v>1186</v>
      </c>
      <c r="P58" t="s">
        <v>887</v>
      </c>
      <c r="Q58"/>
      <c r="R58"/>
      <c r="S58"/>
      <c r="T58"/>
      <c r="U58"/>
      <c r="V58"/>
    </row>
    <row r="59" spans="1:22" ht="98" x14ac:dyDescent="0.35">
      <c r="E59" t="s">
        <v>1187</v>
      </c>
      <c r="L59" s="544">
        <v>126925</v>
      </c>
      <c r="M59" s="545" t="s">
        <v>1188</v>
      </c>
      <c r="N59" s="89" t="s">
        <v>1189</v>
      </c>
      <c r="O59" s="89" t="s">
        <v>1190</v>
      </c>
      <c r="P59" t="s">
        <v>887</v>
      </c>
      <c r="Q59"/>
      <c r="R59"/>
      <c r="S59"/>
      <c r="T59"/>
      <c r="U59"/>
      <c r="V59"/>
    </row>
    <row r="60" spans="1:22" ht="98" x14ac:dyDescent="0.35">
      <c r="A60" t="s">
        <v>1191</v>
      </c>
      <c r="E60" t="s">
        <v>1192</v>
      </c>
      <c r="L60" s="544">
        <v>126926</v>
      </c>
      <c r="M60" s="545" t="s">
        <v>1193</v>
      </c>
      <c r="N60" s="89" t="s">
        <v>1194</v>
      </c>
      <c r="O60" s="89" t="s">
        <v>1195</v>
      </c>
      <c r="P60" t="s">
        <v>887</v>
      </c>
      <c r="Q60"/>
      <c r="R60"/>
      <c r="S60"/>
      <c r="T60"/>
      <c r="U60"/>
      <c r="V60"/>
    </row>
    <row r="61" spans="1:22" ht="84" x14ac:dyDescent="0.35">
      <c r="A61" s="20" t="s">
        <v>952</v>
      </c>
      <c r="B61" s="20" t="s">
        <v>112</v>
      </c>
      <c r="E61" t="s">
        <v>1196</v>
      </c>
      <c r="L61" s="544">
        <v>131111</v>
      </c>
      <c r="M61" s="545" t="s">
        <v>1197</v>
      </c>
      <c r="N61" s="89" t="s">
        <v>1198</v>
      </c>
      <c r="O61" s="89" t="s">
        <v>1199</v>
      </c>
      <c r="P61" t="s">
        <v>887</v>
      </c>
      <c r="Q61"/>
      <c r="R61"/>
      <c r="S61"/>
      <c r="T61"/>
      <c r="U61"/>
      <c r="V61"/>
    </row>
    <row r="62" spans="1:22" ht="42" x14ac:dyDescent="0.35">
      <c r="A62" t="s">
        <v>969</v>
      </c>
      <c r="B62" t="s">
        <v>915</v>
      </c>
      <c r="E62" t="s">
        <v>1200</v>
      </c>
      <c r="L62" s="544">
        <v>131114</v>
      </c>
      <c r="M62" s="545" t="s">
        <v>1201</v>
      </c>
      <c r="N62" s="89" t="s">
        <v>1202</v>
      </c>
      <c r="O62" s="89" t="s">
        <v>1203</v>
      </c>
      <c r="P62" t="s">
        <v>887</v>
      </c>
      <c r="Q62"/>
      <c r="R62"/>
      <c r="S62"/>
      <c r="T62"/>
      <c r="U62"/>
      <c r="V62"/>
    </row>
    <row r="63" spans="1:22" ht="42" x14ac:dyDescent="0.35">
      <c r="A63" t="s">
        <v>1204</v>
      </c>
      <c r="B63" t="s">
        <v>929</v>
      </c>
      <c r="E63" t="s">
        <v>1205</v>
      </c>
      <c r="L63" s="544">
        <v>131115</v>
      </c>
      <c r="M63" s="545" t="s">
        <v>1206</v>
      </c>
      <c r="N63" s="89" t="s">
        <v>1207</v>
      </c>
      <c r="O63" s="89" t="s">
        <v>1208</v>
      </c>
      <c r="P63" t="s">
        <v>887</v>
      </c>
      <c r="Q63"/>
      <c r="R63"/>
      <c r="S63"/>
      <c r="T63"/>
      <c r="U63"/>
      <c r="V63"/>
    </row>
    <row r="64" spans="1:22" ht="42" x14ac:dyDescent="0.35">
      <c r="A64" t="s">
        <v>1209</v>
      </c>
      <c r="B64" t="s">
        <v>133</v>
      </c>
      <c r="E64" t="s">
        <v>1210</v>
      </c>
      <c r="L64" s="544">
        <v>131116</v>
      </c>
      <c r="M64" s="545" t="s">
        <v>1211</v>
      </c>
      <c r="N64" s="89" t="s">
        <v>1212</v>
      </c>
      <c r="O64" s="89" t="s">
        <v>1213</v>
      </c>
      <c r="P64" t="s">
        <v>887</v>
      </c>
      <c r="Q64"/>
      <c r="R64"/>
      <c r="S64"/>
      <c r="T64"/>
      <c r="U64"/>
      <c r="V64"/>
    </row>
    <row r="65" spans="1:22" ht="42" x14ac:dyDescent="0.35">
      <c r="A65" t="s">
        <v>1214</v>
      </c>
      <c r="B65" t="s">
        <v>922</v>
      </c>
      <c r="E65" t="s">
        <v>1215</v>
      </c>
      <c r="L65" s="544">
        <v>131117</v>
      </c>
      <c r="M65" s="545" t="s">
        <v>1216</v>
      </c>
      <c r="N65" s="89" t="s">
        <v>1217</v>
      </c>
      <c r="O65" s="89" t="s">
        <v>1218</v>
      </c>
      <c r="P65" t="s">
        <v>887</v>
      </c>
      <c r="Q65"/>
      <c r="R65"/>
      <c r="S65"/>
      <c r="T65"/>
      <c r="U65"/>
      <c r="V65"/>
    </row>
    <row r="66" spans="1:22" ht="42" x14ac:dyDescent="0.35">
      <c r="A66" t="s">
        <v>1219</v>
      </c>
      <c r="B66" t="s">
        <v>915</v>
      </c>
      <c r="E66" t="s">
        <v>1220</v>
      </c>
      <c r="L66" s="544">
        <v>131118</v>
      </c>
      <c r="M66" s="545" t="s">
        <v>1221</v>
      </c>
      <c r="N66" s="89" t="s">
        <v>1222</v>
      </c>
      <c r="O66" s="89" t="s">
        <v>1223</v>
      </c>
      <c r="P66" t="s">
        <v>887</v>
      </c>
      <c r="Q66"/>
      <c r="R66"/>
      <c r="S66"/>
      <c r="T66"/>
      <c r="U66"/>
      <c r="V66"/>
    </row>
    <row r="67" spans="1:22" ht="28" x14ac:dyDescent="0.35">
      <c r="A67" t="s">
        <v>1224</v>
      </c>
      <c r="B67" t="s">
        <v>915</v>
      </c>
      <c r="E67" t="s">
        <v>1225</v>
      </c>
      <c r="L67" s="544">
        <v>131119</v>
      </c>
      <c r="M67" s="545" t="s">
        <v>1226</v>
      </c>
      <c r="N67" s="89" t="s">
        <v>1227</v>
      </c>
      <c r="O67" s="89" t="s">
        <v>1228</v>
      </c>
      <c r="P67" t="s">
        <v>887</v>
      </c>
      <c r="Q67"/>
      <c r="R67"/>
      <c r="S67"/>
      <c r="T67"/>
      <c r="U67"/>
      <c r="V67"/>
    </row>
    <row r="68" spans="1:22" ht="56" x14ac:dyDescent="0.35">
      <c r="A68" t="s">
        <v>309</v>
      </c>
      <c r="B68" t="s">
        <v>915</v>
      </c>
      <c r="E68" t="s">
        <v>1229</v>
      </c>
      <c r="L68" s="544">
        <v>131132</v>
      </c>
      <c r="M68" s="545" t="s">
        <v>1230</v>
      </c>
      <c r="N68" s="89" t="s">
        <v>1231</v>
      </c>
      <c r="O68" s="89" t="s">
        <v>1232</v>
      </c>
      <c r="P68" t="s">
        <v>887</v>
      </c>
      <c r="Q68"/>
      <c r="R68"/>
      <c r="S68"/>
      <c r="T68"/>
      <c r="U68"/>
      <c r="V68"/>
    </row>
    <row r="69" spans="1:22" ht="70" x14ac:dyDescent="0.35">
      <c r="A69" t="s">
        <v>310</v>
      </c>
      <c r="B69" t="s">
        <v>915</v>
      </c>
      <c r="E69" t="s">
        <v>1233</v>
      </c>
      <c r="L69" s="544">
        <v>131133</v>
      </c>
      <c r="M69" s="545" t="s">
        <v>1234</v>
      </c>
      <c r="N69" s="89" t="s">
        <v>1235</v>
      </c>
      <c r="O69" s="89" t="s">
        <v>1236</v>
      </c>
      <c r="P69" t="s">
        <v>887</v>
      </c>
      <c r="Q69"/>
      <c r="R69"/>
      <c r="S69"/>
      <c r="T69"/>
      <c r="U69"/>
      <c r="V69"/>
    </row>
    <row r="70" spans="1:22" ht="42" x14ac:dyDescent="0.35">
      <c r="A70" t="s">
        <v>311</v>
      </c>
      <c r="B70" t="s">
        <v>915</v>
      </c>
      <c r="E70" t="s">
        <v>1237</v>
      </c>
      <c r="L70" s="544">
        <v>131134</v>
      </c>
      <c r="M70" s="545" t="s">
        <v>1238</v>
      </c>
      <c r="N70" s="89" t="s">
        <v>1239</v>
      </c>
      <c r="O70" s="89" t="s">
        <v>1240</v>
      </c>
      <c r="P70" t="s">
        <v>887</v>
      </c>
      <c r="Q70"/>
      <c r="R70"/>
      <c r="S70"/>
      <c r="T70"/>
      <c r="U70"/>
      <c r="V70"/>
    </row>
    <row r="71" spans="1:22" ht="56" x14ac:dyDescent="0.35">
      <c r="A71" t="s">
        <v>1241</v>
      </c>
      <c r="B71" t="s">
        <v>133</v>
      </c>
      <c r="E71" t="s">
        <v>1242</v>
      </c>
      <c r="L71" s="544">
        <v>131135</v>
      </c>
      <c r="M71" s="545" t="s">
        <v>1243</v>
      </c>
      <c r="N71" s="89" t="s">
        <v>1244</v>
      </c>
      <c r="O71" s="89" t="s">
        <v>1245</v>
      </c>
      <c r="P71" t="s">
        <v>887</v>
      </c>
      <c r="Q71"/>
      <c r="R71"/>
      <c r="S71"/>
      <c r="T71"/>
      <c r="U71"/>
      <c r="V71"/>
    </row>
    <row r="72" spans="1:22" ht="42" x14ac:dyDescent="0.35">
      <c r="A72" t="s">
        <v>1246</v>
      </c>
      <c r="B72" t="s">
        <v>935</v>
      </c>
      <c r="E72" t="s">
        <v>905</v>
      </c>
      <c r="L72" s="544">
        <v>131136</v>
      </c>
      <c r="M72" s="545" t="s">
        <v>1247</v>
      </c>
      <c r="N72" s="89" t="s">
        <v>1248</v>
      </c>
      <c r="O72" s="89" t="s">
        <v>1249</v>
      </c>
      <c r="P72" t="s">
        <v>887</v>
      </c>
      <c r="Q72"/>
      <c r="R72"/>
      <c r="S72"/>
      <c r="T72"/>
      <c r="U72"/>
      <c r="V72"/>
    </row>
    <row r="73" spans="1:22" ht="42" x14ac:dyDescent="0.35">
      <c r="A73" t="s">
        <v>547</v>
      </c>
      <c r="B73" t="s">
        <v>929</v>
      </c>
      <c r="E73" t="s">
        <v>1250</v>
      </c>
      <c r="L73" s="544">
        <v>131137</v>
      </c>
      <c r="M73" s="545" t="s">
        <v>1251</v>
      </c>
      <c r="N73" s="89" t="s">
        <v>1252</v>
      </c>
      <c r="O73" s="89" t="s">
        <v>1253</v>
      </c>
      <c r="P73" t="s">
        <v>887</v>
      </c>
      <c r="Q73"/>
      <c r="R73"/>
      <c r="S73"/>
      <c r="T73"/>
      <c r="U73"/>
      <c r="V73"/>
    </row>
    <row r="74" spans="1:22" ht="28" x14ac:dyDescent="0.35">
      <c r="A74" t="s">
        <v>1254</v>
      </c>
      <c r="B74" t="s">
        <v>915</v>
      </c>
      <c r="E74" t="s">
        <v>1255</v>
      </c>
      <c r="L74" s="544">
        <v>131138</v>
      </c>
      <c r="M74" s="545" t="s">
        <v>1256</v>
      </c>
      <c r="N74" s="89" t="s">
        <v>1257</v>
      </c>
      <c r="O74" s="89" t="s">
        <v>1258</v>
      </c>
      <c r="P74" t="s">
        <v>887</v>
      </c>
      <c r="Q74"/>
      <c r="R74"/>
      <c r="S74"/>
      <c r="T74"/>
      <c r="U74"/>
      <c r="V74"/>
    </row>
    <row r="75" spans="1:22" ht="42" x14ac:dyDescent="0.35">
      <c r="A75" t="s">
        <v>1259</v>
      </c>
      <c r="B75" t="s">
        <v>915</v>
      </c>
      <c r="E75" t="s">
        <v>1260</v>
      </c>
      <c r="L75" s="544">
        <v>131139</v>
      </c>
      <c r="M75" s="545" t="s">
        <v>1261</v>
      </c>
      <c r="N75" s="89" t="s">
        <v>1262</v>
      </c>
      <c r="O75" s="89" t="s">
        <v>1263</v>
      </c>
      <c r="P75" t="s">
        <v>887</v>
      </c>
      <c r="Q75"/>
      <c r="R75"/>
      <c r="S75"/>
      <c r="T75"/>
      <c r="U75"/>
      <c r="V75"/>
    </row>
    <row r="76" spans="1:22" ht="56" x14ac:dyDescent="0.35">
      <c r="A76" t="s">
        <v>1264</v>
      </c>
      <c r="B76" t="s">
        <v>929</v>
      </c>
      <c r="E76" t="s">
        <v>1265</v>
      </c>
      <c r="L76" s="544">
        <v>131143</v>
      </c>
      <c r="M76" s="545" t="s">
        <v>1266</v>
      </c>
      <c r="N76" s="89" t="s">
        <v>1267</v>
      </c>
      <c r="O76" s="89" t="s">
        <v>1268</v>
      </c>
      <c r="P76" t="s">
        <v>887</v>
      </c>
      <c r="Q76"/>
      <c r="R76"/>
      <c r="S76"/>
      <c r="T76"/>
      <c r="U76"/>
      <c r="V76"/>
    </row>
    <row r="77" spans="1:22" ht="98" x14ac:dyDescent="0.35">
      <c r="A77" t="s">
        <v>1269</v>
      </c>
      <c r="B77" t="s">
        <v>922</v>
      </c>
      <c r="E77" t="s">
        <v>1270</v>
      </c>
      <c r="L77" s="544">
        <v>131200</v>
      </c>
      <c r="M77" s="545" t="s">
        <v>1271</v>
      </c>
      <c r="N77" s="89" t="s">
        <v>1272</v>
      </c>
      <c r="O77" s="89" t="s">
        <v>1273</v>
      </c>
      <c r="P77" t="s">
        <v>887</v>
      </c>
      <c r="Q77"/>
      <c r="R77"/>
      <c r="S77"/>
      <c r="T77"/>
      <c r="U77"/>
      <c r="V77"/>
    </row>
    <row r="78" spans="1:22" ht="84" x14ac:dyDescent="0.35">
      <c r="A78" t="s">
        <v>1274</v>
      </c>
      <c r="B78" t="s">
        <v>929</v>
      </c>
      <c r="E78" t="s">
        <v>1275</v>
      </c>
      <c r="L78" s="547">
        <v>131205</v>
      </c>
      <c r="M78" s="545" t="s">
        <v>1276</v>
      </c>
      <c r="N78" s="89" t="s">
        <v>1277</v>
      </c>
      <c r="O78" s="89" t="s">
        <v>909</v>
      </c>
      <c r="P78" t="s">
        <v>887</v>
      </c>
      <c r="Q78"/>
      <c r="R78"/>
      <c r="S78"/>
      <c r="T78"/>
      <c r="U78"/>
      <c r="V78"/>
    </row>
    <row r="79" spans="1:22" ht="56" x14ac:dyDescent="0.35">
      <c r="A79" t="s">
        <v>1278</v>
      </c>
      <c r="B79" t="s">
        <v>915</v>
      </c>
      <c r="E79" t="s">
        <v>1279</v>
      </c>
      <c r="L79" s="547">
        <v>131210</v>
      </c>
      <c r="M79" s="545" t="s">
        <v>1280</v>
      </c>
      <c r="N79" s="89" t="s">
        <v>1281</v>
      </c>
      <c r="O79" s="89" t="s">
        <v>909</v>
      </c>
      <c r="P79" t="s">
        <v>887</v>
      </c>
      <c r="Q79"/>
      <c r="R79"/>
      <c r="S79"/>
      <c r="T79"/>
      <c r="U79"/>
      <c r="V79"/>
    </row>
    <row r="80" spans="1:22" ht="28" x14ac:dyDescent="0.35">
      <c r="A80" t="s">
        <v>1282</v>
      </c>
      <c r="B80" t="s">
        <v>922</v>
      </c>
      <c r="E80" t="s">
        <v>1283</v>
      </c>
      <c r="L80" s="544">
        <v>132131</v>
      </c>
      <c r="M80" s="545" t="s">
        <v>1284</v>
      </c>
      <c r="N80" s="89" t="s">
        <v>1285</v>
      </c>
      <c r="O80" s="89" t="s">
        <v>1286</v>
      </c>
      <c r="P80" t="s">
        <v>887</v>
      </c>
      <c r="Q80"/>
      <c r="R80"/>
      <c r="S80"/>
      <c r="T80"/>
      <c r="U80"/>
      <c r="V80"/>
    </row>
    <row r="81" spans="1:22" ht="28" x14ac:dyDescent="0.35">
      <c r="A81" t="s">
        <v>277</v>
      </c>
      <c r="B81" t="s">
        <v>133</v>
      </c>
      <c r="E81" t="s">
        <v>1287</v>
      </c>
      <c r="L81" s="544">
        <v>132133</v>
      </c>
      <c r="M81" s="545" t="s">
        <v>1288</v>
      </c>
      <c r="N81" s="89" t="s">
        <v>1289</v>
      </c>
      <c r="O81" s="89" t="s">
        <v>1290</v>
      </c>
      <c r="P81" t="s">
        <v>887</v>
      </c>
      <c r="Q81"/>
      <c r="R81"/>
      <c r="S81"/>
      <c r="T81"/>
      <c r="U81"/>
      <c r="V81"/>
    </row>
    <row r="82" spans="1:22" ht="28" x14ac:dyDescent="0.35">
      <c r="A82" t="s">
        <v>274</v>
      </c>
      <c r="B82" t="s">
        <v>915</v>
      </c>
      <c r="E82" t="s">
        <v>1291</v>
      </c>
      <c r="L82" s="544">
        <v>132134</v>
      </c>
      <c r="M82" s="545" t="s">
        <v>1292</v>
      </c>
      <c r="N82" s="89" t="s">
        <v>1293</v>
      </c>
      <c r="O82" s="89" t="s">
        <v>1294</v>
      </c>
      <c r="P82" t="s">
        <v>887</v>
      </c>
      <c r="Q82"/>
      <c r="R82"/>
      <c r="S82"/>
      <c r="T82"/>
      <c r="U82"/>
      <c r="V82"/>
    </row>
    <row r="83" spans="1:22" ht="112" x14ac:dyDescent="0.35">
      <c r="A83" t="s">
        <v>1295</v>
      </c>
      <c r="B83" t="s">
        <v>929</v>
      </c>
      <c r="E83" t="s">
        <v>1296</v>
      </c>
      <c r="L83" s="544">
        <v>133101</v>
      </c>
      <c r="M83" s="545" t="s">
        <v>1297</v>
      </c>
      <c r="N83" s="89" t="s">
        <v>1298</v>
      </c>
      <c r="O83" s="89" t="s">
        <v>1299</v>
      </c>
      <c r="P83" t="s">
        <v>887</v>
      </c>
      <c r="Q83"/>
      <c r="R83"/>
      <c r="S83"/>
      <c r="T83"/>
      <c r="U83"/>
      <c r="V83"/>
    </row>
    <row r="84" spans="1:22" ht="98" x14ac:dyDescent="0.35">
      <c r="A84" t="s">
        <v>1300</v>
      </c>
      <c r="B84" t="s">
        <v>922</v>
      </c>
      <c r="E84" t="s">
        <v>1301</v>
      </c>
      <c r="L84" s="544">
        <v>133200</v>
      </c>
      <c r="M84" s="545" t="s">
        <v>1302</v>
      </c>
      <c r="N84" s="89" t="s">
        <v>1303</v>
      </c>
      <c r="O84" s="89" t="s">
        <v>909</v>
      </c>
      <c r="P84" t="s">
        <v>887</v>
      </c>
      <c r="Q84"/>
      <c r="R84"/>
      <c r="S84"/>
      <c r="T84"/>
    </row>
    <row r="85" spans="1:22" ht="15.5" x14ac:dyDescent="0.35">
      <c r="A85" t="s">
        <v>1304</v>
      </c>
      <c r="B85" t="s">
        <v>133</v>
      </c>
      <c r="E85" t="s">
        <v>1305</v>
      </c>
      <c r="L85" s="544">
        <v>133314</v>
      </c>
      <c r="M85" s="545" t="s">
        <v>1306</v>
      </c>
      <c r="N85" s="89" t="s">
        <v>1307</v>
      </c>
      <c r="O85" s="89" t="s">
        <v>1308</v>
      </c>
      <c r="P85" t="s">
        <v>887</v>
      </c>
      <c r="Q85"/>
      <c r="R85"/>
      <c r="S85"/>
      <c r="T85"/>
    </row>
    <row r="86" spans="1:22" ht="28" x14ac:dyDescent="0.35">
      <c r="E86" t="s">
        <v>1309</v>
      </c>
      <c r="L86" s="544">
        <v>134101</v>
      </c>
      <c r="M86" s="545" t="s">
        <v>1310</v>
      </c>
      <c r="N86" s="89" t="s">
        <v>1311</v>
      </c>
      <c r="O86" s="89" t="s">
        <v>1312</v>
      </c>
      <c r="P86" t="s">
        <v>887</v>
      </c>
      <c r="Q86"/>
      <c r="R86"/>
      <c r="S86"/>
      <c r="T86"/>
    </row>
    <row r="87" spans="1:22" ht="28" x14ac:dyDescent="0.35">
      <c r="E87" t="s">
        <v>1313</v>
      </c>
      <c r="L87" s="544">
        <v>134102</v>
      </c>
      <c r="M87" s="545" t="s">
        <v>1314</v>
      </c>
      <c r="N87" s="89" t="s">
        <v>1315</v>
      </c>
      <c r="O87" s="89" t="s">
        <v>1316</v>
      </c>
      <c r="P87" t="s">
        <v>887</v>
      </c>
      <c r="Q87"/>
      <c r="R87"/>
      <c r="S87"/>
      <c r="T87"/>
    </row>
    <row r="88" spans="1:22" ht="98" x14ac:dyDescent="0.35">
      <c r="E88" t="s">
        <v>1317</v>
      </c>
      <c r="L88" s="544">
        <v>134103</v>
      </c>
      <c r="M88" s="545" t="s">
        <v>1318</v>
      </c>
      <c r="N88" s="89" t="s">
        <v>1319</v>
      </c>
      <c r="O88" s="89" t="s">
        <v>1320</v>
      </c>
      <c r="P88" t="s">
        <v>887</v>
      </c>
      <c r="Q88"/>
      <c r="R88"/>
      <c r="S88"/>
      <c r="T88"/>
    </row>
    <row r="89" spans="1:22" ht="42" x14ac:dyDescent="0.35">
      <c r="E89" t="s">
        <v>1321</v>
      </c>
      <c r="L89" s="544">
        <v>134119</v>
      </c>
      <c r="M89" s="545" t="s">
        <v>1322</v>
      </c>
      <c r="N89" s="89" t="s">
        <v>1323</v>
      </c>
      <c r="O89" s="89" t="s">
        <v>1324</v>
      </c>
      <c r="P89" t="s">
        <v>887</v>
      </c>
      <c r="Q89"/>
      <c r="R89"/>
      <c r="S89"/>
      <c r="T89"/>
    </row>
    <row r="90" spans="1:22" ht="56" x14ac:dyDescent="0.35">
      <c r="E90" t="s">
        <v>1325</v>
      </c>
      <c r="L90" s="544">
        <v>134335</v>
      </c>
      <c r="M90" s="545" t="s">
        <v>1326</v>
      </c>
      <c r="N90" s="89" t="s">
        <v>1327</v>
      </c>
      <c r="O90" s="89" t="s">
        <v>1328</v>
      </c>
      <c r="P90" t="s">
        <v>887</v>
      </c>
      <c r="Q90"/>
      <c r="R90"/>
      <c r="S90"/>
      <c r="T90"/>
    </row>
    <row r="91" spans="1:22" ht="28" x14ac:dyDescent="0.35">
      <c r="E91" t="s">
        <v>1329</v>
      </c>
      <c r="L91" s="544">
        <v>134336</v>
      </c>
      <c r="M91" s="545" t="s">
        <v>1330</v>
      </c>
      <c r="N91" s="89" t="s">
        <v>1331</v>
      </c>
      <c r="O91" s="89" t="s">
        <v>1332</v>
      </c>
      <c r="P91" t="s">
        <v>887</v>
      </c>
      <c r="Q91"/>
      <c r="R91"/>
      <c r="S91"/>
      <c r="T91"/>
    </row>
    <row r="92" spans="1:22" ht="28" x14ac:dyDescent="0.35">
      <c r="E92" t="s">
        <v>1333</v>
      </c>
      <c r="L92" s="544">
        <v>134338</v>
      </c>
      <c r="M92" s="545" t="s">
        <v>1334</v>
      </c>
      <c r="N92" s="89" t="s">
        <v>1335</v>
      </c>
      <c r="O92" s="89" t="s">
        <v>1336</v>
      </c>
      <c r="P92" t="s">
        <v>887</v>
      </c>
      <c r="Q92"/>
      <c r="R92"/>
      <c r="S92"/>
      <c r="T92"/>
    </row>
    <row r="93" spans="1:22" ht="42" x14ac:dyDescent="0.35">
      <c r="E93" t="s">
        <v>1337</v>
      </c>
      <c r="L93" s="544">
        <v>134341</v>
      </c>
      <c r="M93" s="545" t="s">
        <v>1338</v>
      </c>
      <c r="N93" s="89" t="s">
        <v>1339</v>
      </c>
      <c r="O93" s="89" t="s">
        <v>1340</v>
      </c>
      <c r="P93" t="s">
        <v>887</v>
      </c>
      <c r="Q93"/>
      <c r="R93"/>
      <c r="S93"/>
      <c r="T93"/>
    </row>
    <row r="94" spans="1:22" ht="28" x14ac:dyDescent="0.35">
      <c r="E94" t="s">
        <v>1341</v>
      </c>
      <c r="L94" s="544">
        <v>134351</v>
      </c>
      <c r="M94" s="545" t="s">
        <v>1342</v>
      </c>
      <c r="N94" s="89" t="s">
        <v>1343</v>
      </c>
      <c r="O94" s="89" t="s">
        <v>1344</v>
      </c>
      <c r="P94" t="s">
        <v>887</v>
      </c>
      <c r="Q94"/>
      <c r="R94"/>
      <c r="S94"/>
      <c r="T94"/>
    </row>
    <row r="95" spans="1:22" ht="28" x14ac:dyDescent="0.35">
      <c r="E95" t="s">
        <v>1345</v>
      </c>
      <c r="L95" s="544">
        <v>134353</v>
      </c>
      <c r="M95" s="545" t="s">
        <v>1346</v>
      </c>
      <c r="N95" s="89" t="s">
        <v>1347</v>
      </c>
      <c r="O95" s="89" t="s">
        <v>1348</v>
      </c>
      <c r="P95" t="s">
        <v>887</v>
      </c>
      <c r="Q95"/>
      <c r="R95"/>
      <c r="S95"/>
      <c r="T95"/>
    </row>
    <row r="96" spans="1:22" ht="28" x14ac:dyDescent="0.35">
      <c r="E96" t="s">
        <v>1349</v>
      </c>
      <c r="L96" s="544">
        <v>134355</v>
      </c>
      <c r="M96" s="545" t="s">
        <v>1350</v>
      </c>
      <c r="N96" s="89" t="s">
        <v>1351</v>
      </c>
      <c r="O96" s="89" t="s">
        <v>1352</v>
      </c>
      <c r="P96" t="s">
        <v>887</v>
      </c>
      <c r="Q96"/>
      <c r="R96"/>
      <c r="S96"/>
      <c r="T96"/>
    </row>
    <row r="97" spans="5:20" ht="56" x14ac:dyDescent="0.35">
      <c r="E97" t="s">
        <v>1353</v>
      </c>
      <c r="L97" s="544">
        <v>134373</v>
      </c>
      <c r="M97" s="545" t="s">
        <v>1354</v>
      </c>
      <c r="N97" s="89" t="s">
        <v>1355</v>
      </c>
      <c r="O97" s="89" t="s">
        <v>1356</v>
      </c>
      <c r="P97" t="s">
        <v>887</v>
      </c>
      <c r="Q97"/>
      <c r="R97"/>
      <c r="S97"/>
      <c r="T97"/>
    </row>
    <row r="98" spans="5:20" ht="42" x14ac:dyDescent="0.35">
      <c r="E98" t="s">
        <v>1357</v>
      </c>
      <c r="L98" s="544">
        <v>134374</v>
      </c>
      <c r="M98" s="545" t="s">
        <v>1358</v>
      </c>
      <c r="N98" s="89" t="s">
        <v>1359</v>
      </c>
      <c r="O98" s="89" t="s">
        <v>1360</v>
      </c>
      <c r="P98" t="s">
        <v>887</v>
      </c>
      <c r="Q98"/>
      <c r="R98"/>
      <c r="S98"/>
      <c r="T98"/>
    </row>
    <row r="99" spans="5:20" ht="42" x14ac:dyDescent="0.35">
      <c r="E99" t="s">
        <v>1361</v>
      </c>
      <c r="L99" s="544">
        <v>134375</v>
      </c>
      <c r="M99" s="545" t="s">
        <v>1362</v>
      </c>
      <c r="N99" s="89" t="s">
        <v>1363</v>
      </c>
      <c r="O99" s="89" t="s">
        <v>1364</v>
      </c>
      <c r="P99" t="s">
        <v>887</v>
      </c>
      <c r="Q99"/>
      <c r="R99"/>
      <c r="S99"/>
      <c r="T99"/>
    </row>
    <row r="100" spans="5:20" ht="28" x14ac:dyDescent="0.35">
      <c r="E100" t="s">
        <v>1365</v>
      </c>
      <c r="L100" s="544">
        <v>134376</v>
      </c>
      <c r="M100" s="545" t="s">
        <v>1366</v>
      </c>
      <c r="N100" s="89" t="s">
        <v>1367</v>
      </c>
      <c r="O100" s="89" t="s">
        <v>1368</v>
      </c>
      <c r="P100" t="s">
        <v>887</v>
      </c>
      <c r="Q100"/>
      <c r="R100"/>
      <c r="S100"/>
      <c r="T100"/>
    </row>
    <row r="101" spans="5:20" ht="42" x14ac:dyDescent="0.35">
      <c r="E101" t="s">
        <v>1369</v>
      </c>
      <c r="L101" s="544">
        <v>134422</v>
      </c>
      <c r="M101" s="545" t="s">
        <v>1370</v>
      </c>
      <c r="N101" s="89" t="s">
        <v>1371</v>
      </c>
      <c r="O101" s="89" t="s">
        <v>1372</v>
      </c>
      <c r="P101" t="s">
        <v>887</v>
      </c>
      <c r="Q101"/>
      <c r="R101"/>
      <c r="S101"/>
      <c r="T101"/>
    </row>
    <row r="102" spans="5:20" ht="42" x14ac:dyDescent="0.35">
      <c r="E102" t="s">
        <v>1373</v>
      </c>
      <c r="L102" s="544">
        <v>134465</v>
      </c>
      <c r="M102" s="545" t="s">
        <v>1374</v>
      </c>
      <c r="N102" s="89" t="s">
        <v>1375</v>
      </c>
      <c r="O102" s="89" t="s">
        <v>1376</v>
      </c>
      <c r="P102" t="s">
        <v>887</v>
      </c>
      <c r="Q102"/>
      <c r="R102"/>
      <c r="S102"/>
      <c r="T102"/>
    </row>
    <row r="103" spans="5:20" ht="42" x14ac:dyDescent="0.35">
      <c r="E103" t="s">
        <v>1377</v>
      </c>
      <c r="L103" s="544">
        <v>134473</v>
      </c>
      <c r="M103" s="545" t="s">
        <v>1378</v>
      </c>
      <c r="N103" s="89" t="s">
        <v>1379</v>
      </c>
      <c r="O103" s="89" t="s">
        <v>1380</v>
      </c>
      <c r="P103" t="s">
        <v>887</v>
      </c>
      <c r="Q103"/>
      <c r="R103"/>
      <c r="S103"/>
      <c r="T103"/>
    </row>
    <row r="104" spans="5:20" ht="42" x14ac:dyDescent="0.35">
      <c r="E104" t="s">
        <v>1381</v>
      </c>
      <c r="L104" s="544">
        <v>134482</v>
      </c>
      <c r="M104" s="545" t="s">
        <v>1382</v>
      </c>
      <c r="N104" s="89" t="s">
        <v>1383</v>
      </c>
      <c r="O104" s="89" t="s">
        <v>1384</v>
      </c>
      <c r="P104" t="s">
        <v>887</v>
      </c>
      <c r="Q104"/>
      <c r="R104"/>
      <c r="S104"/>
      <c r="T104"/>
    </row>
    <row r="105" spans="5:20" ht="42" x14ac:dyDescent="0.35">
      <c r="E105" t="s">
        <v>1385</v>
      </c>
      <c r="L105" s="544">
        <v>134484</v>
      </c>
      <c r="M105" s="545" t="s">
        <v>1386</v>
      </c>
      <c r="N105" s="89" t="s">
        <v>1387</v>
      </c>
      <c r="O105" s="89" t="s">
        <v>1388</v>
      </c>
      <c r="P105" t="s">
        <v>887</v>
      </c>
      <c r="Q105"/>
      <c r="R105"/>
      <c r="S105"/>
      <c r="T105"/>
    </row>
    <row r="106" spans="5:20" ht="56" x14ac:dyDescent="0.35">
      <c r="E106" t="s">
        <v>1389</v>
      </c>
      <c r="L106" s="544">
        <v>134511</v>
      </c>
      <c r="M106" s="545" t="s">
        <v>1390</v>
      </c>
      <c r="N106" s="89" t="s">
        <v>1391</v>
      </c>
      <c r="O106" s="89" t="s">
        <v>1384</v>
      </c>
      <c r="P106" t="s">
        <v>887</v>
      </c>
      <c r="Q106"/>
      <c r="R106"/>
      <c r="S106"/>
      <c r="T106"/>
    </row>
    <row r="107" spans="5:20" ht="42" x14ac:dyDescent="0.35">
      <c r="E107" t="s">
        <v>1392</v>
      </c>
      <c r="L107" s="544">
        <v>134678</v>
      </c>
      <c r="M107" s="545" t="s">
        <v>1393</v>
      </c>
      <c r="N107" s="89" t="s">
        <v>1394</v>
      </c>
      <c r="O107" s="89" t="s">
        <v>1395</v>
      </c>
      <c r="P107" t="s">
        <v>887</v>
      </c>
      <c r="Q107"/>
      <c r="R107"/>
      <c r="S107"/>
      <c r="T107"/>
    </row>
    <row r="108" spans="5:20" ht="42" x14ac:dyDescent="0.35">
      <c r="E108" t="s">
        <v>1396</v>
      </c>
      <c r="L108" s="544">
        <v>135583</v>
      </c>
      <c r="M108" s="545" t="s">
        <v>1397</v>
      </c>
      <c r="N108" s="89" t="s">
        <v>1398</v>
      </c>
      <c r="O108" s="89" t="s">
        <v>1399</v>
      </c>
      <c r="P108" t="s">
        <v>887</v>
      </c>
      <c r="Q108"/>
      <c r="R108"/>
      <c r="S108"/>
      <c r="T108"/>
    </row>
    <row r="109" spans="5:20" ht="42" x14ac:dyDescent="0.35">
      <c r="E109" t="s">
        <v>1400</v>
      </c>
      <c r="L109" s="544">
        <v>135586</v>
      </c>
      <c r="M109" s="545" t="s">
        <v>1401</v>
      </c>
      <c r="N109" s="89" t="s">
        <v>1402</v>
      </c>
      <c r="O109" s="89" t="s">
        <v>1403</v>
      </c>
      <c r="P109" t="s">
        <v>887</v>
      </c>
      <c r="Q109"/>
      <c r="R109"/>
      <c r="S109"/>
      <c r="T109"/>
    </row>
    <row r="110" spans="5:20" ht="42" x14ac:dyDescent="0.35">
      <c r="E110" t="s">
        <v>1404</v>
      </c>
      <c r="L110" s="544">
        <v>136635</v>
      </c>
      <c r="M110" s="545" t="s">
        <v>1405</v>
      </c>
      <c r="N110" s="89" t="s">
        <v>1406</v>
      </c>
      <c r="O110" s="89" t="s">
        <v>1407</v>
      </c>
      <c r="P110" t="s">
        <v>887</v>
      </c>
      <c r="Q110"/>
      <c r="R110"/>
      <c r="S110"/>
      <c r="T110"/>
    </row>
    <row r="111" spans="5:20" ht="42" x14ac:dyDescent="0.35">
      <c r="E111" t="s">
        <v>1408</v>
      </c>
      <c r="L111" s="544">
        <v>136661</v>
      </c>
      <c r="M111" s="545" t="s">
        <v>1409</v>
      </c>
      <c r="N111" s="89" t="s">
        <v>1410</v>
      </c>
      <c r="O111" s="89" t="s">
        <v>1411</v>
      </c>
      <c r="P111" t="s">
        <v>887</v>
      </c>
      <c r="Q111"/>
      <c r="R111"/>
      <c r="S111"/>
      <c r="T111"/>
    </row>
    <row r="112" spans="5:20" ht="15.5" x14ac:dyDescent="0.35">
      <c r="E112" t="s">
        <v>1412</v>
      </c>
      <c r="L112" s="544">
        <v>136662</v>
      </c>
      <c r="M112" s="545" t="s">
        <v>1413</v>
      </c>
      <c r="N112" s="89" t="s">
        <v>1414</v>
      </c>
      <c r="O112" s="89" t="s">
        <v>1415</v>
      </c>
      <c r="P112" t="s">
        <v>887</v>
      </c>
      <c r="Q112"/>
      <c r="R112"/>
      <c r="S112"/>
      <c r="T112"/>
    </row>
    <row r="113" spans="12:20" ht="56" x14ac:dyDescent="0.35">
      <c r="L113" s="544">
        <v>136664</v>
      </c>
      <c r="M113" s="545" t="s">
        <v>1416</v>
      </c>
      <c r="N113" s="89" t="s">
        <v>1417</v>
      </c>
      <c r="O113" s="89" t="s">
        <v>1418</v>
      </c>
      <c r="P113" t="s">
        <v>887</v>
      </c>
      <c r="Q113"/>
      <c r="R113"/>
      <c r="S113"/>
      <c r="T113"/>
    </row>
    <row r="114" spans="12:20" ht="42" x14ac:dyDescent="0.35">
      <c r="L114" s="544">
        <v>136666</v>
      </c>
      <c r="M114" s="545" t="s">
        <v>1419</v>
      </c>
      <c r="N114" s="89" t="s">
        <v>1420</v>
      </c>
      <c r="O114" s="89" t="s">
        <v>1421</v>
      </c>
      <c r="P114" t="s">
        <v>887</v>
      </c>
      <c r="Q114"/>
      <c r="R114"/>
      <c r="S114"/>
      <c r="T114"/>
    </row>
    <row r="115" spans="12:20" ht="15.5" x14ac:dyDescent="0.35">
      <c r="L115" s="544">
        <v>136667</v>
      </c>
      <c r="M115" s="545" t="s">
        <v>1422</v>
      </c>
      <c r="N115" s="89" t="s">
        <v>1423</v>
      </c>
      <c r="O115" s="89" t="s">
        <v>1424</v>
      </c>
      <c r="P115" t="s">
        <v>887</v>
      </c>
      <c r="Q115"/>
      <c r="R115"/>
      <c r="S115"/>
      <c r="T115"/>
    </row>
    <row r="116" spans="12:20" ht="42" x14ac:dyDescent="0.35">
      <c r="L116" s="544">
        <v>136668</v>
      </c>
      <c r="M116" s="545" t="s">
        <v>1425</v>
      </c>
      <c r="N116" s="89" t="s">
        <v>1426</v>
      </c>
      <c r="O116" s="89" t="s">
        <v>1427</v>
      </c>
      <c r="P116" t="s">
        <v>887</v>
      </c>
      <c r="Q116"/>
      <c r="R116"/>
      <c r="S116"/>
      <c r="T116"/>
    </row>
    <row r="117" spans="12:20" ht="28" x14ac:dyDescent="0.35">
      <c r="L117" s="544">
        <v>137200</v>
      </c>
      <c r="M117" s="545" t="s">
        <v>1428</v>
      </c>
      <c r="N117" s="89" t="s">
        <v>1429</v>
      </c>
      <c r="O117" s="89" t="s">
        <v>909</v>
      </c>
      <c r="P117" t="s">
        <v>887</v>
      </c>
      <c r="Q117"/>
      <c r="R117"/>
      <c r="S117"/>
      <c r="T117"/>
    </row>
    <row r="118" spans="12:20" ht="70" x14ac:dyDescent="0.35">
      <c r="L118" s="544">
        <v>140421</v>
      </c>
      <c r="M118" s="545" t="s">
        <v>1430</v>
      </c>
      <c r="N118" s="89" t="s">
        <v>1431</v>
      </c>
      <c r="O118" s="89" t="s">
        <v>1432</v>
      </c>
      <c r="P118" t="s">
        <v>887</v>
      </c>
      <c r="Q118"/>
      <c r="R118"/>
      <c r="S118"/>
      <c r="T118"/>
    </row>
    <row r="119" spans="12:20" ht="84" x14ac:dyDescent="0.35">
      <c r="L119" s="544">
        <v>140422</v>
      </c>
      <c r="M119" s="545" t="s">
        <v>1433</v>
      </c>
      <c r="N119" s="89" t="s">
        <v>1434</v>
      </c>
      <c r="O119" s="89" t="s">
        <v>1435</v>
      </c>
      <c r="P119" t="s">
        <v>887</v>
      </c>
      <c r="Q119"/>
      <c r="R119"/>
      <c r="S119"/>
      <c r="T119"/>
    </row>
    <row r="120" spans="12:20" ht="112" x14ac:dyDescent="0.35">
      <c r="L120" s="547">
        <v>140423</v>
      </c>
      <c r="M120" s="545" t="s">
        <v>1436</v>
      </c>
      <c r="N120" s="89" t="s">
        <v>1437</v>
      </c>
      <c r="O120" s="89" t="s">
        <v>909</v>
      </c>
      <c r="P120" t="s">
        <v>887</v>
      </c>
      <c r="Q120"/>
      <c r="R120"/>
      <c r="S120"/>
      <c r="T120"/>
    </row>
    <row r="121" spans="12:20" ht="42" x14ac:dyDescent="0.35">
      <c r="L121" s="544">
        <v>141101</v>
      </c>
      <c r="M121" s="545" t="s">
        <v>1438</v>
      </c>
      <c r="N121" s="89" t="s">
        <v>1439</v>
      </c>
      <c r="O121" s="89" t="s">
        <v>1440</v>
      </c>
      <c r="P121" t="s">
        <v>887</v>
      </c>
      <c r="Q121"/>
      <c r="R121"/>
      <c r="S121"/>
      <c r="T121"/>
    </row>
    <row r="122" spans="12:20" ht="28" x14ac:dyDescent="0.35">
      <c r="L122" s="544">
        <v>141154</v>
      </c>
      <c r="M122" s="545" t="s">
        <v>1441</v>
      </c>
      <c r="N122" s="89" t="s">
        <v>1442</v>
      </c>
      <c r="O122" s="89" t="s">
        <v>1443</v>
      </c>
      <c r="P122" t="s">
        <v>887</v>
      </c>
      <c r="Q122"/>
      <c r="R122"/>
      <c r="S122"/>
      <c r="T122"/>
    </row>
    <row r="123" spans="12:20" ht="42" x14ac:dyDescent="0.35">
      <c r="L123" s="544">
        <v>141165</v>
      </c>
      <c r="M123" s="545" t="s">
        <v>1444</v>
      </c>
      <c r="N123" s="89" t="s">
        <v>1445</v>
      </c>
      <c r="O123" s="89" t="s">
        <v>1446</v>
      </c>
      <c r="P123" t="s">
        <v>887</v>
      </c>
      <c r="Q123"/>
      <c r="R123"/>
      <c r="S123"/>
      <c r="T123"/>
    </row>
    <row r="124" spans="12:20" ht="56" x14ac:dyDescent="0.35">
      <c r="L124" s="544">
        <v>141175</v>
      </c>
      <c r="M124" s="545" t="s">
        <v>1447</v>
      </c>
      <c r="N124" s="89" t="s">
        <v>1448</v>
      </c>
      <c r="O124" s="89" t="s">
        <v>1449</v>
      </c>
      <c r="P124" t="s">
        <v>887</v>
      </c>
      <c r="Q124"/>
      <c r="R124"/>
      <c r="S124"/>
      <c r="T124"/>
    </row>
    <row r="125" spans="12:20" ht="28" x14ac:dyDescent="0.35">
      <c r="L125" s="544">
        <v>141181</v>
      </c>
      <c r="M125" s="545" t="s">
        <v>1450</v>
      </c>
      <c r="N125" s="89" t="s">
        <v>1451</v>
      </c>
      <c r="O125" s="89" t="s">
        <v>1452</v>
      </c>
      <c r="P125" t="s">
        <v>887</v>
      </c>
      <c r="Q125"/>
      <c r="R125"/>
      <c r="S125"/>
      <c r="T125"/>
    </row>
    <row r="126" spans="12:20" ht="42" x14ac:dyDescent="0.35">
      <c r="L126" s="544">
        <v>141182</v>
      </c>
      <c r="M126" s="545" t="s">
        <v>1453</v>
      </c>
      <c r="N126" s="89" t="s">
        <v>1454</v>
      </c>
      <c r="O126" s="89" t="s">
        <v>1455</v>
      </c>
      <c r="P126" t="s">
        <v>887</v>
      </c>
      <c r="Q126"/>
      <c r="R126"/>
      <c r="S126"/>
      <c r="T126"/>
    </row>
    <row r="127" spans="12:20" ht="42" x14ac:dyDescent="0.35">
      <c r="L127" s="544">
        <v>141183</v>
      </c>
      <c r="M127" s="545" t="s">
        <v>1456</v>
      </c>
      <c r="N127" s="89" t="s">
        <v>1457</v>
      </c>
      <c r="O127" s="89" t="s">
        <v>1458</v>
      </c>
      <c r="P127" t="s">
        <v>887</v>
      </c>
      <c r="Q127"/>
      <c r="R127"/>
      <c r="S127"/>
      <c r="T127"/>
    </row>
    <row r="128" spans="12:20" ht="42" x14ac:dyDescent="0.35">
      <c r="L128" s="544">
        <v>141184</v>
      </c>
      <c r="M128" s="545" t="s">
        <v>1459</v>
      </c>
      <c r="N128" s="89" t="s">
        <v>1460</v>
      </c>
      <c r="O128" s="89" t="s">
        <v>1461</v>
      </c>
      <c r="P128" t="s">
        <v>887</v>
      </c>
      <c r="Q128"/>
      <c r="R128"/>
      <c r="S128"/>
      <c r="T128"/>
    </row>
    <row r="129" spans="12:20" ht="28" x14ac:dyDescent="0.35">
      <c r="L129" s="544">
        <v>141185</v>
      </c>
      <c r="M129" s="545" t="s">
        <v>1462</v>
      </c>
      <c r="N129" s="89" t="s">
        <v>1463</v>
      </c>
      <c r="O129" s="89" t="s">
        <v>1464</v>
      </c>
      <c r="P129" t="s">
        <v>887</v>
      </c>
      <c r="Q129"/>
      <c r="R129"/>
      <c r="S129"/>
      <c r="T129"/>
    </row>
    <row r="130" spans="12:20" ht="42" x14ac:dyDescent="0.35">
      <c r="L130" s="544">
        <v>141232</v>
      </c>
      <c r="M130" s="545" t="s">
        <v>1465</v>
      </c>
      <c r="N130" s="89" t="s">
        <v>1466</v>
      </c>
      <c r="O130" s="89" t="s">
        <v>1467</v>
      </c>
      <c r="P130" t="s">
        <v>887</v>
      </c>
      <c r="Q130"/>
      <c r="R130"/>
      <c r="S130"/>
      <c r="T130"/>
    </row>
    <row r="131" spans="12:20" ht="42" x14ac:dyDescent="0.35">
      <c r="L131" s="544">
        <v>141383</v>
      </c>
      <c r="M131" s="545" t="s">
        <v>1468</v>
      </c>
      <c r="N131" s="89" t="s">
        <v>1469</v>
      </c>
      <c r="O131" s="548" t="s">
        <v>1470</v>
      </c>
      <c r="P131" t="s">
        <v>887</v>
      </c>
      <c r="Q131"/>
      <c r="R131"/>
      <c r="S131"/>
      <c r="T131"/>
    </row>
    <row r="132" spans="12:20" ht="56" x14ac:dyDescent="0.35">
      <c r="L132" s="544">
        <v>141385</v>
      </c>
      <c r="M132" s="545" t="s">
        <v>1471</v>
      </c>
      <c r="N132" s="89" t="s">
        <v>1472</v>
      </c>
      <c r="O132" s="89" t="s">
        <v>909</v>
      </c>
      <c r="P132" t="s">
        <v>887</v>
      </c>
      <c r="Q132"/>
      <c r="R132"/>
      <c r="S132"/>
      <c r="T132"/>
    </row>
    <row r="133" spans="12:20" ht="56" x14ac:dyDescent="0.35">
      <c r="L133" s="544">
        <v>141387</v>
      </c>
      <c r="M133" s="545" t="s">
        <v>1473</v>
      </c>
      <c r="N133" s="89" t="s">
        <v>1474</v>
      </c>
      <c r="O133" s="89" t="s">
        <v>1475</v>
      </c>
      <c r="P133" t="s">
        <v>887</v>
      </c>
      <c r="Q133"/>
      <c r="R133"/>
      <c r="S133"/>
      <c r="T133"/>
    </row>
    <row r="134" spans="12:20" ht="84" x14ac:dyDescent="0.35">
      <c r="L134" s="544">
        <v>141389</v>
      </c>
      <c r="M134" s="545" t="s">
        <v>1476</v>
      </c>
      <c r="N134" s="89" t="s">
        <v>1477</v>
      </c>
      <c r="O134" s="89" t="s">
        <v>1478</v>
      </c>
      <c r="P134" t="s">
        <v>887</v>
      </c>
      <c r="Q134"/>
      <c r="R134"/>
      <c r="S134"/>
      <c r="T134"/>
    </row>
    <row r="135" spans="12:20" ht="56" x14ac:dyDescent="0.35">
      <c r="L135" s="544">
        <v>141391</v>
      </c>
      <c r="M135" s="545" t="s">
        <v>1479</v>
      </c>
      <c r="N135" s="89" t="s">
        <v>1480</v>
      </c>
      <c r="O135" s="89" t="s">
        <v>1481</v>
      </c>
      <c r="P135" t="s">
        <v>887</v>
      </c>
      <c r="Q135"/>
      <c r="R135"/>
      <c r="S135"/>
      <c r="T135"/>
    </row>
    <row r="136" spans="12:20" ht="28" x14ac:dyDescent="0.35">
      <c r="L136" s="544">
        <v>141392</v>
      </c>
      <c r="M136" s="545" t="s">
        <v>1482</v>
      </c>
      <c r="N136" s="89" t="s">
        <v>1483</v>
      </c>
      <c r="O136" s="89" t="s">
        <v>1484</v>
      </c>
      <c r="P136" t="s">
        <v>887</v>
      </c>
      <c r="Q136"/>
      <c r="R136"/>
      <c r="S136"/>
      <c r="T136"/>
    </row>
    <row r="137" spans="12:20" ht="70" x14ac:dyDescent="0.35">
      <c r="L137" s="544">
        <v>141393</v>
      </c>
      <c r="M137" s="545" t="s">
        <v>1485</v>
      </c>
      <c r="N137" s="89" t="s">
        <v>1486</v>
      </c>
      <c r="O137" s="89" t="s">
        <v>1487</v>
      </c>
      <c r="P137" t="s">
        <v>887</v>
      </c>
      <c r="Q137"/>
      <c r="R137"/>
      <c r="S137"/>
      <c r="T137"/>
    </row>
    <row r="138" spans="12:20" ht="42" x14ac:dyDescent="0.35">
      <c r="L138" s="544">
        <v>141400</v>
      </c>
      <c r="M138" s="545" t="s">
        <v>1488</v>
      </c>
      <c r="N138" s="89" t="s">
        <v>1489</v>
      </c>
      <c r="O138" s="89" t="s">
        <v>909</v>
      </c>
      <c r="P138" t="s">
        <v>887</v>
      </c>
      <c r="Q138"/>
      <c r="R138"/>
      <c r="S138"/>
      <c r="T138"/>
    </row>
    <row r="139" spans="12:20" ht="28" x14ac:dyDescent="0.35">
      <c r="L139" s="544">
        <v>141411</v>
      </c>
      <c r="M139" s="545" t="s">
        <v>1490</v>
      </c>
      <c r="N139" s="89" t="s">
        <v>1491</v>
      </c>
      <c r="O139" s="89" t="s">
        <v>1492</v>
      </c>
      <c r="P139" t="s">
        <v>887</v>
      </c>
      <c r="Q139"/>
      <c r="R139"/>
      <c r="S139"/>
      <c r="T139"/>
    </row>
    <row r="140" spans="12:20" ht="28" x14ac:dyDescent="0.35">
      <c r="L140" s="544">
        <v>141421</v>
      </c>
      <c r="M140" s="545" t="s">
        <v>1493</v>
      </c>
      <c r="N140" s="89" t="s">
        <v>1494</v>
      </c>
      <c r="O140" s="89" t="s">
        <v>1495</v>
      </c>
      <c r="P140" t="s">
        <v>887</v>
      </c>
      <c r="Q140"/>
      <c r="R140"/>
      <c r="S140"/>
      <c r="T140"/>
    </row>
    <row r="141" spans="12:20" ht="84" x14ac:dyDescent="0.35">
      <c r="L141" s="544">
        <v>141446</v>
      </c>
      <c r="M141" s="545" t="s">
        <v>1496</v>
      </c>
      <c r="N141" s="89" t="s">
        <v>1497</v>
      </c>
      <c r="O141" s="89" t="s">
        <v>1498</v>
      </c>
      <c r="P141" t="s">
        <v>887</v>
      </c>
      <c r="Q141"/>
      <c r="R141"/>
      <c r="S141"/>
      <c r="T141"/>
    </row>
    <row r="142" spans="12:20" ht="42" x14ac:dyDescent="0.35">
      <c r="L142" s="544">
        <v>141447</v>
      </c>
      <c r="M142" s="545" t="s">
        <v>1499</v>
      </c>
      <c r="N142" s="89" t="s">
        <v>1500</v>
      </c>
      <c r="O142" s="89" t="s">
        <v>1501</v>
      </c>
      <c r="P142" t="s">
        <v>887</v>
      </c>
      <c r="Q142"/>
      <c r="R142"/>
      <c r="S142"/>
      <c r="T142"/>
    </row>
    <row r="143" spans="12:20" ht="112" x14ac:dyDescent="0.35">
      <c r="L143" s="544">
        <v>141449</v>
      </c>
      <c r="M143" s="545" t="s">
        <v>1502</v>
      </c>
      <c r="N143" s="89" t="s">
        <v>1503</v>
      </c>
      <c r="O143" s="89" t="s">
        <v>1504</v>
      </c>
      <c r="P143" t="s">
        <v>887</v>
      </c>
      <c r="Q143"/>
      <c r="R143"/>
      <c r="S143"/>
      <c r="T143"/>
    </row>
    <row r="144" spans="12:20" ht="42" x14ac:dyDescent="0.35">
      <c r="L144" s="544">
        <v>141453</v>
      </c>
      <c r="M144" s="545" t="s">
        <v>1505</v>
      </c>
      <c r="N144" s="89" t="s">
        <v>1506</v>
      </c>
      <c r="O144" s="89" t="s">
        <v>1507</v>
      </c>
      <c r="P144" t="s">
        <v>887</v>
      </c>
      <c r="Q144"/>
      <c r="R144"/>
      <c r="S144"/>
      <c r="T144"/>
    </row>
    <row r="145" spans="12:20" ht="70" x14ac:dyDescent="0.35">
      <c r="L145" s="544">
        <v>141454</v>
      </c>
      <c r="M145" s="545" t="s">
        <v>1508</v>
      </c>
      <c r="N145" s="89" t="s">
        <v>1509</v>
      </c>
      <c r="O145" s="549" t="s">
        <v>1510</v>
      </c>
      <c r="P145" t="s">
        <v>887</v>
      </c>
      <c r="Q145"/>
      <c r="R145"/>
      <c r="S145"/>
      <c r="T145"/>
    </row>
    <row r="146" spans="12:20" ht="28" x14ac:dyDescent="0.35">
      <c r="L146" s="544">
        <v>141455</v>
      </c>
      <c r="M146" s="545" t="s">
        <v>1511</v>
      </c>
      <c r="N146" s="89" t="s">
        <v>1512</v>
      </c>
      <c r="O146" s="89" t="s">
        <v>1513</v>
      </c>
      <c r="P146" t="s">
        <v>887</v>
      </c>
      <c r="Q146"/>
      <c r="R146"/>
      <c r="S146"/>
      <c r="T146"/>
    </row>
    <row r="147" spans="12:20" ht="70" x14ac:dyDescent="0.35">
      <c r="L147" s="544">
        <v>141456</v>
      </c>
      <c r="M147" s="545" t="s">
        <v>1514</v>
      </c>
      <c r="N147" s="89" t="s">
        <v>1515</v>
      </c>
      <c r="O147" s="89" t="s">
        <v>1516</v>
      </c>
      <c r="P147" t="s">
        <v>887</v>
      </c>
      <c r="Q147"/>
      <c r="R147"/>
      <c r="S147"/>
      <c r="T147"/>
    </row>
    <row r="148" spans="12:20" ht="28" x14ac:dyDescent="0.35">
      <c r="L148" s="544">
        <v>141459</v>
      </c>
      <c r="M148" s="545" t="s">
        <v>1517</v>
      </c>
      <c r="N148" s="89" t="s">
        <v>1518</v>
      </c>
      <c r="O148" s="89" t="s">
        <v>1519</v>
      </c>
      <c r="P148" t="s">
        <v>887</v>
      </c>
      <c r="Q148"/>
      <c r="R148"/>
      <c r="S148"/>
      <c r="T148"/>
    </row>
    <row r="149" spans="12:20" ht="42" x14ac:dyDescent="0.35">
      <c r="L149" s="544">
        <v>141461</v>
      </c>
      <c r="M149" s="545" t="s">
        <v>1520</v>
      </c>
      <c r="N149" s="89" t="s">
        <v>1521</v>
      </c>
      <c r="O149" s="89" t="s">
        <v>1522</v>
      </c>
      <c r="P149" t="s">
        <v>887</v>
      </c>
      <c r="Q149"/>
      <c r="R149"/>
      <c r="S149"/>
      <c r="T149"/>
    </row>
    <row r="150" spans="12:20" ht="28" x14ac:dyDescent="0.35">
      <c r="L150" s="544">
        <v>141481</v>
      </c>
      <c r="M150" s="545" t="s">
        <v>1523</v>
      </c>
      <c r="N150" s="89" t="s">
        <v>1524</v>
      </c>
      <c r="O150" s="89" t="s">
        <v>1525</v>
      </c>
      <c r="P150" t="s">
        <v>887</v>
      </c>
      <c r="Q150"/>
      <c r="R150"/>
      <c r="S150"/>
      <c r="T150"/>
    </row>
    <row r="151" spans="12:20" ht="56" x14ac:dyDescent="0.35">
      <c r="L151" s="544">
        <v>141489</v>
      </c>
      <c r="M151" s="545" t="s">
        <v>1526</v>
      </c>
      <c r="N151" s="89" t="s">
        <v>1527</v>
      </c>
      <c r="O151" s="89" t="s">
        <v>1528</v>
      </c>
      <c r="P151" t="s">
        <v>887</v>
      </c>
      <c r="Q151"/>
      <c r="R151"/>
      <c r="S151"/>
      <c r="T151"/>
    </row>
    <row r="152" spans="12:20" ht="42" x14ac:dyDescent="0.35">
      <c r="L152" s="544">
        <v>141626</v>
      </c>
      <c r="M152" s="545" t="s">
        <v>1529</v>
      </c>
      <c r="N152" s="89" t="s">
        <v>1530</v>
      </c>
      <c r="O152" s="89" t="s">
        <v>1531</v>
      </c>
      <c r="P152" t="s">
        <v>887</v>
      </c>
      <c r="Q152"/>
      <c r="R152"/>
      <c r="S152"/>
      <c r="T152"/>
    </row>
    <row r="153" spans="12:20" ht="28" x14ac:dyDescent="0.35">
      <c r="L153" s="544">
        <v>141627</v>
      </c>
      <c r="M153" s="545" t="s">
        <v>1532</v>
      </c>
      <c r="N153" s="89" t="s">
        <v>1533</v>
      </c>
      <c r="O153" s="89" t="s">
        <v>1534</v>
      </c>
      <c r="P153" t="s">
        <v>887</v>
      </c>
      <c r="Q153"/>
      <c r="R153"/>
      <c r="S153"/>
      <c r="T153"/>
    </row>
    <row r="154" spans="12:20" ht="28" x14ac:dyDescent="0.35">
      <c r="L154" s="544">
        <v>141629</v>
      </c>
      <c r="M154" s="545" t="s">
        <v>1535</v>
      </c>
      <c r="N154" s="89" t="s">
        <v>1536</v>
      </c>
      <c r="O154" s="89" t="s">
        <v>1537</v>
      </c>
      <c r="P154" t="s">
        <v>887</v>
      </c>
      <c r="Q154"/>
      <c r="R154"/>
      <c r="S154"/>
      <c r="T154"/>
    </row>
    <row r="155" spans="12:20" ht="28" x14ac:dyDescent="0.35">
      <c r="L155" s="544">
        <v>141635</v>
      </c>
      <c r="M155" s="545" t="s">
        <v>1538</v>
      </c>
      <c r="N155" s="89" t="s">
        <v>1539</v>
      </c>
      <c r="O155" s="89" t="s">
        <v>1540</v>
      </c>
      <c r="P155" t="s">
        <v>887</v>
      </c>
      <c r="Q155"/>
      <c r="R155"/>
      <c r="S155"/>
      <c r="T155"/>
    </row>
    <row r="156" spans="12:20" ht="42" x14ac:dyDescent="0.35">
      <c r="L156" s="544">
        <v>141649</v>
      </c>
      <c r="M156" s="545" t="s">
        <v>1541</v>
      </c>
      <c r="N156" s="89" t="s">
        <v>1542</v>
      </c>
      <c r="O156" s="89" t="s">
        <v>1543</v>
      </c>
      <c r="P156" t="s">
        <v>887</v>
      </c>
      <c r="Q156"/>
      <c r="R156"/>
      <c r="S156"/>
      <c r="T156"/>
    </row>
    <row r="157" spans="12:20" ht="42" x14ac:dyDescent="0.35">
      <c r="L157" s="544">
        <v>141650</v>
      </c>
      <c r="M157" s="545" t="s">
        <v>1544</v>
      </c>
      <c r="N157" s="89" t="s">
        <v>1545</v>
      </c>
      <c r="O157" s="89" t="s">
        <v>909</v>
      </c>
      <c r="P157" t="s">
        <v>887</v>
      </c>
      <c r="Q157"/>
      <c r="R157"/>
      <c r="S157"/>
      <c r="T157"/>
    </row>
    <row r="158" spans="12:20" ht="56" x14ac:dyDescent="0.35">
      <c r="L158" s="544">
        <v>141651</v>
      </c>
      <c r="M158" s="545" t="s">
        <v>1546</v>
      </c>
      <c r="N158" s="89" t="s">
        <v>1547</v>
      </c>
      <c r="O158" s="89" t="s">
        <v>909</v>
      </c>
      <c r="P158" t="s">
        <v>887</v>
      </c>
      <c r="Q158"/>
      <c r="R158"/>
      <c r="S158"/>
      <c r="T158"/>
    </row>
    <row r="159" spans="12:20" ht="56" x14ac:dyDescent="0.35">
      <c r="L159" s="544">
        <v>141652</v>
      </c>
      <c r="M159" s="545" t="s">
        <v>1548</v>
      </c>
      <c r="N159" s="89" t="s">
        <v>1549</v>
      </c>
      <c r="O159" s="89" t="s">
        <v>909</v>
      </c>
      <c r="P159" t="s">
        <v>887</v>
      </c>
      <c r="Q159"/>
      <c r="R159"/>
      <c r="S159"/>
      <c r="T159"/>
    </row>
    <row r="160" spans="12:20" ht="42" x14ac:dyDescent="0.35">
      <c r="L160" s="544">
        <v>141743</v>
      </c>
      <c r="M160" s="545" t="s">
        <v>1550</v>
      </c>
      <c r="N160" s="89" t="s">
        <v>1551</v>
      </c>
      <c r="O160" s="89" t="s">
        <v>1552</v>
      </c>
      <c r="P160" t="s">
        <v>887</v>
      </c>
      <c r="Q160"/>
      <c r="R160"/>
      <c r="S160"/>
      <c r="T160"/>
    </row>
    <row r="161" spans="12:20" ht="56" x14ac:dyDescent="0.35">
      <c r="L161" s="544">
        <v>141745</v>
      </c>
      <c r="M161" s="545" t="s">
        <v>1553</v>
      </c>
      <c r="N161" s="89" t="s">
        <v>1554</v>
      </c>
      <c r="O161" s="89" t="s">
        <v>1555</v>
      </c>
      <c r="P161" t="s">
        <v>887</v>
      </c>
      <c r="Q161"/>
      <c r="R161"/>
      <c r="S161"/>
      <c r="T161"/>
    </row>
    <row r="162" spans="12:20" ht="28" x14ac:dyDescent="0.35">
      <c r="L162" s="544">
        <v>141747</v>
      </c>
      <c r="M162" s="545" t="s">
        <v>1556</v>
      </c>
      <c r="N162" s="89" t="s">
        <v>1557</v>
      </c>
      <c r="O162" s="89" t="s">
        <v>1558</v>
      </c>
      <c r="P162" t="s">
        <v>887</v>
      </c>
      <c r="Q162"/>
      <c r="R162"/>
      <c r="S162"/>
      <c r="T162"/>
    </row>
    <row r="163" spans="12:20" ht="42" x14ac:dyDescent="0.35">
      <c r="L163" s="544">
        <v>141753</v>
      </c>
      <c r="M163" s="545" t="s">
        <v>1559</v>
      </c>
      <c r="N163" s="89" t="s">
        <v>1560</v>
      </c>
      <c r="O163" s="89" t="s">
        <v>1561</v>
      </c>
      <c r="P163" t="s">
        <v>887</v>
      </c>
      <c r="Q163"/>
      <c r="R163"/>
      <c r="S163"/>
      <c r="T163"/>
    </row>
    <row r="164" spans="12:20" ht="42" x14ac:dyDescent="0.35">
      <c r="L164" s="544">
        <v>141762</v>
      </c>
      <c r="M164" s="545" t="s">
        <v>1562</v>
      </c>
      <c r="N164" s="89" t="s">
        <v>1563</v>
      </c>
      <c r="O164" s="89" t="s">
        <v>1564</v>
      </c>
      <c r="P164" t="s">
        <v>887</v>
      </c>
      <c r="Q164"/>
      <c r="R164"/>
      <c r="S164"/>
      <c r="T164"/>
    </row>
    <row r="165" spans="12:20" ht="56" x14ac:dyDescent="0.35">
      <c r="L165" s="544">
        <v>141763</v>
      </c>
      <c r="M165" s="545" t="s">
        <v>1565</v>
      </c>
      <c r="N165" s="89" t="s">
        <v>1566</v>
      </c>
      <c r="O165" s="89" t="s">
        <v>1567</v>
      </c>
      <c r="P165" t="s">
        <v>887</v>
      </c>
      <c r="Q165"/>
      <c r="R165"/>
      <c r="S165"/>
      <c r="T165"/>
    </row>
    <row r="166" spans="12:20" ht="42" x14ac:dyDescent="0.35">
      <c r="L166" s="544">
        <v>141764</v>
      </c>
      <c r="M166" s="545" t="s">
        <v>1568</v>
      </c>
      <c r="N166" s="89" t="s">
        <v>1569</v>
      </c>
      <c r="O166" s="89" t="s">
        <v>1570</v>
      </c>
      <c r="P166" t="s">
        <v>887</v>
      </c>
      <c r="Q166"/>
      <c r="R166"/>
      <c r="S166"/>
      <c r="T166"/>
    </row>
    <row r="167" spans="12:20" ht="42" x14ac:dyDescent="0.35">
      <c r="L167" s="544">
        <v>141765</v>
      </c>
      <c r="M167" s="545" t="s">
        <v>1571</v>
      </c>
      <c r="N167" s="89" t="s">
        <v>1572</v>
      </c>
      <c r="O167" s="89" t="s">
        <v>1573</v>
      </c>
      <c r="P167" t="s">
        <v>887</v>
      </c>
      <c r="Q167"/>
      <c r="R167"/>
      <c r="S167"/>
      <c r="T167"/>
    </row>
    <row r="168" spans="12:20" ht="126" x14ac:dyDescent="0.35">
      <c r="L168" s="544">
        <v>141766</v>
      </c>
      <c r="M168" s="545" t="s">
        <v>1574</v>
      </c>
      <c r="N168" s="89" t="s">
        <v>1575</v>
      </c>
      <c r="O168" s="89" t="s">
        <v>1576</v>
      </c>
      <c r="P168" t="s">
        <v>887</v>
      </c>
      <c r="Q168"/>
      <c r="R168"/>
      <c r="S168"/>
      <c r="T168"/>
    </row>
    <row r="169" spans="12:20" ht="56" x14ac:dyDescent="0.35">
      <c r="L169" s="544">
        <v>141782</v>
      </c>
      <c r="M169" s="545" t="s">
        <v>1577</v>
      </c>
      <c r="N169" s="89" t="s">
        <v>1578</v>
      </c>
      <c r="O169" s="89" t="s">
        <v>1579</v>
      </c>
      <c r="P169" t="s">
        <v>887</v>
      </c>
      <c r="Q169"/>
      <c r="R169"/>
      <c r="S169"/>
      <c r="T169"/>
    </row>
    <row r="170" spans="12:20" ht="28" x14ac:dyDescent="0.35">
      <c r="L170" s="544">
        <v>141783</v>
      </c>
      <c r="M170" s="545" t="s">
        <v>1580</v>
      </c>
      <c r="N170" s="89" t="s">
        <v>1581</v>
      </c>
      <c r="O170" s="89" t="s">
        <v>1582</v>
      </c>
      <c r="P170" t="s">
        <v>887</v>
      </c>
      <c r="Q170"/>
      <c r="R170"/>
      <c r="S170"/>
      <c r="T170"/>
    </row>
    <row r="171" spans="12:20" ht="56" x14ac:dyDescent="0.35">
      <c r="L171" s="544">
        <v>141784</v>
      </c>
      <c r="M171" s="545" t="s">
        <v>1583</v>
      </c>
      <c r="N171" s="89" t="s">
        <v>1584</v>
      </c>
      <c r="O171" s="89" t="s">
        <v>1585</v>
      </c>
      <c r="P171" t="s">
        <v>887</v>
      </c>
      <c r="Q171"/>
      <c r="R171"/>
      <c r="S171"/>
      <c r="T171"/>
    </row>
    <row r="172" spans="12:20" ht="56" x14ac:dyDescent="0.35">
      <c r="L172" s="544">
        <v>141785</v>
      </c>
      <c r="M172" s="545" t="s">
        <v>1586</v>
      </c>
      <c r="N172" s="89" t="s">
        <v>1587</v>
      </c>
      <c r="O172" s="89" t="s">
        <v>1588</v>
      </c>
      <c r="P172" t="s">
        <v>887</v>
      </c>
      <c r="Q172"/>
      <c r="R172"/>
      <c r="S172"/>
      <c r="T172"/>
    </row>
    <row r="173" spans="12:20" ht="28" x14ac:dyDescent="0.35">
      <c r="L173" s="544">
        <v>141786</v>
      </c>
      <c r="M173" s="545" t="s">
        <v>1589</v>
      </c>
      <c r="N173" s="89" t="s">
        <v>1590</v>
      </c>
      <c r="O173" s="89" t="s">
        <v>1591</v>
      </c>
      <c r="P173" t="s">
        <v>887</v>
      </c>
      <c r="Q173"/>
      <c r="R173"/>
      <c r="S173"/>
      <c r="T173"/>
    </row>
    <row r="174" spans="12:20" ht="56" x14ac:dyDescent="0.35">
      <c r="L174" s="544">
        <v>141787</v>
      </c>
      <c r="M174" s="545" t="s">
        <v>1592</v>
      </c>
      <c r="N174" s="89" t="s">
        <v>1593</v>
      </c>
      <c r="O174" s="89" t="s">
        <v>1594</v>
      </c>
      <c r="P174" t="s">
        <v>887</v>
      </c>
      <c r="Q174"/>
      <c r="R174"/>
      <c r="S174"/>
      <c r="T174"/>
    </row>
    <row r="175" spans="12:20" ht="42" x14ac:dyDescent="0.35">
      <c r="L175" s="544">
        <v>141821</v>
      </c>
      <c r="M175" s="545" t="s">
        <v>1595</v>
      </c>
      <c r="N175" s="89" t="s">
        <v>1596</v>
      </c>
      <c r="O175" s="89" t="s">
        <v>1597</v>
      </c>
      <c r="P175" t="s">
        <v>887</v>
      </c>
      <c r="Q175"/>
      <c r="R175"/>
      <c r="S175"/>
      <c r="T175"/>
    </row>
    <row r="176" spans="12:20" ht="42" x14ac:dyDescent="0.35">
      <c r="L176" s="544">
        <v>141911</v>
      </c>
      <c r="M176" s="545" t="s">
        <v>1598</v>
      </c>
      <c r="N176" s="89" t="s">
        <v>1599</v>
      </c>
      <c r="O176" s="89" t="s">
        <v>1600</v>
      </c>
      <c r="P176" t="s">
        <v>887</v>
      </c>
      <c r="Q176"/>
      <c r="R176"/>
      <c r="S176"/>
      <c r="T176"/>
    </row>
    <row r="177" spans="12:20" ht="42" x14ac:dyDescent="0.35">
      <c r="L177" s="544">
        <v>141912</v>
      </c>
      <c r="M177" s="545" t="s">
        <v>1601</v>
      </c>
      <c r="N177" s="89" t="s">
        <v>1602</v>
      </c>
      <c r="O177" s="89" t="s">
        <v>1603</v>
      </c>
      <c r="P177" t="s">
        <v>887</v>
      </c>
      <c r="Q177"/>
      <c r="R177"/>
      <c r="S177"/>
      <c r="T177"/>
    </row>
    <row r="178" spans="12:20" ht="15.5" x14ac:dyDescent="0.35">
      <c r="L178" s="544">
        <v>141913</v>
      </c>
      <c r="M178" s="545" t="s">
        <v>1604</v>
      </c>
      <c r="N178" s="89" t="s">
        <v>1605</v>
      </c>
      <c r="O178" s="89" t="s">
        <v>909</v>
      </c>
      <c r="P178" t="s">
        <v>887</v>
      </c>
      <c r="Q178"/>
      <c r="R178"/>
      <c r="S178"/>
      <c r="T178"/>
    </row>
    <row r="179" spans="12:20" ht="28" x14ac:dyDescent="0.35">
      <c r="L179" s="544">
        <v>141914</v>
      </c>
      <c r="M179" s="545" t="s">
        <v>1606</v>
      </c>
      <c r="N179" s="89" t="s">
        <v>1607</v>
      </c>
      <c r="O179" s="89" t="s">
        <v>1608</v>
      </c>
      <c r="P179" t="s">
        <v>887</v>
      </c>
      <c r="Q179"/>
      <c r="R179"/>
      <c r="S179"/>
      <c r="T179"/>
    </row>
    <row r="180" spans="12:20" ht="28" x14ac:dyDescent="0.35">
      <c r="L180" s="544">
        <v>141915</v>
      </c>
      <c r="M180" s="545" t="s">
        <v>1609</v>
      </c>
      <c r="N180" s="89" t="s">
        <v>1610</v>
      </c>
      <c r="O180" s="89" t="s">
        <v>1611</v>
      </c>
      <c r="P180" t="s">
        <v>887</v>
      </c>
      <c r="Q180"/>
      <c r="R180"/>
      <c r="S180"/>
      <c r="T180"/>
    </row>
    <row r="181" spans="12:20" ht="70" x14ac:dyDescent="0.35">
      <c r="L181" s="547">
        <v>143091</v>
      </c>
      <c r="M181" s="545" t="s">
        <v>1612</v>
      </c>
      <c r="N181" s="89" t="s">
        <v>1613</v>
      </c>
      <c r="O181" s="89" t="s">
        <v>909</v>
      </c>
      <c r="P181" t="s">
        <v>887</v>
      </c>
      <c r="Q181"/>
      <c r="R181"/>
      <c r="S181"/>
      <c r="T181"/>
    </row>
    <row r="182" spans="12:20" ht="28" x14ac:dyDescent="0.35">
      <c r="L182" s="544">
        <v>143199</v>
      </c>
      <c r="M182" s="545" t="s">
        <v>1614</v>
      </c>
      <c r="N182" s="89" t="s">
        <v>1615</v>
      </c>
      <c r="O182" s="89" t="s">
        <v>1616</v>
      </c>
      <c r="P182" t="s">
        <v>887</v>
      </c>
      <c r="Q182"/>
      <c r="R182"/>
      <c r="S182"/>
      <c r="T182"/>
    </row>
    <row r="183" spans="12:20" ht="98" x14ac:dyDescent="0.35">
      <c r="L183" s="547">
        <v>143251</v>
      </c>
      <c r="M183" s="545" t="s">
        <v>1617</v>
      </c>
      <c r="N183" s="89" t="s">
        <v>1618</v>
      </c>
      <c r="O183" s="89" t="s">
        <v>909</v>
      </c>
      <c r="P183" t="s">
        <v>887</v>
      </c>
      <c r="Q183"/>
      <c r="R183"/>
      <c r="S183"/>
      <c r="T183"/>
    </row>
    <row r="184" spans="12:20" ht="28" x14ac:dyDescent="0.35">
      <c r="L184" s="544">
        <v>143770</v>
      </c>
      <c r="M184" s="545" t="s">
        <v>1619</v>
      </c>
      <c r="N184" s="89" t="s">
        <v>1620</v>
      </c>
      <c r="O184" s="89" t="s">
        <v>909</v>
      </c>
      <c r="P184" t="s">
        <v>887</v>
      </c>
      <c r="Q184"/>
      <c r="R184"/>
      <c r="S184"/>
      <c r="T184"/>
    </row>
    <row r="185" spans="12:20" ht="56" x14ac:dyDescent="0.35">
      <c r="L185" s="544">
        <v>144321</v>
      </c>
      <c r="M185" s="545" t="s">
        <v>1621</v>
      </c>
      <c r="N185" s="89" t="s">
        <v>1622</v>
      </c>
      <c r="O185" s="89" t="s">
        <v>1623</v>
      </c>
      <c r="P185" t="s">
        <v>887</v>
      </c>
      <c r="Q185"/>
      <c r="R185"/>
      <c r="S185"/>
      <c r="T185"/>
    </row>
    <row r="186" spans="12:20" ht="56" x14ac:dyDescent="0.35">
      <c r="L186" s="544">
        <v>144401</v>
      </c>
      <c r="M186" s="545" t="s">
        <v>1624</v>
      </c>
      <c r="N186" s="89" t="s">
        <v>1625</v>
      </c>
      <c r="O186" s="89" t="s">
        <v>1626</v>
      </c>
      <c r="P186" t="s">
        <v>887</v>
      </c>
      <c r="Q186"/>
      <c r="R186"/>
      <c r="S186"/>
      <c r="T186"/>
    </row>
    <row r="187" spans="12:20" ht="56" x14ac:dyDescent="0.35">
      <c r="L187" s="544">
        <v>144421</v>
      </c>
      <c r="M187" s="545" t="s">
        <v>1627</v>
      </c>
      <c r="N187" s="89" t="s">
        <v>1628</v>
      </c>
      <c r="O187" s="89" t="s">
        <v>1629</v>
      </c>
      <c r="P187" t="s">
        <v>887</v>
      </c>
      <c r="Q187"/>
      <c r="R187"/>
      <c r="S187"/>
      <c r="T187"/>
    </row>
    <row r="188" spans="12:20" ht="28" x14ac:dyDescent="0.35">
      <c r="L188" s="544">
        <v>144422</v>
      </c>
      <c r="M188" s="545" t="s">
        <v>1630</v>
      </c>
      <c r="N188" s="89" t="s">
        <v>1631</v>
      </c>
      <c r="O188" s="89" t="s">
        <v>1632</v>
      </c>
      <c r="P188" t="s">
        <v>887</v>
      </c>
      <c r="Q188"/>
      <c r="R188"/>
      <c r="S188"/>
      <c r="T188"/>
    </row>
    <row r="189" spans="12:20" ht="84" x14ac:dyDescent="0.35">
      <c r="L189" s="544">
        <v>144423</v>
      </c>
      <c r="M189" s="545" t="s">
        <v>1633</v>
      </c>
      <c r="N189" s="89" t="s">
        <v>1634</v>
      </c>
      <c r="O189" s="89" t="s">
        <v>1635</v>
      </c>
      <c r="P189" t="s">
        <v>887</v>
      </c>
      <c r="Q189"/>
      <c r="R189"/>
      <c r="S189"/>
      <c r="T189"/>
    </row>
    <row r="190" spans="12:20" ht="196" x14ac:dyDescent="0.35">
      <c r="L190" s="544">
        <v>144621</v>
      </c>
      <c r="M190" s="545" t="s">
        <v>1636</v>
      </c>
      <c r="N190" s="89" t="s">
        <v>1637</v>
      </c>
      <c r="O190" s="89" t="s">
        <v>909</v>
      </c>
      <c r="P190" t="s">
        <v>887</v>
      </c>
      <c r="Q190"/>
      <c r="R190"/>
      <c r="S190"/>
      <c r="T190"/>
    </row>
    <row r="191" spans="12:20" ht="98" x14ac:dyDescent="0.35">
      <c r="L191" s="544">
        <v>145921</v>
      </c>
      <c r="M191" s="545" t="s">
        <v>1638</v>
      </c>
      <c r="N191" s="89" t="s">
        <v>1639</v>
      </c>
      <c r="O191" s="89" t="s">
        <v>1640</v>
      </c>
      <c r="P191" t="s">
        <v>887</v>
      </c>
      <c r="Q191"/>
      <c r="R191"/>
      <c r="S191"/>
      <c r="T191"/>
    </row>
    <row r="192" spans="12:20" ht="42" x14ac:dyDescent="0.35">
      <c r="L192" s="544">
        <v>146601</v>
      </c>
      <c r="M192" s="545" t="s">
        <v>1641</v>
      </c>
      <c r="N192" s="89" t="s">
        <v>1642</v>
      </c>
      <c r="O192" s="89" t="s">
        <v>1643</v>
      </c>
      <c r="P192" t="s">
        <v>887</v>
      </c>
      <c r="Q192"/>
      <c r="R192"/>
      <c r="S192"/>
      <c r="T192"/>
    </row>
    <row r="193" spans="12:20" ht="42" x14ac:dyDescent="0.35">
      <c r="L193" s="544">
        <v>148170</v>
      </c>
      <c r="M193" s="545" t="s">
        <v>1644</v>
      </c>
      <c r="N193" s="89" t="s">
        <v>1645</v>
      </c>
      <c r="O193" s="89" t="s">
        <v>909</v>
      </c>
      <c r="P193" t="s">
        <v>887</v>
      </c>
      <c r="Q193"/>
      <c r="R193"/>
      <c r="S193"/>
      <c r="T193"/>
    </row>
    <row r="194" spans="12:20" ht="28" x14ac:dyDescent="0.35">
      <c r="L194" s="544">
        <v>149399</v>
      </c>
      <c r="M194" s="545" t="s">
        <v>1646</v>
      </c>
      <c r="N194" s="89" t="s">
        <v>1647</v>
      </c>
      <c r="O194" s="89" t="s">
        <v>1648</v>
      </c>
      <c r="P194" t="s">
        <v>887</v>
      </c>
    </row>
    <row r="195" spans="12:20" ht="28" x14ac:dyDescent="0.35">
      <c r="L195" s="544">
        <v>149411</v>
      </c>
      <c r="M195" s="545" t="s">
        <v>1649</v>
      </c>
      <c r="N195" s="89" t="s">
        <v>1650</v>
      </c>
      <c r="O195" s="89" t="s">
        <v>1651</v>
      </c>
      <c r="P195" t="s">
        <v>887</v>
      </c>
    </row>
    <row r="196" spans="12:20" ht="56" x14ac:dyDescent="0.35">
      <c r="L196" s="544">
        <v>149511</v>
      </c>
      <c r="M196" s="545" t="s">
        <v>1652</v>
      </c>
      <c r="N196" s="89" t="s">
        <v>1653</v>
      </c>
      <c r="O196" s="89" t="s">
        <v>1654</v>
      </c>
      <c r="P196" t="s">
        <v>887</v>
      </c>
    </row>
    <row r="197" spans="12:20" ht="42" x14ac:dyDescent="0.35">
      <c r="L197" s="544">
        <v>149512</v>
      </c>
      <c r="M197" s="545" t="s">
        <v>1655</v>
      </c>
      <c r="N197" s="89" t="s">
        <v>1656</v>
      </c>
      <c r="O197" s="89" t="s">
        <v>1657</v>
      </c>
      <c r="P197" t="s">
        <v>887</v>
      </c>
    </row>
    <row r="198" spans="12:20" ht="42" x14ac:dyDescent="0.35">
      <c r="L198" s="544">
        <v>149514</v>
      </c>
      <c r="M198" s="545" t="s">
        <v>1658</v>
      </c>
      <c r="N198" s="89" t="s">
        <v>1659</v>
      </c>
      <c r="O198" s="89" t="s">
        <v>1660</v>
      </c>
      <c r="P198" t="s">
        <v>887</v>
      </c>
    </row>
    <row r="199" spans="12:20" ht="56" x14ac:dyDescent="0.35">
      <c r="L199" s="544">
        <v>149621</v>
      </c>
      <c r="M199" s="545" t="s">
        <v>1661</v>
      </c>
      <c r="N199" s="89" t="s">
        <v>1662</v>
      </c>
      <c r="O199" s="89" t="s">
        <v>1663</v>
      </c>
      <c r="P199" t="s">
        <v>887</v>
      </c>
    </row>
    <row r="200" spans="12:20" ht="28" x14ac:dyDescent="0.35">
      <c r="L200" s="544">
        <v>149622</v>
      </c>
      <c r="M200" s="545" t="s">
        <v>1664</v>
      </c>
      <c r="N200" s="89" t="s">
        <v>1665</v>
      </c>
      <c r="O200" s="89" t="s">
        <v>1666</v>
      </c>
      <c r="P200" t="s">
        <v>887</v>
      </c>
    </row>
    <row r="201" spans="12:20" ht="28" x14ac:dyDescent="0.35">
      <c r="L201" s="544">
        <v>149623</v>
      </c>
      <c r="M201" s="545" t="s">
        <v>1667</v>
      </c>
      <c r="N201" s="89" t="s">
        <v>1668</v>
      </c>
      <c r="O201" s="89" t="s">
        <v>1669</v>
      </c>
      <c r="P201" t="s">
        <v>887</v>
      </c>
    </row>
    <row r="202" spans="12:20" ht="42" x14ac:dyDescent="0.35">
      <c r="L202" s="544">
        <v>149624</v>
      </c>
      <c r="M202" s="545" t="s">
        <v>1670</v>
      </c>
      <c r="N202" s="89" t="s">
        <v>1671</v>
      </c>
      <c r="O202" s="89" t="s">
        <v>1672</v>
      </c>
      <c r="P202" t="s">
        <v>887</v>
      </c>
    </row>
    <row r="203" spans="12:20" ht="28" x14ac:dyDescent="0.35">
      <c r="L203" s="544">
        <v>149625</v>
      </c>
      <c r="M203" s="545" t="s">
        <v>1673</v>
      </c>
      <c r="N203" s="89" t="s">
        <v>1674</v>
      </c>
      <c r="O203" s="89" t="s">
        <v>1675</v>
      </c>
      <c r="P203" t="s">
        <v>887</v>
      </c>
    </row>
    <row r="204" spans="12:20" ht="56" x14ac:dyDescent="0.35">
      <c r="L204" s="544">
        <v>149626</v>
      </c>
      <c r="M204" s="545" t="s">
        <v>1676</v>
      </c>
      <c r="N204" s="89" t="s">
        <v>1677</v>
      </c>
      <c r="O204" s="89" t="s">
        <v>1678</v>
      </c>
      <c r="P204" t="s">
        <v>887</v>
      </c>
    </row>
    <row r="205" spans="12:20" ht="42" x14ac:dyDescent="0.35">
      <c r="L205" s="544">
        <v>149627</v>
      </c>
      <c r="M205" s="545" t="s">
        <v>1679</v>
      </c>
      <c r="N205" s="89" t="s">
        <v>1680</v>
      </c>
      <c r="O205" s="89" t="s">
        <v>1681</v>
      </c>
      <c r="P205" t="s">
        <v>887</v>
      </c>
    </row>
    <row r="206" spans="12:20" ht="42" x14ac:dyDescent="0.35">
      <c r="L206" s="544">
        <v>149628</v>
      </c>
      <c r="M206" s="545" t="s">
        <v>1682</v>
      </c>
      <c r="N206" s="89" t="s">
        <v>1683</v>
      </c>
      <c r="O206" s="89" t="s">
        <v>1684</v>
      </c>
      <c r="P206" t="s">
        <v>887</v>
      </c>
    </row>
    <row r="207" spans="12:20" ht="56" x14ac:dyDescent="0.35">
      <c r="L207" s="544">
        <v>149629</v>
      </c>
      <c r="M207" s="545" t="s">
        <v>1685</v>
      </c>
      <c r="N207" s="89" t="s">
        <v>1686</v>
      </c>
      <c r="O207" s="89" t="s">
        <v>1687</v>
      </c>
      <c r="P207" t="s">
        <v>887</v>
      </c>
    </row>
    <row r="208" spans="12:20" ht="15.5" x14ac:dyDescent="0.35">
      <c r="L208" s="544">
        <v>149711</v>
      </c>
      <c r="M208" s="545" t="s">
        <v>1688</v>
      </c>
      <c r="N208" s="89" t="s">
        <v>1689</v>
      </c>
      <c r="O208" s="89" t="s">
        <v>1690</v>
      </c>
      <c r="P208" t="s">
        <v>887</v>
      </c>
    </row>
    <row r="209" spans="12:16" ht="28" x14ac:dyDescent="0.35">
      <c r="L209" s="544">
        <v>149811</v>
      </c>
      <c r="M209" s="545" t="s">
        <v>1691</v>
      </c>
      <c r="N209" s="89" t="s">
        <v>1692</v>
      </c>
      <c r="O209" s="89" t="s">
        <v>1693</v>
      </c>
      <c r="P209" t="s">
        <v>887</v>
      </c>
    </row>
    <row r="210" spans="12:16" ht="28" x14ac:dyDescent="0.35">
      <c r="L210" s="544">
        <v>149860</v>
      </c>
      <c r="M210" s="545" t="s">
        <v>1694</v>
      </c>
      <c r="N210" s="89" t="s">
        <v>1695</v>
      </c>
      <c r="O210" s="89" t="s">
        <v>909</v>
      </c>
      <c r="P210" t="s">
        <v>887</v>
      </c>
    </row>
    <row r="211" spans="12:16" ht="28" x14ac:dyDescent="0.35">
      <c r="L211" s="544">
        <v>149921</v>
      </c>
      <c r="M211" s="545" t="s">
        <v>1696</v>
      </c>
      <c r="N211" s="89" t="s">
        <v>1697</v>
      </c>
      <c r="O211" s="89" t="s">
        <v>1698</v>
      </c>
      <c r="P211" t="s">
        <v>887</v>
      </c>
    </row>
    <row r="212" spans="12:16" ht="28" x14ac:dyDescent="0.35">
      <c r="L212" s="544">
        <v>149962</v>
      </c>
      <c r="M212" s="545" t="s">
        <v>1699</v>
      </c>
      <c r="N212" s="89" t="s">
        <v>1700</v>
      </c>
      <c r="O212" s="89" t="s">
        <v>1701</v>
      </c>
      <c r="P212" t="s">
        <v>887</v>
      </c>
    </row>
    <row r="213" spans="12:16" ht="42" x14ac:dyDescent="0.35">
      <c r="L213" s="544">
        <v>149965</v>
      </c>
      <c r="M213" s="545" t="s">
        <v>1702</v>
      </c>
      <c r="N213" s="89" t="s">
        <v>1703</v>
      </c>
      <c r="O213" s="89" t="s">
        <v>1704</v>
      </c>
      <c r="P213" t="s">
        <v>887</v>
      </c>
    </row>
    <row r="214" spans="12:16" ht="28" x14ac:dyDescent="0.35">
      <c r="L214" s="544">
        <v>149967</v>
      </c>
      <c r="M214" s="545" t="s">
        <v>1705</v>
      </c>
      <c r="N214" s="89" t="s">
        <v>1706</v>
      </c>
      <c r="O214" s="89" t="s">
        <v>1707</v>
      </c>
      <c r="P214" t="s">
        <v>887</v>
      </c>
    </row>
    <row r="215" spans="12:16" ht="28" x14ac:dyDescent="0.35">
      <c r="L215" s="544">
        <v>149968</v>
      </c>
      <c r="M215" s="545" t="s">
        <v>1708</v>
      </c>
      <c r="N215" s="89" t="s">
        <v>1709</v>
      </c>
      <c r="O215" s="89" t="s">
        <v>1710</v>
      </c>
      <c r="P215" t="s">
        <v>887</v>
      </c>
    </row>
    <row r="216" spans="12:16" ht="28" x14ac:dyDescent="0.35">
      <c r="L216" s="544">
        <v>151153</v>
      </c>
      <c r="M216" s="545" t="s">
        <v>1711</v>
      </c>
      <c r="N216" s="89" t="s">
        <v>1712</v>
      </c>
      <c r="O216" s="89" t="s">
        <v>1713</v>
      </c>
      <c r="P216" t="s">
        <v>887</v>
      </c>
    </row>
    <row r="217" spans="12:16" ht="28" x14ac:dyDescent="0.35">
      <c r="L217" s="544">
        <v>151155</v>
      </c>
      <c r="M217" s="545" t="s">
        <v>1714</v>
      </c>
      <c r="N217" s="89" t="s">
        <v>1715</v>
      </c>
      <c r="O217" s="89" t="s">
        <v>1716</v>
      </c>
      <c r="P217" t="s">
        <v>887</v>
      </c>
    </row>
    <row r="218" spans="12:16" ht="28" x14ac:dyDescent="0.35">
      <c r="L218" s="544">
        <v>152111</v>
      </c>
      <c r="M218" s="545" t="s">
        <v>1717</v>
      </c>
      <c r="N218" s="89" t="s">
        <v>1718</v>
      </c>
      <c r="O218" s="89" t="s">
        <v>1719</v>
      </c>
      <c r="P218" t="s">
        <v>887</v>
      </c>
    </row>
    <row r="219" spans="12:16" ht="28" x14ac:dyDescent="0.35">
      <c r="L219" s="544">
        <v>154452</v>
      </c>
      <c r="M219" s="545" t="s">
        <v>1720</v>
      </c>
      <c r="N219" s="89" t="s">
        <v>1721</v>
      </c>
      <c r="O219" s="89" t="s">
        <v>1722</v>
      </c>
      <c r="P219" t="s">
        <v>887</v>
      </c>
    </row>
    <row r="220" spans="12:16" ht="42" x14ac:dyDescent="0.35">
      <c r="L220" s="544">
        <v>155199</v>
      </c>
      <c r="M220" s="545" t="s">
        <v>1723</v>
      </c>
      <c r="N220" s="89" t="s">
        <v>1724</v>
      </c>
      <c r="O220" s="89" t="s">
        <v>1725</v>
      </c>
      <c r="P220" t="s">
        <v>887</v>
      </c>
    </row>
    <row r="221" spans="12:16" ht="42" x14ac:dyDescent="0.35">
      <c r="L221" s="544">
        <v>159353</v>
      </c>
      <c r="M221" s="545" t="s">
        <v>1726</v>
      </c>
      <c r="N221" s="89" t="s">
        <v>1727</v>
      </c>
      <c r="O221" s="89" t="s">
        <v>1728</v>
      </c>
      <c r="P221" t="s">
        <v>887</v>
      </c>
    </row>
    <row r="222" spans="12:16" ht="70" x14ac:dyDescent="0.35">
      <c r="L222" s="544">
        <v>163100</v>
      </c>
      <c r="M222" s="545" t="s">
        <v>1729</v>
      </c>
      <c r="N222" s="89" t="s">
        <v>1730</v>
      </c>
      <c r="O222" s="89" t="s">
        <v>909</v>
      </c>
      <c r="P222" t="s">
        <v>887</v>
      </c>
    </row>
    <row r="223" spans="12:16" ht="42" x14ac:dyDescent="0.35">
      <c r="L223" s="544">
        <v>163311</v>
      </c>
      <c r="M223" s="545" t="s">
        <v>1731</v>
      </c>
      <c r="N223" s="89" t="s">
        <v>1732</v>
      </c>
      <c r="O223" s="89" t="s">
        <v>1733</v>
      </c>
      <c r="P223" t="s">
        <v>887</v>
      </c>
    </row>
    <row r="224" spans="12:16" ht="28" x14ac:dyDescent="0.35">
      <c r="L224" s="544">
        <v>164211</v>
      </c>
      <c r="M224" s="545" t="s">
        <v>1734</v>
      </c>
      <c r="N224" s="89" t="s">
        <v>1735</v>
      </c>
      <c r="O224" s="89" t="s">
        <v>1736</v>
      </c>
      <c r="P224" t="s">
        <v>887</v>
      </c>
    </row>
    <row r="225" spans="12:16" ht="42" x14ac:dyDescent="0.35">
      <c r="L225" s="544">
        <v>171141</v>
      </c>
      <c r="M225" s="545" t="s">
        <v>1737</v>
      </c>
      <c r="N225" s="89" t="s">
        <v>1738</v>
      </c>
      <c r="O225" s="89" t="s">
        <v>1739</v>
      </c>
      <c r="P225" t="s">
        <v>887</v>
      </c>
    </row>
    <row r="226" spans="12:16" ht="42" x14ac:dyDescent="0.35">
      <c r="L226" s="544">
        <v>171152</v>
      </c>
      <c r="M226" s="545" t="s">
        <v>1740</v>
      </c>
      <c r="N226" s="89" t="s">
        <v>1741</v>
      </c>
      <c r="O226" s="89" t="s">
        <v>1742</v>
      </c>
      <c r="P226" t="s">
        <v>887</v>
      </c>
    </row>
    <row r="227" spans="12:16" ht="28" x14ac:dyDescent="0.35">
      <c r="L227" s="544">
        <v>171155</v>
      </c>
      <c r="M227" s="545" t="s">
        <v>1743</v>
      </c>
      <c r="N227" s="89" t="s">
        <v>1744</v>
      </c>
      <c r="O227" s="89" t="s">
        <v>1745</v>
      </c>
      <c r="P227" t="s">
        <v>887</v>
      </c>
    </row>
    <row r="228" spans="12:16" ht="42" x14ac:dyDescent="0.35">
      <c r="L228" s="544">
        <v>171157</v>
      </c>
      <c r="M228" s="545" t="s">
        <v>1746</v>
      </c>
      <c r="N228" s="89" t="s">
        <v>1747</v>
      </c>
      <c r="O228" s="89" t="s">
        <v>1748</v>
      </c>
      <c r="P228" t="s">
        <v>887</v>
      </c>
    </row>
    <row r="229" spans="12:16" ht="42" x14ac:dyDescent="0.35">
      <c r="L229" s="544">
        <v>171158</v>
      </c>
      <c r="M229" s="545" t="s">
        <v>1749</v>
      </c>
      <c r="N229" s="89" t="s">
        <v>1750</v>
      </c>
      <c r="O229" s="89" t="s">
        <v>1751</v>
      </c>
      <c r="P229" t="s">
        <v>887</v>
      </c>
    </row>
    <row r="230" spans="12:16" ht="42" x14ac:dyDescent="0.35">
      <c r="L230" s="544">
        <v>171211</v>
      </c>
      <c r="M230" s="545" t="s">
        <v>1752</v>
      </c>
      <c r="N230" s="89" t="s">
        <v>1753</v>
      </c>
      <c r="O230" s="89" t="s">
        <v>1754</v>
      </c>
      <c r="P230" t="s">
        <v>887</v>
      </c>
    </row>
    <row r="231" spans="12:16" ht="42" x14ac:dyDescent="0.35">
      <c r="L231" s="544">
        <v>171212</v>
      </c>
      <c r="M231" s="545" t="s">
        <v>1755</v>
      </c>
      <c r="N231" s="89" t="s">
        <v>1756</v>
      </c>
      <c r="O231" s="89" t="s">
        <v>1757</v>
      </c>
      <c r="P231" t="s">
        <v>887</v>
      </c>
    </row>
    <row r="232" spans="12:16" ht="56" x14ac:dyDescent="0.35">
      <c r="L232" s="544">
        <v>171214</v>
      </c>
      <c r="M232" s="545" t="s">
        <v>1758</v>
      </c>
      <c r="N232" s="89" t="s">
        <v>1759</v>
      </c>
      <c r="O232" s="89" t="s">
        <v>1760</v>
      </c>
      <c r="P232" t="s">
        <v>887</v>
      </c>
    </row>
    <row r="233" spans="12:16" ht="70" x14ac:dyDescent="0.35">
      <c r="L233" s="544">
        <v>171250</v>
      </c>
      <c r="M233" s="545" t="s">
        <v>1761</v>
      </c>
      <c r="N233" s="89" t="s">
        <v>1762</v>
      </c>
      <c r="O233" s="89" t="s">
        <v>1763</v>
      </c>
      <c r="P233" t="s">
        <v>887</v>
      </c>
    </row>
    <row r="234" spans="12:16" ht="56" x14ac:dyDescent="0.35">
      <c r="L234" s="544">
        <v>171260</v>
      </c>
      <c r="M234" s="545" t="s">
        <v>1764</v>
      </c>
      <c r="N234" s="89" t="s">
        <v>1765</v>
      </c>
      <c r="O234" s="89" t="s">
        <v>909</v>
      </c>
      <c r="P234" t="s">
        <v>887</v>
      </c>
    </row>
    <row r="235" spans="12:16" ht="56" x14ac:dyDescent="0.35">
      <c r="L235" s="544">
        <v>171356</v>
      </c>
      <c r="M235" s="545" t="s">
        <v>1766</v>
      </c>
      <c r="N235" s="89" t="s">
        <v>1767</v>
      </c>
      <c r="O235" s="89" t="s">
        <v>1768</v>
      </c>
      <c r="P235" t="s">
        <v>887</v>
      </c>
    </row>
    <row r="236" spans="12:16" ht="56" x14ac:dyDescent="0.35">
      <c r="L236" s="544">
        <v>171393</v>
      </c>
      <c r="M236" s="545" t="s">
        <v>1769</v>
      </c>
      <c r="N236" s="89" t="s">
        <v>1770</v>
      </c>
      <c r="O236" s="89" t="s">
        <v>1768</v>
      </c>
      <c r="P236" t="s">
        <v>887</v>
      </c>
    </row>
    <row r="237" spans="12:16" ht="42" x14ac:dyDescent="0.35">
      <c r="L237" s="544">
        <v>171443</v>
      </c>
      <c r="M237" s="545" t="s">
        <v>1771</v>
      </c>
      <c r="N237" s="89" t="s">
        <v>1772</v>
      </c>
      <c r="O237" s="89" t="s">
        <v>1773</v>
      </c>
      <c r="P237" t="s">
        <v>887</v>
      </c>
    </row>
    <row r="238" spans="12:16" ht="56" x14ac:dyDescent="0.35">
      <c r="L238" s="544">
        <v>171445</v>
      </c>
      <c r="M238" s="545" t="s">
        <v>1774</v>
      </c>
      <c r="N238" s="89" t="s">
        <v>1775</v>
      </c>
      <c r="O238" s="89" t="s">
        <v>1776</v>
      </c>
      <c r="P238" t="s">
        <v>887</v>
      </c>
    </row>
    <row r="239" spans="12:16" ht="42" x14ac:dyDescent="0.35">
      <c r="L239" s="544">
        <v>171447</v>
      </c>
      <c r="M239" s="545" t="s">
        <v>1777</v>
      </c>
      <c r="N239" s="89" t="s">
        <v>1778</v>
      </c>
      <c r="O239" s="89" t="s">
        <v>1779</v>
      </c>
      <c r="P239" t="s">
        <v>887</v>
      </c>
    </row>
    <row r="240" spans="12:16" ht="56" x14ac:dyDescent="0.35">
      <c r="L240" s="544">
        <v>171449</v>
      </c>
      <c r="M240" s="545" t="s">
        <v>1780</v>
      </c>
      <c r="N240" s="89" t="s">
        <v>1781</v>
      </c>
      <c r="O240" s="89" t="s">
        <v>1782</v>
      </c>
      <c r="P240" t="s">
        <v>887</v>
      </c>
    </row>
    <row r="241" spans="12:16" ht="42" x14ac:dyDescent="0.35">
      <c r="L241" s="544">
        <v>171450</v>
      </c>
      <c r="M241" s="545" t="s">
        <v>1783</v>
      </c>
      <c r="N241" s="89" t="s">
        <v>1784</v>
      </c>
      <c r="O241" s="89" t="s">
        <v>1785</v>
      </c>
      <c r="P241" t="s">
        <v>887</v>
      </c>
    </row>
    <row r="242" spans="12:16" ht="28" x14ac:dyDescent="0.35">
      <c r="L242" s="544">
        <v>171471</v>
      </c>
      <c r="M242" s="545" t="s">
        <v>1786</v>
      </c>
      <c r="N242" s="89" t="s">
        <v>1787</v>
      </c>
      <c r="O242" s="89" t="s">
        <v>1788</v>
      </c>
      <c r="P242" t="s">
        <v>887</v>
      </c>
    </row>
    <row r="243" spans="12:16" ht="28" x14ac:dyDescent="0.35">
      <c r="L243" s="544">
        <v>171472</v>
      </c>
      <c r="M243" s="545" t="s">
        <v>1789</v>
      </c>
      <c r="N243" s="89" t="s">
        <v>1790</v>
      </c>
      <c r="O243" s="89" t="s">
        <v>1791</v>
      </c>
      <c r="P243" t="s">
        <v>887</v>
      </c>
    </row>
    <row r="244" spans="12:16" ht="42" x14ac:dyDescent="0.35">
      <c r="L244" s="544">
        <v>171473</v>
      </c>
      <c r="M244" s="545" t="s">
        <v>1792</v>
      </c>
      <c r="N244" s="89" t="s">
        <v>1793</v>
      </c>
      <c r="O244" s="89" t="s">
        <v>1794</v>
      </c>
      <c r="P244" t="s">
        <v>887</v>
      </c>
    </row>
    <row r="245" spans="12:16" ht="70" x14ac:dyDescent="0.35">
      <c r="L245" s="544">
        <v>171475</v>
      </c>
      <c r="M245" s="545" t="s">
        <v>1795</v>
      </c>
      <c r="N245" s="89" t="s">
        <v>1796</v>
      </c>
      <c r="O245" s="89" t="s">
        <v>1797</v>
      </c>
      <c r="P245" t="s">
        <v>887</v>
      </c>
    </row>
    <row r="246" spans="12:16" ht="56" x14ac:dyDescent="0.35">
      <c r="L246" s="544">
        <v>171476</v>
      </c>
      <c r="M246" s="545" t="s">
        <v>1798</v>
      </c>
      <c r="N246" s="89" t="s">
        <v>1799</v>
      </c>
      <c r="O246" s="89" t="s">
        <v>1800</v>
      </c>
      <c r="P246" t="s">
        <v>887</v>
      </c>
    </row>
    <row r="247" spans="12:16" ht="56" x14ac:dyDescent="0.35">
      <c r="L247" s="544">
        <v>171617</v>
      </c>
      <c r="M247" s="545" t="s">
        <v>1801</v>
      </c>
      <c r="N247" s="89" t="s">
        <v>1802</v>
      </c>
      <c r="O247" s="89" t="s">
        <v>1803</v>
      </c>
      <c r="P247" t="s">
        <v>887</v>
      </c>
    </row>
    <row r="248" spans="12:16" ht="70" x14ac:dyDescent="0.35">
      <c r="L248" s="544">
        <v>171618</v>
      </c>
      <c r="M248" s="545" t="s">
        <v>1804</v>
      </c>
      <c r="N248" s="89" t="s">
        <v>1805</v>
      </c>
      <c r="O248" s="89" t="s">
        <v>1806</v>
      </c>
      <c r="P248" t="s">
        <v>887</v>
      </c>
    </row>
    <row r="249" spans="12:16" ht="42" x14ac:dyDescent="0.35">
      <c r="L249" s="544">
        <v>171619</v>
      </c>
      <c r="M249" s="545" t="s">
        <v>1807</v>
      </c>
      <c r="N249" s="89" t="s">
        <v>1808</v>
      </c>
      <c r="O249" s="89" t="s">
        <v>1809</v>
      </c>
      <c r="P249" t="s">
        <v>887</v>
      </c>
    </row>
    <row r="250" spans="12:16" ht="140" x14ac:dyDescent="0.35">
      <c r="L250" s="544">
        <v>171620</v>
      </c>
      <c r="M250" s="545" t="s">
        <v>1810</v>
      </c>
      <c r="N250" s="89" t="s">
        <v>1811</v>
      </c>
      <c r="O250" s="89" t="s">
        <v>909</v>
      </c>
      <c r="P250" t="s">
        <v>887</v>
      </c>
    </row>
    <row r="251" spans="12:16" ht="70" x14ac:dyDescent="0.35">
      <c r="L251" s="544">
        <v>171621</v>
      </c>
      <c r="M251" s="545" t="s">
        <v>1812</v>
      </c>
      <c r="N251" s="89" t="s">
        <v>1813</v>
      </c>
      <c r="O251" s="89" t="s">
        <v>1814</v>
      </c>
      <c r="P251" t="s">
        <v>887</v>
      </c>
    </row>
    <row r="252" spans="12:16" ht="42" x14ac:dyDescent="0.35">
      <c r="L252" s="544">
        <v>171623</v>
      </c>
      <c r="M252" s="545" t="s">
        <v>1815</v>
      </c>
      <c r="N252" s="89" t="s">
        <v>1816</v>
      </c>
      <c r="O252" s="89" t="s">
        <v>909</v>
      </c>
      <c r="P252" t="s">
        <v>887</v>
      </c>
    </row>
    <row r="253" spans="12:16" ht="70" x14ac:dyDescent="0.35">
      <c r="L253" s="544">
        <v>171625</v>
      </c>
      <c r="M253" s="545" t="s">
        <v>1817</v>
      </c>
      <c r="N253" s="89" t="s">
        <v>1818</v>
      </c>
      <c r="O253" s="89" t="s">
        <v>1819</v>
      </c>
      <c r="P253" t="s">
        <v>887</v>
      </c>
    </row>
    <row r="254" spans="12:16" ht="42" x14ac:dyDescent="0.35">
      <c r="L254" s="544">
        <v>171627</v>
      </c>
      <c r="M254" s="545" t="s">
        <v>1820</v>
      </c>
      <c r="N254" s="89" t="s">
        <v>1821</v>
      </c>
      <c r="O254" s="89" t="s">
        <v>1822</v>
      </c>
      <c r="P254" t="s">
        <v>887</v>
      </c>
    </row>
    <row r="255" spans="12:16" ht="42" x14ac:dyDescent="0.35">
      <c r="L255" s="544">
        <v>171628</v>
      </c>
      <c r="M255" s="545" t="s">
        <v>1823</v>
      </c>
      <c r="N255" s="89" t="s">
        <v>1824</v>
      </c>
      <c r="O255" s="89" t="s">
        <v>1825</v>
      </c>
      <c r="P255" t="s">
        <v>887</v>
      </c>
    </row>
    <row r="256" spans="12:16" ht="42" x14ac:dyDescent="0.35">
      <c r="L256" s="544">
        <v>171712</v>
      </c>
      <c r="M256" s="545" t="s">
        <v>1826</v>
      </c>
      <c r="N256" s="89" t="s">
        <v>1827</v>
      </c>
      <c r="O256" s="89" t="s">
        <v>1828</v>
      </c>
      <c r="P256" t="s">
        <v>887</v>
      </c>
    </row>
    <row r="257" spans="12:16" ht="70" x14ac:dyDescent="0.35">
      <c r="L257" s="544">
        <v>171721</v>
      </c>
      <c r="M257" s="545" t="s">
        <v>1829</v>
      </c>
      <c r="N257" s="89" t="s">
        <v>1830</v>
      </c>
      <c r="O257" s="89" t="s">
        <v>1831</v>
      </c>
      <c r="P257" t="s">
        <v>887</v>
      </c>
    </row>
    <row r="258" spans="12:16" ht="70" x14ac:dyDescent="0.35">
      <c r="L258" s="544">
        <v>171813</v>
      </c>
      <c r="M258" s="545" t="s">
        <v>1832</v>
      </c>
      <c r="N258" s="89" t="s">
        <v>1833</v>
      </c>
      <c r="O258" s="89" t="s">
        <v>1834</v>
      </c>
      <c r="P258" t="s">
        <v>887</v>
      </c>
    </row>
    <row r="259" spans="12:16" ht="42" x14ac:dyDescent="0.35">
      <c r="L259" s="544">
        <v>171815</v>
      </c>
      <c r="M259" s="545" t="s">
        <v>1835</v>
      </c>
      <c r="N259" s="89" t="s">
        <v>1836</v>
      </c>
      <c r="O259" s="89" t="s">
        <v>1837</v>
      </c>
      <c r="P259" t="s">
        <v>887</v>
      </c>
    </row>
    <row r="260" spans="12:16" ht="28" x14ac:dyDescent="0.35">
      <c r="L260" s="544">
        <v>171822</v>
      </c>
      <c r="M260" s="545" t="s">
        <v>1838</v>
      </c>
      <c r="N260" s="89" t="s">
        <v>1839</v>
      </c>
      <c r="O260" s="89" t="s">
        <v>1840</v>
      </c>
      <c r="P260" t="s">
        <v>887</v>
      </c>
    </row>
    <row r="261" spans="12:16" ht="42" x14ac:dyDescent="0.35">
      <c r="L261" s="544">
        <v>171833</v>
      </c>
      <c r="M261" s="545" t="s">
        <v>1841</v>
      </c>
      <c r="N261" s="89" t="s">
        <v>1842</v>
      </c>
      <c r="O261" s="89" t="s">
        <v>1843</v>
      </c>
      <c r="P261" t="s">
        <v>887</v>
      </c>
    </row>
    <row r="262" spans="12:16" ht="28" x14ac:dyDescent="0.35">
      <c r="L262" s="544">
        <v>171844</v>
      </c>
      <c r="M262" s="545" t="s">
        <v>1844</v>
      </c>
      <c r="N262" s="89" t="s">
        <v>1845</v>
      </c>
      <c r="O262" s="89" t="s">
        <v>1846</v>
      </c>
      <c r="P262" t="s">
        <v>887</v>
      </c>
    </row>
    <row r="263" spans="12:16" ht="42" x14ac:dyDescent="0.35">
      <c r="L263" s="544">
        <v>171851</v>
      </c>
      <c r="M263" s="545" t="s">
        <v>1847</v>
      </c>
      <c r="N263" s="89" t="s">
        <v>1848</v>
      </c>
      <c r="O263" s="89" t="s">
        <v>1849</v>
      </c>
      <c r="P263" t="s">
        <v>887</v>
      </c>
    </row>
    <row r="264" spans="12:16" ht="28" x14ac:dyDescent="0.35">
      <c r="L264" s="544">
        <v>171853</v>
      </c>
      <c r="M264" s="545" t="s">
        <v>1850</v>
      </c>
      <c r="N264" s="89" t="s">
        <v>1851</v>
      </c>
      <c r="O264" s="89" t="s">
        <v>1852</v>
      </c>
      <c r="P264" t="s">
        <v>887</v>
      </c>
    </row>
    <row r="265" spans="12:16" ht="42" x14ac:dyDescent="0.35">
      <c r="L265" s="544">
        <v>171873</v>
      </c>
      <c r="M265" s="545" t="s">
        <v>1853</v>
      </c>
      <c r="N265" s="89" t="s">
        <v>1854</v>
      </c>
      <c r="O265" s="89" t="s">
        <v>1855</v>
      </c>
      <c r="P265" t="s">
        <v>887</v>
      </c>
    </row>
    <row r="266" spans="12:16" ht="42" x14ac:dyDescent="0.35">
      <c r="L266" s="544">
        <v>171875</v>
      </c>
      <c r="M266" s="545" t="s">
        <v>1856</v>
      </c>
      <c r="N266" s="89" t="s">
        <v>1857</v>
      </c>
      <c r="O266" s="89" t="s">
        <v>1858</v>
      </c>
      <c r="P266" t="s">
        <v>887</v>
      </c>
    </row>
    <row r="267" spans="12:16" ht="28" x14ac:dyDescent="0.35">
      <c r="L267" s="544">
        <v>172321</v>
      </c>
      <c r="M267" s="545" t="s">
        <v>1859</v>
      </c>
      <c r="N267" s="89" t="s">
        <v>1860</v>
      </c>
      <c r="O267" s="89" t="s">
        <v>1861</v>
      </c>
      <c r="P267" t="s">
        <v>887</v>
      </c>
    </row>
    <row r="268" spans="12:16" ht="112" x14ac:dyDescent="0.35">
      <c r="L268" s="544">
        <v>172421</v>
      </c>
      <c r="M268" s="545" t="s">
        <v>1862</v>
      </c>
      <c r="N268" s="89" t="s">
        <v>1863</v>
      </c>
      <c r="O268" s="89" t="s">
        <v>1864</v>
      </c>
      <c r="P268" t="s">
        <v>887</v>
      </c>
    </row>
    <row r="269" spans="12:16" ht="224" x14ac:dyDescent="0.35">
      <c r="L269" s="544">
        <v>172423</v>
      </c>
      <c r="M269" s="545" t="s">
        <v>1865</v>
      </c>
      <c r="N269" s="89" t="s">
        <v>1866</v>
      </c>
      <c r="O269" s="89" t="s">
        <v>1867</v>
      </c>
      <c r="P269" t="s">
        <v>887</v>
      </c>
    </row>
    <row r="270" spans="12:16" ht="98" x14ac:dyDescent="0.35">
      <c r="L270" s="544">
        <v>172424</v>
      </c>
      <c r="M270" s="545" t="s">
        <v>1868</v>
      </c>
      <c r="N270" s="89" t="s">
        <v>1869</v>
      </c>
      <c r="O270" s="89" t="s">
        <v>1870</v>
      </c>
      <c r="P270" t="s">
        <v>887</v>
      </c>
    </row>
    <row r="271" spans="12:16" ht="98" x14ac:dyDescent="0.35">
      <c r="L271" s="544">
        <v>173321</v>
      </c>
      <c r="M271" s="545" t="s">
        <v>1871</v>
      </c>
      <c r="N271" s="89" t="s">
        <v>1872</v>
      </c>
      <c r="O271" s="89" t="s">
        <v>1873</v>
      </c>
      <c r="P271" t="s">
        <v>887</v>
      </c>
    </row>
    <row r="272" spans="12:16" ht="56" x14ac:dyDescent="0.35">
      <c r="L272" s="544">
        <v>173421</v>
      </c>
      <c r="M272" s="545" t="s">
        <v>1874</v>
      </c>
      <c r="N272" s="89" t="s">
        <v>1875</v>
      </c>
      <c r="O272" s="89" t="s">
        <v>1876</v>
      </c>
      <c r="P272" t="s">
        <v>887</v>
      </c>
    </row>
    <row r="273" spans="12:16" ht="42" x14ac:dyDescent="0.35">
      <c r="L273" s="544">
        <v>174121</v>
      </c>
      <c r="M273" s="545" t="s">
        <v>1877</v>
      </c>
      <c r="N273" s="89" t="s">
        <v>1878</v>
      </c>
      <c r="O273" s="89" t="s">
        <v>1879</v>
      </c>
      <c r="P273" t="s">
        <v>887</v>
      </c>
    </row>
    <row r="274" spans="12:16" ht="56" x14ac:dyDescent="0.35">
      <c r="L274" s="544">
        <v>174122</v>
      </c>
      <c r="M274" s="545" t="s">
        <v>1880</v>
      </c>
      <c r="N274" s="89" t="s">
        <v>1881</v>
      </c>
      <c r="O274" s="89" t="s">
        <v>1882</v>
      </c>
      <c r="P274" t="s">
        <v>887</v>
      </c>
    </row>
    <row r="275" spans="12:16" ht="182" x14ac:dyDescent="0.35">
      <c r="L275" s="544">
        <v>174123</v>
      </c>
      <c r="M275" s="545" t="s">
        <v>1883</v>
      </c>
      <c r="N275" s="89" t="s">
        <v>1884</v>
      </c>
      <c r="O275" s="89" t="s">
        <v>1885</v>
      </c>
      <c r="P275" t="s">
        <v>887</v>
      </c>
    </row>
    <row r="276" spans="12:16" ht="154" x14ac:dyDescent="0.35">
      <c r="L276" s="544">
        <v>174221</v>
      </c>
      <c r="M276" s="545" t="s">
        <v>1886</v>
      </c>
      <c r="N276" s="89" t="s">
        <v>1887</v>
      </c>
      <c r="O276" s="89" t="s">
        <v>1888</v>
      </c>
      <c r="P276" t="s">
        <v>887</v>
      </c>
    </row>
    <row r="277" spans="12:16" ht="126" x14ac:dyDescent="0.35">
      <c r="L277" s="544">
        <v>174321</v>
      </c>
      <c r="M277" s="545" t="s">
        <v>1889</v>
      </c>
      <c r="N277" s="89" t="s">
        <v>1890</v>
      </c>
      <c r="O277" s="89" t="s">
        <v>1891</v>
      </c>
      <c r="P277" t="s">
        <v>887</v>
      </c>
    </row>
    <row r="278" spans="12:16" ht="126" x14ac:dyDescent="0.35">
      <c r="L278" s="544">
        <v>174322</v>
      </c>
      <c r="M278" s="545" t="s">
        <v>1892</v>
      </c>
      <c r="N278" s="89" t="s">
        <v>1890</v>
      </c>
      <c r="O278" s="89" t="s">
        <v>1893</v>
      </c>
      <c r="P278" t="s">
        <v>887</v>
      </c>
    </row>
    <row r="279" spans="12:16" ht="28" x14ac:dyDescent="0.35">
      <c r="L279" s="544">
        <v>174499</v>
      </c>
      <c r="M279" s="545" t="s">
        <v>1894</v>
      </c>
      <c r="N279" s="89" t="s">
        <v>1895</v>
      </c>
      <c r="O279" s="89" t="s">
        <v>1896</v>
      </c>
      <c r="P279" t="s">
        <v>887</v>
      </c>
    </row>
    <row r="280" spans="12:16" ht="28" x14ac:dyDescent="0.35">
      <c r="L280" s="544">
        <v>174521</v>
      </c>
      <c r="M280" s="545" t="s">
        <v>1897</v>
      </c>
      <c r="N280" s="89" t="s">
        <v>1898</v>
      </c>
      <c r="O280" s="89" t="s">
        <v>1899</v>
      </c>
      <c r="P280" t="s">
        <v>887</v>
      </c>
    </row>
    <row r="281" spans="12:16" ht="56" x14ac:dyDescent="0.35">
      <c r="L281" s="544">
        <v>175121</v>
      </c>
      <c r="M281" s="545" t="s">
        <v>1900</v>
      </c>
      <c r="N281" s="89" t="s">
        <v>1901</v>
      </c>
      <c r="O281" s="89" t="s">
        <v>1902</v>
      </c>
      <c r="P281" t="s">
        <v>887</v>
      </c>
    </row>
    <row r="282" spans="12:16" ht="70" x14ac:dyDescent="0.35">
      <c r="L282" s="544">
        <v>175221</v>
      </c>
      <c r="M282" s="545" t="s">
        <v>1903</v>
      </c>
      <c r="N282" s="89" t="s">
        <v>1904</v>
      </c>
      <c r="O282" s="89" t="s">
        <v>1905</v>
      </c>
      <c r="P282" t="s">
        <v>887</v>
      </c>
    </row>
    <row r="283" spans="12:16" ht="84" x14ac:dyDescent="0.35">
      <c r="L283" s="544">
        <v>175300</v>
      </c>
      <c r="M283" s="545" t="s">
        <v>1906</v>
      </c>
      <c r="N283" s="89" t="s">
        <v>1907</v>
      </c>
      <c r="O283" s="89" t="s">
        <v>909</v>
      </c>
      <c r="P283" t="s">
        <v>887</v>
      </c>
    </row>
    <row r="284" spans="12:16" ht="70" x14ac:dyDescent="0.35">
      <c r="L284" s="544">
        <v>175321</v>
      </c>
      <c r="M284" s="545" t="s">
        <v>1908</v>
      </c>
      <c r="N284" s="89" t="s">
        <v>1909</v>
      </c>
      <c r="O284" s="89" t="s">
        <v>1910</v>
      </c>
      <c r="P284" t="s">
        <v>887</v>
      </c>
    </row>
    <row r="285" spans="12:16" ht="56" x14ac:dyDescent="0.35">
      <c r="L285" s="544">
        <v>175421</v>
      </c>
      <c r="M285" s="545" t="s">
        <v>1911</v>
      </c>
      <c r="N285" s="89" t="s">
        <v>1912</v>
      </c>
      <c r="O285" s="89" t="s">
        <v>1913</v>
      </c>
      <c r="P285" t="s">
        <v>887</v>
      </c>
    </row>
    <row r="286" spans="12:16" ht="70" x14ac:dyDescent="0.35">
      <c r="L286" s="544">
        <v>175422</v>
      </c>
      <c r="M286" s="545" t="s">
        <v>1914</v>
      </c>
      <c r="N286" s="89" t="s">
        <v>1915</v>
      </c>
      <c r="O286" s="89" t="s">
        <v>1916</v>
      </c>
      <c r="P286" t="s">
        <v>887</v>
      </c>
    </row>
    <row r="287" spans="12:16" ht="56" x14ac:dyDescent="0.35">
      <c r="L287" s="544">
        <v>175521</v>
      </c>
      <c r="M287" s="545" t="s">
        <v>1917</v>
      </c>
      <c r="N287" s="89" t="s">
        <v>1918</v>
      </c>
      <c r="O287" s="89" t="s">
        <v>1919</v>
      </c>
      <c r="P287" t="s">
        <v>887</v>
      </c>
    </row>
    <row r="288" spans="12:16" ht="70" x14ac:dyDescent="0.35">
      <c r="L288" s="544">
        <v>175621</v>
      </c>
      <c r="M288" s="545" t="s">
        <v>1920</v>
      </c>
      <c r="N288" s="89" t="s">
        <v>1921</v>
      </c>
      <c r="O288" s="89" t="s">
        <v>1922</v>
      </c>
      <c r="P288" t="s">
        <v>887</v>
      </c>
    </row>
    <row r="289" spans="12:16" ht="84" x14ac:dyDescent="0.35">
      <c r="L289" s="544">
        <v>175622</v>
      </c>
      <c r="M289" s="545" t="s">
        <v>1923</v>
      </c>
      <c r="N289" s="89" t="s">
        <v>1924</v>
      </c>
      <c r="O289" s="89" t="s">
        <v>1925</v>
      </c>
      <c r="P289" t="s">
        <v>887</v>
      </c>
    </row>
    <row r="290" spans="12:16" ht="56" x14ac:dyDescent="0.35">
      <c r="L290" s="544">
        <v>175721</v>
      </c>
      <c r="M290" s="545" t="s">
        <v>1926</v>
      </c>
      <c r="N290" s="89" t="s">
        <v>1927</v>
      </c>
      <c r="O290" s="89" t="s">
        <v>1928</v>
      </c>
      <c r="P290" t="s">
        <v>887</v>
      </c>
    </row>
    <row r="291" spans="12:16" ht="70" x14ac:dyDescent="0.35">
      <c r="L291" s="544">
        <v>175821</v>
      </c>
      <c r="M291" s="545" t="s">
        <v>1929</v>
      </c>
      <c r="N291" s="89" t="s">
        <v>1930</v>
      </c>
      <c r="O291" s="89" t="s">
        <v>1931</v>
      </c>
      <c r="P291" t="s">
        <v>887</v>
      </c>
    </row>
    <row r="292" spans="12:16" ht="70" x14ac:dyDescent="0.35">
      <c r="L292" s="544">
        <v>176221</v>
      </c>
      <c r="M292" s="545" t="s">
        <v>1932</v>
      </c>
      <c r="N292" s="89" t="s">
        <v>1933</v>
      </c>
      <c r="O292" s="89" t="s">
        <v>1934</v>
      </c>
      <c r="P292" t="s">
        <v>887</v>
      </c>
    </row>
    <row r="293" spans="12:16" ht="70" x14ac:dyDescent="0.35">
      <c r="L293" s="544">
        <v>176321</v>
      </c>
      <c r="M293" s="545" t="s">
        <v>1935</v>
      </c>
      <c r="N293" s="89" t="s">
        <v>1936</v>
      </c>
      <c r="O293" s="89" t="s">
        <v>1937</v>
      </c>
      <c r="P293" t="s">
        <v>887</v>
      </c>
    </row>
    <row r="294" spans="12:16" ht="70" x14ac:dyDescent="0.35">
      <c r="L294" s="544">
        <v>176322</v>
      </c>
      <c r="M294" s="545" t="s">
        <v>1938</v>
      </c>
      <c r="N294" s="89" t="s">
        <v>1939</v>
      </c>
      <c r="O294" s="89" t="s">
        <v>1940</v>
      </c>
      <c r="P294" t="s">
        <v>887</v>
      </c>
    </row>
    <row r="295" spans="12:16" ht="70" x14ac:dyDescent="0.35">
      <c r="L295" s="544">
        <v>176521</v>
      </c>
      <c r="M295" s="545" t="s">
        <v>1941</v>
      </c>
      <c r="N295" s="89" t="s">
        <v>1942</v>
      </c>
      <c r="O295" s="89" t="s">
        <v>1943</v>
      </c>
      <c r="P295" t="s">
        <v>887</v>
      </c>
    </row>
    <row r="296" spans="12:16" ht="56" x14ac:dyDescent="0.35">
      <c r="L296" s="544">
        <v>176621</v>
      </c>
      <c r="M296" s="545" t="s">
        <v>1944</v>
      </c>
      <c r="N296" s="89" t="s">
        <v>1945</v>
      </c>
      <c r="O296" s="89" t="s">
        <v>1946</v>
      </c>
      <c r="P296" t="s">
        <v>887</v>
      </c>
    </row>
    <row r="297" spans="12:16" ht="56" x14ac:dyDescent="0.35">
      <c r="L297" s="544">
        <v>176721</v>
      </c>
      <c r="M297" s="545" t="s">
        <v>1947</v>
      </c>
      <c r="N297" s="89" t="s">
        <v>1948</v>
      </c>
      <c r="O297" s="89" t="s">
        <v>1949</v>
      </c>
      <c r="P297" t="s">
        <v>887</v>
      </c>
    </row>
    <row r="298" spans="12:16" ht="56" x14ac:dyDescent="0.35">
      <c r="L298" s="544">
        <v>176722</v>
      </c>
      <c r="M298" s="545" t="s">
        <v>1950</v>
      </c>
      <c r="N298" s="89" t="s">
        <v>1951</v>
      </c>
      <c r="O298" s="89" t="s">
        <v>1952</v>
      </c>
      <c r="P298" t="s">
        <v>887</v>
      </c>
    </row>
    <row r="299" spans="12:16" ht="56" x14ac:dyDescent="0.35">
      <c r="L299" s="544">
        <v>176821</v>
      </c>
      <c r="M299" s="545" t="s">
        <v>1953</v>
      </c>
      <c r="N299" s="89" t="s">
        <v>1954</v>
      </c>
      <c r="O299" s="89" t="s">
        <v>1955</v>
      </c>
      <c r="P299" t="s">
        <v>887</v>
      </c>
    </row>
    <row r="300" spans="12:16" ht="112" x14ac:dyDescent="0.35">
      <c r="L300" s="544">
        <v>177121</v>
      </c>
      <c r="M300" s="545" t="s">
        <v>1956</v>
      </c>
      <c r="N300" s="89" t="s">
        <v>1957</v>
      </c>
      <c r="O300" s="89" t="s">
        <v>1958</v>
      </c>
      <c r="P300" t="s">
        <v>887</v>
      </c>
    </row>
    <row r="301" spans="12:16" ht="126" x14ac:dyDescent="0.35">
      <c r="L301" s="544">
        <v>177122</v>
      </c>
      <c r="M301" s="545" t="s">
        <v>1959</v>
      </c>
      <c r="N301" s="89" t="s">
        <v>1960</v>
      </c>
      <c r="O301" s="89" t="s">
        <v>1961</v>
      </c>
      <c r="P301" t="s">
        <v>887</v>
      </c>
    </row>
    <row r="302" spans="12:16" ht="112" x14ac:dyDescent="0.35">
      <c r="L302" s="544">
        <v>177223</v>
      </c>
      <c r="M302" s="545" t="s">
        <v>1962</v>
      </c>
      <c r="N302" s="89" t="s">
        <v>1963</v>
      </c>
      <c r="O302" s="89" t="s">
        <v>1964</v>
      </c>
      <c r="P302" t="s">
        <v>887</v>
      </c>
    </row>
    <row r="303" spans="12:16" ht="84" x14ac:dyDescent="0.35">
      <c r="L303" s="544">
        <v>177421</v>
      </c>
      <c r="M303" s="545" t="s">
        <v>1965</v>
      </c>
      <c r="N303" s="89" t="s">
        <v>1966</v>
      </c>
      <c r="O303" s="89" t="s">
        <v>1967</v>
      </c>
      <c r="P303" t="s">
        <v>887</v>
      </c>
    </row>
    <row r="304" spans="12:16" ht="98" x14ac:dyDescent="0.35">
      <c r="L304" s="544">
        <v>177521</v>
      </c>
      <c r="M304" s="545" t="s">
        <v>1968</v>
      </c>
      <c r="N304" s="89" t="s">
        <v>1969</v>
      </c>
      <c r="O304" s="89" t="s">
        <v>1970</v>
      </c>
      <c r="P304" t="s">
        <v>887</v>
      </c>
    </row>
    <row r="305" spans="12:16" ht="70" x14ac:dyDescent="0.35">
      <c r="L305" s="544">
        <v>177621</v>
      </c>
      <c r="M305" s="545" t="s">
        <v>1971</v>
      </c>
      <c r="N305" s="89" t="s">
        <v>1972</v>
      </c>
      <c r="O305" s="89" t="s">
        <v>1973</v>
      </c>
      <c r="P305" t="s">
        <v>887</v>
      </c>
    </row>
    <row r="306" spans="12:16" ht="84" x14ac:dyDescent="0.35">
      <c r="L306" s="544">
        <v>177622</v>
      </c>
      <c r="M306" s="545" t="s">
        <v>1974</v>
      </c>
      <c r="N306" s="89" t="s">
        <v>1975</v>
      </c>
      <c r="O306" s="89" t="s">
        <v>1976</v>
      </c>
      <c r="P306" t="s">
        <v>887</v>
      </c>
    </row>
    <row r="307" spans="12:16" ht="126" x14ac:dyDescent="0.35">
      <c r="L307" s="544">
        <v>177710</v>
      </c>
      <c r="M307" s="545" t="s">
        <v>1977</v>
      </c>
      <c r="N307" s="89" t="s">
        <v>1978</v>
      </c>
      <c r="O307" s="89" t="s">
        <v>1979</v>
      </c>
      <c r="P307" t="s">
        <v>887</v>
      </c>
    </row>
    <row r="308" spans="12:16" ht="56" x14ac:dyDescent="0.35">
      <c r="L308" s="544">
        <v>178121</v>
      </c>
      <c r="M308" s="545" t="s">
        <v>1980</v>
      </c>
      <c r="N308" s="89" t="s">
        <v>1981</v>
      </c>
      <c r="O308" s="89" t="s">
        <v>1982</v>
      </c>
      <c r="P308" t="s">
        <v>887</v>
      </c>
    </row>
    <row r="309" spans="12:16" ht="28" x14ac:dyDescent="0.35">
      <c r="L309" s="544">
        <v>178299</v>
      </c>
      <c r="M309" s="545" t="s">
        <v>1983</v>
      </c>
      <c r="N309" s="89" t="s">
        <v>1984</v>
      </c>
      <c r="O309" s="89" t="s">
        <v>1985</v>
      </c>
      <c r="P309" t="s">
        <v>887</v>
      </c>
    </row>
    <row r="310" spans="12:16" ht="70" x14ac:dyDescent="0.35">
      <c r="L310" s="544">
        <v>178322</v>
      </c>
      <c r="M310" s="545" t="s">
        <v>1986</v>
      </c>
      <c r="N310" s="89" t="s">
        <v>1987</v>
      </c>
      <c r="O310" s="89" t="s">
        <v>1988</v>
      </c>
      <c r="P310" t="s">
        <v>887</v>
      </c>
    </row>
    <row r="311" spans="12:16" ht="126" x14ac:dyDescent="0.35">
      <c r="L311" s="544">
        <v>178960</v>
      </c>
      <c r="M311" s="545" t="s">
        <v>1989</v>
      </c>
      <c r="N311" s="89" t="s">
        <v>1990</v>
      </c>
      <c r="O311" s="89" t="s">
        <v>909</v>
      </c>
      <c r="P311" t="s">
        <v>887</v>
      </c>
    </row>
    <row r="312" spans="12:16" ht="42" x14ac:dyDescent="0.35">
      <c r="L312" s="544">
        <v>179001</v>
      </c>
      <c r="M312" s="545" t="s">
        <v>1991</v>
      </c>
      <c r="N312" s="89" t="s">
        <v>1992</v>
      </c>
      <c r="O312" s="89" t="s">
        <v>1993</v>
      </c>
      <c r="P312" t="s">
        <v>887</v>
      </c>
    </row>
    <row r="313" spans="12:16" ht="56" x14ac:dyDescent="0.35">
      <c r="L313" s="544">
        <v>179019</v>
      </c>
      <c r="M313" s="545" t="s">
        <v>1994</v>
      </c>
      <c r="N313" s="89" t="s">
        <v>1995</v>
      </c>
      <c r="O313" s="89" t="s">
        <v>1996</v>
      </c>
      <c r="P313" t="s">
        <v>887</v>
      </c>
    </row>
    <row r="314" spans="12:16" ht="56" x14ac:dyDescent="0.35">
      <c r="L314" s="544">
        <v>179021</v>
      </c>
      <c r="M314" s="545" t="s">
        <v>1997</v>
      </c>
      <c r="N314" s="89" t="s">
        <v>1998</v>
      </c>
      <c r="O314" s="89" t="s">
        <v>1999</v>
      </c>
      <c r="P314" t="s">
        <v>887</v>
      </c>
    </row>
    <row r="315" spans="12:16" ht="42" x14ac:dyDescent="0.35">
      <c r="L315" s="544">
        <v>179022</v>
      </c>
      <c r="M315" s="545" t="s">
        <v>2000</v>
      </c>
      <c r="N315" s="89" t="s">
        <v>2001</v>
      </c>
      <c r="O315" s="89" t="s">
        <v>2002</v>
      </c>
      <c r="P315" t="s">
        <v>887</v>
      </c>
    </row>
    <row r="316" spans="12:16" ht="28" x14ac:dyDescent="0.35">
      <c r="L316" s="544">
        <v>179023</v>
      </c>
      <c r="M316" s="545" t="s">
        <v>2003</v>
      </c>
      <c r="N316" s="89" t="s">
        <v>2004</v>
      </c>
      <c r="O316" s="89" t="s">
        <v>2005</v>
      </c>
      <c r="P316" t="s">
        <v>887</v>
      </c>
    </row>
    <row r="317" spans="12:16" ht="56" x14ac:dyDescent="0.35">
      <c r="L317" s="544">
        <v>179024</v>
      </c>
      <c r="M317" s="545" t="s">
        <v>2006</v>
      </c>
      <c r="N317" s="89" t="s">
        <v>2007</v>
      </c>
      <c r="O317" s="89" t="s">
        <v>2008</v>
      </c>
      <c r="P317" t="s">
        <v>887</v>
      </c>
    </row>
    <row r="318" spans="12:16" ht="28" x14ac:dyDescent="0.35">
      <c r="L318" s="544">
        <v>179025</v>
      </c>
      <c r="M318" s="545" t="s">
        <v>2009</v>
      </c>
      <c r="N318" s="89" t="s">
        <v>2010</v>
      </c>
      <c r="O318" s="89" t="s">
        <v>2011</v>
      </c>
      <c r="P318" t="s">
        <v>887</v>
      </c>
    </row>
    <row r="319" spans="12:16" ht="56" x14ac:dyDescent="0.35">
      <c r="L319" s="544">
        <v>179026</v>
      </c>
      <c r="M319" s="545" t="s">
        <v>2012</v>
      </c>
      <c r="N319" s="89" t="s">
        <v>2013</v>
      </c>
      <c r="O319" s="89" t="s">
        <v>2014</v>
      </c>
      <c r="P319" t="s">
        <v>887</v>
      </c>
    </row>
    <row r="320" spans="12:16" ht="42" x14ac:dyDescent="0.35">
      <c r="L320" s="544">
        <v>179027</v>
      </c>
      <c r="M320" s="545" t="s">
        <v>2015</v>
      </c>
      <c r="N320" s="89" t="s">
        <v>2016</v>
      </c>
      <c r="O320" s="89" t="s">
        <v>2017</v>
      </c>
      <c r="P320" t="s">
        <v>887</v>
      </c>
    </row>
    <row r="321" spans="12:16" ht="42" x14ac:dyDescent="0.35">
      <c r="L321" s="544">
        <v>179028</v>
      </c>
      <c r="M321" s="545" t="s">
        <v>2018</v>
      </c>
      <c r="N321" s="89" t="s">
        <v>2019</v>
      </c>
      <c r="O321" s="89" t="s">
        <v>2020</v>
      </c>
      <c r="P321" t="s">
        <v>887</v>
      </c>
    </row>
    <row r="322" spans="12:16" ht="28" x14ac:dyDescent="0.35">
      <c r="L322" s="544">
        <v>179029</v>
      </c>
      <c r="M322" s="545" t="s">
        <v>2021</v>
      </c>
      <c r="N322" s="89" t="s">
        <v>2022</v>
      </c>
      <c r="O322" s="89" t="s">
        <v>2023</v>
      </c>
      <c r="P322" t="s">
        <v>887</v>
      </c>
    </row>
    <row r="323" spans="12:16" ht="15.5" x14ac:dyDescent="0.35">
      <c r="L323" s="544">
        <v>179050</v>
      </c>
      <c r="M323" s="545" t="s">
        <v>2024</v>
      </c>
      <c r="N323" s="89" t="s">
        <v>2025</v>
      </c>
      <c r="O323" s="89" t="s">
        <v>2026</v>
      </c>
      <c r="P323" t="s">
        <v>887</v>
      </c>
    </row>
    <row r="324" spans="12:16" ht="42" x14ac:dyDescent="0.35">
      <c r="L324" s="544">
        <v>179219</v>
      </c>
      <c r="M324" s="545" t="s">
        <v>2027</v>
      </c>
      <c r="N324" s="89" t="s">
        <v>2028</v>
      </c>
      <c r="O324" s="89" t="s">
        <v>2029</v>
      </c>
      <c r="P324" t="s">
        <v>887</v>
      </c>
    </row>
    <row r="325" spans="12:16" ht="70" x14ac:dyDescent="0.35">
      <c r="L325" s="544">
        <v>179221</v>
      </c>
      <c r="M325" s="545" t="s">
        <v>2030</v>
      </c>
      <c r="N325" s="89" t="s">
        <v>2031</v>
      </c>
      <c r="O325" s="89" t="s">
        <v>2032</v>
      </c>
      <c r="P325" t="s">
        <v>887</v>
      </c>
    </row>
    <row r="326" spans="12:16" ht="56" x14ac:dyDescent="0.35">
      <c r="L326" s="544">
        <v>179371</v>
      </c>
      <c r="M326" s="545" t="s">
        <v>2033</v>
      </c>
      <c r="N326" s="89" t="s">
        <v>2034</v>
      </c>
      <c r="O326" s="89" t="s">
        <v>2035</v>
      </c>
      <c r="P326" t="s">
        <v>887</v>
      </c>
    </row>
    <row r="327" spans="12:16" ht="28" x14ac:dyDescent="0.35">
      <c r="L327" s="544">
        <v>179475</v>
      </c>
      <c r="M327" s="545" t="s">
        <v>2036</v>
      </c>
      <c r="N327" s="89" t="s">
        <v>2037</v>
      </c>
      <c r="O327" s="89" t="s">
        <v>2038</v>
      </c>
      <c r="P327" t="s">
        <v>887</v>
      </c>
    </row>
    <row r="328" spans="12:16" ht="42" x14ac:dyDescent="0.35">
      <c r="L328" s="544">
        <v>179476</v>
      </c>
      <c r="M328" s="545" t="s">
        <v>2039</v>
      </c>
      <c r="N328" s="89" t="s">
        <v>2040</v>
      </c>
      <c r="O328" s="89" t="s">
        <v>2041</v>
      </c>
      <c r="P328" t="s">
        <v>887</v>
      </c>
    </row>
    <row r="329" spans="12:16" ht="70" x14ac:dyDescent="0.35">
      <c r="L329" s="544">
        <v>179477</v>
      </c>
      <c r="M329" s="545" t="s">
        <v>2042</v>
      </c>
      <c r="N329" s="89" t="s">
        <v>2043</v>
      </c>
      <c r="O329" s="89" t="s">
        <v>2044</v>
      </c>
      <c r="P329" t="s">
        <v>887</v>
      </c>
    </row>
    <row r="330" spans="12:16" ht="42" x14ac:dyDescent="0.35">
      <c r="L330" s="544">
        <v>179481</v>
      </c>
      <c r="M330" s="545" t="s">
        <v>2045</v>
      </c>
      <c r="N330" s="89" t="s">
        <v>2046</v>
      </c>
      <c r="O330" s="89" t="s">
        <v>2047</v>
      </c>
      <c r="P330" t="s">
        <v>887</v>
      </c>
    </row>
    <row r="331" spans="12:16" ht="42" x14ac:dyDescent="0.35">
      <c r="L331" s="544">
        <v>179511</v>
      </c>
      <c r="M331" s="545" t="s">
        <v>2048</v>
      </c>
      <c r="N331" s="89" t="s">
        <v>2049</v>
      </c>
      <c r="O331" s="89" t="s">
        <v>2050</v>
      </c>
      <c r="P331" t="s">
        <v>887</v>
      </c>
    </row>
    <row r="332" spans="12:16" ht="42" x14ac:dyDescent="0.35">
      <c r="L332" s="544">
        <v>179530</v>
      </c>
      <c r="M332" s="545" t="s">
        <v>2051</v>
      </c>
      <c r="N332" s="89" t="s">
        <v>2052</v>
      </c>
      <c r="O332" s="89" t="s">
        <v>909</v>
      </c>
      <c r="P332" t="s">
        <v>887</v>
      </c>
    </row>
    <row r="333" spans="12:16" ht="84" x14ac:dyDescent="0.35">
      <c r="L333" s="544">
        <v>179621</v>
      </c>
      <c r="M333" s="545" t="s">
        <v>2053</v>
      </c>
      <c r="N333" s="89" t="s">
        <v>2054</v>
      </c>
      <c r="O333" s="89" t="s">
        <v>2055</v>
      </c>
      <c r="P333" t="s">
        <v>887</v>
      </c>
    </row>
    <row r="334" spans="12:16" ht="56" x14ac:dyDescent="0.35">
      <c r="L334" s="544">
        <v>179723</v>
      </c>
      <c r="M334" s="545" t="s">
        <v>2056</v>
      </c>
      <c r="N334" s="89" t="s">
        <v>2057</v>
      </c>
      <c r="O334" s="89" t="s">
        <v>2058</v>
      </c>
      <c r="P334" t="s">
        <v>887</v>
      </c>
    </row>
    <row r="335" spans="12:16" ht="56" x14ac:dyDescent="0.35">
      <c r="L335" s="544">
        <v>179724</v>
      </c>
      <c r="M335" s="545" t="s">
        <v>2059</v>
      </c>
      <c r="N335" s="89" t="s">
        <v>2060</v>
      </c>
      <c r="O335" s="89" t="s">
        <v>2061</v>
      </c>
      <c r="P335" t="s">
        <v>887</v>
      </c>
    </row>
    <row r="336" spans="12:16" ht="42" x14ac:dyDescent="0.35">
      <c r="L336" s="544">
        <v>179821</v>
      </c>
      <c r="M336" s="545" t="s">
        <v>2062</v>
      </c>
      <c r="N336" s="89" t="s">
        <v>2063</v>
      </c>
      <c r="O336" s="89" t="s">
        <v>2064</v>
      </c>
      <c r="P336" t="s">
        <v>887</v>
      </c>
    </row>
    <row r="337" spans="12:16" ht="98" x14ac:dyDescent="0.35">
      <c r="L337" s="544">
        <v>179921</v>
      </c>
      <c r="M337" s="545" t="s">
        <v>2065</v>
      </c>
      <c r="N337" s="89" t="s">
        <v>2066</v>
      </c>
      <c r="O337" s="89" t="s">
        <v>2067</v>
      </c>
      <c r="P337" t="s">
        <v>887</v>
      </c>
    </row>
    <row r="338" spans="12:16" ht="112" x14ac:dyDescent="0.35">
      <c r="L338" s="544">
        <v>179922</v>
      </c>
      <c r="M338" s="545" t="s">
        <v>2068</v>
      </c>
      <c r="N338" s="89" t="s">
        <v>2069</v>
      </c>
      <c r="O338" s="89" t="s">
        <v>2070</v>
      </c>
      <c r="P338" t="s">
        <v>887</v>
      </c>
    </row>
    <row r="339" spans="12:16" ht="84" x14ac:dyDescent="0.35">
      <c r="L339" s="544">
        <v>179923</v>
      </c>
      <c r="M339" s="545" t="s">
        <v>2071</v>
      </c>
      <c r="N339" s="89" t="s">
        <v>2072</v>
      </c>
      <c r="O339" s="89" t="s">
        <v>2073</v>
      </c>
      <c r="P339" t="s">
        <v>887</v>
      </c>
    </row>
    <row r="340" spans="12:16" ht="56" x14ac:dyDescent="0.35">
      <c r="L340" s="544">
        <v>211111</v>
      </c>
      <c r="M340" s="545" t="s">
        <v>2074</v>
      </c>
      <c r="N340" s="89" t="s">
        <v>2075</v>
      </c>
      <c r="O340" s="89" t="s">
        <v>2076</v>
      </c>
      <c r="P340" t="s">
        <v>887</v>
      </c>
    </row>
    <row r="341" spans="12:16" ht="56" x14ac:dyDescent="0.35">
      <c r="L341" s="544">
        <v>211116</v>
      </c>
      <c r="M341" s="545" t="s">
        <v>2077</v>
      </c>
      <c r="N341" s="89" t="s">
        <v>2078</v>
      </c>
      <c r="O341" s="89" t="s">
        <v>2079</v>
      </c>
      <c r="P341" t="s">
        <v>887</v>
      </c>
    </row>
    <row r="342" spans="12:16" ht="28" x14ac:dyDescent="0.35">
      <c r="L342" s="544">
        <v>211147</v>
      </c>
      <c r="M342" s="545" t="s">
        <v>2080</v>
      </c>
      <c r="N342" s="89" t="s">
        <v>2081</v>
      </c>
      <c r="O342" s="89" t="s">
        <v>2082</v>
      </c>
      <c r="P342" t="s">
        <v>887</v>
      </c>
    </row>
    <row r="343" spans="12:16" ht="112" x14ac:dyDescent="0.35">
      <c r="L343" s="544">
        <v>211150</v>
      </c>
      <c r="M343" s="545" t="s">
        <v>2083</v>
      </c>
      <c r="N343" s="89" t="s">
        <v>2084</v>
      </c>
      <c r="O343" s="89" t="s">
        <v>909</v>
      </c>
      <c r="P343" t="s">
        <v>887</v>
      </c>
    </row>
    <row r="344" spans="12:16" ht="42" x14ac:dyDescent="0.35">
      <c r="L344" s="544">
        <v>211152</v>
      </c>
      <c r="M344" s="545" t="s">
        <v>2085</v>
      </c>
      <c r="N344" s="89" t="s">
        <v>2086</v>
      </c>
      <c r="O344" s="89" t="s">
        <v>2087</v>
      </c>
      <c r="P344" t="s">
        <v>887</v>
      </c>
    </row>
    <row r="345" spans="12:16" ht="42" x14ac:dyDescent="0.35">
      <c r="L345" s="544">
        <v>211153</v>
      </c>
      <c r="M345" s="545" t="s">
        <v>2088</v>
      </c>
      <c r="N345" s="89" t="s">
        <v>2089</v>
      </c>
      <c r="O345" s="89" t="s">
        <v>2090</v>
      </c>
      <c r="P345" t="s">
        <v>887</v>
      </c>
    </row>
    <row r="346" spans="12:16" ht="42" x14ac:dyDescent="0.35">
      <c r="L346" s="544">
        <v>211154</v>
      </c>
      <c r="M346" s="545" t="s">
        <v>2091</v>
      </c>
      <c r="N346" s="89" t="s">
        <v>2092</v>
      </c>
      <c r="O346" s="89" t="s">
        <v>2093</v>
      </c>
      <c r="P346" t="s">
        <v>887</v>
      </c>
    </row>
    <row r="347" spans="12:16" ht="56" x14ac:dyDescent="0.35">
      <c r="L347" s="544">
        <v>211157</v>
      </c>
      <c r="M347" s="545" t="s">
        <v>2094</v>
      </c>
      <c r="N347" s="89" t="s">
        <v>2095</v>
      </c>
      <c r="O347" s="89" t="s">
        <v>2096</v>
      </c>
      <c r="P347" t="s">
        <v>887</v>
      </c>
    </row>
    <row r="348" spans="12:16" ht="126" x14ac:dyDescent="0.35">
      <c r="L348" s="544">
        <v>211159</v>
      </c>
      <c r="M348" s="545" t="s">
        <v>2097</v>
      </c>
      <c r="N348" s="89" t="s">
        <v>2098</v>
      </c>
      <c r="O348" s="89" t="s">
        <v>2099</v>
      </c>
      <c r="P348" t="s">
        <v>887</v>
      </c>
    </row>
    <row r="349" spans="12:16" ht="56" x14ac:dyDescent="0.35">
      <c r="L349" s="544">
        <v>211161</v>
      </c>
      <c r="M349" s="545" t="s">
        <v>2100</v>
      </c>
      <c r="N349" s="89" t="s">
        <v>2101</v>
      </c>
      <c r="O349" s="89" t="s">
        <v>2102</v>
      </c>
      <c r="P349" t="s">
        <v>887</v>
      </c>
    </row>
    <row r="350" spans="12:16" ht="84" x14ac:dyDescent="0.35">
      <c r="L350" s="544">
        <v>211172</v>
      </c>
      <c r="M350" s="545" t="s">
        <v>2103</v>
      </c>
      <c r="N350" s="89" t="s">
        <v>2104</v>
      </c>
      <c r="O350" s="89" t="s">
        <v>909</v>
      </c>
      <c r="P350" t="s">
        <v>887</v>
      </c>
    </row>
    <row r="351" spans="12:16" ht="42" x14ac:dyDescent="0.35">
      <c r="L351" s="544">
        <v>211179</v>
      </c>
      <c r="M351" s="545" t="s">
        <v>2105</v>
      </c>
      <c r="N351" s="89" t="s">
        <v>2106</v>
      </c>
      <c r="O351" s="89" t="s">
        <v>2107</v>
      </c>
      <c r="P351" t="s">
        <v>887</v>
      </c>
    </row>
    <row r="352" spans="12:16" ht="56" x14ac:dyDescent="0.35">
      <c r="L352" s="544">
        <v>211183</v>
      </c>
      <c r="M352" s="545" t="s">
        <v>2108</v>
      </c>
      <c r="N352" s="89" t="s">
        <v>2109</v>
      </c>
      <c r="O352" s="89" t="s">
        <v>2110</v>
      </c>
      <c r="P352" t="s">
        <v>887</v>
      </c>
    </row>
    <row r="353" spans="12:16" ht="56" x14ac:dyDescent="0.35">
      <c r="L353" s="544">
        <v>211193</v>
      </c>
      <c r="M353" s="545" t="s">
        <v>2111</v>
      </c>
      <c r="N353" s="89" t="s">
        <v>2112</v>
      </c>
      <c r="O353" s="89" t="s">
        <v>2113</v>
      </c>
      <c r="P353" t="s">
        <v>887</v>
      </c>
    </row>
    <row r="354" spans="12:16" ht="56" x14ac:dyDescent="0.35">
      <c r="L354" s="544">
        <v>211251</v>
      </c>
      <c r="M354" s="545" t="s">
        <v>2114</v>
      </c>
      <c r="N354" s="89" t="s">
        <v>2115</v>
      </c>
      <c r="O354" s="89" t="s">
        <v>2116</v>
      </c>
      <c r="P354" t="s">
        <v>887</v>
      </c>
    </row>
    <row r="355" spans="12:16" ht="56" x14ac:dyDescent="0.35">
      <c r="L355" s="544">
        <v>211252</v>
      </c>
      <c r="M355" s="545" t="s">
        <v>2117</v>
      </c>
      <c r="N355" s="89" t="s">
        <v>2118</v>
      </c>
      <c r="O355" s="89" t="s">
        <v>2119</v>
      </c>
      <c r="P355" t="s">
        <v>887</v>
      </c>
    </row>
    <row r="356" spans="12:16" ht="56" x14ac:dyDescent="0.35">
      <c r="L356" s="544">
        <v>211253</v>
      </c>
      <c r="M356" s="545" t="s">
        <v>2120</v>
      </c>
      <c r="N356" s="89" t="s">
        <v>2121</v>
      </c>
      <c r="O356" s="89" t="s">
        <v>2122</v>
      </c>
      <c r="P356" t="s">
        <v>887</v>
      </c>
    </row>
    <row r="357" spans="12:16" ht="56" x14ac:dyDescent="0.35">
      <c r="L357" s="544">
        <v>211254</v>
      </c>
      <c r="M357" s="545" t="s">
        <v>2123</v>
      </c>
      <c r="N357" s="89" t="s">
        <v>2124</v>
      </c>
      <c r="O357" s="89" t="s">
        <v>2125</v>
      </c>
      <c r="P357" t="s">
        <v>887</v>
      </c>
    </row>
    <row r="358" spans="12:16" ht="56" x14ac:dyDescent="0.35">
      <c r="L358" s="544">
        <v>211256</v>
      </c>
      <c r="M358" s="545" t="s">
        <v>2126</v>
      </c>
      <c r="N358" s="89" t="s">
        <v>2127</v>
      </c>
      <c r="O358" s="89" t="s">
        <v>2128</v>
      </c>
      <c r="P358" t="s">
        <v>887</v>
      </c>
    </row>
    <row r="359" spans="12:16" ht="56" x14ac:dyDescent="0.35">
      <c r="L359" s="544">
        <v>211271</v>
      </c>
      <c r="M359" s="545" t="s">
        <v>2129</v>
      </c>
      <c r="N359" s="89" t="s">
        <v>2130</v>
      </c>
      <c r="O359" s="89" t="s">
        <v>2131</v>
      </c>
      <c r="P359" t="s">
        <v>887</v>
      </c>
    </row>
    <row r="360" spans="12:16" ht="28" x14ac:dyDescent="0.35">
      <c r="L360" s="544">
        <v>211601</v>
      </c>
      <c r="M360" s="545" t="s">
        <v>2132</v>
      </c>
      <c r="N360" s="89" t="s">
        <v>2133</v>
      </c>
      <c r="O360" s="89" t="s">
        <v>2134</v>
      </c>
      <c r="P360" t="s">
        <v>887</v>
      </c>
    </row>
    <row r="361" spans="12:16" ht="56" x14ac:dyDescent="0.35">
      <c r="L361" s="544">
        <v>212212</v>
      </c>
      <c r="M361" s="545" t="s">
        <v>2135</v>
      </c>
      <c r="N361" s="89" t="s">
        <v>2136</v>
      </c>
      <c r="O361" s="89" t="s">
        <v>2137</v>
      </c>
      <c r="P361" t="s">
        <v>887</v>
      </c>
    </row>
    <row r="362" spans="12:16" ht="42" x14ac:dyDescent="0.35">
      <c r="L362" s="544">
        <v>212213</v>
      </c>
      <c r="M362" s="545" t="s">
        <v>2138</v>
      </c>
      <c r="N362" s="89" t="s">
        <v>2139</v>
      </c>
      <c r="O362" s="89" t="s">
        <v>2140</v>
      </c>
      <c r="P362" t="s">
        <v>887</v>
      </c>
    </row>
    <row r="363" spans="12:16" ht="28" x14ac:dyDescent="0.35">
      <c r="L363" s="544">
        <v>212215</v>
      </c>
      <c r="M363" s="545" t="s">
        <v>2141</v>
      </c>
      <c r="N363" s="89" t="s">
        <v>2142</v>
      </c>
      <c r="O363" s="89" t="s">
        <v>2143</v>
      </c>
      <c r="P363" t="s">
        <v>887</v>
      </c>
    </row>
    <row r="364" spans="12:16" ht="28" x14ac:dyDescent="0.35">
      <c r="L364" s="544">
        <v>212216</v>
      </c>
      <c r="M364" s="545" t="s">
        <v>2144</v>
      </c>
      <c r="N364" s="89" t="s">
        <v>2145</v>
      </c>
      <c r="O364" s="89" t="s">
        <v>2146</v>
      </c>
      <c r="P364" t="s">
        <v>887</v>
      </c>
    </row>
    <row r="365" spans="12:16" ht="28" x14ac:dyDescent="0.35">
      <c r="L365" s="544">
        <v>212217</v>
      </c>
      <c r="M365" s="545" t="s">
        <v>2147</v>
      </c>
      <c r="N365" s="89" t="s">
        <v>2148</v>
      </c>
      <c r="O365" s="89" t="s">
        <v>2149</v>
      </c>
      <c r="P365" t="s">
        <v>887</v>
      </c>
    </row>
    <row r="366" spans="12:16" ht="42" x14ac:dyDescent="0.35">
      <c r="L366" s="544">
        <v>212219</v>
      </c>
      <c r="M366" s="545" t="s">
        <v>2150</v>
      </c>
      <c r="N366" s="89" t="s">
        <v>2151</v>
      </c>
      <c r="O366" s="89" t="s">
        <v>2152</v>
      </c>
      <c r="P366" t="s">
        <v>887</v>
      </c>
    </row>
    <row r="367" spans="12:16" ht="42" x14ac:dyDescent="0.35">
      <c r="L367" s="544">
        <v>212220</v>
      </c>
      <c r="M367" s="545" t="s">
        <v>2153</v>
      </c>
      <c r="N367" s="89" t="s">
        <v>2154</v>
      </c>
      <c r="O367" s="89" t="s">
        <v>2155</v>
      </c>
      <c r="P367" t="s">
        <v>887</v>
      </c>
    </row>
    <row r="368" spans="12:16" ht="42" x14ac:dyDescent="0.35">
      <c r="L368" s="544">
        <v>212252</v>
      </c>
      <c r="M368" s="545" t="s">
        <v>2156</v>
      </c>
      <c r="N368" s="89" t="s">
        <v>2157</v>
      </c>
      <c r="O368" s="89" t="s">
        <v>2158</v>
      </c>
      <c r="P368" t="s">
        <v>887</v>
      </c>
    </row>
    <row r="369" spans="12:16" ht="28" x14ac:dyDescent="0.35">
      <c r="L369" s="544">
        <v>213332</v>
      </c>
      <c r="M369" s="545" t="s">
        <v>2159</v>
      </c>
      <c r="N369" s="89" t="s">
        <v>2160</v>
      </c>
      <c r="O369" s="89" t="s">
        <v>2161</v>
      </c>
      <c r="P369" t="s">
        <v>887</v>
      </c>
    </row>
    <row r="370" spans="12:16" ht="56" x14ac:dyDescent="0.35">
      <c r="L370" s="544">
        <v>213363</v>
      </c>
      <c r="M370" s="545" t="s">
        <v>2162</v>
      </c>
      <c r="N370" s="89" t="s">
        <v>2163</v>
      </c>
      <c r="O370" s="89" t="s">
        <v>2164</v>
      </c>
      <c r="P370" t="s">
        <v>887</v>
      </c>
    </row>
    <row r="371" spans="12:16" ht="28" x14ac:dyDescent="0.35">
      <c r="L371" s="544">
        <v>213436</v>
      </c>
      <c r="M371" s="545" t="s">
        <v>2165</v>
      </c>
      <c r="N371" s="89" t="s">
        <v>2166</v>
      </c>
      <c r="O371" s="89" t="s">
        <v>2167</v>
      </c>
      <c r="P371" t="s">
        <v>887</v>
      </c>
    </row>
    <row r="372" spans="12:16" ht="28" x14ac:dyDescent="0.35">
      <c r="L372" s="544">
        <v>213499</v>
      </c>
      <c r="M372" s="545" t="s">
        <v>2168</v>
      </c>
      <c r="N372" s="89" t="s">
        <v>2169</v>
      </c>
      <c r="O372" s="89" t="s">
        <v>2170</v>
      </c>
      <c r="P372" t="s">
        <v>887</v>
      </c>
    </row>
    <row r="373" spans="12:16" ht="28" x14ac:dyDescent="0.35">
      <c r="L373" s="544">
        <v>213700</v>
      </c>
      <c r="M373" s="545" t="s">
        <v>2171</v>
      </c>
      <c r="N373" s="89" t="s">
        <v>2172</v>
      </c>
      <c r="O373" s="89" t="s">
        <v>909</v>
      </c>
      <c r="P373" t="s">
        <v>887</v>
      </c>
    </row>
    <row r="374" spans="12:16" ht="70" x14ac:dyDescent="0.35">
      <c r="L374" s="544">
        <v>214070</v>
      </c>
      <c r="M374" s="545" t="s">
        <v>2173</v>
      </c>
      <c r="N374" s="89" t="s">
        <v>2174</v>
      </c>
      <c r="O374" s="89" t="s">
        <v>909</v>
      </c>
      <c r="P374" t="s">
        <v>887</v>
      </c>
    </row>
    <row r="375" spans="12:16" ht="70" x14ac:dyDescent="0.35">
      <c r="L375" s="544">
        <v>214090</v>
      </c>
      <c r="M375" s="545" t="s">
        <v>2175</v>
      </c>
      <c r="N375" s="89" t="s">
        <v>2176</v>
      </c>
      <c r="O375" s="89" t="s">
        <v>909</v>
      </c>
      <c r="P375" t="s">
        <v>887</v>
      </c>
    </row>
    <row r="376" spans="12:16" ht="42" x14ac:dyDescent="0.35">
      <c r="L376" s="544">
        <v>214400</v>
      </c>
      <c r="M376" s="545" t="s">
        <v>2177</v>
      </c>
      <c r="N376" s="89" t="s">
        <v>2178</v>
      </c>
      <c r="O376" s="89" t="s">
        <v>909</v>
      </c>
      <c r="P376" t="s">
        <v>887</v>
      </c>
    </row>
    <row r="377" spans="12:16" ht="15.5" x14ac:dyDescent="0.35">
      <c r="L377" s="544">
        <v>214410</v>
      </c>
      <c r="M377" s="545" t="s">
        <v>2179</v>
      </c>
      <c r="N377" s="89" t="s">
        <v>2180</v>
      </c>
      <c r="O377" s="89" t="s">
        <v>909</v>
      </c>
      <c r="P377" t="s">
        <v>887</v>
      </c>
    </row>
    <row r="378" spans="12:16" ht="42" x14ac:dyDescent="0.35">
      <c r="L378" s="544">
        <v>214422</v>
      </c>
      <c r="M378" s="545" t="s">
        <v>2181</v>
      </c>
      <c r="N378" s="89" t="s">
        <v>2182</v>
      </c>
      <c r="O378" s="89" t="s">
        <v>2183</v>
      </c>
      <c r="P378" t="s">
        <v>887</v>
      </c>
    </row>
    <row r="379" spans="12:16" ht="56" x14ac:dyDescent="0.35">
      <c r="L379" s="544">
        <v>214425</v>
      </c>
      <c r="M379" s="545" t="s">
        <v>2184</v>
      </c>
      <c r="N379" s="89" t="s">
        <v>2185</v>
      </c>
      <c r="O379" s="89" t="s">
        <v>2186</v>
      </c>
      <c r="P379" t="s">
        <v>887</v>
      </c>
    </row>
    <row r="380" spans="12:16" ht="70" x14ac:dyDescent="0.35">
      <c r="L380" s="544">
        <v>214426</v>
      </c>
      <c r="M380" s="545" t="s">
        <v>2187</v>
      </c>
      <c r="N380" s="89" t="s">
        <v>2188</v>
      </c>
      <c r="O380" s="89" t="s">
        <v>2189</v>
      </c>
      <c r="P380" t="s">
        <v>887</v>
      </c>
    </row>
    <row r="381" spans="12:16" ht="28" x14ac:dyDescent="0.35">
      <c r="L381" s="544">
        <v>214428</v>
      </c>
      <c r="M381" s="545" t="s">
        <v>2190</v>
      </c>
      <c r="N381" s="89" t="s">
        <v>2191</v>
      </c>
      <c r="O381" s="89" t="s">
        <v>2192</v>
      </c>
      <c r="P381" t="s">
        <v>887</v>
      </c>
    </row>
    <row r="382" spans="12:16" ht="28" x14ac:dyDescent="0.35">
      <c r="L382" s="544">
        <v>214429</v>
      </c>
      <c r="M382" s="545" t="s">
        <v>2193</v>
      </c>
      <c r="N382" s="89" t="s">
        <v>2194</v>
      </c>
      <c r="O382" s="89" t="s">
        <v>2195</v>
      </c>
      <c r="P382" t="s">
        <v>887</v>
      </c>
    </row>
    <row r="383" spans="12:16" ht="28" x14ac:dyDescent="0.35">
      <c r="L383" s="544">
        <v>214467</v>
      </c>
      <c r="M383" s="545" t="s">
        <v>2196</v>
      </c>
      <c r="N383" s="89" t="s">
        <v>2197</v>
      </c>
      <c r="O383" s="89" t="s">
        <v>2198</v>
      </c>
      <c r="P383" t="s">
        <v>887</v>
      </c>
    </row>
    <row r="384" spans="12:16" ht="28" x14ac:dyDescent="0.35">
      <c r="L384" s="544">
        <v>214469</v>
      </c>
      <c r="M384" s="545" t="s">
        <v>2199</v>
      </c>
      <c r="N384" s="89" t="s">
        <v>2200</v>
      </c>
      <c r="O384" s="89" t="s">
        <v>2201</v>
      </c>
      <c r="P384" t="s">
        <v>887</v>
      </c>
    </row>
    <row r="385" spans="12:16" ht="56" x14ac:dyDescent="0.35">
      <c r="L385" s="544">
        <v>215552</v>
      </c>
      <c r="M385" s="545" t="s">
        <v>2202</v>
      </c>
      <c r="N385" s="89" t="s">
        <v>2203</v>
      </c>
      <c r="O385" s="89" t="s">
        <v>2204</v>
      </c>
      <c r="P385" t="s">
        <v>887</v>
      </c>
    </row>
    <row r="386" spans="12:16" ht="56" x14ac:dyDescent="0.35">
      <c r="L386" s="544">
        <v>215553</v>
      </c>
      <c r="M386" s="545" t="s">
        <v>2205</v>
      </c>
      <c r="N386" s="89" t="s">
        <v>2206</v>
      </c>
      <c r="O386" s="89" t="s">
        <v>2207</v>
      </c>
      <c r="P386" t="s">
        <v>887</v>
      </c>
    </row>
    <row r="387" spans="12:16" ht="56" x14ac:dyDescent="0.35">
      <c r="L387" s="544">
        <v>215554</v>
      </c>
      <c r="M387" s="545" t="s">
        <v>2208</v>
      </c>
      <c r="N387" s="89" t="s">
        <v>2209</v>
      </c>
      <c r="O387" s="89" t="s">
        <v>2210</v>
      </c>
      <c r="P387" t="s">
        <v>887</v>
      </c>
    </row>
    <row r="388" spans="12:16" ht="42" x14ac:dyDescent="0.35">
      <c r="L388" s="544">
        <v>215555</v>
      </c>
      <c r="M388" s="545" t="s">
        <v>2211</v>
      </c>
      <c r="N388" s="89" t="s">
        <v>2212</v>
      </c>
      <c r="O388" s="89" t="s">
        <v>2213</v>
      </c>
      <c r="P388" t="s">
        <v>887</v>
      </c>
    </row>
    <row r="389" spans="12:16" ht="42" x14ac:dyDescent="0.35">
      <c r="L389" s="544">
        <v>215582</v>
      </c>
      <c r="M389" s="545" t="s">
        <v>2214</v>
      </c>
      <c r="N389" s="89" t="s">
        <v>2215</v>
      </c>
      <c r="O389" s="89" t="s">
        <v>2216</v>
      </c>
      <c r="P389" t="s">
        <v>887</v>
      </c>
    </row>
    <row r="390" spans="12:16" ht="112" x14ac:dyDescent="0.35">
      <c r="L390" s="544">
        <v>216642</v>
      </c>
      <c r="M390" s="545" t="s">
        <v>2217</v>
      </c>
      <c r="N390" s="89" t="s">
        <v>2218</v>
      </c>
      <c r="O390" s="89" t="s">
        <v>2219</v>
      </c>
      <c r="P390" t="s">
        <v>887</v>
      </c>
    </row>
    <row r="391" spans="12:16" ht="28" x14ac:dyDescent="0.35">
      <c r="L391" s="544">
        <v>217200</v>
      </c>
      <c r="M391" s="545" t="s">
        <v>2220</v>
      </c>
      <c r="N391" s="89" t="s">
        <v>2221</v>
      </c>
      <c r="O391" s="89" t="s">
        <v>909</v>
      </c>
      <c r="P391" t="s">
        <v>887</v>
      </c>
    </row>
    <row r="392" spans="12:16" ht="98" x14ac:dyDescent="0.35">
      <c r="L392" s="544">
        <v>217712</v>
      </c>
      <c r="M392" s="545" t="s">
        <v>2222</v>
      </c>
      <c r="N392" s="89" t="s">
        <v>2223</v>
      </c>
      <c r="O392" s="89" t="s">
        <v>2224</v>
      </c>
      <c r="P392" t="s">
        <v>887</v>
      </c>
    </row>
    <row r="393" spans="12:16" ht="42" x14ac:dyDescent="0.35">
      <c r="L393" s="544">
        <v>217713</v>
      </c>
      <c r="M393" s="545" t="s">
        <v>2225</v>
      </c>
      <c r="N393" s="89" t="s">
        <v>2226</v>
      </c>
      <c r="O393" s="89" t="s">
        <v>2227</v>
      </c>
      <c r="P393" t="s">
        <v>887</v>
      </c>
    </row>
    <row r="394" spans="12:16" ht="28" x14ac:dyDescent="0.35">
      <c r="L394" s="544">
        <v>217722</v>
      </c>
      <c r="M394" s="545" t="s">
        <v>2228</v>
      </c>
      <c r="N394" s="89" t="s">
        <v>2229</v>
      </c>
      <c r="O394" s="89" t="s">
        <v>2230</v>
      </c>
      <c r="P394" t="s">
        <v>887</v>
      </c>
    </row>
    <row r="395" spans="12:16" ht="42" x14ac:dyDescent="0.35">
      <c r="L395" s="544">
        <v>217735</v>
      </c>
      <c r="M395" s="545" t="s">
        <v>2231</v>
      </c>
      <c r="N395" s="89" t="s">
        <v>2232</v>
      </c>
      <c r="O395" s="89" t="s">
        <v>2233</v>
      </c>
      <c r="P395" t="s">
        <v>887</v>
      </c>
    </row>
    <row r="396" spans="12:16" ht="56" x14ac:dyDescent="0.35">
      <c r="L396" s="544">
        <v>217736</v>
      </c>
      <c r="M396" s="545" t="s">
        <v>2234</v>
      </c>
      <c r="N396" s="89" t="s">
        <v>2235</v>
      </c>
      <c r="O396" s="89" t="s">
        <v>2236</v>
      </c>
      <c r="P396" t="s">
        <v>887</v>
      </c>
    </row>
    <row r="397" spans="12:16" ht="28" x14ac:dyDescent="0.35">
      <c r="L397" s="544">
        <v>217742</v>
      </c>
      <c r="M397" s="545" t="s">
        <v>2237</v>
      </c>
      <c r="N397" s="89" t="s">
        <v>2238</v>
      </c>
      <c r="O397" s="89" t="s">
        <v>2239</v>
      </c>
      <c r="P397" t="s">
        <v>887</v>
      </c>
    </row>
    <row r="398" spans="12:16" ht="28" x14ac:dyDescent="0.35">
      <c r="L398" s="544">
        <v>217752</v>
      </c>
      <c r="M398" s="545" t="s">
        <v>2240</v>
      </c>
      <c r="N398" s="89" t="s">
        <v>2241</v>
      </c>
      <c r="O398" s="89" t="s">
        <v>2242</v>
      </c>
      <c r="P398" t="s">
        <v>887</v>
      </c>
    </row>
    <row r="399" spans="12:16" ht="42" x14ac:dyDescent="0.35">
      <c r="L399" s="544">
        <v>217762</v>
      </c>
      <c r="M399" s="545" t="s">
        <v>2243</v>
      </c>
      <c r="N399" s="89" t="s">
        <v>2244</v>
      </c>
      <c r="O399" s="89" t="s">
        <v>2245</v>
      </c>
      <c r="P399" t="s">
        <v>887</v>
      </c>
    </row>
    <row r="400" spans="12:16" ht="56" x14ac:dyDescent="0.35">
      <c r="L400" s="544">
        <v>217812</v>
      </c>
      <c r="M400" s="545" t="s">
        <v>2246</v>
      </c>
      <c r="N400" s="89" t="s">
        <v>2247</v>
      </c>
      <c r="O400" s="89" t="s">
        <v>2248</v>
      </c>
      <c r="P400" t="s">
        <v>887</v>
      </c>
    </row>
    <row r="401" spans="12:16" ht="84" x14ac:dyDescent="0.35">
      <c r="L401" s="544">
        <v>218122</v>
      </c>
      <c r="M401" s="545" t="s">
        <v>2249</v>
      </c>
      <c r="N401" s="89" t="s">
        <v>2250</v>
      </c>
      <c r="O401" s="89" t="s">
        <v>2251</v>
      </c>
      <c r="P401" t="s">
        <v>887</v>
      </c>
    </row>
    <row r="402" spans="12:16" ht="84" x14ac:dyDescent="0.35">
      <c r="L402" s="544">
        <v>218123</v>
      </c>
      <c r="M402" s="545" t="s">
        <v>2252</v>
      </c>
      <c r="N402" s="89" t="s">
        <v>2253</v>
      </c>
      <c r="O402" s="89" t="s">
        <v>909</v>
      </c>
      <c r="P402" t="s">
        <v>887</v>
      </c>
    </row>
    <row r="403" spans="12:16" ht="28" x14ac:dyDescent="0.35">
      <c r="L403" s="544">
        <v>218299</v>
      </c>
      <c r="M403" s="545" t="s">
        <v>2254</v>
      </c>
      <c r="N403" s="89" t="s">
        <v>2255</v>
      </c>
      <c r="O403" s="89" t="s">
        <v>2256</v>
      </c>
      <c r="P403" t="s">
        <v>887</v>
      </c>
    </row>
    <row r="404" spans="12:16" ht="42" x14ac:dyDescent="0.35">
      <c r="L404" s="544">
        <v>218610</v>
      </c>
      <c r="M404" s="545" t="s">
        <v>2257</v>
      </c>
      <c r="N404" s="89" t="s">
        <v>2258</v>
      </c>
      <c r="O404" s="89" t="s">
        <v>909</v>
      </c>
      <c r="P404" t="s">
        <v>887</v>
      </c>
    </row>
    <row r="405" spans="12:16" ht="28" x14ac:dyDescent="0.35">
      <c r="L405" s="544">
        <v>218712</v>
      </c>
      <c r="M405" s="545" t="s">
        <v>2259</v>
      </c>
      <c r="N405" s="89" t="s">
        <v>2260</v>
      </c>
      <c r="O405" s="89" t="s">
        <v>2261</v>
      </c>
      <c r="P405" t="s">
        <v>887</v>
      </c>
    </row>
    <row r="406" spans="12:16" ht="56" x14ac:dyDescent="0.35">
      <c r="L406" s="544">
        <v>218827</v>
      </c>
      <c r="M406" s="545" t="s">
        <v>2262</v>
      </c>
      <c r="N406" s="89" t="s">
        <v>2263</v>
      </c>
      <c r="O406" s="89" t="s">
        <v>2264</v>
      </c>
      <c r="P406" t="s">
        <v>887</v>
      </c>
    </row>
    <row r="407" spans="12:16" ht="42" x14ac:dyDescent="0.35">
      <c r="L407" s="544">
        <v>218842</v>
      </c>
      <c r="M407" s="545" t="s">
        <v>2265</v>
      </c>
      <c r="N407" s="89" t="s">
        <v>2266</v>
      </c>
      <c r="O407" s="89" t="s">
        <v>2267</v>
      </c>
      <c r="P407" t="s">
        <v>887</v>
      </c>
    </row>
    <row r="408" spans="12:16" ht="98" x14ac:dyDescent="0.35">
      <c r="L408" s="544">
        <v>218852</v>
      </c>
      <c r="M408" s="545" t="s">
        <v>2268</v>
      </c>
      <c r="N408" s="89" t="s">
        <v>2269</v>
      </c>
      <c r="O408" s="89" t="s">
        <v>2270</v>
      </c>
      <c r="P408" t="s">
        <v>887</v>
      </c>
    </row>
    <row r="409" spans="12:16" ht="28" x14ac:dyDescent="0.35">
      <c r="L409" s="544">
        <v>218868</v>
      </c>
      <c r="M409" s="545" t="s">
        <v>2271</v>
      </c>
      <c r="N409" s="89" t="s">
        <v>2272</v>
      </c>
      <c r="O409" s="89" t="s">
        <v>2273</v>
      </c>
      <c r="P409" t="s">
        <v>887</v>
      </c>
    </row>
    <row r="410" spans="12:16" ht="28" x14ac:dyDescent="0.35">
      <c r="L410" s="544">
        <v>219943</v>
      </c>
      <c r="M410" s="545" t="s">
        <v>2274</v>
      </c>
      <c r="N410" s="89" t="s">
        <v>2275</v>
      </c>
      <c r="O410" s="89" t="s">
        <v>2276</v>
      </c>
      <c r="P410" t="s">
        <v>887</v>
      </c>
    </row>
    <row r="411" spans="12:16" ht="56" x14ac:dyDescent="0.35">
      <c r="L411" s="544">
        <v>219944</v>
      </c>
      <c r="M411" s="545" t="s">
        <v>2277</v>
      </c>
      <c r="N411" s="89" t="s">
        <v>2278</v>
      </c>
      <c r="O411" s="89" t="s">
        <v>2279</v>
      </c>
      <c r="P411" t="s">
        <v>887</v>
      </c>
    </row>
    <row r="412" spans="12:16" ht="28" x14ac:dyDescent="0.35">
      <c r="L412" s="544">
        <v>219945</v>
      </c>
      <c r="M412" s="545" t="s">
        <v>2280</v>
      </c>
      <c r="N412" s="89" t="s">
        <v>2281</v>
      </c>
      <c r="O412" s="89" t="s">
        <v>2282</v>
      </c>
      <c r="P412" t="s">
        <v>887</v>
      </c>
    </row>
    <row r="413" spans="12:16" ht="42" x14ac:dyDescent="0.35">
      <c r="L413" s="544">
        <v>219946</v>
      </c>
      <c r="M413" s="545" t="s">
        <v>2283</v>
      </c>
      <c r="N413" s="89" t="s">
        <v>2284</v>
      </c>
      <c r="O413" s="89" t="s">
        <v>2285</v>
      </c>
      <c r="P413" t="s">
        <v>887</v>
      </c>
    </row>
    <row r="414" spans="12:16" ht="42" x14ac:dyDescent="0.35">
      <c r="L414" s="544">
        <v>219947</v>
      </c>
      <c r="M414" s="545" t="s">
        <v>2286</v>
      </c>
      <c r="N414" s="89" t="s">
        <v>2287</v>
      </c>
      <c r="O414" s="89" t="s">
        <v>2288</v>
      </c>
      <c r="P414" t="s">
        <v>887</v>
      </c>
    </row>
    <row r="415" spans="12:16" ht="28" x14ac:dyDescent="0.35">
      <c r="L415" s="544">
        <v>221221</v>
      </c>
      <c r="M415" s="545" t="s">
        <v>2289</v>
      </c>
      <c r="N415" s="89" t="s">
        <v>2290</v>
      </c>
      <c r="O415" s="89" t="s">
        <v>2291</v>
      </c>
      <c r="P415" t="s">
        <v>887</v>
      </c>
    </row>
    <row r="416" spans="12:16" ht="42" x14ac:dyDescent="0.35">
      <c r="L416" s="544">
        <v>221222</v>
      </c>
      <c r="M416" s="545" t="s">
        <v>2292</v>
      </c>
      <c r="N416" s="89" t="s">
        <v>2293</v>
      </c>
      <c r="O416" s="89" t="s">
        <v>2294</v>
      </c>
      <c r="P416" t="s">
        <v>887</v>
      </c>
    </row>
    <row r="417" spans="12:16" ht="42" x14ac:dyDescent="0.35">
      <c r="L417" s="544">
        <v>222222</v>
      </c>
      <c r="M417" s="545" t="s">
        <v>2295</v>
      </c>
      <c r="N417" s="89" t="s">
        <v>2296</v>
      </c>
      <c r="O417" s="89" t="s">
        <v>2297</v>
      </c>
      <c r="P417" t="s">
        <v>887</v>
      </c>
    </row>
    <row r="418" spans="12:16" ht="42" x14ac:dyDescent="0.35">
      <c r="L418" s="544">
        <v>226226</v>
      </c>
      <c r="M418" s="545" t="s">
        <v>2298</v>
      </c>
      <c r="N418" s="89" t="s">
        <v>2299</v>
      </c>
      <c r="O418" s="89" t="s">
        <v>2300</v>
      </c>
      <c r="P418" t="s">
        <v>887</v>
      </c>
    </row>
    <row r="419" spans="12:16" ht="42" x14ac:dyDescent="0.35">
      <c r="L419" s="544">
        <v>227227</v>
      </c>
      <c r="M419" s="545" t="s">
        <v>2301</v>
      </c>
      <c r="N419" s="89" t="s">
        <v>2302</v>
      </c>
      <c r="O419" s="89" t="s">
        <v>2303</v>
      </c>
      <c r="P419" t="s">
        <v>887</v>
      </c>
    </row>
    <row r="420" spans="12:16" ht="28" x14ac:dyDescent="0.35">
      <c r="L420" s="544">
        <v>227228</v>
      </c>
      <c r="M420" s="545" t="s">
        <v>2304</v>
      </c>
      <c r="N420" s="89" t="s">
        <v>2305</v>
      </c>
      <c r="O420" s="89" t="s">
        <v>2306</v>
      </c>
      <c r="P420" t="s">
        <v>887</v>
      </c>
    </row>
    <row r="421" spans="12:16" ht="28" x14ac:dyDescent="0.35">
      <c r="L421" s="544">
        <v>228228</v>
      </c>
      <c r="M421" s="545" t="s">
        <v>2307</v>
      </c>
      <c r="N421" s="89" t="s">
        <v>2308</v>
      </c>
      <c r="O421" s="89" t="s">
        <v>2309</v>
      </c>
      <c r="P421" t="s">
        <v>887</v>
      </c>
    </row>
    <row r="422" spans="12:16" ht="28" x14ac:dyDescent="0.35">
      <c r="L422" s="544">
        <v>229982</v>
      </c>
      <c r="M422" s="545" t="s">
        <v>2310</v>
      </c>
      <c r="N422" s="89" t="s">
        <v>2311</v>
      </c>
      <c r="O422" s="89" t="s">
        <v>2312</v>
      </c>
      <c r="P422" t="s">
        <v>887</v>
      </c>
    </row>
    <row r="423" spans="12:16" ht="28" x14ac:dyDescent="0.35">
      <c r="L423" s="544">
        <v>229984</v>
      </c>
      <c r="M423" s="545" t="s">
        <v>2313</v>
      </c>
      <c r="N423" s="89" t="s">
        <v>2314</v>
      </c>
      <c r="O423" s="89" t="s">
        <v>2315</v>
      </c>
      <c r="P423" t="s">
        <v>887</v>
      </c>
    </row>
    <row r="424" spans="12:16" ht="28" x14ac:dyDescent="0.35">
      <c r="L424" s="544">
        <v>229986</v>
      </c>
      <c r="M424" s="545" t="s">
        <v>2316</v>
      </c>
      <c r="N424" s="89" t="s">
        <v>2317</v>
      </c>
      <c r="O424" s="89" t="s">
        <v>2318</v>
      </c>
      <c r="P424" t="s">
        <v>887</v>
      </c>
    </row>
    <row r="425" spans="12:16" ht="15.5" x14ac:dyDescent="0.35">
      <c r="L425" s="544">
        <v>229987</v>
      </c>
      <c r="M425" s="545" t="s">
        <v>2319</v>
      </c>
      <c r="N425" s="89" t="s">
        <v>2320</v>
      </c>
      <c r="O425" s="89" t="s">
        <v>2321</v>
      </c>
      <c r="P425" t="s">
        <v>887</v>
      </c>
    </row>
    <row r="426" spans="12:16" ht="42" x14ac:dyDescent="0.35">
      <c r="L426" s="544">
        <v>310630</v>
      </c>
      <c r="M426" s="545" t="s">
        <v>2322</v>
      </c>
      <c r="N426" s="89" t="s">
        <v>2323</v>
      </c>
      <c r="O426" s="89" t="s">
        <v>909</v>
      </c>
      <c r="P426" t="s">
        <v>887</v>
      </c>
    </row>
    <row r="427" spans="12:16" ht="42" x14ac:dyDescent="0.35">
      <c r="L427" s="544">
        <v>310911</v>
      </c>
      <c r="M427" s="545" t="s">
        <v>2324</v>
      </c>
      <c r="N427" s="89" t="s">
        <v>2325</v>
      </c>
      <c r="O427" s="89" t="s">
        <v>2326</v>
      </c>
      <c r="P427" t="s">
        <v>887</v>
      </c>
    </row>
    <row r="428" spans="12:16" ht="28" x14ac:dyDescent="0.35">
      <c r="L428" s="544">
        <v>310912</v>
      </c>
      <c r="M428" s="545" t="s">
        <v>2327</v>
      </c>
      <c r="N428" s="89" t="s">
        <v>2328</v>
      </c>
      <c r="O428" s="89" t="s">
        <v>2329</v>
      </c>
      <c r="P428" t="s">
        <v>887</v>
      </c>
    </row>
    <row r="429" spans="12:16" ht="28" x14ac:dyDescent="0.35">
      <c r="L429" s="544">
        <v>310913</v>
      </c>
      <c r="M429" s="545" t="s">
        <v>2330</v>
      </c>
      <c r="N429" s="89" t="s">
        <v>2331</v>
      </c>
      <c r="O429" s="89" t="s">
        <v>2332</v>
      </c>
      <c r="P429" t="s">
        <v>887</v>
      </c>
    </row>
    <row r="430" spans="12:16" ht="42" x14ac:dyDescent="0.35">
      <c r="L430" s="544">
        <v>310914</v>
      </c>
      <c r="M430" s="545" t="s">
        <v>2333</v>
      </c>
      <c r="N430" s="89" t="s">
        <v>2334</v>
      </c>
      <c r="O430" s="89" t="s">
        <v>2335</v>
      </c>
      <c r="P430" t="s">
        <v>887</v>
      </c>
    </row>
    <row r="431" spans="12:16" ht="56" x14ac:dyDescent="0.35">
      <c r="L431" s="544">
        <v>310915</v>
      </c>
      <c r="M431" s="545" t="s">
        <v>2336</v>
      </c>
      <c r="N431" s="89" t="s">
        <v>2337</v>
      </c>
      <c r="O431" s="89" t="s">
        <v>2338</v>
      </c>
      <c r="P431" t="s">
        <v>887</v>
      </c>
    </row>
    <row r="432" spans="12:16" ht="56" x14ac:dyDescent="0.35">
      <c r="L432" s="544">
        <v>310916</v>
      </c>
      <c r="M432" s="545" t="s">
        <v>2339</v>
      </c>
      <c r="N432" s="89" t="s">
        <v>2340</v>
      </c>
      <c r="O432" s="89" t="s">
        <v>2341</v>
      </c>
      <c r="P432" t="s">
        <v>887</v>
      </c>
    </row>
    <row r="433" spans="12:16" ht="42" x14ac:dyDescent="0.35">
      <c r="L433" s="544">
        <v>310917</v>
      </c>
      <c r="M433" s="545" t="s">
        <v>2342</v>
      </c>
      <c r="N433" s="89" t="s">
        <v>2343</v>
      </c>
      <c r="O433" s="89" t="s">
        <v>2344</v>
      </c>
      <c r="P433" t="s">
        <v>887</v>
      </c>
    </row>
    <row r="434" spans="12:16" ht="28" x14ac:dyDescent="0.35">
      <c r="L434" s="544">
        <v>310919</v>
      </c>
      <c r="M434" s="545" t="s">
        <v>2345</v>
      </c>
      <c r="N434" s="89" t="s">
        <v>2346</v>
      </c>
      <c r="O434" s="89" t="s">
        <v>2347</v>
      </c>
      <c r="P434" t="s">
        <v>887</v>
      </c>
    </row>
    <row r="435" spans="12:16" ht="56" x14ac:dyDescent="0.35">
      <c r="L435" s="544">
        <v>310921</v>
      </c>
      <c r="M435" s="545" t="s">
        <v>2348</v>
      </c>
      <c r="N435" s="89" t="s">
        <v>2349</v>
      </c>
      <c r="O435" s="89" t="s">
        <v>2350</v>
      </c>
      <c r="P435" t="s">
        <v>887</v>
      </c>
    </row>
    <row r="436" spans="12:16" ht="28" x14ac:dyDescent="0.35">
      <c r="L436" s="544">
        <v>310922</v>
      </c>
      <c r="M436" s="545" t="s">
        <v>2351</v>
      </c>
      <c r="N436" s="89" t="s">
        <v>2352</v>
      </c>
      <c r="O436" s="89" t="s">
        <v>2353</v>
      </c>
      <c r="P436" t="s">
        <v>887</v>
      </c>
    </row>
    <row r="437" spans="12:16" ht="56" x14ac:dyDescent="0.35">
      <c r="L437" s="544">
        <v>310923</v>
      </c>
      <c r="M437" s="545" t="s">
        <v>2354</v>
      </c>
      <c r="N437" s="89" t="s">
        <v>2355</v>
      </c>
      <c r="O437" s="89" t="s">
        <v>2356</v>
      </c>
      <c r="P437" t="s">
        <v>887</v>
      </c>
    </row>
    <row r="438" spans="12:16" ht="42" x14ac:dyDescent="0.35">
      <c r="L438" s="544">
        <v>310924</v>
      </c>
      <c r="M438" s="545" t="s">
        <v>2357</v>
      </c>
      <c r="N438" s="89" t="s">
        <v>2358</v>
      </c>
      <c r="O438" s="89" t="s">
        <v>2359</v>
      </c>
      <c r="P438" t="s">
        <v>887</v>
      </c>
    </row>
    <row r="439" spans="12:16" ht="56" x14ac:dyDescent="0.35">
      <c r="L439" s="544">
        <v>310925</v>
      </c>
      <c r="M439" s="545" t="s">
        <v>2360</v>
      </c>
      <c r="N439" s="89" t="s">
        <v>2361</v>
      </c>
      <c r="O439" s="89" t="s">
        <v>2362</v>
      </c>
      <c r="P439" t="s">
        <v>887</v>
      </c>
    </row>
    <row r="440" spans="12:16" ht="28" x14ac:dyDescent="0.35">
      <c r="L440" s="544">
        <v>310926</v>
      </c>
      <c r="M440" s="545" t="s">
        <v>2363</v>
      </c>
      <c r="N440" s="89" t="s">
        <v>2364</v>
      </c>
      <c r="O440" s="89" t="s">
        <v>2365</v>
      </c>
      <c r="P440" t="s">
        <v>887</v>
      </c>
    </row>
    <row r="441" spans="12:16" ht="42" x14ac:dyDescent="0.35">
      <c r="L441" s="544">
        <v>310927</v>
      </c>
      <c r="M441" s="545" t="s">
        <v>2366</v>
      </c>
      <c r="N441" s="89" t="s">
        <v>2367</v>
      </c>
      <c r="O441" s="89" t="s">
        <v>2368</v>
      </c>
      <c r="P441" t="s">
        <v>887</v>
      </c>
    </row>
    <row r="442" spans="12:16" ht="42" x14ac:dyDescent="0.35">
      <c r="L442" s="544">
        <v>310928</v>
      </c>
      <c r="M442" s="545" t="s">
        <v>2369</v>
      </c>
      <c r="N442" s="89" t="s">
        <v>2370</v>
      </c>
      <c r="O442" s="89" t="s">
        <v>2371</v>
      </c>
      <c r="P442" t="s">
        <v>887</v>
      </c>
    </row>
    <row r="443" spans="12:16" ht="70" x14ac:dyDescent="0.35">
      <c r="L443" s="544">
        <v>310929</v>
      </c>
      <c r="M443" s="545" t="s">
        <v>2372</v>
      </c>
      <c r="N443" s="89" t="s">
        <v>2373</v>
      </c>
      <c r="O443" s="89" t="s">
        <v>2374</v>
      </c>
      <c r="P443" t="s">
        <v>887</v>
      </c>
    </row>
    <row r="444" spans="12:16" ht="70" x14ac:dyDescent="0.35">
      <c r="L444" s="544">
        <v>310931</v>
      </c>
      <c r="M444" s="545" t="s">
        <v>2375</v>
      </c>
      <c r="N444" s="89" t="s">
        <v>2376</v>
      </c>
      <c r="O444" s="89" t="s">
        <v>2377</v>
      </c>
      <c r="P444" t="s">
        <v>887</v>
      </c>
    </row>
    <row r="445" spans="12:16" ht="56" x14ac:dyDescent="0.35">
      <c r="L445" s="544">
        <v>310932</v>
      </c>
      <c r="M445" s="545" t="s">
        <v>2378</v>
      </c>
      <c r="N445" s="89" t="s">
        <v>2379</v>
      </c>
      <c r="O445" s="89" t="s">
        <v>2380</v>
      </c>
      <c r="P445" t="s">
        <v>887</v>
      </c>
    </row>
    <row r="446" spans="12:16" ht="56" x14ac:dyDescent="0.35">
      <c r="L446" s="544">
        <v>310933</v>
      </c>
      <c r="M446" s="545" t="s">
        <v>2381</v>
      </c>
      <c r="N446" s="89" t="s">
        <v>2382</v>
      </c>
      <c r="O446" s="89" t="s">
        <v>2383</v>
      </c>
      <c r="P446" t="s">
        <v>887</v>
      </c>
    </row>
    <row r="447" spans="12:16" ht="28" x14ac:dyDescent="0.35">
      <c r="L447" s="544">
        <v>310943</v>
      </c>
      <c r="M447" s="545" t="s">
        <v>2384</v>
      </c>
      <c r="N447" s="89" t="s">
        <v>2385</v>
      </c>
      <c r="O447" s="89" t="s">
        <v>2386</v>
      </c>
      <c r="P447" t="s">
        <v>887</v>
      </c>
    </row>
    <row r="448" spans="12:16" ht="28" x14ac:dyDescent="0.35">
      <c r="L448" s="544">
        <v>311114</v>
      </c>
      <c r="M448" s="545" t="s">
        <v>2387</v>
      </c>
      <c r="N448" s="89" t="s">
        <v>2388</v>
      </c>
      <c r="O448" s="89" t="s">
        <v>2389</v>
      </c>
      <c r="P448" t="s">
        <v>887</v>
      </c>
    </row>
    <row r="449" spans="12:16" ht="28" x14ac:dyDescent="0.35">
      <c r="L449" s="544">
        <v>311115</v>
      </c>
      <c r="M449" s="545" t="s">
        <v>2390</v>
      </c>
      <c r="N449" s="89" t="s">
        <v>2391</v>
      </c>
      <c r="O449" s="89" t="s">
        <v>2392</v>
      </c>
      <c r="P449" t="s">
        <v>887</v>
      </c>
    </row>
    <row r="450" spans="12:16" ht="28" x14ac:dyDescent="0.35">
      <c r="L450" s="544">
        <v>311171</v>
      </c>
      <c r="M450" s="545" t="s">
        <v>2393</v>
      </c>
      <c r="N450" s="89" t="s">
        <v>2394</v>
      </c>
      <c r="O450" s="89" t="s">
        <v>2395</v>
      </c>
      <c r="P450" t="s">
        <v>887</v>
      </c>
    </row>
    <row r="451" spans="12:16" ht="28" x14ac:dyDescent="0.35">
      <c r="L451" s="544">
        <v>311173</v>
      </c>
      <c r="M451" s="545" t="s">
        <v>2396</v>
      </c>
      <c r="N451" s="89" t="s">
        <v>2397</v>
      </c>
      <c r="O451" s="89" t="s">
        <v>2398</v>
      </c>
      <c r="P451" t="s">
        <v>887</v>
      </c>
    </row>
    <row r="452" spans="12:16" ht="56" x14ac:dyDescent="0.35">
      <c r="L452" s="544">
        <v>311174</v>
      </c>
      <c r="M452" s="545" t="s">
        <v>2399</v>
      </c>
      <c r="N452" s="89" t="s">
        <v>2400</v>
      </c>
      <c r="O452" s="89" t="s">
        <v>2401</v>
      </c>
      <c r="P452" t="s">
        <v>887</v>
      </c>
    </row>
    <row r="453" spans="12:16" ht="70" x14ac:dyDescent="0.35">
      <c r="L453" s="544">
        <v>312472</v>
      </c>
      <c r="M453" s="545" t="s">
        <v>2402</v>
      </c>
      <c r="N453" s="89" t="s">
        <v>2403</v>
      </c>
      <c r="O453" s="89" t="s">
        <v>2404</v>
      </c>
      <c r="P453" t="s">
        <v>887</v>
      </c>
    </row>
    <row r="454" spans="12:16" ht="56" x14ac:dyDescent="0.35">
      <c r="L454" s="544">
        <v>312476</v>
      </c>
      <c r="M454" s="545" t="s">
        <v>2405</v>
      </c>
      <c r="N454" s="89" t="s">
        <v>2406</v>
      </c>
      <c r="O454" s="89" t="s">
        <v>2407</v>
      </c>
      <c r="P454" t="s">
        <v>887</v>
      </c>
    </row>
    <row r="455" spans="12:16" ht="70" x14ac:dyDescent="0.35">
      <c r="L455" s="544">
        <v>312477</v>
      </c>
      <c r="M455" s="545" t="s">
        <v>2408</v>
      </c>
      <c r="N455" s="89" t="s">
        <v>2409</v>
      </c>
      <c r="O455" s="89" t="s">
        <v>2410</v>
      </c>
      <c r="P455" t="s">
        <v>887</v>
      </c>
    </row>
    <row r="456" spans="12:16" ht="28" x14ac:dyDescent="0.35">
      <c r="L456" s="544">
        <v>312941</v>
      </c>
      <c r="M456" s="545" t="s">
        <v>2411</v>
      </c>
      <c r="N456" s="89" t="s">
        <v>2412</v>
      </c>
      <c r="O456" s="89" t="s">
        <v>2413</v>
      </c>
      <c r="P456" t="s">
        <v>887</v>
      </c>
    </row>
    <row r="457" spans="12:16" ht="56" x14ac:dyDescent="0.35">
      <c r="L457" s="544">
        <v>315222</v>
      </c>
      <c r="M457" s="545" t="s">
        <v>2414</v>
      </c>
      <c r="N457" s="89" t="s">
        <v>2415</v>
      </c>
      <c r="O457" s="89" t="s">
        <v>2416</v>
      </c>
      <c r="P457" t="s">
        <v>887</v>
      </c>
    </row>
    <row r="458" spans="12:16" ht="56" x14ac:dyDescent="0.35">
      <c r="L458" s="544">
        <v>315236</v>
      </c>
      <c r="M458" s="545" t="s">
        <v>2417</v>
      </c>
      <c r="N458" s="89" t="s">
        <v>2418</v>
      </c>
      <c r="O458" s="89" t="s">
        <v>2419</v>
      </c>
      <c r="P458" t="s">
        <v>887</v>
      </c>
    </row>
    <row r="459" spans="12:16" ht="56" x14ac:dyDescent="0.35">
      <c r="L459" s="544">
        <v>315237</v>
      </c>
      <c r="M459" s="545" t="s">
        <v>2420</v>
      </c>
      <c r="N459" s="89" t="s">
        <v>2421</v>
      </c>
      <c r="O459" s="89" t="s">
        <v>2422</v>
      </c>
      <c r="P459" t="s">
        <v>887</v>
      </c>
    </row>
    <row r="460" spans="12:16" ht="28" x14ac:dyDescent="0.35">
      <c r="L460" s="544">
        <v>315944</v>
      </c>
      <c r="M460" s="545" t="s">
        <v>2423</v>
      </c>
      <c r="N460" s="89" t="s">
        <v>2424</v>
      </c>
      <c r="O460" s="89" t="s">
        <v>2425</v>
      </c>
      <c r="P460" t="s">
        <v>887</v>
      </c>
    </row>
    <row r="461" spans="12:16" ht="56" x14ac:dyDescent="0.35">
      <c r="L461" s="544">
        <v>316333</v>
      </c>
      <c r="M461" s="545" t="s">
        <v>2426</v>
      </c>
      <c r="N461" s="89" t="s">
        <v>2427</v>
      </c>
      <c r="O461" s="89" t="s">
        <v>2428</v>
      </c>
      <c r="P461" t="s">
        <v>887</v>
      </c>
    </row>
    <row r="462" spans="12:16" ht="28" x14ac:dyDescent="0.35">
      <c r="L462" s="544">
        <v>317311</v>
      </c>
      <c r="M462" s="545" t="s">
        <v>2429</v>
      </c>
      <c r="N462" s="89" t="s">
        <v>2430</v>
      </c>
      <c r="O462" s="89" t="s">
        <v>2431</v>
      </c>
      <c r="P462" t="s">
        <v>887</v>
      </c>
    </row>
    <row r="463" spans="12:16" ht="42" x14ac:dyDescent="0.35">
      <c r="L463" s="544">
        <v>317315</v>
      </c>
      <c r="M463" s="545" t="s">
        <v>2432</v>
      </c>
      <c r="N463" s="89" t="s">
        <v>2433</v>
      </c>
      <c r="O463" s="89" t="s">
        <v>2434</v>
      </c>
      <c r="P463" t="s">
        <v>887</v>
      </c>
    </row>
    <row r="464" spans="12:16" ht="42" x14ac:dyDescent="0.35">
      <c r="L464" s="544">
        <v>317316</v>
      </c>
      <c r="M464" s="545" t="s">
        <v>2435</v>
      </c>
      <c r="N464" s="89" t="s">
        <v>2436</v>
      </c>
      <c r="O464" s="89" t="s">
        <v>2437</v>
      </c>
      <c r="P464" t="s">
        <v>887</v>
      </c>
    </row>
    <row r="465" spans="12:16" ht="28" x14ac:dyDescent="0.35">
      <c r="L465" s="544">
        <v>317932</v>
      </c>
      <c r="M465" s="545" t="s">
        <v>2438</v>
      </c>
      <c r="N465" s="89" t="s">
        <v>2439</v>
      </c>
      <c r="O465" s="89" t="s">
        <v>2440</v>
      </c>
      <c r="P465" t="s">
        <v>887</v>
      </c>
    </row>
    <row r="466" spans="12:16" ht="28" x14ac:dyDescent="0.35">
      <c r="L466" s="544">
        <v>318612</v>
      </c>
      <c r="M466" s="545" t="s">
        <v>2441</v>
      </c>
      <c r="N466" s="89" t="s">
        <v>2442</v>
      </c>
      <c r="O466" s="89" t="s">
        <v>2443</v>
      </c>
      <c r="P466" t="s">
        <v>887</v>
      </c>
    </row>
    <row r="467" spans="12:16" ht="56" x14ac:dyDescent="0.35">
      <c r="L467" s="544">
        <v>318614</v>
      </c>
      <c r="M467" s="545" t="s">
        <v>2444</v>
      </c>
      <c r="N467" s="89" t="s">
        <v>2445</v>
      </c>
      <c r="O467" s="89" t="s">
        <v>2446</v>
      </c>
      <c r="P467" t="s">
        <v>887</v>
      </c>
    </row>
    <row r="468" spans="12:16" ht="28" x14ac:dyDescent="0.35">
      <c r="L468" s="544">
        <v>318615</v>
      </c>
      <c r="M468" s="545" t="s">
        <v>2447</v>
      </c>
      <c r="N468" s="89" t="s">
        <v>2448</v>
      </c>
      <c r="O468" s="89" t="s">
        <v>2449</v>
      </c>
      <c r="P468" t="s">
        <v>887</v>
      </c>
    </row>
    <row r="469" spans="12:16" ht="56" x14ac:dyDescent="0.35">
      <c r="L469" s="544">
        <v>318632</v>
      </c>
      <c r="M469" s="545" t="s">
        <v>2450</v>
      </c>
      <c r="N469" s="89" t="s">
        <v>2451</v>
      </c>
      <c r="O469" s="89" t="s">
        <v>2452</v>
      </c>
      <c r="P469" t="s">
        <v>887</v>
      </c>
    </row>
    <row r="470" spans="12:16" ht="28" x14ac:dyDescent="0.35">
      <c r="L470" s="544">
        <v>319150</v>
      </c>
      <c r="M470" s="545" t="s">
        <v>2453</v>
      </c>
      <c r="N470" s="89" t="s">
        <v>2454</v>
      </c>
      <c r="O470" s="89" t="s">
        <v>909</v>
      </c>
      <c r="P470" t="s">
        <v>887</v>
      </c>
    </row>
    <row r="471" spans="12:16" ht="28" x14ac:dyDescent="0.35">
      <c r="L471" s="544">
        <v>319441</v>
      </c>
      <c r="M471" s="545" t="s">
        <v>2455</v>
      </c>
      <c r="N471" s="89" t="s">
        <v>2456</v>
      </c>
      <c r="O471" s="89" t="s">
        <v>2457</v>
      </c>
      <c r="P471" t="s">
        <v>887</v>
      </c>
    </row>
    <row r="472" spans="12:16" ht="28" x14ac:dyDescent="0.35">
      <c r="L472" s="544">
        <v>319442</v>
      </c>
      <c r="M472" s="545" t="s">
        <v>2458</v>
      </c>
      <c r="N472" s="89" t="s">
        <v>2459</v>
      </c>
      <c r="O472" s="89" t="s">
        <v>2460</v>
      </c>
      <c r="P472" t="s">
        <v>887</v>
      </c>
    </row>
    <row r="473" spans="12:16" ht="42" x14ac:dyDescent="0.35">
      <c r="L473" s="544">
        <v>319443</v>
      </c>
      <c r="M473" s="545" t="s">
        <v>2461</v>
      </c>
      <c r="N473" s="89" t="s">
        <v>2462</v>
      </c>
      <c r="O473" s="89" t="s">
        <v>2463</v>
      </c>
      <c r="P473" t="s">
        <v>887</v>
      </c>
    </row>
    <row r="474" spans="12:16" ht="28" x14ac:dyDescent="0.35">
      <c r="L474" s="544">
        <v>319946</v>
      </c>
      <c r="M474" s="545" t="s">
        <v>2464</v>
      </c>
      <c r="N474" s="89" t="s">
        <v>2465</v>
      </c>
      <c r="O474" s="89" t="s">
        <v>2466</v>
      </c>
      <c r="P474" t="s">
        <v>887</v>
      </c>
    </row>
    <row r="475" spans="12:16" ht="42" x14ac:dyDescent="0.35">
      <c r="L475" s="544">
        <v>319951</v>
      </c>
      <c r="M475" s="545" t="s">
        <v>2467</v>
      </c>
      <c r="N475" s="89" t="s">
        <v>2468</v>
      </c>
      <c r="O475" s="89" t="s">
        <v>2469</v>
      </c>
      <c r="P475" t="s">
        <v>887</v>
      </c>
    </row>
    <row r="476" spans="12:16" ht="56" x14ac:dyDescent="0.35">
      <c r="L476" s="544">
        <v>319995</v>
      </c>
      <c r="M476" s="545" t="s">
        <v>2470</v>
      </c>
      <c r="N476" s="89" t="s">
        <v>2471</v>
      </c>
      <c r="O476" s="89" t="s">
        <v>2472</v>
      </c>
      <c r="P476" t="s">
        <v>887</v>
      </c>
    </row>
    <row r="477" spans="12:16" ht="56" x14ac:dyDescent="0.35">
      <c r="L477" s="544">
        <v>321123</v>
      </c>
      <c r="M477" s="545" t="s">
        <v>2473</v>
      </c>
      <c r="N477" s="89" t="s">
        <v>2474</v>
      </c>
      <c r="O477" s="89" t="s">
        <v>2475</v>
      </c>
      <c r="P477" t="s">
        <v>887</v>
      </c>
    </row>
    <row r="478" spans="12:16" ht="98" x14ac:dyDescent="0.35">
      <c r="L478" s="547">
        <v>371100</v>
      </c>
      <c r="M478" s="545" t="s">
        <v>2476</v>
      </c>
      <c r="N478" s="89" t="s">
        <v>2477</v>
      </c>
      <c r="O478" s="89" t="s">
        <v>909</v>
      </c>
      <c r="P478" t="s">
        <v>887</v>
      </c>
    </row>
    <row r="479" spans="12:16" ht="42" x14ac:dyDescent="0.35">
      <c r="L479" s="544">
        <v>371475</v>
      </c>
      <c r="M479" s="545" t="s">
        <v>2478</v>
      </c>
      <c r="N479" s="89" t="s">
        <v>2479</v>
      </c>
      <c r="O479" s="89" t="s">
        <v>2480</v>
      </c>
      <c r="P479" t="s">
        <v>887</v>
      </c>
    </row>
    <row r="480" spans="12:16" ht="15.5" x14ac:dyDescent="0.35">
      <c r="L480" s="544">
        <v>371484</v>
      </c>
      <c r="M480" s="545" t="s">
        <v>2481</v>
      </c>
      <c r="N480" s="89" t="s">
        <v>2482</v>
      </c>
      <c r="O480" s="89" t="s">
        <v>2483</v>
      </c>
      <c r="P480" t="s">
        <v>887</v>
      </c>
    </row>
    <row r="481" spans="12:16" ht="28" x14ac:dyDescent="0.35">
      <c r="L481" s="544">
        <v>371485</v>
      </c>
      <c r="M481" s="545" t="s">
        <v>2484</v>
      </c>
      <c r="N481" s="89" t="s">
        <v>2485</v>
      </c>
      <c r="O481" s="89" t="s">
        <v>2486</v>
      </c>
      <c r="P481" t="s">
        <v>887</v>
      </c>
    </row>
    <row r="482" spans="12:16" ht="42" x14ac:dyDescent="0.35">
      <c r="L482" s="544">
        <v>371486</v>
      </c>
      <c r="M482" s="545" t="s">
        <v>2487</v>
      </c>
      <c r="N482" s="89" t="s">
        <v>2488</v>
      </c>
      <c r="O482" s="89" t="s">
        <v>2489</v>
      </c>
      <c r="P482" t="s">
        <v>887</v>
      </c>
    </row>
    <row r="483" spans="12:16" ht="42" x14ac:dyDescent="0.35">
      <c r="L483" s="544">
        <v>371923</v>
      </c>
      <c r="M483" s="545" t="s">
        <v>2490</v>
      </c>
      <c r="N483" s="89" t="s">
        <v>2491</v>
      </c>
      <c r="O483" s="89" t="s">
        <v>2492</v>
      </c>
      <c r="P483" t="s">
        <v>887</v>
      </c>
    </row>
    <row r="484" spans="12:16" ht="28" x14ac:dyDescent="0.35">
      <c r="L484" s="544">
        <v>390125</v>
      </c>
      <c r="M484" s="545" t="s">
        <v>2493</v>
      </c>
      <c r="N484" s="89" t="s">
        <v>2494</v>
      </c>
      <c r="O484" s="89" t="s">
        <v>2495</v>
      </c>
      <c r="P484" t="s">
        <v>887</v>
      </c>
    </row>
    <row r="485" spans="12:16" ht="56" x14ac:dyDescent="0.35">
      <c r="L485" s="544">
        <v>390127</v>
      </c>
      <c r="M485" s="545" t="s">
        <v>2496</v>
      </c>
      <c r="N485" s="89" t="s">
        <v>2497</v>
      </c>
      <c r="O485" s="89" t="s">
        <v>2498</v>
      </c>
      <c r="P485" t="s">
        <v>887</v>
      </c>
    </row>
    <row r="486" spans="12:16" ht="28" x14ac:dyDescent="0.35">
      <c r="L486" s="544">
        <v>390128</v>
      </c>
      <c r="M486" s="545" t="s">
        <v>2499</v>
      </c>
      <c r="N486" s="89" t="s">
        <v>2500</v>
      </c>
      <c r="O486" s="89" t="s">
        <v>2501</v>
      </c>
      <c r="P486" t="s">
        <v>887</v>
      </c>
    </row>
    <row r="487" spans="12:16" ht="28" x14ac:dyDescent="0.35">
      <c r="L487" s="544">
        <v>390129</v>
      </c>
      <c r="M487" s="545" t="s">
        <v>2502</v>
      </c>
      <c r="N487" s="89" t="s">
        <v>2503</v>
      </c>
      <c r="O487" s="89" t="s">
        <v>2504</v>
      </c>
      <c r="P487" t="s">
        <v>887</v>
      </c>
    </row>
    <row r="488" spans="12:16" ht="112" x14ac:dyDescent="0.35">
      <c r="L488" s="547">
        <v>390130</v>
      </c>
      <c r="M488" s="545" t="s">
        <v>2505</v>
      </c>
      <c r="N488" s="89" t="s">
        <v>2506</v>
      </c>
      <c r="O488" s="89" t="s">
        <v>909</v>
      </c>
      <c r="P488" t="s">
        <v>887</v>
      </c>
    </row>
    <row r="489" spans="12:16" ht="42" x14ac:dyDescent="0.35">
      <c r="L489" s="544">
        <v>390157</v>
      </c>
      <c r="M489" s="545" t="s">
        <v>2507</v>
      </c>
      <c r="N489" s="89" t="s">
        <v>2508</v>
      </c>
      <c r="O489" s="89" t="s">
        <v>2509</v>
      </c>
      <c r="P489" t="s">
        <v>887</v>
      </c>
    </row>
    <row r="490" spans="12:16" ht="28" x14ac:dyDescent="0.35">
      <c r="L490" s="544">
        <v>390171</v>
      </c>
      <c r="M490" s="545" t="s">
        <v>2510</v>
      </c>
      <c r="N490" s="89" t="s">
        <v>2511</v>
      </c>
      <c r="O490" s="89" t="s">
        <v>2512</v>
      </c>
      <c r="P490" t="s">
        <v>887</v>
      </c>
    </row>
    <row r="491" spans="12:16" ht="42" x14ac:dyDescent="0.35">
      <c r="L491" s="544">
        <v>390222</v>
      </c>
      <c r="M491" s="545" t="s">
        <v>2513</v>
      </c>
      <c r="N491" s="89" t="s">
        <v>2514</v>
      </c>
      <c r="O491" s="89" t="s">
        <v>2515</v>
      </c>
      <c r="P491" t="s">
        <v>887</v>
      </c>
    </row>
    <row r="492" spans="12:16" ht="42" x14ac:dyDescent="0.35">
      <c r="L492" s="544">
        <v>390224</v>
      </c>
      <c r="M492" s="545" t="s">
        <v>2516</v>
      </c>
      <c r="N492" s="89" t="s">
        <v>2517</v>
      </c>
      <c r="O492" s="89" t="s">
        <v>2518</v>
      </c>
      <c r="P492" t="s">
        <v>887</v>
      </c>
    </row>
    <row r="493" spans="12:16" ht="42" x14ac:dyDescent="0.35">
      <c r="L493" s="544">
        <v>390311</v>
      </c>
      <c r="M493" s="545" t="s">
        <v>2519</v>
      </c>
      <c r="N493" s="89" t="s">
        <v>2520</v>
      </c>
      <c r="O493" s="89" t="s">
        <v>2521</v>
      </c>
      <c r="P493" t="s">
        <v>887</v>
      </c>
    </row>
    <row r="494" spans="12:16" ht="28" x14ac:dyDescent="0.35">
      <c r="L494" s="544">
        <v>390381</v>
      </c>
      <c r="M494" s="545" t="s">
        <v>2522</v>
      </c>
      <c r="N494" s="89" t="s">
        <v>2523</v>
      </c>
      <c r="O494" s="89" t="s">
        <v>2524</v>
      </c>
      <c r="P494" t="s">
        <v>887</v>
      </c>
    </row>
    <row r="495" spans="12:16" ht="28" x14ac:dyDescent="0.35">
      <c r="L495" s="544">
        <v>390531</v>
      </c>
      <c r="M495" s="545" t="s">
        <v>2525</v>
      </c>
      <c r="N495" s="89" t="s">
        <v>2526</v>
      </c>
      <c r="O495" s="89" t="s">
        <v>2527</v>
      </c>
      <c r="P495" t="s">
        <v>887</v>
      </c>
    </row>
    <row r="496" spans="12:16" ht="28" x14ac:dyDescent="0.35">
      <c r="L496" s="544">
        <v>390551</v>
      </c>
      <c r="M496" s="545" t="s">
        <v>2528</v>
      </c>
      <c r="N496" s="89" t="s">
        <v>2529</v>
      </c>
      <c r="O496" s="89" t="s">
        <v>2530</v>
      </c>
      <c r="P496" t="s">
        <v>887</v>
      </c>
    </row>
    <row r="497" spans="12:16" ht="28" x14ac:dyDescent="0.35">
      <c r="L497" s="544">
        <v>390562</v>
      </c>
      <c r="M497" s="545" t="s">
        <v>2531</v>
      </c>
      <c r="N497" s="89" t="s">
        <v>2532</v>
      </c>
      <c r="O497" s="89" t="s">
        <v>2533</v>
      </c>
      <c r="P497" t="s">
        <v>887</v>
      </c>
    </row>
    <row r="498" spans="12:16" ht="56" x14ac:dyDescent="0.35">
      <c r="L498" s="547">
        <v>390598</v>
      </c>
      <c r="M498" s="545" t="s">
        <v>2534</v>
      </c>
      <c r="N498" s="89" t="s">
        <v>2535</v>
      </c>
      <c r="O498" s="89" t="s">
        <v>909</v>
      </c>
      <c r="P498" t="s">
        <v>887</v>
      </c>
    </row>
    <row r="499" spans="12:16" ht="56" x14ac:dyDescent="0.35">
      <c r="L499" s="544">
        <v>390611</v>
      </c>
      <c r="M499" s="545" t="s">
        <v>2536</v>
      </c>
      <c r="N499" s="89" t="s">
        <v>2537</v>
      </c>
      <c r="O499" s="89" t="s">
        <v>2538</v>
      </c>
      <c r="P499" t="s">
        <v>887</v>
      </c>
    </row>
    <row r="500" spans="12:16" ht="56" x14ac:dyDescent="0.35">
      <c r="L500" s="544">
        <v>390612</v>
      </c>
      <c r="M500" s="545" t="s">
        <v>2539</v>
      </c>
      <c r="N500" s="89" t="s">
        <v>2540</v>
      </c>
      <c r="O500" s="89" t="s">
        <v>2541</v>
      </c>
      <c r="P500" t="s">
        <v>887</v>
      </c>
    </row>
    <row r="501" spans="12:16" ht="42" x14ac:dyDescent="0.35">
      <c r="L501" s="544">
        <v>390614</v>
      </c>
      <c r="M501" s="545" t="s">
        <v>2542</v>
      </c>
      <c r="N501" s="89" t="s">
        <v>2543</v>
      </c>
      <c r="O501" s="89" t="s">
        <v>2544</v>
      </c>
      <c r="P501" t="s">
        <v>887</v>
      </c>
    </row>
    <row r="502" spans="12:16" ht="42" x14ac:dyDescent="0.35">
      <c r="L502" s="544">
        <v>390719</v>
      </c>
      <c r="M502" s="545" t="s">
        <v>2545</v>
      </c>
      <c r="N502" s="89" t="s">
        <v>2546</v>
      </c>
      <c r="O502" s="89" t="s">
        <v>2547</v>
      </c>
      <c r="P502" t="s">
        <v>887</v>
      </c>
    </row>
    <row r="503" spans="12:16" ht="28" x14ac:dyDescent="0.35">
      <c r="L503" s="544">
        <v>390915</v>
      </c>
      <c r="M503" s="545" t="s">
        <v>2548</v>
      </c>
      <c r="N503" s="89" t="s">
        <v>2549</v>
      </c>
      <c r="O503" s="89" t="s">
        <v>2550</v>
      </c>
      <c r="P503" t="s">
        <v>887</v>
      </c>
    </row>
    <row r="504" spans="12:16" ht="42" x14ac:dyDescent="0.35">
      <c r="L504" s="544">
        <v>411123</v>
      </c>
      <c r="M504" s="545" t="s">
        <v>2551</v>
      </c>
      <c r="N504" s="89" t="s">
        <v>2552</v>
      </c>
      <c r="O504" s="89" t="s">
        <v>2553</v>
      </c>
      <c r="P504" t="s">
        <v>887</v>
      </c>
    </row>
    <row r="505" spans="12:16" ht="42" x14ac:dyDescent="0.35">
      <c r="L505" s="544">
        <v>411127</v>
      </c>
      <c r="M505" s="545" t="s">
        <v>2554</v>
      </c>
      <c r="N505" s="89" t="s">
        <v>2555</v>
      </c>
      <c r="O505" s="89" t="s">
        <v>2556</v>
      </c>
      <c r="P505" t="s">
        <v>887</v>
      </c>
    </row>
    <row r="506" spans="12:16" ht="112" x14ac:dyDescent="0.35">
      <c r="L506" s="544">
        <v>411128</v>
      </c>
      <c r="M506" s="545" t="s">
        <v>2557</v>
      </c>
      <c r="N506" s="89" t="s">
        <v>2558</v>
      </c>
      <c r="O506" s="89" t="s">
        <v>2559</v>
      </c>
      <c r="P506" t="s">
        <v>887</v>
      </c>
    </row>
    <row r="507" spans="12:16" ht="112" x14ac:dyDescent="0.35">
      <c r="L507" s="544">
        <v>411131</v>
      </c>
      <c r="M507" s="545" t="s">
        <v>2560</v>
      </c>
      <c r="N507" s="89" t="s">
        <v>2561</v>
      </c>
      <c r="O507" s="89" t="s">
        <v>2562</v>
      </c>
      <c r="P507" t="s">
        <v>887</v>
      </c>
    </row>
    <row r="508" spans="12:16" ht="126" x14ac:dyDescent="0.35">
      <c r="L508" s="544">
        <v>411132</v>
      </c>
      <c r="M508" s="545" t="s">
        <v>2563</v>
      </c>
      <c r="N508" s="89" t="s">
        <v>2564</v>
      </c>
      <c r="O508" s="89" t="s">
        <v>2565</v>
      </c>
      <c r="P508" t="s">
        <v>887</v>
      </c>
    </row>
    <row r="509" spans="12:16" ht="112" x14ac:dyDescent="0.35">
      <c r="L509" s="544">
        <v>411134</v>
      </c>
      <c r="M509" s="545" t="s">
        <v>2566</v>
      </c>
      <c r="N509" s="89" t="s">
        <v>2567</v>
      </c>
      <c r="O509" s="89" t="s">
        <v>2568</v>
      </c>
      <c r="P509" t="s">
        <v>887</v>
      </c>
    </row>
    <row r="510" spans="12:16" ht="112" x14ac:dyDescent="0.35">
      <c r="L510" s="544">
        <v>411135</v>
      </c>
      <c r="M510" s="545" t="s">
        <v>2569</v>
      </c>
      <c r="N510" s="89" t="s">
        <v>2570</v>
      </c>
      <c r="O510" s="89" t="s">
        <v>2571</v>
      </c>
      <c r="P510" t="s">
        <v>887</v>
      </c>
    </row>
    <row r="511" spans="12:16" ht="112" x14ac:dyDescent="0.35">
      <c r="L511" s="544">
        <v>411137</v>
      </c>
      <c r="M511" s="545" t="s">
        <v>2572</v>
      </c>
      <c r="N511" s="89" t="s">
        <v>2573</v>
      </c>
      <c r="O511" s="89" t="s">
        <v>2574</v>
      </c>
      <c r="P511" t="s">
        <v>887</v>
      </c>
    </row>
    <row r="512" spans="12:16" ht="112" x14ac:dyDescent="0.35">
      <c r="L512" s="544">
        <v>411138</v>
      </c>
      <c r="M512" s="545" t="s">
        <v>2575</v>
      </c>
      <c r="N512" s="89" t="s">
        <v>2576</v>
      </c>
      <c r="O512" s="89" t="s">
        <v>2577</v>
      </c>
      <c r="P512" t="s">
        <v>887</v>
      </c>
    </row>
    <row r="513" spans="12:16" ht="15.5" x14ac:dyDescent="0.35">
      <c r="L513" s="544">
        <v>411139</v>
      </c>
      <c r="M513" s="545" t="s">
        <v>2578</v>
      </c>
      <c r="N513" s="89" t="s">
        <v>2579</v>
      </c>
      <c r="O513" s="89" t="s">
        <v>2580</v>
      </c>
      <c r="P513" t="s">
        <v>887</v>
      </c>
    </row>
    <row r="514" spans="12:16" ht="126" x14ac:dyDescent="0.35">
      <c r="L514" s="547">
        <v>411140</v>
      </c>
      <c r="M514" s="545" t="s">
        <v>2581</v>
      </c>
      <c r="N514" s="89" t="s">
        <v>2582</v>
      </c>
      <c r="O514" s="89" t="s">
        <v>909</v>
      </c>
      <c r="P514" t="s">
        <v>887</v>
      </c>
    </row>
    <row r="515" spans="12:16" ht="42" x14ac:dyDescent="0.35">
      <c r="L515" s="544">
        <v>411240</v>
      </c>
      <c r="M515" s="545" t="s">
        <v>2583</v>
      </c>
      <c r="N515" s="89" t="s">
        <v>2584</v>
      </c>
      <c r="O515" s="89" t="s">
        <v>2585</v>
      </c>
      <c r="P515" t="s">
        <v>887</v>
      </c>
    </row>
    <row r="516" spans="12:16" ht="98" x14ac:dyDescent="0.35">
      <c r="L516" s="544">
        <v>411320</v>
      </c>
      <c r="M516" s="545" t="s">
        <v>2586</v>
      </c>
      <c r="N516" s="89" t="s">
        <v>2587</v>
      </c>
      <c r="O516" s="89" t="s">
        <v>2588</v>
      </c>
      <c r="P516" t="s">
        <v>887</v>
      </c>
    </row>
    <row r="517" spans="12:16" ht="112" x14ac:dyDescent="0.35">
      <c r="L517" s="544">
        <v>412128</v>
      </c>
      <c r="M517" s="545" t="s">
        <v>2589</v>
      </c>
      <c r="N517" s="89" t="s">
        <v>2590</v>
      </c>
      <c r="O517" s="89" t="s">
        <v>909</v>
      </c>
      <c r="P517" t="s">
        <v>887</v>
      </c>
    </row>
    <row r="518" spans="12:16" ht="112" x14ac:dyDescent="0.35">
      <c r="L518" s="544">
        <v>412131</v>
      </c>
      <c r="M518" s="545" t="s">
        <v>2591</v>
      </c>
      <c r="N518" s="89" t="s">
        <v>2592</v>
      </c>
      <c r="O518" s="89" t="s">
        <v>909</v>
      </c>
      <c r="P518" t="s">
        <v>887</v>
      </c>
    </row>
    <row r="519" spans="12:16" ht="112" x14ac:dyDescent="0.35">
      <c r="L519" s="544">
        <v>412132</v>
      </c>
      <c r="M519" s="545" t="s">
        <v>2593</v>
      </c>
      <c r="N519" s="89" t="s">
        <v>2594</v>
      </c>
      <c r="O519" s="89" t="s">
        <v>909</v>
      </c>
      <c r="P519" t="s">
        <v>887</v>
      </c>
    </row>
    <row r="520" spans="12:16" ht="112" x14ac:dyDescent="0.35">
      <c r="L520" s="544">
        <v>412134</v>
      </c>
      <c r="M520" s="545" t="s">
        <v>2595</v>
      </c>
      <c r="N520" s="89" t="s">
        <v>2596</v>
      </c>
      <c r="O520" s="89" t="s">
        <v>909</v>
      </c>
      <c r="P520" t="s">
        <v>887</v>
      </c>
    </row>
    <row r="521" spans="12:16" ht="112" x14ac:dyDescent="0.35">
      <c r="L521" s="544">
        <v>412135</v>
      </c>
      <c r="M521" s="545" t="s">
        <v>2597</v>
      </c>
      <c r="N521" s="89" t="s">
        <v>2598</v>
      </c>
      <c r="O521" s="89" t="s">
        <v>909</v>
      </c>
      <c r="P521" t="s">
        <v>887</v>
      </c>
    </row>
    <row r="522" spans="12:16" ht="112" x14ac:dyDescent="0.35">
      <c r="L522" s="544">
        <v>412137</v>
      </c>
      <c r="M522" s="545" t="s">
        <v>2599</v>
      </c>
      <c r="N522" s="89" t="s">
        <v>2600</v>
      </c>
      <c r="O522" s="89" t="s">
        <v>909</v>
      </c>
      <c r="P522" t="s">
        <v>887</v>
      </c>
    </row>
    <row r="523" spans="12:16" ht="112" x14ac:dyDescent="0.35">
      <c r="L523" s="544">
        <v>412138</v>
      </c>
      <c r="M523" s="545" t="s">
        <v>2601</v>
      </c>
      <c r="N523" s="89" t="s">
        <v>2602</v>
      </c>
      <c r="O523" s="89" t="s">
        <v>909</v>
      </c>
      <c r="P523" t="s">
        <v>887</v>
      </c>
    </row>
    <row r="524" spans="12:16" ht="112" x14ac:dyDescent="0.35">
      <c r="L524" s="544">
        <v>412139</v>
      </c>
      <c r="M524" s="545" t="s">
        <v>2603</v>
      </c>
      <c r="N524" s="89" t="s">
        <v>2604</v>
      </c>
      <c r="O524" s="89" t="s">
        <v>909</v>
      </c>
      <c r="P524" t="s">
        <v>887</v>
      </c>
    </row>
    <row r="525" spans="12:16" ht="42" x14ac:dyDescent="0.35">
      <c r="L525" s="544">
        <v>412240</v>
      </c>
      <c r="M525" s="545" t="s">
        <v>2605</v>
      </c>
      <c r="N525" s="89" t="s">
        <v>2606</v>
      </c>
      <c r="O525" s="89" t="s">
        <v>909</v>
      </c>
      <c r="P525" t="s">
        <v>887</v>
      </c>
    </row>
    <row r="526" spans="12:16" ht="126" x14ac:dyDescent="0.35">
      <c r="L526" s="547">
        <v>412241</v>
      </c>
      <c r="M526" s="545" t="s">
        <v>2607</v>
      </c>
      <c r="N526" s="89" t="s">
        <v>2608</v>
      </c>
      <c r="O526" s="89" t="s">
        <v>909</v>
      </c>
      <c r="P526" t="s">
        <v>887</v>
      </c>
    </row>
    <row r="527" spans="12:16" ht="15.5" x14ac:dyDescent="0.35">
      <c r="L527" s="544">
        <v>412350</v>
      </c>
      <c r="M527" s="545" t="s">
        <v>2609</v>
      </c>
      <c r="N527" s="89" t="s">
        <v>2610</v>
      </c>
      <c r="O527" s="89" t="s">
        <v>909</v>
      </c>
      <c r="P527" t="s">
        <v>887</v>
      </c>
    </row>
    <row r="528" spans="12:16" ht="70" x14ac:dyDescent="0.35">
      <c r="L528" s="544">
        <v>421220</v>
      </c>
      <c r="M528" s="545" t="s">
        <v>2611</v>
      </c>
      <c r="N528" s="89" t="s">
        <v>2612</v>
      </c>
      <c r="O528" s="89" t="s">
        <v>909</v>
      </c>
      <c r="P528" t="s">
        <v>887</v>
      </c>
    </row>
    <row r="529" spans="12:16" ht="28" x14ac:dyDescent="0.35">
      <c r="L529" s="547">
        <v>421370</v>
      </c>
      <c r="M529" s="545" t="s">
        <v>2613</v>
      </c>
      <c r="N529" s="89" t="s">
        <v>2614</v>
      </c>
      <c r="O529" s="89" t="s">
        <v>909</v>
      </c>
      <c r="P529" t="s">
        <v>887</v>
      </c>
    </row>
    <row r="530" spans="12:16" ht="28" x14ac:dyDescent="0.35">
      <c r="L530" s="544">
        <v>421480</v>
      </c>
      <c r="M530" s="545" t="s">
        <v>2615</v>
      </c>
      <c r="N530" s="89" t="s">
        <v>2616</v>
      </c>
      <c r="O530" s="89" t="s">
        <v>909</v>
      </c>
      <c r="P530" t="s">
        <v>887</v>
      </c>
    </row>
    <row r="531" spans="12:16" ht="28" x14ac:dyDescent="0.35">
      <c r="L531" s="544">
        <v>421820</v>
      </c>
      <c r="M531" s="545" t="s">
        <v>2617</v>
      </c>
      <c r="N531" s="89" t="s">
        <v>2618</v>
      </c>
      <c r="O531" s="89" t="s">
        <v>909</v>
      </c>
      <c r="P531" t="s">
        <v>887</v>
      </c>
    </row>
    <row r="532" spans="12:16" ht="28" x14ac:dyDescent="0.35">
      <c r="L532" s="544">
        <v>422253</v>
      </c>
      <c r="M532" s="545" t="s">
        <v>2619</v>
      </c>
      <c r="N532" s="89" t="s">
        <v>2620</v>
      </c>
      <c r="O532" s="89" t="s">
        <v>2621</v>
      </c>
      <c r="P532" t="s">
        <v>887</v>
      </c>
    </row>
    <row r="533" spans="12:16" ht="28" x14ac:dyDescent="0.35">
      <c r="L533" s="544">
        <v>422256</v>
      </c>
      <c r="M533" s="545" t="s">
        <v>2622</v>
      </c>
      <c r="N533" s="89" t="s">
        <v>2623</v>
      </c>
      <c r="O533" s="89" t="s">
        <v>2624</v>
      </c>
      <c r="P533" t="s">
        <v>887</v>
      </c>
    </row>
    <row r="534" spans="12:16" ht="28" x14ac:dyDescent="0.35">
      <c r="L534" s="544">
        <v>422257</v>
      </c>
      <c r="M534" s="545" t="s">
        <v>2625</v>
      </c>
      <c r="N534" s="89" t="s">
        <v>2626</v>
      </c>
      <c r="O534" s="89" t="s">
        <v>2627</v>
      </c>
      <c r="P534" t="s">
        <v>887</v>
      </c>
    </row>
    <row r="535" spans="12:16" ht="42" x14ac:dyDescent="0.35">
      <c r="L535" s="544">
        <v>422258</v>
      </c>
      <c r="M535" s="545" t="s">
        <v>2628</v>
      </c>
      <c r="N535" s="89" t="s">
        <v>2629</v>
      </c>
      <c r="O535" s="89" t="s">
        <v>2630</v>
      </c>
      <c r="P535" t="s">
        <v>887</v>
      </c>
    </row>
    <row r="536" spans="12:16" ht="56" x14ac:dyDescent="0.35">
      <c r="L536" s="544">
        <v>422259</v>
      </c>
      <c r="M536" s="545" t="s">
        <v>2631</v>
      </c>
      <c r="N536" s="89" t="s">
        <v>2632</v>
      </c>
      <c r="O536" s="89" t="s">
        <v>2633</v>
      </c>
      <c r="P536" t="s">
        <v>887</v>
      </c>
    </row>
    <row r="537" spans="12:16" ht="56" x14ac:dyDescent="0.35">
      <c r="L537" s="544">
        <v>422264</v>
      </c>
      <c r="M537" s="545" t="s">
        <v>2634</v>
      </c>
      <c r="N537" s="89" t="s">
        <v>2635</v>
      </c>
      <c r="O537" s="89" t="s">
        <v>2636</v>
      </c>
      <c r="P537" t="s">
        <v>887</v>
      </c>
    </row>
    <row r="538" spans="12:16" ht="42" x14ac:dyDescent="0.35">
      <c r="L538" s="544">
        <v>422265</v>
      </c>
      <c r="M538" s="545" t="s">
        <v>2637</v>
      </c>
      <c r="N538" s="89" t="s">
        <v>2638</v>
      </c>
      <c r="O538" s="89" t="s">
        <v>2639</v>
      </c>
      <c r="P538" t="s">
        <v>887</v>
      </c>
    </row>
    <row r="539" spans="12:16" ht="42" x14ac:dyDescent="0.35">
      <c r="L539" s="544">
        <v>422271</v>
      </c>
      <c r="M539" s="545" t="s">
        <v>2640</v>
      </c>
      <c r="N539" s="89" t="s">
        <v>2641</v>
      </c>
      <c r="O539" s="89" t="s">
        <v>2642</v>
      </c>
      <c r="P539" t="s">
        <v>887</v>
      </c>
    </row>
    <row r="540" spans="12:16" ht="15.5" x14ac:dyDescent="0.35">
      <c r="L540" s="544">
        <v>422273</v>
      </c>
      <c r="M540" s="545" t="s">
        <v>2643</v>
      </c>
      <c r="N540" s="89" t="s">
        <v>2644</v>
      </c>
      <c r="O540" s="89" t="s">
        <v>2645</v>
      </c>
      <c r="P540" t="s">
        <v>887</v>
      </c>
    </row>
    <row r="541" spans="12:16" ht="56" x14ac:dyDescent="0.35">
      <c r="L541" s="544">
        <v>422275</v>
      </c>
      <c r="M541" s="545" t="s">
        <v>2646</v>
      </c>
      <c r="N541" s="89" t="s">
        <v>2647</v>
      </c>
      <c r="O541" s="89" t="s">
        <v>2648</v>
      </c>
      <c r="P541" t="s">
        <v>887</v>
      </c>
    </row>
    <row r="542" spans="12:16" ht="28" x14ac:dyDescent="0.35">
      <c r="L542" s="544">
        <v>425199</v>
      </c>
      <c r="M542" s="545" t="s">
        <v>2649</v>
      </c>
      <c r="N542" s="89" t="s">
        <v>2650</v>
      </c>
      <c r="O542" s="89" t="s">
        <v>2651</v>
      </c>
      <c r="P542" t="s">
        <v>887</v>
      </c>
    </row>
    <row r="543" spans="12:16" ht="56" x14ac:dyDescent="0.35">
      <c r="L543" s="544">
        <v>432283</v>
      </c>
      <c r="M543" s="545" t="s">
        <v>2652</v>
      </c>
      <c r="N543" s="89" t="s">
        <v>2653</v>
      </c>
      <c r="O543" s="89" t="s">
        <v>2654</v>
      </c>
      <c r="P543" t="s">
        <v>887</v>
      </c>
    </row>
    <row r="544" spans="12:16" ht="15.5" x14ac:dyDescent="0.35">
      <c r="L544" s="544">
        <v>441100</v>
      </c>
      <c r="M544" s="545" t="s">
        <v>2655</v>
      </c>
      <c r="N544" s="89" t="s">
        <v>2656</v>
      </c>
      <c r="O544" s="89" t="s">
        <v>909</v>
      </c>
      <c r="P544" t="s">
        <v>887</v>
      </c>
    </row>
    <row r="545" spans="12:16" ht="28" x14ac:dyDescent="0.35">
      <c r="L545" s="544">
        <v>441257</v>
      </c>
      <c r="M545" s="545" t="s">
        <v>2657</v>
      </c>
      <c r="N545" s="89" t="s">
        <v>2658</v>
      </c>
      <c r="O545" s="89" t="s">
        <v>2659</v>
      </c>
      <c r="P545" t="s">
        <v>887</v>
      </c>
    </row>
    <row r="546" spans="12:16" ht="28" x14ac:dyDescent="0.35">
      <c r="L546" s="544">
        <v>441628</v>
      </c>
      <c r="M546" s="545" t="s">
        <v>2660</v>
      </c>
      <c r="N546" s="89" t="s">
        <v>2661</v>
      </c>
      <c r="O546" s="89" t="s">
        <v>2662</v>
      </c>
      <c r="P546" t="s">
        <v>887</v>
      </c>
    </row>
    <row r="547" spans="12:16" ht="42" x14ac:dyDescent="0.35">
      <c r="L547" s="544">
        <v>441758</v>
      </c>
      <c r="M547" s="545" t="s">
        <v>2663</v>
      </c>
      <c r="N547" s="89" t="s">
        <v>2664</v>
      </c>
      <c r="O547" s="89" t="s">
        <v>2665</v>
      </c>
      <c r="P547" t="s">
        <v>887</v>
      </c>
    </row>
    <row r="548" spans="12:16" ht="42" x14ac:dyDescent="0.35">
      <c r="L548" s="544">
        <v>442257</v>
      </c>
      <c r="M548" s="545" t="s">
        <v>2666</v>
      </c>
      <c r="N548" s="89" t="s">
        <v>2667</v>
      </c>
      <c r="O548" s="89" t="s">
        <v>2668</v>
      </c>
      <c r="P548" t="s">
        <v>887</v>
      </c>
    </row>
    <row r="549" spans="12:16" ht="56" x14ac:dyDescent="0.35">
      <c r="L549" s="544">
        <v>442258</v>
      </c>
      <c r="M549" s="545" t="s">
        <v>2669</v>
      </c>
      <c r="N549" s="89" t="s">
        <v>2670</v>
      </c>
      <c r="O549" s="89" t="s">
        <v>2671</v>
      </c>
      <c r="P549" t="s">
        <v>887</v>
      </c>
    </row>
    <row r="550" spans="12:16" ht="84" x14ac:dyDescent="0.35">
      <c r="L550" s="544">
        <v>442421</v>
      </c>
      <c r="M550" s="545" t="s">
        <v>2672</v>
      </c>
      <c r="N550" s="89" t="s">
        <v>2673</v>
      </c>
      <c r="O550" s="89" t="s">
        <v>2674</v>
      </c>
      <c r="P550" t="s">
        <v>887</v>
      </c>
    </row>
    <row r="551" spans="12:16" ht="28" x14ac:dyDescent="0.35">
      <c r="L551" s="544">
        <v>442515</v>
      </c>
      <c r="M551" s="545" t="s">
        <v>2675</v>
      </c>
      <c r="N551" s="89" t="s">
        <v>2676</v>
      </c>
      <c r="O551" s="89" t="s">
        <v>2677</v>
      </c>
      <c r="P551" t="s">
        <v>887</v>
      </c>
    </row>
    <row r="552" spans="12:16" ht="42" x14ac:dyDescent="0.35">
      <c r="L552" s="544">
        <v>442621</v>
      </c>
      <c r="M552" s="545" t="s">
        <v>2678</v>
      </c>
      <c r="N552" s="89" t="s">
        <v>2679</v>
      </c>
      <c r="O552" s="89" t="s">
        <v>2680</v>
      </c>
      <c r="P552" t="s">
        <v>887</v>
      </c>
    </row>
    <row r="553" spans="12:16" ht="28" x14ac:dyDescent="0.35">
      <c r="L553" s="544">
        <v>442628</v>
      </c>
      <c r="M553" s="545" t="s">
        <v>2681</v>
      </c>
      <c r="N553" s="89" t="s">
        <v>2682</v>
      </c>
      <c r="O553" s="89" t="s">
        <v>2683</v>
      </c>
      <c r="P553" t="s">
        <v>887</v>
      </c>
    </row>
    <row r="554" spans="12:16" ht="28" x14ac:dyDescent="0.35">
      <c r="L554" s="544">
        <v>442758</v>
      </c>
      <c r="M554" s="545" t="s">
        <v>2684</v>
      </c>
      <c r="N554" s="89" t="s">
        <v>2685</v>
      </c>
      <c r="O554" s="89" t="s">
        <v>2686</v>
      </c>
      <c r="P554" t="s">
        <v>887</v>
      </c>
    </row>
    <row r="555" spans="12:16" ht="28" x14ac:dyDescent="0.35">
      <c r="L555" s="544">
        <v>442765</v>
      </c>
      <c r="M555" s="545" t="s">
        <v>2687</v>
      </c>
      <c r="N555" s="89" t="s">
        <v>2688</v>
      </c>
      <c r="O555" s="89" t="s">
        <v>2689</v>
      </c>
      <c r="P555" t="s">
        <v>887</v>
      </c>
    </row>
    <row r="556" spans="12:16" ht="56" x14ac:dyDescent="0.35">
      <c r="L556" s="544">
        <v>442768</v>
      </c>
      <c r="M556" s="545" t="s">
        <v>2690</v>
      </c>
      <c r="N556" s="89" t="s">
        <v>2691</v>
      </c>
      <c r="O556" s="89" t="s">
        <v>2692</v>
      </c>
      <c r="P556" t="s">
        <v>887</v>
      </c>
    </row>
    <row r="557" spans="12:16" ht="42" x14ac:dyDescent="0.35">
      <c r="L557" s="544">
        <v>442769</v>
      </c>
      <c r="M557" s="545" t="s">
        <v>2693</v>
      </c>
      <c r="N557" s="89" t="s">
        <v>2694</v>
      </c>
      <c r="O557" s="89" t="s">
        <v>2695</v>
      </c>
      <c r="P557" t="s">
        <v>887</v>
      </c>
    </row>
    <row r="558" spans="12:16" ht="28" x14ac:dyDescent="0.35">
      <c r="L558" s="544">
        <v>451100</v>
      </c>
      <c r="M558" s="545" t="s">
        <v>2696</v>
      </c>
      <c r="N558" s="89" t="s">
        <v>2697</v>
      </c>
      <c r="O558" s="89" t="s">
        <v>909</v>
      </c>
      <c r="P558" t="s">
        <v>887</v>
      </c>
    </row>
    <row r="559" spans="12:16" ht="42" x14ac:dyDescent="0.35">
      <c r="L559" s="544">
        <v>451134</v>
      </c>
      <c r="M559" s="545" t="s">
        <v>2698</v>
      </c>
      <c r="N559" s="89" t="s">
        <v>2699</v>
      </c>
      <c r="O559" s="89" t="s">
        <v>2700</v>
      </c>
      <c r="P559" t="s">
        <v>887</v>
      </c>
    </row>
    <row r="560" spans="12:16" ht="98" x14ac:dyDescent="0.35">
      <c r="L560" s="544">
        <v>452200</v>
      </c>
      <c r="M560" s="545" t="s">
        <v>2701</v>
      </c>
      <c r="N560" s="89" t="s">
        <v>2702</v>
      </c>
      <c r="O560" s="89" t="s">
        <v>909</v>
      </c>
      <c r="P560" t="s">
        <v>887</v>
      </c>
    </row>
    <row r="561" spans="12:16" ht="42" x14ac:dyDescent="0.35">
      <c r="L561" s="544">
        <v>452252</v>
      </c>
      <c r="M561" s="545" t="s">
        <v>2703</v>
      </c>
      <c r="N561" s="89" t="s">
        <v>2704</v>
      </c>
      <c r="O561" s="89" t="s">
        <v>2705</v>
      </c>
      <c r="P561" t="s">
        <v>887</v>
      </c>
    </row>
    <row r="562" spans="12:16" ht="42" x14ac:dyDescent="0.35">
      <c r="L562" s="544">
        <v>452255</v>
      </c>
      <c r="M562" s="545" t="s">
        <v>2706</v>
      </c>
      <c r="N562" s="89" t="s">
        <v>2707</v>
      </c>
      <c r="O562" s="89" t="s">
        <v>2708</v>
      </c>
      <c r="P562" t="s">
        <v>887</v>
      </c>
    </row>
    <row r="563" spans="12:16" ht="42" x14ac:dyDescent="0.35">
      <c r="L563" s="544">
        <v>452258</v>
      </c>
      <c r="M563" s="545" t="s">
        <v>2709</v>
      </c>
      <c r="N563" s="89" t="s">
        <v>2710</v>
      </c>
      <c r="O563" s="89" t="s">
        <v>2711</v>
      </c>
      <c r="P563" t="s">
        <v>887</v>
      </c>
    </row>
    <row r="564" spans="12:16" ht="28" x14ac:dyDescent="0.35">
      <c r="L564" s="544">
        <v>452775</v>
      </c>
      <c r="M564" s="545" t="s">
        <v>2712</v>
      </c>
      <c r="N564" s="89" t="s">
        <v>2713</v>
      </c>
      <c r="O564" s="89" t="s">
        <v>2708</v>
      </c>
      <c r="P564" t="s">
        <v>887</v>
      </c>
    </row>
    <row r="565" spans="12:16" ht="28" x14ac:dyDescent="0.35">
      <c r="L565" s="544">
        <v>510001</v>
      </c>
      <c r="M565" s="545" t="s">
        <v>2714</v>
      </c>
      <c r="N565" s="89" t="s">
        <v>2715</v>
      </c>
      <c r="O565" s="89" t="s">
        <v>2716</v>
      </c>
      <c r="P565" t="s">
        <v>887</v>
      </c>
    </row>
    <row r="566" spans="12:16" ht="42" x14ac:dyDescent="0.35">
      <c r="L566" s="544">
        <v>510125</v>
      </c>
      <c r="M566" s="545" t="s">
        <v>2717</v>
      </c>
      <c r="N566" s="89" t="s">
        <v>2718</v>
      </c>
      <c r="O566" s="89" t="s">
        <v>2719</v>
      </c>
      <c r="P566" t="s">
        <v>887</v>
      </c>
    </row>
    <row r="567" spans="12:16" ht="42" x14ac:dyDescent="0.35">
      <c r="L567" s="544">
        <v>510126</v>
      </c>
      <c r="M567" s="545" t="s">
        <v>2720</v>
      </c>
      <c r="N567" s="89" t="s">
        <v>2721</v>
      </c>
      <c r="O567" s="89" t="s">
        <v>2722</v>
      </c>
      <c r="P567" t="s">
        <v>887</v>
      </c>
    </row>
    <row r="568" spans="12:16" ht="28" x14ac:dyDescent="0.35">
      <c r="L568" s="544">
        <v>510143</v>
      </c>
      <c r="M568" s="545" t="s">
        <v>2723</v>
      </c>
      <c r="N568" s="89" t="s">
        <v>2724</v>
      </c>
      <c r="O568" s="89" t="s">
        <v>2725</v>
      </c>
      <c r="P568" t="s">
        <v>887</v>
      </c>
    </row>
    <row r="569" spans="12:16" ht="28" x14ac:dyDescent="0.35">
      <c r="L569" s="544">
        <v>510147</v>
      </c>
      <c r="M569" s="545" t="s">
        <v>2726</v>
      </c>
      <c r="N569" s="89" t="s">
        <v>2727</v>
      </c>
      <c r="O569" s="89" t="s">
        <v>2728</v>
      </c>
      <c r="P569" t="s">
        <v>887</v>
      </c>
    </row>
    <row r="570" spans="12:16" ht="28" x14ac:dyDescent="0.35">
      <c r="L570" s="544">
        <v>510148</v>
      </c>
      <c r="M570" s="545" t="s">
        <v>2729</v>
      </c>
      <c r="N570" s="89" t="s">
        <v>2730</v>
      </c>
      <c r="O570" s="89" t="s">
        <v>2731</v>
      </c>
      <c r="P570" t="s">
        <v>887</v>
      </c>
    </row>
    <row r="571" spans="12:16" ht="28" x14ac:dyDescent="0.35">
      <c r="L571" s="544">
        <v>510149</v>
      </c>
      <c r="M571" s="545" t="s">
        <v>2732</v>
      </c>
      <c r="N571" s="89" t="s">
        <v>2733</v>
      </c>
      <c r="O571" s="89" t="s">
        <v>2734</v>
      </c>
      <c r="P571" t="s">
        <v>887</v>
      </c>
    </row>
    <row r="572" spans="12:16" ht="28" x14ac:dyDescent="0.35">
      <c r="L572" s="544">
        <v>510175</v>
      </c>
      <c r="M572" s="545" t="s">
        <v>2735</v>
      </c>
      <c r="N572" s="89" t="s">
        <v>2736</v>
      </c>
      <c r="O572" s="89" t="s">
        <v>2737</v>
      </c>
      <c r="P572" t="s">
        <v>887</v>
      </c>
    </row>
    <row r="573" spans="12:16" ht="28" x14ac:dyDescent="0.35">
      <c r="L573" s="544">
        <v>510176</v>
      </c>
      <c r="M573" s="545" t="s">
        <v>2738</v>
      </c>
      <c r="N573" s="89" t="s">
        <v>2739</v>
      </c>
      <c r="O573" s="89" t="s">
        <v>2740</v>
      </c>
      <c r="P573" t="s">
        <v>887</v>
      </c>
    </row>
    <row r="574" spans="12:16" ht="28" x14ac:dyDescent="0.35">
      <c r="L574" s="544">
        <v>510212</v>
      </c>
      <c r="M574" s="545" t="s">
        <v>2741</v>
      </c>
      <c r="N574" s="89" t="s">
        <v>2742</v>
      </c>
      <c r="O574" s="89" t="s">
        <v>2743</v>
      </c>
      <c r="P574" t="s">
        <v>887</v>
      </c>
    </row>
    <row r="575" spans="12:16" ht="42" x14ac:dyDescent="0.35">
      <c r="L575" s="544">
        <v>510264</v>
      </c>
      <c r="M575" s="545" t="s">
        <v>2744</v>
      </c>
      <c r="N575" s="89" t="s">
        <v>2745</v>
      </c>
      <c r="O575" s="89" t="s">
        <v>2746</v>
      </c>
      <c r="P575" t="s">
        <v>887</v>
      </c>
    </row>
    <row r="576" spans="12:16" ht="42" x14ac:dyDescent="0.35">
      <c r="L576" s="544">
        <v>510275</v>
      </c>
      <c r="M576" s="545" t="s">
        <v>2747</v>
      </c>
      <c r="N576" s="89" t="s">
        <v>2748</v>
      </c>
      <c r="O576" s="89" t="s">
        <v>2749</v>
      </c>
      <c r="P576" t="s">
        <v>887</v>
      </c>
    </row>
    <row r="577" spans="12:16" ht="28" x14ac:dyDescent="0.35">
      <c r="L577" s="544">
        <v>510278</v>
      </c>
      <c r="M577" s="545" t="s">
        <v>2750</v>
      </c>
      <c r="N577" s="89" t="s">
        <v>2751</v>
      </c>
      <c r="O577" s="89" t="s">
        <v>2752</v>
      </c>
      <c r="P577" t="s">
        <v>887</v>
      </c>
    </row>
    <row r="578" spans="12:16" ht="28" x14ac:dyDescent="0.35">
      <c r="L578" s="544">
        <v>510342</v>
      </c>
      <c r="M578" s="545" t="s">
        <v>2753</v>
      </c>
      <c r="N578" s="89" t="s">
        <v>2754</v>
      </c>
      <c r="O578" s="89" t="s">
        <v>2755</v>
      </c>
      <c r="P578" t="s">
        <v>887</v>
      </c>
    </row>
    <row r="579" spans="12:16" ht="56" x14ac:dyDescent="0.35">
      <c r="L579" s="544">
        <v>510411</v>
      </c>
      <c r="M579" s="545" t="s">
        <v>2756</v>
      </c>
      <c r="N579" s="89" t="s">
        <v>2757</v>
      </c>
      <c r="O579" s="89" t="s">
        <v>2758</v>
      </c>
      <c r="P579" t="s">
        <v>887</v>
      </c>
    </row>
    <row r="580" spans="12:16" ht="28" x14ac:dyDescent="0.35">
      <c r="L580" s="544">
        <v>510672</v>
      </c>
      <c r="M580" s="545" t="s">
        <v>2759</v>
      </c>
      <c r="N580" s="89" t="s">
        <v>2760</v>
      </c>
      <c r="O580" s="89" t="s">
        <v>2755</v>
      </c>
      <c r="P580" t="s">
        <v>887</v>
      </c>
    </row>
    <row r="581" spans="12:16" ht="42" x14ac:dyDescent="0.35">
      <c r="L581" s="544">
        <v>510712</v>
      </c>
      <c r="M581" s="545" t="s">
        <v>2761</v>
      </c>
      <c r="N581" s="89" t="s">
        <v>2762</v>
      </c>
      <c r="O581" s="89" t="s">
        <v>2763</v>
      </c>
      <c r="P581" t="s">
        <v>887</v>
      </c>
    </row>
    <row r="582" spans="12:16" ht="28" x14ac:dyDescent="0.35">
      <c r="L582" s="544">
        <v>510915</v>
      </c>
      <c r="M582" s="545" t="s">
        <v>2764</v>
      </c>
      <c r="N582" s="89" t="s">
        <v>2765</v>
      </c>
      <c r="O582" s="89" t="s">
        <v>2766</v>
      </c>
      <c r="P582" t="s">
        <v>887</v>
      </c>
    </row>
    <row r="583" spans="12:16" ht="28" x14ac:dyDescent="0.35">
      <c r="L583" s="544">
        <v>530155</v>
      </c>
      <c r="M583" s="545" t="s">
        <v>2767</v>
      </c>
      <c r="N583" s="89" t="s">
        <v>2768</v>
      </c>
      <c r="O583" s="89" t="s">
        <v>2769</v>
      </c>
      <c r="P583" t="s">
        <v>887</v>
      </c>
    </row>
    <row r="584" spans="12:16" ht="42" x14ac:dyDescent="0.35">
      <c r="L584" s="544">
        <v>530156</v>
      </c>
      <c r="M584" s="545" t="s">
        <v>2770</v>
      </c>
      <c r="N584" s="89" t="s">
        <v>2771</v>
      </c>
      <c r="O584" s="89" t="s">
        <v>2772</v>
      </c>
      <c r="P584" t="s">
        <v>887</v>
      </c>
    </row>
    <row r="585" spans="12:16" ht="28" x14ac:dyDescent="0.35">
      <c r="L585" s="544">
        <v>530411</v>
      </c>
      <c r="M585" s="545" t="s">
        <v>2773</v>
      </c>
      <c r="N585" s="89" t="s">
        <v>2774</v>
      </c>
      <c r="O585" s="89" t="s">
        <v>2775</v>
      </c>
      <c r="P585" t="s">
        <v>887</v>
      </c>
    </row>
    <row r="586" spans="12:16" ht="56" x14ac:dyDescent="0.35">
      <c r="L586" s="544">
        <v>530412</v>
      </c>
      <c r="M586" s="545" t="s">
        <v>2776</v>
      </c>
      <c r="N586" s="89" t="s">
        <v>2777</v>
      </c>
      <c r="O586" s="89" t="s">
        <v>2778</v>
      </c>
      <c r="P586" t="s">
        <v>887</v>
      </c>
    </row>
    <row r="587" spans="12:16" ht="28" x14ac:dyDescent="0.35">
      <c r="L587" s="544">
        <v>530511</v>
      </c>
      <c r="M587" s="545" t="s">
        <v>2779</v>
      </c>
      <c r="N587" s="89" t="s">
        <v>2780</v>
      </c>
      <c r="O587" s="89" t="s">
        <v>2781</v>
      </c>
      <c r="P587" t="s">
        <v>887</v>
      </c>
    </row>
    <row r="588" spans="12:16" ht="42" x14ac:dyDescent="0.35">
      <c r="L588" s="544">
        <v>530602</v>
      </c>
      <c r="M588" s="545" t="s">
        <v>2782</v>
      </c>
      <c r="N588" s="89" t="s">
        <v>2783</v>
      </c>
      <c r="O588" s="89" t="s">
        <v>2784</v>
      </c>
      <c r="P588" t="s">
        <v>887</v>
      </c>
    </row>
    <row r="589" spans="12:16" ht="42" x14ac:dyDescent="0.35">
      <c r="L589" s="544">
        <v>530634</v>
      </c>
      <c r="M589" s="545" t="s">
        <v>2785</v>
      </c>
      <c r="N589" s="89" t="s">
        <v>2786</v>
      </c>
      <c r="O589" s="89" t="s">
        <v>2787</v>
      </c>
      <c r="P589" t="s">
        <v>887</v>
      </c>
    </row>
    <row r="590" spans="12:16" ht="126" x14ac:dyDescent="0.35">
      <c r="L590" s="544">
        <v>530800</v>
      </c>
      <c r="M590" s="545" t="s">
        <v>2788</v>
      </c>
      <c r="N590" s="89" t="s">
        <v>2789</v>
      </c>
      <c r="O590" s="89" t="s">
        <v>909</v>
      </c>
      <c r="P590" t="s">
        <v>887</v>
      </c>
    </row>
    <row r="591" spans="12:16" ht="56" x14ac:dyDescent="0.35">
      <c r="L591" s="544">
        <v>540242</v>
      </c>
      <c r="M591" s="545" t="s">
        <v>2790</v>
      </c>
      <c r="N591" s="89" t="s">
        <v>2791</v>
      </c>
      <c r="O591" s="89" t="s">
        <v>2792</v>
      </c>
      <c r="P591" t="s">
        <v>887</v>
      </c>
    </row>
    <row r="592" spans="12:16" ht="56" x14ac:dyDescent="0.35">
      <c r="L592" s="544">
        <v>540243</v>
      </c>
      <c r="M592" s="545" t="s">
        <v>2793</v>
      </c>
      <c r="N592" s="89" t="s">
        <v>2794</v>
      </c>
      <c r="O592" s="89" t="s">
        <v>2795</v>
      </c>
      <c r="P592" t="s">
        <v>887</v>
      </c>
    </row>
    <row r="593" spans="12:16" ht="28" x14ac:dyDescent="0.35">
      <c r="L593" s="544">
        <v>550101</v>
      </c>
      <c r="M593" s="545" t="s">
        <v>2796</v>
      </c>
      <c r="N593" s="89" t="s">
        <v>2797</v>
      </c>
      <c r="O593" s="89" t="s">
        <v>2798</v>
      </c>
      <c r="P593" t="s">
        <v>887</v>
      </c>
    </row>
    <row r="594" spans="12:16" ht="28" x14ac:dyDescent="0.35">
      <c r="L594" s="544">
        <v>550145</v>
      </c>
      <c r="M594" s="545" t="s">
        <v>2799</v>
      </c>
      <c r="N594" s="89" t="s">
        <v>2800</v>
      </c>
      <c r="O594" s="89" t="s">
        <v>2801</v>
      </c>
      <c r="P594" t="s">
        <v>887</v>
      </c>
    </row>
    <row r="595" spans="12:16" ht="42" x14ac:dyDescent="0.35">
      <c r="L595" s="544">
        <v>550147</v>
      </c>
      <c r="M595" s="545" t="s">
        <v>2802</v>
      </c>
      <c r="N595" s="89" t="s">
        <v>2803</v>
      </c>
      <c r="O595" s="89" t="s">
        <v>2804</v>
      </c>
      <c r="P595" t="s">
        <v>887</v>
      </c>
    </row>
    <row r="596" spans="12:16" ht="28" x14ac:dyDescent="0.35">
      <c r="L596" s="544">
        <v>610100</v>
      </c>
      <c r="M596" s="545" t="s">
        <v>2805</v>
      </c>
      <c r="N596" s="89" t="s">
        <v>2806</v>
      </c>
      <c r="O596" s="89" t="s">
        <v>2807</v>
      </c>
      <c r="P596" t="s">
        <v>887</v>
      </c>
    </row>
    <row r="597" spans="12:16" ht="42" x14ac:dyDescent="0.35">
      <c r="L597" s="544">
        <v>610111</v>
      </c>
      <c r="M597" s="545" t="s">
        <v>957</v>
      </c>
      <c r="N597" s="89" t="s">
        <v>2808</v>
      </c>
      <c r="O597" s="89" t="s">
        <v>2809</v>
      </c>
      <c r="P597" t="s">
        <v>887</v>
      </c>
    </row>
    <row r="598" spans="12:16" ht="28" x14ac:dyDescent="0.35">
      <c r="L598" s="544">
        <v>610112</v>
      </c>
      <c r="M598" s="545" t="s">
        <v>2810</v>
      </c>
      <c r="N598" s="89" t="s">
        <v>2811</v>
      </c>
      <c r="O598" s="89" t="s">
        <v>2812</v>
      </c>
      <c r="P598" t="s">
        <v>887</v>
      </c>
    </row>
    <row r="599" spans="12:16" ht="70" x14ac:dyDescent="0.35">
      <c r="L599" s="544">
        <v>610119</v>
      </c>
      <c r="M599" s="545" t="s">
        <v>2813</v>
      </c>
      <c r="N599" s="89" t="s">
        <v>2814</v>
      </c>
      <c r="O599" s="89" t="s">
        <v>2815</v>
      </c>
      <c r="P599" t="s">
        <v>887</v>
      </c>
    </row>
    <row r="600" spans="12:16" ht="42" x14ac:dyDescent="0.35">
      <c r="L600" s="544">
        <v>610121</v>
      </c>
      <c r="M600" s="545" t="s">
        <v>2816</v>
      </c>
      <c r="N600" s="89" t="s">
        <v>2817</v>
      </c>
      <c r="O600" s="89" t="s">
        <v>2818</v>
      </c>
      <c r="P600" t="s">
        <v>887</v>
      </c>
    </row>
    <row r="601" spans="12:16" ht="28" x14ac:dyDescent="0.35">
      <c r="L601" s="544">
        <v>610122</v>
      </c>
      <c r="M601" s="545" t="s">
        <v>2819</v>
      </c>
      <c r="N601" s="89" t="s">
        <v>2820</v>
      </c>
      <c r="O601" s="89" t="s">
        <v>2821</v>
      </c>
      <c r="P601" t="s">
        <v>887</v>
      </c>
    </row>
    <row r="602" spans="12:16" ht="42" x14ac:dyDescent="0.35">
      <c r="L602" s="544">
        <v>610123</v>
      </c>
      <c r="M602" s="545" t="s">
        <v>2822</v>
      </c>
      <c r="N602" s="89" t="s">
        <v>2823</v>
      </c>
      <c r="O602" s="89" t="s">
        <v>2824</v>
      </c>
      <c r="P602" t="s">
        <v>887</v>
      </c>
    </row>
    <row r="603" spans="12:16" ht="70" x14ac:dyDescent="0.35">
      <c r="L603" s="544">
        <v>610124</v>
      </c>
      <c r="M603" s="545" t="s">
        <v>2825</v>
      </c>
      <c r="N603" s="89" t="s">
        <v>2826</v>
      </c>
      <c r="O603" s="89" t="s">
        <v>2827</v>
      </c>
      <c r="P603" t="s">
        <v>887</v>
      </c>
    </row>
    <row r="604" spans="12:16" ht="98" x14ac:dyDescent="0.35">
      <c r="L604" s="544">
        <v>610125</v>
      </c>
      <c r="M604" s="545" t="s">
        <v>2828</v>
      </c>
      <c r="N604" s="89" t="s">
        <v>2829</v>
      </c>
      <c r="O604" s="89" t="s">
        <v>2830</v>
      </c>
      <c r="P604" t="s">
        <v>887</v>
      </c>
    </row>
    <row r="605" spans="12:16" ht="42" x14ac:dyDescent="0.35">
      <c r="L605" s="544">
        <v>610127</v>
      </c>
      <c r="M605" s="545" t="s">
        <v>2831</v>
      </c>
      <c r="N605" s="89" t="s">
        <v>2832</v>
      </c>
      <c r="O605" s="89" t="s">
        <v>2833</v>
      </c>
      <c r="P605" t="s">
        <v>887</v>
      </c>
    </row>
    <row r="606" spans="12:16" ht="28" x14ac:dyDescent="0.35">
      <c r="L606" s="544">
        <v>610128</v>
      </c>
      <c r="M606" s="545" t="s">
        <v>2834</v>
      </c>
      <c r="N606" s="89" t="s">
        <v>2835</v>
      </c>
      <c r="O606" s="89" t="s">
        <v>2836</v>
      </c>
      <c r="P606" t="s">
        <v>887</v>
      </c>
    </row>
    <row r="607" spans="12:16" ht="56" x14ac:dyDescent="0.35">
      <c r="L607" s="544">
        <v>610129</v>
      </c>
      <c r="M607" s="545" t="s">
        <v>2837</v>
      </c>
      <c r="N607" s="89" t="s">
        <v>2838</v>
      </c>
      <c r="O607" s="89" t="s">
        <v>2839</v>
      </c>
      <c r="P607" t="s">
        <v>887</v>
      </c>
    </row>
    <row r="608" spans="12:16" ht="42" x14ac:dyDescent="0.35">
      <c r="L608" s="544">
        <v>610142</v>
      </c>
      <c r="M608" s="545" t="s">
        <v>2840</v>
      </c>
      <c r="N608" s="89" t="s">
        <v>2841</v>
      </c>
      <c r="O608" s="89" t="s">
        <v>2842</v>
      </c>
      <c r="P608" t="s">
        <v>887</v>
      </c>
    </row>
    <row r="609" spans="12:16" ht="28" x14ac:dyDescent="0.35">
      <c r="L609" s="544">
        <v>610144</v>
      </c>
      <c r="M609" s="545" t="s">
        <v>2843</v>
      </c>
      <c r="N609" s="89" t="s">
        <v>2844</v>
      </c>
      <c r="O609" s="89" t="s">
        <v>2845</v>
      </c>
      <c r="P609" t="s">
        <v>887</v>
      </c>
    </row>
    <row r="610" spans="12:16" ht="28" x14ac:dyDescent="0.35">
      <c r="L610" s="544">
        <v>610241</v>
      </c>
      <c r="M610" s="545" t="s">
        <v>2846</v>
      </c>
      <c r="N610" s="89" t="s">
        <v>2847</v>
      </c>
      <c r="O610" s="89" t="s">
        <v>2848</v>
      </c>
      <c r="P610" t="s">
        <v>887</v>
      </c>
    </row>
    <row r="611" spans="12:16" ht="70" x14ac:dyDescent="0.35">
      <c r="L611" s="544">
        <v>610243</v>
      </c>
      <c r="M611" s="545" t="s">
        <v>2849</v>
      </c>
      <c r="N611" s="89" t="s">
        <v>2850</v>
      </c>
      <c r="O611" s="89" t="s">
        <v>2851</v>
      </c>
      <c r="P611" t="s">
        <v>887</v>
      </c>
    </row>
    <row r="612" spans="12:16" ht="42" x14ac:dyDescent="0.35">
      <c r="L612" s="544">
        <v>610249</v>
      </c>
      <c r="M612" s="545" t="s">
        <v>2852</v>
      </c>
      <c r="N612" s="89" t="s">
        <v>2853</v>
      </c>
      <c r="O612" s="89" t="s">
        <v>2854</v>
      </c>
      <c r="P612" t="s">
        <v>887</v>
      </c>
    </row>
    <row r="613" spans="12:16" ht="56" x14ac:dyDescent="0.35">
      <c r="L613" s="544">
        <v>610281</v>
      </c>
      <c r="M613" s="545" t="s">
        <v>2855</v>
      </c>
      <c r="N613" s="89" t="s">
        <v>2856</v>
      </c>
      <c r="O613" s="89" t="s">
        <v>2857</v>
      </c>
      <c r="P613" t="s">
        <v>887</v>
      </c>
    </row>
    <row r="614" spans="12:16" ht="42" x14ac:dyDescent="0.35">
      <c r="L614" s="544">
        <v>610282</v>
      </c>
      <c r="M614" s="545" t="s">
        <v>2858</v>
      </c>
      <c r="N614" s="89" t="s">
        <v>2859</v>
      </c>
      <c r="O614" s="89" t="s">
        <v>2860</v>
      </c>
      <c r="P614" t="s">
        <v>887</v>
      </c>
    </row>
    <row r="615" spans="12:16" ht="42" x14ac:dyDescent="0.35">
      <c r="L615" s="544">
        <v>610284</v>
      </c>
      <c r="M615" s="545" t="s">
        <v>2861</v>
      </c>
      <c r="N615" s="89" t="s">
        <v>2862</v>
      </c>
      <c r="O615" s="89" t="s">
        <v>2863</v>
      </c>
      <c r="P615" t="s">
        <v>887</v>
      </c>
    </row>
    <row r="616" spans="12:16" ht="28" x14ac:dyDescent="0.35">
      <c r="L616" s="544">
        <v>610285</v>
      </c>
      <c r="M616" s="545" t="s">
        <v>2864</v>
      </c>
      <c r="N616" s="89" t="s">
        <v>2865</v>
      </c>
      <c r="O616" s="89" t="s">
        <v>2866</v>
      </c>
      <c r="P616" t="s">
        <v>887</v>
      </c>
    </row>
    <row r="617" spans="12:16" ht="28" x14ac:dyDescent="0.35">
      <c r="L617" s="544">
        <v>610286</v>
      </c>
      <c r="M617" s="545" t="s">
        <v>2867</v>
      </c>
      <c r="N617" s="89" t="s">
        <v>2868</v>
      </c>
      <c r="O617" s="89" t="s">
        <v>2869</v>
      </c>
      <c r="P617" t="s">
        <v>887</v>
      </c>
    </row>
    <row r="618" spans="12:16" ht="42" x14ac:dyDescent="0.35">
      <c r="L618" s="544">
        <v>610287</v>
      </c>
      <c r="M618" s="545" t="s">
        <v>2870</v>
      </c>
      <c r="N618" s="89" t="s">
        <v>2871</v>
      </c>
      <c r="O618" s="89" t="s">
        <v>2872</v>
      </c>
      <c r="P618" t="s">
        <v>887</v>
      </c>
    </row>
    <row r="619" spans="12:16" ht="28" x14ac:dyDescent="0.35">
      <c r="L619" s="544">
        <v>610311</v>
      </c>
      <c r="M619" s="545" t="s">
        <v>2873</v>
      </c>
      <c r="N619" s="89" t="s">
        <v>2874</v>
      </c>
      <c r="O619" s="89" t="s">
        <v>2875</v>
      </c>
      <c r="P619" t="s">
        <v>887</v>
      </c>
    </row>
    <row r="620" spans="12:16" ht="42" x14ac:dyDescent="0.35">
      <c r="L620" s="544">
        <v>610332</v>
      </c>
      <c r="M620" s="545" t="s">
        <v>2876</v>
      </c>
      <c r="N620" s="89" t="s">
        <v>2877</v>
      </c>
      <c r="O620" s="89" t="s">
        <v>2878</v>
      </c>
      <c r="P620" t="s">
        <v>887</v>
      </c>
    </row>
    <row r="621" spans="12:16" ht="42" x14ac:dyDescent="0.35">
      <c r="L621" s="544">
        <v>610675</v>
      </c>
      <c r="M621" s="545" t="s">
        <v>2879</v>
      </c>
      <c r="N621" s="89" t="s">
        <v>2880</v>
      </c>
      <c r="O621" s="89" t="s">
        <v>2881</v>
      </c>
      <c r="P621" t="s">
        <v>887</v>
      </c>
    </row>
    <row r="622" spans="12:16" ht="56" x14ac:dyDescent="0.35">
      <c r="L622" s="544">
        <v>610711</v>
      </c>
      <c r="M622" s="545" t="s">
        <v>2882</v>
      </c>
      <c r="N622" s="89" t="s">
        <v>2883</v>
      </c>
      <c r="O622" s="89" t="s">
        <v>2884</v>
      </c>
      <c r="P622" t="s">
        <v>887</v>
      </c>
    </row>
    <row r="623" spans="12:16" ht="56" x14ac:dyDescent="0.35">
      <c r="L623" s="544">
        <v>610717</v>
      </c>
      <c r="M623" s="545" t="s">
        <v>2885</v>
      </c>
      <c r="N623" s="89" t="s">
        <v>2886</v>
      </c>
      <c r="O623" s="89" t="s">
        <v>2887</v>
      </c>
      <c r="P623" t="s">
        <v>887</v>
      </c>
    </row>
    <row r="624" spans="12:16" ht="42" x14ac:dyDescent="0.35">
      <c r="L624" s="544">
        <v>610718</v>
      </c>
      <c r="M624" s="545" t="s">
        <v>2888</v>
      </c>
      <c r="N624" s="89" t="s">
        <v>2889</v>
      </c>
      <c r="O624" s="89" t="s">
        <v>2890</v>
      </c>
      <c r="P624" t="s">
        <v>887</v>
      </c>
    </row>
    <row r="625" spans="12:16" ht="70" x14ac:dyDescent="0.35">
      <c r="L625" s="544">
        <v>610760</v>
      </c>
      <c r="M625" s="545" t="s">
        <v>2891</v>
      </c>
      <c r="N625" s="89" t="s">
        <v>2892</v>
      </c>
      <c r="O625" s="89" t="s">
        <v>909</v>
      </c>
      <c r="P625" t="s">
        <v>887</v>
      </c>
    </row>
    <row r="626" spans="12:16" ht="42" x14ac:dyDescent="0.35">
      <c r="L626" s="544">
        <v>610811</v>
      </c>
      <c r="M626" s="545" t="s">
        <v>2893</v>
      </c>
      <c r="N626" s="89" t="s">
        <v>2894</v>
      </c>
      <c r="O626" s="89" t="s">
        <v>2895</v>
      </c>
      <c r="P626" t="s">
        <v>887</v>
      </c>
    </row>
    <row r="627" spans="12:16" ht="70" x14ac:dyDescent="0.35">
      <c r="L627" s="544">
        <v>610911</v>
      </c>
      <c r="M627" s="545" t="s">
        <v>2896</v>
      </c>
      <c r="N627" s="89" t="s">
        <v>2897</v>
      </c>
      <c r="O627" s="89" t="s">
        <v>2898</v>
      </c>
      <c r="P627" t="s">
        <v>887</v>
      </c>
    </row>
    <row r="628" spans="12:16" ht="56" x14ac:dyDescent="0.35">
      <c r="L628" s="544">
        <v>610913</v>
      </c>
      <c r="M628" s="545" t="s">
        <v>2899</v>
      </c>
      <c r="N628" s="89" t="s">
        <v>2900</v>
      </c>
      <c r="O628" s="89" t="s">
        <v>2901</v>
      </c>
      <c r="P628" t="s">
        <v>887</v>
      </c>
    </row>
    <row r="629" spans="12:16" ht="42" x14ac:dyDescent="0.35">
      <c r="L629" s="544">
        <v>610915</v>
      </c>
      <c r="M629" s="545" t="s">
        <v>2902</v>
      </c>
      <c r="N629" s="89" t="s">
        <v>2903</v>
      </c>
      <c r="O629" s="89" t="s">
        <v>2904</v>
      </c>
      <c r="P629" t="s">
        <v>887</v>
      </c>
    </row>
    <row r="630" spans="12:16" ht="28" x14ac:dyDescent="0.35">
      <c r="L630" s="544">
        <v>610916</v>
      </c>
      <c r="M630" s="545" t="s">
        <v>2905</v>
      </c>
      <c r="N630" s="89" t="s">
        <v>2906</v>
      </c>
      <c r="O630" s="89" t="s">
        <v>909</v>
      </c>
      <c r="P630" t="s">
        <v>887</v>
      </c>
    </row>
    <row r="631" spans="12:16" ht="56" x14ac:dyDescent="0.35">
      <c r="L631" s="544">
        <v>620099</v>
      </c>
      <c r="M631" s="545" t="s">
        <v>2907</v>
      </c>
      <c r="N631" s="89" t="s">
        <v>2908</v>
      </c>
      <c r="O631" s="89" t="s">
        <v>2909</v>
      </c>
      <c r="P631" t="s">
        <v>887</v>
      </c>
    </row>
    <row r="632" spans="12:16" ht="28" x14ac:dyDescent="0.35">
      <c r="L632" s="544">
        <v>690252</v>
      </c>
      <c r="M632" s="545" t="s">
        <v>2910</v>
      </c>
      <c r="N632" s="89" t="s">
        <v>2911</v>
      </c>
      <c r="O632" s="89" t="s">
        <v>2912</v>
      </c>
      <c r="P632" t="s">
        <v>887</v>
      </c>
    </row>
    <row r="633" spans="12:16" ht="28" x14ac:dyDescent="0.35">
      <c r="L633" s="544">
        <v>690432</v>
      </c>
      <c r="M633" s="545" t="s">
        <v>2913</v>
      </c>
      <c r="N633" s="89" t="s">
        <v>2914</v>
      </c>
      <c r="O633" s="89" t="s">
        <v>2915</v>
      </c>
      <c r="P633" t="s">
        <v>887</v>
      </c>
    </row>
    <row r="634" spans="12:16" ht="42" x14ac:dyDescent="0.35">
      <c r="L634" s="544">
        <v>690625</v>
      </c>
      <c r="M634" s="545" t="s">
        <v>2916</v>
      </c>
      <c r="N634" s="89" t="s">
        <v>2917</v>
      </c>
      <c r="O634" s="89" t="s">
        <v>2918</v>
      </c>
      <c r="P634" t="s">
        <v>887</v>
      </c>
    </row>
    <row r="635" spans="12:16" ht="42" x14ac:dyDescent="0.35">
      <c r="L635" s="544">
        <v>690792</v>
      </c>
      <c r="M635" s="545" t="s">
        <v>2919</v>
      </c>
      <c r="N635" s="89" t="s">
        <v>2920</v>
      </c>
      <c r="O635" s="89" t="s">
        <v>2921</v>
      </c>
      <c r="P635" t="s">
        <v>887</v>
      </c>
    </row>
    <row r="636" spans="12:16" ht="28" x14ac:dyDescent="0.35">
      <c r="L636" s="544">
        <v>690795</v>
      </c>
      <c r="M636" s="545" t="s">
        <v>2922</v>
      </c>
      <c r="N636" s="89" t="s">
        <v>2923</v>
      </c>
      <c r="O636" s="89" t="s">
        <v>2924</v>
      </c>
      <c r="P636" t="s">
        <v>887</v>
      </c>
    </row>
    <row r="637" spans="12:16" ht="28" x14ac:dyDescent="0.35">
      <c r="L637" s="544">
        <v>690798</v>
      </c>
      <c r="M637" s="545" t="s">
        <v>2925</v>
      </c>
      <c r="N637" s="89" t="s">
        <v>2926</v>
      </c>
      <c r="O637" s="89" t="s">
        <v>2927</v>
      </c>
      <c r="P637" t="s">
        <v>887</v>
      </c>
    </row>
    <row r="638" spans="12:16" ht="28" x14ac:dyDescent="0.35">
      <c r="L638" s="544">
        <v>711111</v>
      </c>
      <c r="M638" s="545" t="s">
        <v>2928</v>
      </c>
      <c r="N638" s="89" t="s">
        <v>2929</v>
      </c>
      <c r="O638" s="89" t="s">
        <v>2930</v>
      </c>
      <c r="P638" t="s">
        <v>887</v>
      </c>
    </row>
    <row r="639" spans="12:16" ht="28" x14ac:dyDescent="0.35">
      <c r="L639" s="544">
        <v>711121</v>
      </c>
      <c r="M639" s="545" t="s">
        <v>2931</v>
      </c>
      <c r="N639" s="89" t="s">
        <v>2932</v>
      </c>
      <c r="O639" s="89" t="s">
        <v>2933</v>
      </c>
      <c r="P639" t="s">
        <v>887</v>
      </c>
    </row>
    <row r="640" spans="12:16" ht="28" x14ac:dyDescent="0.35">
      <c r="L640" s="544">
        <v>711131</v>
      </c>
      <c r="M640" s="545" t="s">
        <v>2934</v>
      </c>
      <c r="N640" s="89" t="s">
        <v>2935</v>
      </c>
      <c r="O640" s="89" t="s">
        <v>2936</v>
      </c>
      <c r="P640" t="s">
        <v>887</v>
      </c>
    </row>
    <row r="641" spans="12:16" ht="28" x14ac:dyDescent="0.35">
      <c r="L641" s="544">
        <v>711142</v>
      </c>
      <c r="M641" s="545" t="s">
        <v>2937</v>
      </c>
      <c r="N641" s="89" t="s">
        <v>2938</v>
      </c>
      <c r="O641" s="89" t="s">
        <v>2939</v>
      </c>
      <c r="P641" t="s">
        <v>887</v>
      </c>
    </row>
    <row r="642" spans="12:16" ht="28" x14ac:dyDescent="0.35">
      <c r="L642" s="544">
        <v>711143</v>
      </c>
      <c r="M642" s="545" t="s">
        <v>2940</v>
      </c>
      <c r="N642" s="89" t="s">
        <v>2941</v>
      </c>
      <c r="O642" s="89" t="s">
        <v>2942</v>
      </c>
      <c r="P642" t="s">
        <v>887</v>
      </c>
    </row>
    <row r="643" spans="12:16" ht="28" x14ac:dyDescent="0.35">
      <c r="L643" s="544">
        <v>711144</v>
      </c>
      <c r="M643" s="545" t="s">
        <v>2943</v>
      </c>
      <c r="N643" s="89" t="s">
        <v>2944</v>
      </c>
      <c r="O643" s="89" t="s">
        <v>2945</v>
      </c>
      <c r="P643" t="s">
        <v>887</v>
      </c>
    </row>
    <row r="644" spans="12:16" ht="42" x14ac:dyDescent="0.35">
      <c r="L644" s="544">
        <v>711151</v>
      </c>
      <c r="M644" s="545" t="s">
        <v>2946</v>
      </c>
      <c r="N644" s="89" t="s">
        <v>2947</v>
      </c>
      <c r="O644" s="89" t="s">
        <v>2948</v>
      </c>
      <c r="P644" t="s">
        <v>887</v>
      </c>
    </row>
    <row r="645" spans="12:16" ht="28" x14ac:dyDescent="0.35">
      <c r="L645" s="544">
        <v>711161</v>
      </c>
      <c r="M645" s="545" t="s">
        <v>2949</v>
      </c>
      <c r="N645" s="89" t="s">
        <v>2950</v>
      </c>
      <c r="O645" s="89" t="s">
        <v>2951</v>
      </c>
      <c r="P645" t="s">
        <v>887</v>
      </c>
    </row>
    <row r="646" spans="12:16" ht="28" x14ac:dyDescent="0.35">
      <c r="L646" s="544">
        <v>711171</v>
      </c>
      <c r="M646" s="545" t="s">
        <v>2952</v>
      </c>
      <c r="N646" s="89" t="s">
        <v>2953</v>
      </c>
      <c r="O646" s="89" t="s">
        <v>2954</v>
      </c>
      <c r="P646" t="s">
        <v>887</v>
      </c>
    </row>
    <row r="647" spans="12:16" ht="56" x14ac:dyDescent="0.35">
      <c r="L647" s="544">
        <v>711181</v>
      </c>
      <c r="M647" s="545" t="s">
        <v>2955</v>
      </c>
      <c r="N647" s="89" t="s">
        <v>2956</v>
      </c>
      <c r="O647" s="89" t="s">
        <v>2957</v>
      </c>
      <c r="P647" t="s">
        <v>887</v>
      </c>
    </row>
    <row r="648" spans="12:16" ht="42" x14ac:dyDescent="0.35">
      <c r="L648" s="544">
        <v>711191</v>
      </c>
      <c r="M648" s="545" t="s">
        <v>2958</v>
      </c>
      <c r="N648" s="89" t="s">
        <v>2959</v>
      </c>
      <c r="O648" s="89" t="s">
        <v>2960</v>
      </c>
      <c r="P648" t="s">
        <v>887</v>
      </c>
    </row>
    <row r="649" spans="12:16" ht="28" x14ac:dyDescent="0.35">
      <c r="L649" s="544">
        <v>711211</v>
      </c>
      <c r="M649" s="545" t="s">
        <v>2961</v>
      </c>
      <c r="N649" s="89" t="s">
        <v>2962</v>
      </c>
      <c r="O649" s="89" t="s">
        <v>2963</v>
      </c>
      <c r="P649" t="s">
        <v>887</v>
      </c>
    </row>
    <row r="650" spans="12:16" ht="15.5" x14ac:dyDescent="0.35">
      <c r="L650" s="544">
        <v>711221</v>
      </c>
      <c r="M650" s="545" t="s">
        <v>2964</v>
      </c>
      <c r="N650" s="89" t="s">
        <v>2965</v>
      </c>
      <c r="O650" s="89" t="s">
        <v>2966</v>
      </c>
      <c r="P650" t="s">
        <v>887</v>
      </c>
    </row>
    <row r="651" spans="12:16" ht="15.5" x14ac:dyDescent="0.35">
      <c r="L651" s="544">
        <v>711231</v>
      </c>
      <c r="M651" s="545" t="s">
        <v>2967</v>
      </c>
      <c r="N651" s="89" t="s">
        <v>2968</v>
      </c>
      <c r="O651" s="89" t="s">
        <v>2969</v>
      </c>
      <c r="P651" t="s">
        <v>887</v>
      </c>
    </row>
    <row r="652" spans="12:16" ht="28" x14ac:dyDescent="0.35">
      <c r="L652" s="544">
        <v>711311</v>
      </c>
      <c r="M652" s="545" t="s">
        <v>2970</v>
      </c>
      <c r="N652" s="89" t="s">
        <v>2971</v>
      </c>
      <c r="O652" s="89" t="s">
        <v>2972</v>
      </c>
      <c r="P652" t="s">
        <v>887</v>
      </c>
    </row>
    <row r="653" spans="12:16" ht="28" x14ac:dyDescent="0.35">
      <c r="L653" s="544">
        <v>711312</v>
      </c>
      <c r="M653" s="545" t="s">
        <v>2973</v>
      </c>
      <c r="N653" s="89" t="s">
        <v>2974</v>
      </c>
      <c r="O653" s="89" t="s">
        <v>2975</v>
      </c>
      <c r="P653" t="s">
        <v>887</v>
      </c>
    </row>
    <row r="654" spans="12:16" ht="56" x14ac:dyDescent="0.35">
      <c r="L654" s="544">
        <v>711560</v>
      </c>
      <c r="M654" s="545" t="s">
        <v>2976</v>
      </c>
      <c r="N654" s="89" t="s">
        <v>2977</v>
      </c>
      <c r="O654" s="89" t="s">
        <v>909</v>
      </c>
      <c r="P654" t="s">
        <v>887</v>
      </c>
    </row>
    <row r="655" spans="12:16" ht="42" x14ac:dyDescent="0.35">
      <c r="L655" s="544">
        <v>713352</v>
      </c>
      <c r="M655" s="545" t="s">
        <v>2978</v>
      </c>
      <c r="N655" s="89" t="s">
        <v>2979</v>
      </c>
      <c r="O655" s="89" t="s">
        <v>2980</v>
      </c>
      <c r="P655" t="s">
        <v>887</v>
      </c>
    </row>
    <row r="656" spans="12:16" ht="28" x14ac:dyDescent="0.35">
      <c r="L656" s="544">
        <v>713366</v>
      </c>
      <c r="M656" s="545" t="s">
        <v>2981</v>
      </c>
      <c r="N656" s="89" t="s">
        <v>2982</v>
      </c>
      <c r="O656" s="89" t="s">
        <v>2983</v>
      </c>
      <c r="P656" t="s">
        <v>887</v>
      </c>
    </row>
    <row r="657" spans="12:16" ht="28" x14ac:dyDescent="0.35">
      <c r="L657" s="544">
        <v>714310</v>
      </c>
      <c r="M657" s="545" t="s">
        <v>2984</v>
      </c>
      <c r="N657" s="89" t="s">
        <v>2985</v>
      </c>
      <c r="O657" s="89" t="s">
        <v>909</v>
      </c>
      <c r="P657" t="s">
        <v>887</v>
      </c>
    </row>
    <row r="658" spans="12:16" ht="28" x14ac:dyDescent="0.35">
      <c r="L658" s="544">
        <v>714431</v>
      </c>
      <c r="M658" s="545" t="s">
        <v>2986</v>
      </c>
      <c r="N658" s="89" t="s">
        <v>2987</v>
      </c>
      <c r="O658" s="89" t="s">
        <v>2988</v>
      </c>
      <c r="P658" t="s">
        <v>887</v>
      </c>
    </row>
    <row r="659" spans="12:16" ht="28" x14ac:dyDescent="0.35">
      <c r="L659" s="544">
        <v>714432</v>
      </c>
      <c r="M659" s="545" t="s">
        <v>2989</v>
      </c>
      <c r="N659" s="89" t="s">
        <v>2990</v>
      </c>
      <c r="O659" s="89" t="s">
        <v>2991</v>
      </c>
      <c r="P659" t="s">
        <v>887</v>
      </c>
    </row>
    <row r="660" spans="12:16" ht="28" x14ac:dyDescent="0.35">
      <c r="L660" s="544">
        <v>714433</v>
      </c>
      <c r="M660" s="545" t="s">
        <v>2992</v>
      </c>
      <c r="N660" s="89" t="s">
        <v>2993</v>
      </c>
      <c r="O660" s="89" t="s">
        <v>2994</v>
      </c>
      <c r="P660" t="s">
        <v>887</v>
      </c>
    </row>
    <row r="661" spans="12:16" ht="210" x14ac:dyDescent="0.35">
      <c r="L661" s="544">
        <v>720100</v>
      </c>
      <c r="M661" s="545" t="s">
        <v>2995</v>
      </c>
      <c r="N661" s="89" t="s">
        <v>2996</v>
      </c>
      <c r="O661" s="89" t="s">
        <v>909</v>
      </c>
      <c r="P661" t="s">
        <v>887</v>
      </c>
    </row>
    <row r="662" spans="12:16" ht="42" x14ac:dyDescent="0.35">
      <c r="L662" s="544">
        <v>721123</v>
      </c>
      <c r="M662" s="545" t="s">
        <v>2997</v>
      </c>
      <c r="N662" s="89" t="s">
        <v>2998</v>
      </c>
      <c r="O662" s="89" t="s">
        <v>2999</v>
      </c>
      <c r="P662" t="s">
        <v>887</v>
      </c>
    </row>
    <row r="663" spans="12:16" ht="31" x14ac:dyDescent="0.35">
      <c r="L663" s="544">
        <v>721201</v>
      </c>
      <c r="M663" s="545" t="s">
        <v>3000</v>
      </c>
      <c r="N663" s="89" t="s">
        <v>3001</v>
      </c>
      <c r="O663" s="89" t="s">
        <v>3002</v>
      </c>
      <c r="P663" t="s">
        <v>887</v>
      </c>
    </row>
    <row r="664" spans="12:16" ht="28" x14ac:dyDescent="0.35">
      <c r="L664" s="544">
        <v>721215</v>
      </c>
      <c r="M664" s="545" t="s">
        <v>3003</v>
      </c>
      <c r="N664" s="89" t="s">
        <v>3004</v>
      </c>
      <c r="O664" s="89" t="s">
        <v>3005</v>
      </c>
      <c r="P664" t="s">
        <v>887</v>
      </c>
    </row>
    <row r="665" spans="12:16" ht="42" x14ac:dyDescent="0.35">
      <c r="L665" s="544">
        <v>721311</v>
      </c>
      <c r="M665" s="545" t="s">
        <v>3006</v>
      </c>
      <c r="N665" s="89" t="s">
        <v>3007</v>
      </c>
      <c r="O665" s="89" t="s">
        <v>3008</v>
      </c>
      <c r="P665" t="s">
        <v>887</v>
      </c>
    </row>
    <row r="666" spans="12:16" ht="42" x14ac:dyDescent="0.35">
      <c r="L666" s="544">
        <v>721312</v>
      </c>
      <c r="M666" s="545" t="s">
        <v>3009</v>
      </c>
      <c r="N666" s="89" t="s">
        <v>3010</v>
      </c>
      <c r="O666" s="89" t="s">
        <v>3011</v>
      </c>
      <c r="P666" t="s">
        <v>887</v>
      </c>
    </row>
    <row r="667" spans="12:16" ht="70" x14ac:dyDescent="0.35">
      <c r="L667" s="544">
        <v>721313</v>
      </c>
      <c r="M667" s="545" t="s">
        <v>3012</v>
      </c>
      <c r="N667" s="89" t="s">
        <v>3013</v>
      </c>
      <c r="O667" s="89" t="s">
        <v>3014</v>
      </c>
      <c r="P667" t="s">
        <v>887</v>
      </c>
    </row>
    <row r="668" spans="12:16" ht="42" x14ac:dyDescent="0.35">
      <c r="L668" s="544">
        <v>721314</v>
      </c>
      <c r="M668" s="545" t="s">
        <v>3015</v>
      </c>
      <c r="N668" s="89" t="s">
        <v>3016</v>
      </c>
      <c r="O668" s="89" t="s">
        <v>3017</v>
      </c>
      <c r="P668" t="s">
        <v>887</v>
      </c>
    </row>
    <row r="669" spans="12:16" ht="28" x14ac:dyDescent="0.35">
      <c r="L669" s="544">
        <v>721315</v>
      </c>
      <c r="M669" s="545" t="s">
        <v>3018</v>
      </c>
      <c r="N669" s="89" t="s">
        <v>3019</v>
      </c>
      <c r="O669" s="89" t="s">
        <v>3020</v>
      </c>
      <c r="P669" t="s">
        <v>887</v>
      </c>
    </row>
    <row r="670" spans="12:16" ht="28" x14ac:dyDescent="0.35">
      <c r="L670" s="544">
        <v>721316</v>
      </c>
      <c r="M670" s="545" t="s">
        <v>3021</v>
      </c>
      <c r="N670" s="89" t="s">
        <v>3022</v>
      </c>
      <c r="O670" s="89" t="s">
        <v>3023</v>
      </c>
      <c r="P670" t="s">
        <v>887</v>
      </c>
    </row>
    <row r="671" spans="12:16" ht="42" x14ac:dyDescent="0.35">
      <c r="L671" s="544">
        <v>721321</v>
      </c>
      <c r="M671" s="545" t="s">
        <v>3024</v>
      </c>
      <c r="N671" s="89" t="s">
        <v>3025</v>
      </c>
      <c r="O671" s="89" t="s">
        <v>3026</v>
      </c>
      <c r="P671" t="s">
        <v>887</v>
      </c>
    </row>
    <row r="672" spans="12:16" ht="84" x14ac:dyDescent="0.35">
      <c r="L672" s="544">
        <v>721322</v>
      </c>
      <c r="M672" s="545" t="s">
        <v>3027</v>
      </c>
      <c r="N672" s="89" t="s">
        <v>3028</v>
      </c>
      <c r="O672" s="89" t="s">
        <v>3029</v>
      </c>
      <c r="P672" t="s">
        <v>887</v>
      </c>
    </row>
    <row r="673" spans="12:16" ht="84" x14ac:dyDescent="0.35">
      <c r="L673" s="544">
        <v>721421</v>
      </c>
      <c r="M673" s="545" t="s">
        <v>3030</v>
      </c>
      <c r="N673" s="89" t="s">
        <v>3031</v>
      </c>
      <c r="O673" s="89" t="s">
        <v>3032</v>
      </c>
      <c r="P673" t="s">
        <v>887</v>
      </c>
    </row>
    <row r="674" spans="12:16" ht="42" x14ac:dyDescent="0.35">
      <c r="L674" s="544">
        <v>722345</v>
      </c>
      <c r="M674" s="545" t="s">
        <v>3033</v>
      </c>
      <c r="N674" s="89" t="s">
        <v>3034</v>
      </c>
      <c r="O674" s="89" t="s">
        <v>3035</v>
      </c>
      <c r="P674" t="s">
        <v>887</v>
      </c>
    </row>
    <row r="675" spans="12:16" ht="42" x14ac:dyDescent="0.35">
      <c r="L675" s="544">
        <v>722351</v>
      </c>
      <c r="M675" s="545" t="s">
        <v>3036</v>
      </c>
      <c r="N675" s="89" t="s">
        <v>3037</v>
      </c>
      <c r="O675" s="89" t="s">
        <v>3038</v>
      </c>
      <c r="P675" t="s">
        <v>887</v>
      </c>
    </row>
    <row r="676" spans="12:16" ht="42" x14ac:dyDescent="0.35">
      <c r="L676" s="544">
        <v>722356</v>
      </c>
      <c r="M676" s="545" t="s">
        <v>3039</v>
      </c>
      <c r="N676" s="89" t="s">
        <v>3040</v>
      </c>
      <c r="O676" s="89" t="s">
        <v>3041</v>
      </c>
      <c r="P676" t="s">
        <v>887</v>
      </c>
    </row>
    <row r="677" spans="12:16" ht="28" x14ac:dyDescent="0.35">
      <c r="L677" s="547">
        <v>723242</v>
      </c>
      <c r="M677" s="545" t="s">
        <v>3042</v>
      </c>
      <c r="N677" s="89" t="s">
        <v>3043</v>
      </c>
      <c r="O677" s="89" t="s">
        <v>909</v>
      </c>
      <c r="P677" t="s">
        <v>887</v>
      </c>
    </row>
    <row r="678" spans="12:16" ht="42" x14ac:dyDescent="0.35">
      <c r="L678" s="544">
        <v>723385</v>
      </c>
      <c r="M678" s="545" t="s">
        <v>3044</v>
      </c>
      <c r="N678" s="89" t="s">
        <v>3045</v>
      </c>
      <c r="O678" s="89" t="s">
        <v>3046</v>
      </c>
      <c r="P678" t="s">
        <v>887</v>
      </c>
    </row>
    <row r="679" spans="12:16" ht="42" x14ac:dyDescent="0.35">
      <c r="L679" s="544">
        <v>723388</v>
      </c>
      <c r="M679" s="545" t="s">
        <v>356</v>
      </c>
      <c r="N679" s="89" t="s">
        <v>3047</v>
      </c>
      <c r="O679" s="89" t="s">
        <v>3048</v>
      </c>
      <c r="P679" t="s">
        <v>887</v>
      </c>
    </row>
    <row r="680" spans="12:16" ht="15.5" x14ac:dyDescent="0.35">
      <c r="L680" s="544">
        <v>723392</v>
      </c>
      <c r="M680" s="545" t="s">
        <v>3049</v>
      </c>
      <c r="N680" s="89" t="s">
        <v>3050</v>
      </c>
      <c r="O680" s="89" t="s">
        <v>3051</v>
      </c>
      <c r="P680" t="s">
        <v>887</v>
      </c>
    </row>
    <row r="681" spans="12:16" ht="28" x14ac:dyDescent="0.35">
      <c r="L681" s="544">
        <v>723510</v>
      </c>
      <c r="M681" s="545" t="s">
        <v>3052</v>
      </c>
      <c r="N681" s="89" t="s">
        <v>3053</v>
      </c>
      <c r="O681" s="89" t="s">
        <v>909</v>
      </c>
      <c r="P681" t="s">
        <v>887</v>
      </c>
    </row>
    <row r="682" spans="12:16" ht="28" x14ac:dyDescent="0.35">
      <c r="L682" s="544">
        <v>723600</v>
      </c>
      <c r="M682" s="545" t="s">
        <v>3054</v>
      </c>
      <c r="N682" s="89" t="s">
        <v>3055</v>
      </c>
      <c r="O682" s="89" t="s">
        <v>909</v>
      </c>
      <c r="P682" t="s">
        <v>887</v>
      </c>
    </row>
    <row r="683" spans="12:16" ht="42" x14ac:dyDescent="0.35">
      <c r="L683" s="544">
        <v>723610</v>
      </c>
      <c r="M683" s="545" t="s">
        <v>3056</v>
      </c>
      <c r="N683" s="89" t="s">
        <v>3057</v>
      </c>
      <c r="O683" s="89" t="s">
        <v>909</v>
      </c>
      <c r="P683" t="s">
        <v>887</v>
      </c>
    </row>
    <row r="684" spans="12:16" ht="56" x14ac:dyDescent="0.35">
      <c r="L684" s="544">
        <v>724415</v>
      </c>
      <c r="M684" s="545" t="s">
        <v>3058</v>
      </c>
      <c r="N684" s="89" t="s">
        <v>3059</v>
      </c>
      <c r="O684" s="89" t="s">
        <v>3060</v>
      </c>
      <c r="P684" t="s">
        <v>887</v>
      </c>
    </row>
    <row r="685" spans="12:16" ht="42" x14ac:dyDescent="0.35">
      <c r="L685" s="544">
        <v>724417</v>
      </c>
      <c r="M685" s="545" t="s">
        <v>3061</v>
      </c>
      <c r="N685" s="89" t="s">
        <v>3062</v>
      </c>
      <c r="O685" s="89" t="s">
        <v>3063</v>
      </c>
      <c r="P685" t="s">
        <v>887</v>
      </c>
    </row>
    <row r="686" spans="12:16" ht="28" x14ac:dyDescent="0.35">
      <c r="L686" s="544">
        <v>724433</v>
      </c>
      <c r="M686" s="545" t="s">
        <v>3064</v>
      </c>
      <c r="N686" s="89" t="s">
        <v>3065</v>
      </c>
      <c r="O686" s="89" t="s">
        <v>3066</v>
      </c>
      <c r="P686" t="s">
        <v>887</v>
      </c>
    </row>
    <row r="687" spans="12:16" ht="70" x14ac:dyDescent="0.35">
      <c r="L687" s="544">
        <v>725100</v>
      </c>
      <c r="M687" s="545" t="s">
        <v>3067</v>
      </c>
      <c r="N687" s="89" t="s">
        <v>3068</v>
      </c>
      <c r="O687" s="89" t="s">
        <v>909</v>
      </c>
      <c r="P687" t="s">
        <v>887</v>
      </c>
    </row>
    <row r="688" spans="12:16" ht="42" x14ac:dyDescent="0.35">
      <c r="L688" s="544">
        <v>725121</v>
      </c>
      <c r="M688" s="545" t="s">
        <v>3069</v>
      </c>
      <c r="N688" s="89" t="s">
        <v>3070</v>
      </c>
      <c r="O688" s="89" t="s">
        <v>3071</v>
      </c>
      <c r="P688" t="s">
        <v>887</v>
      </c>
    </row>
    <row r="689" spans="12:16" ht="42" x14ac:dyDescent="0.35">
      <c r="L689" s="544">
        <v>725513</v>
      </c>
      <c r="M689" s="545" t="s">
        <v>3072</v>
      </c>
      <c r="N689" s="89" t="s">
        <v>3073</v>
      </c>
      <c r="O689" s="89" t="s">
        <v>3074</v>
      </c>
      <c r="P689" t="s">
        <v>887</v>
      </c>
    </row>
    <row r="690" spans="12:16" ht="56" x14ac:dyDescent="0.35">
      <c r="L690" s="544">
        <v>725517</v>
      </c>
      <c r="M690" s="545" t="s">
        <v>3075</v>
      </c>
      <c r="N690" s="89" t="s">
        <v>3076</v>
      </c>
      <c r="O690" s="89" t="s">
        <v>3077</v>
      </c>
      <c r="P690" t="s">
        <v>887</v>
      </c>
    </row>
    <row r="691" spans="12:16" ht="84" x14ac:dyDescent="0.35">
      <c r="L691" s="544">
        <v>730142</v>
      </c>
      <c r="M691" s="545" t="s">
        <v>3078</v>
      </c>
      <c r="N691" s="89" t="s">
        <v>3079</v>
      </c>
      <c r="O691" s="89" t="s">
        <v>3080</v>
      </c>
      <c r="P691" t="s">
        <v>887</v>
      </c>
    </row>
    <row r="692" spans="12:16" ht="28" x14ac:dyDescent="0.35">
      <c r="L692" s="544">
        <v>730145</v>
      </c>
      <c r="M692" s="545" t="s">
        <v>3081</v>
      </c>
      <c r="N692" s="89" t="s">
        <v>3082</v>
      </c>
      <c r="O692" s="89" t="s">
        <v>909</v>
      </c>
      <c r="P692" t="s">
        <v>887</v>
      </c>
    </row>
    <row r="693" spans="12:16" ht="28" x14ac:dyDescent="0.35">
      <c r="L693" s="544">
        <v>730147</v>
      </c>
      <c r="M693" s="545" t="s">
        <v>3083</v>
      </c>
      <c r="N693" s="89" t="s">
        <v>3084</v>
      </c>
      <c r="O693" s="89" t="s">
        <v>3085</v>
      </c>
      <c r="P693" t="s">
        <v>887</v>
      </c>
    </row>
    <row r="694" spans="12:16" ht="42" x14ac:dyDescent="0.35">
      <c r="L694" s="544">
        <v>730151</v>
      </c>
      <c r="M694" s="545" t="s">
        <v>3086</v>
      </c>
      <c r="N694" s="89" t="s">
        <v>3087</v>
      </c>
      <c r="O694" s="89" t="s">
        <v>3088</v>
      </c>
      <c r="P694" t="s">
        <v>887</v>
      </c>
    </row>
    <row r="695" spans="12:16" ht="42" x14ac:dyDescent="0.35">
      <c r="L695" s="544">
        <v>730182</v>
      </c>
      <c r="M695" s="545" t="s">
        <v>3089</v>
      </c>
      <c r="N695" s="89" t="s">
        <v>3090</v>
      </c>
      <c r="O695" s="89" t="s">
        <v>3091</v>
      </c>
      <c r="P695" t="s">
        <v>887</v>
      </c>
    </row>
    <row r="696" spans="12:16" ht="15.5" x14ac:dyDescent="0.35">
      <c r="L696" s="544">
        <v>730186</v>
      </c>
      <c r="M696" s="545" t="s">
        <v>3092</v>
      </c>
      <c r="N696" s="89" t="s">
        <v>3093</v>
      </c>
      <c r="O696" s="89" t="s">
        <v>3094</v>
      </c>
      <c r="P696" t="s">
        <v>887</v>
      </c>
    </row>
    <row r="697" spans="12:16" ht="28" x14ac:dyDescent="0.35">
      <c r="L697" s="544">
        <v>730275</v>
      </c>
      <c r="M697" s="545" t="s">
        <v>3095</v>
      </c>
      <c r="N697" s="89" t="s">
        <v>3096</v>
      </c>
      <c r="O697" s="89" t="s">
        <v>3097</v>
      </c>
      <c r="P697" t="s">
        <v>887</v>
      </c>
    </row>
    <row r="698" spans="12:16" ht="28" x14ac:dyDescent="0.35">
      <c r="L698" s="544">
        <v>730277</v>
      </c>
      <c r="M698" s="545" t="s">
        <v>3098</v>
      </c>
      <c r="N698" s="89" t="s">
        <v>3099</v>
      </c>
      <c r="O698" s="89" t="s">
        <v>3100</v>
      </c>
      <c r="P698" t="s">
        <v>887</v>
      </c>
    </row>
    <row r="699" spans="12:16" ht="42" x14ac:dyDescent="0.35">
      <c r="L699" s="544">
        <v>730441</v>
      </c>
      <c r="M699" s="545" t="s">
        <v>3101</v>
      </c>
      <c r="N699" s="89" t="s">
        <v>3102</v>
      </c>
      <c r="O699" s="89" t="s">
        <v>3103</v>
      </c>
      <c r="P699" t="s">
        <v>887</v>
      </c>
    </row>
    <row r="700" spans="12:16" ht="28" x14ac:dyDescent="0.35">
      <c r="L700" s="544">
        <v>730443</v>
      </c>
      <c r="M700" s="545" t="s">
        <v>3104</v>
      </c>
      <c r="N700" s="89" t="s">
        <v>3105</v>
      </c>
      <c r="O700" s="89" t="s">
        <v>3106</v>
      </c>
      <c r="P700" t="s">
        <v>887</v>
      </c>
    </row>
    <row r="701" spans="12:16" ht="28" x14ac:dyDescent="0.35">
      <c r="L701" s="544">
        <v>730551</v>
      </c>
      <c r="M701" s="545" t="s">
        <v>3107</v>
      </c>
      <c r="N701" s="89" t="s">
        <v>3108</v>
      </c>
      <c r="O701" s="89" t="s">
        <v>3109</v>
      </c>
      <c r="P701" t="s">
        <v>887</v>
      </c>
    </row>
    <row r="702" spans="12:16" ht="70" x14ac:dyDescent="0.35">
      <c r="L702" s="544">
        <v>730652</v>
      </c>
      <c r="M702" s="545" t="s">
        <v>3110</v>
      </c>
      <c r="N702" s="89" t="s">
        <v>3111</v>
      </c>
      <c r="O702" s="89" t="s">
        <v>3112</v>
      </c>
      <c r="P702" t="s">
        <v>887</v>
      </c>
    </row>
    <row r="703" spans="12:16" ht="42" x14ac:dyDescent="0.35">
      <c r="L703" s="544">
        <v>730660</v>
      </c>
      <c r="M703" s="545" t="s">
        <v>3113</v>
      </c>
      <c r="N703" s="89" t="s">
        <v>3114</v>
      </c>
      <c r="O703" s="89" t="s">
        <v>3115</v>
      </c>
      <c r="P703" t="s">
        <v>887</v>
      </c>
    </row>
    <row r="704" spans="12:16" ht="56" x14ac:dyDescent="0.35">
      <c r="L704" s="544">
        <v>730711</v>
      </c>
      <c r="M704" s="545" t="s">
        <v>3116</v>
      </c>
      <c r="N704" s="89" t="s">
        <v>3117</v>
      </c>
      <c r="O704" s="89" t="s">
        <v>3118</v>
      </c>
      <c r="P704" t="s">
        <v>887</v>
      </c>
    </row>
    <row r="705" spans="12:16" ht="56" x14ac:dyDescent="0.35">
      <c r="L705" s="544">
        <v>730713</v>
      </c>
      <c r="M705" s="545" t="s">
        <v>3119</v>
      </c>
      <c r="N705" s="89" t="s">
        <v>3120</v>
      </c>
      <c r="O705" s="89" t="s">
        <v>3121</v>
      </c>
      <c r="P705" t="s">
        <v>887</v>
      </c>
    </row>
    <row r="706" spans="12:16" ht="42" x14ac:dyDescent="0.35">
      <c r="L706" s="544">
        <v>730717</v>
      </c>
      <c r="M706" s="545" t="s">
        <v>3122</v>
      </c>
      <c r="N706" s="89" t="s">
        <v>3123</v>
      </c>
      <c r="O706" s="89" t="s">
        <v>3124</v>
      </c>
      <c r="P706" t="s">
        <v>887</v>
      </c>
    </row>
    <row r="707" spans="12:16" ht="84" x14ac:dyDescent="0.35">
      <c r="L707" s="544">
        <v>730740</v>
      </c>
      <c r="M707" s="545" t="s">
        <v>3125</v>
      </c>
      <c r="N707" s="89" t="s">
        <v>3126</v>
      </c>
      <c r="O707" s="89" t="s">
        <v>909</v>
      </c>
      <c r="P707" t="s">
        <v>887</v>
      </c>
    </row>
    <row r="708" spans="12:16" ht="56" x14ac:dyDescent="0.35">
      <c r="L708" s="544">
        <v>730771</v>
      </c>
      <c r="M708" s="545" t="s">
        <v>3127</v>
      </c>
      <c r="N708" s="89" t="s">
        <v>3128</v>
      </c>
      <c r="O708" s="89" t="s">
        <v>3129</v>
      </c>
      <c r="P708" t="s">
        <v>887</v>
      </c>
    </row>
    <row r="709" spans="12:16" ht="42" x14ac:dyDescent="0.35">
      <c r="L709" s="544">
        <v>730772</v>
      </c>
      <c r="M709" s="545" t="s">
        <v>3130</v>
      </c>
      <c r="N709" s="89" t="s">
        <v>3131</v>
      </c>
      <c r="O709" s="89" t="s">
        <v>3132</v>
      </c>
      <c r="P709" t="s">
        <v>887</v>
      </c>
    </row>
    <row r="710" spans="12:16" ht="28" x14ac:dyDescent="0.35">
      <c r="L710" s="544">
        <v>730773</v>
      </c>
      <c r="M710" s="545" t="s">
        <v>3133</v>
      </c>
      <c r="N710" s="89" t="s">
        <v>3134</v>
      </c>
      <c r="O710" s="89" t="s">
        <v>3135</v>
      </c>
      <c r="P710" t="s">
        <v>887</v>
      </c>
    </row>
    <row r="711" spans="12:16" ht="56" x14ac:dyDescent="0.35">
      <c r="L711" s="544">
        <v>730774</v>
      </c>
      <c r="M711" s="545" t="s">
        <v>3136</v>
      </c>
      <c r="N711" s="89" t="s">
        <v>3137</v>
      </c>
      <c r="O711" s="89" t="s">
        <v>3138</v>
      </c>
      <c r="P711" t="s">
        <v>887</v>
      </c>
    </row>
    <row r="712" spans="12:16" ht="28" x14ac:dyDescent="0.35">
      <c r="L712" s="544">
        <v>730781</v>
      </c>
      <c r="M712" s="545" t="s">
        <v>3139</v>
      </c>
      <c r="N712" s="89" t="s">
        <v>3140</v>
      </c>
      <c r="O712" s="89" t="s">
        <v>3141</v>
      </c>
      <c r="P712" t="s">
        <v>887</v>
      </c>
    </row>
    <row r="713" spans="12:16" ht="28" x14ac:dyDescent="0.35">
      <c r="L713" s="544">
        <v>730782</v>
      </c>
      <c r="M713" s="545" t="s">
        <v>3142</v>
      </c>
      <c r="N713" s="89" t="s">
        <v>3143</v>
      </c>
      <c r="O713" s="89" t="s">
        <v>3144</v>
      </c>
      <c r="P713" t="s">
        <v>887</v>
      </c>
    </row>
    <row r="714" spans="12:16" ht="28" x14ac:dyDescent="0.35">
      <c r="L714" s="544">
        <v>730783</v>
      </c>
      <c r="M714" s="545" t="s">
        <v>3145</v>
      </c>
      <c r="N714" s="89" t="s">
        <v>3146</v>
      </c>
      <c r="O714" s="89" t="s">
        <v>3147</v>
      </c>
      <c r="P714" t="s">
        <v>887</v>
      </c>
    </row>
    <row r="715" spans="12:16" ht="28" x14ac:dyDescent="0.35">
      <c r="L715" s="544">
        <v>730787</v>
      </c>
      <c r="M715" s="545" t="s">
        <v>3148</v>
      </c>
      <c r="N715" s="89" t="s">
        <v>3149</v>
      </c>
      <c r="O715" s="89" t="s">
        <v>3150</v>
      </c>
      <c r="P715" t="s">
        <v>887</v>
      </c>
    </row>
    <row r="716" spans="12:16" ht="42" x14ac:dyDescent="0.35">
      <c r="L716" s="544">
        <v>730789</v>
      </c>
      <c r="M716" s="545" t="s">
        <v>3151</v>
      </c>
      <c r="N716" s="89" t="s">
        <v>3152</v>
      </c>
      <c r="O716" s="89" t="s">
        <v>3153</v>
      </c>
      <c r="P716" t="s">
        <v>887</v>
      </c>
    </row>
    <row r="717" spans="12:16" ht="70" x14ac:dyDescent="0.35">
      <c r="L717" s="547">
        <v>730801</v>
      </c>
      <c r="M717" s="545" t="s">
        <v>3154</v>
      </c>
      <c r="N717" s="89" t="s">
        <v>3155</v>
      </c>
      <c r="O717" s="89" t="s">
        <v>909</v>
      </c>
      <c r="P717" t="s">
        <v>887</v>
      </c>
    </row>
    <row r="718" spans="12:16" ht="56" x14ac:dyDescent="0.35">
      <c r="L718" s="544">
        <v>730831</v>
      </c>
      <c r="M718" s="545" t="s">
        <v>3156</v>
      </c>
      <c r="N718" s="89" t="s">
        <v>3157</v>
      </c>
      <c r="O718" s="89" t="s">
        <v>3158</v>
      </c>
      <c r="P718" t="s">
        <v>887</v>
      </c>
    </row>
    <row r="719" spans="12:16" ht="42" x14ac:dyDescent="0.35">
      <c r="L719" s="544">
        <v>730832</v>
      </c>
      <c r="M719" s="545" t="s">
        <v>3159</v>
      </c>
      <c r="N719" s="89" t="s">
        <v>3160</v>
      </c>
      <c r="O719" s="89" t="s">
        <v>3161</v>
      </c>
      <c r="P719" t="s">
        <v>887</v>
      </c>
    </row>
    <row r="720" spans="12:16" ht="42" x14ac:dyDescent="0.35">
      <c r="L720" s="544">
        <v>730834</v>
      </c>
      <c r="M720" s="545" t="s">
        <v>3162</v>
      </c>
      <c r="N720" s="89" t="s">
        <v>3163</v>
      </c>
      <c r="O720" s="89" t="s">
        <v>3164</v>
      </c>
      <c r="P720" t="s">
        <v>887</v>
      </c>
    </row>
    <row r="721" spans="12:16" ht="42" x14ac:dyDescent="0.35">
      <c r="L721" s="544">
        <v>730835</v>
      </c>
      <c r="M721" s="545" t="s">
        <v>3165</v>
      </c>
      <c r="N721" s="89" t="s">
        <v>3166</v>
      </c>
      <c r="O721" s="89" t="s">
        <v>3167</v>
      </c>
      <c r="P721" t="s">
        <v>887</v>
      </c>
    </row>
    <row r="722" spans="12:16" ht="42" x14ac:dyDescent="0.35">
      <c r="L722" s="544">
        <v>730836</v>
      </c>
      <c r="M722" s="545" t="s">
        <v>3168</v>
      </c>
      <c r="N722" s="89" t="s">
        <v>3169</v>
      </c>
      <c r="O722" s="89" t="s">
        <v>3170</v>
      </c>
      <c r="P722" t="s">
        <v>887</v>
      </c>
    </row>
    <row r="723" spans="12:16" ht="56" x14ac:dyDescent="0.35">
      <c r="L723" s="544">
        <v>730837</v>
      </c>
      <c r="M723" s="545" t="s">
        <v>3171</v>
      </c>
      <c r="N723" s="89" t="s">
        <v>3172</v>
      </c>
      <c r="O723" s="89" t="s">
        <v>3173</v>
      </c>
      <c r="P723" t="s">
        <v>887</v>
      </c>
    </row>
    <row r="724" spans="12:16" ht="42" x14ac:dyDescent="0.35">
      <c r="L724" s="544">
        <v>730838</v>
      </c>
      <c r="M724" s="545" t="s">
        <v>3174</v>
      </c>
      <c r="N724" s="89" t="s">
        <v>3175</v>
      </c>
      <c r="O724" s="89" t="s">
        <v>3176</v>
      </c>
      <c r="P724" t="s">
        <v>887</v>
      </c>
    </row>
    <row r="725" spans="12:16" ht="84" x14ac:dyDescent="0.35">
      <c r="L725" s="544">
        <v>730839</v>
      </c>
      <c r="M725" s="545" t="s">
        <v>3177</v>
      </c>
      <c r="N725" s="89" t="s">
        <v>3178</v>
      </c>
      <c r="O725" s="89" t="s">
        <v>3179</v>
      </c>
      <c r="P725" t="s">
        <v>887</v>
      </c>
    </row>
    <row r="726" spans="12:16" ht="42" x14ac:dyDescent="0.35">
      <c r="L726" s="544">
        <v>730841</v>
      </c>
      <c r="M726" s="545" t="s">
        <v>3180</v>
      </c>
      <c r="N726" s="89" t="s">
        <v>3181</v>
      </c>
      <c r="O726" s="89" t="s">
        <v>3182</v>
      </c>
      <c r="P726" t="s">
        <v>887</v>
      </c>
    </row>
    <row r="727" spans="12:16" ht="70" x14ac:dyDescent="0.35">
      <c r="L727" s="544">
        <v>730911</v>
      </c>
      <c r="M727" s="545" t="s">
        <v>3183</v>
      </c>
      <c r="N727" s="89" t="s">
        <v>3184</v>
      </c>
      <c r="O727" s="89" t="s">
        <v>3185</v>
      </c>
      <c r="P727" t="s">
        <v>887</v>
      </c>
    </row>
    <row r="728" spans="12:16" ht="42" x14ac:dyDescent="0.35">
      <c r="L728" s="544">
        <v>731421</v>
      </c>
      <c r="M728" s="545" t="s">
        <v>3186</v>
      </c>
      <c r="N728" s="89" t="s">
        <v>3187</v>
      </c>
      <c r="O728" s="89" t="s">
        <v>3188</v>
      </c>
      <c r="P728" t="s">
        <v>887</v>
      </c>
    </row>
    <row r="729" spans="12:16" ht="28" x14ac:dyDescent="0.35">
      <c r="L729" s="544">
        <v>738401</v>
      </c>
      <c r="M729" s="545" t="s">
        <v>3189</v>
      </c>
      <c r="N729" s="89" t="s">
        <v>3190</v>
      </c>
      <c r="O729" s="89" t="s">
        <v>3191</v>
      </c>
      <c r="P729" t="s">
        <v>887</v>
      </c>
    </row>
    <row r="730" spans="12:16" ht="28" x14ac:dyDescent="0.35">
      <c r="L730" s="544">
        <v>738421</v>
      </c>
      <c r="M730" s="545" t="s">
        <v>3192</v>
      </c>
      <c r="N730" s="89" t="s">
        <v>3193</v>
      </c>
      <c r="O730" s="89" t="s">
        <v>3194</v>
      </c>
      <c r="P730" t="s">
        <v>887</v>
      </c>
    </row>
    <row r="731" spans="12:16" ht="28" x14ac:dyDescent="0.35">
      <c r="L731" s="544">
        <v>738499</v>
      </c>
      <c r="M731" s="545" t="s">
        <v>3195</v>
      </c>
      <c r="N731" s="89" t="s">
        <v>3196</v>
      </c>
      <c r="O731" s="89" t="s">
        <v>3197</v>
      </c>
      <c r="P731" t="s">
        <v>887</v>
      </c>
    </row>
    <row r="732" spans="12:16" ht="70" x14ac:dyDescent="0.35">
      <c r="L732" s="544">
        <v>738521</v>
      </c>
      <c r="M732" s="545" t="s">
        <v>3198</v>
      </c>
      <c r="N732" s="89" t="s">
        <v>3199</v>
      </c>
      <c r="O732" s="89" t="s">
        <v>3200</v>
      </c>
      <c r="P732" t="s">
        <v>887</v>
      </c>
    </row>
    <row r="733" spans="12:16" ht="42" x14ac:dyDescent="0.35">
      <c r="L733" s="544">
        <v>740111</v>
      </c>
      <c r="M733" s="545" t="s">
        <v>3201</v>
      </c>
      <c r="N733" s="89" t="s">
        <v>3202</v>
      </c>
      <c r="O733" s="89" t="s">
        <v>3203</v>
      </c>
      <c r="P733" t="s">
        <v>887</v>
      </c>
    </row>
    <row r="734" spans="12:16" ht="42" x14ac:dyDescent="0.35">
      <c r="L734" s="544">
        <v>740153</v>
      </c>
      <c r="M734" s="545" t="s">
        <v>3204</v>
      </c>
      <c r="N734" s="89" t="s">
        <v>3205</v>
      </c>
      <c r="O734" s="89" t="s">
        <v>3206</v>
      </c>
      <c r="P734" t="s">
        <v>887</v>
      </c>
    </row>
    <row r="735" spans="12:16" ht="28" x14ac:dyDescent="0.35">
      <c r="L735" s="544">
        <v>740155</v>
      </c>
      <c r="M735" s="545" t="s">
        <v>3207</v>
      </c>
      <c r="N735" s="89" t="s">
        <v>3208</v>
      </c>
      <c r="O735" s="89" t="s">
        <v>3209</v>
      </c>
      <c r="P735" t="s">
        <v>887</v>
      </c>
    </row>
    <row r="736" spans="12:16" ht="42" x14ac:dyDescent="0.35">
      <c r="L736" s="544">
        <v>740253</v>
      </c>
      <c r="M736" s="545" t="s">
        <v>3210</v>
      </c>
      <c r="N736" s="89" t="s">
        <v>3211</v>
      </c>
      <c r="O736" s="89" t="s">
        <v>3212</v>
      </c>
      <c r="P736" t="s">
        <v>887</v>
      </c>
    </row>
    <row r="737" spans="12:16" ht="42" x14ac:dyDescent="0.35">
      <c r="L737" s="544">
        <v>740255</v>
      </c>
      <c r="M737" s="545" t="s">
        <v>3213</v>
      </c>
      <c r="N737" s="89" t="s">
        <v>3214</v>
      </c>
      <c r="O737" s="89" t="s">
        <v>3215</v>
      </c>
      <c r="P737" t="s">
        <v>887</v>
      </c>
    </row>
    <row r="738" spans="12:16" ht="15.5" x14ac:dyDescent="0.35">
      <c r="L738" s="544">
        <v>740262</v>
      </c>
      <c r="M738" s="545" t="s">
        <v>3216</v>
      </c>
      <c r="N738" s="89" t="s">
        <v>3217</v>
      </c>
      <c r="O738" s="89" t="s">
        <v>909</v>
      </c>
      <c r="P738" t="s">
        <v>887</v>
      </c>
    </row>
    <row r="739" spans="12:16" ht="42" x14ac:dyDescent="0.35">
      <c r="L739" s="544">
        <v>740266</v>
      </c>
      <c r="M739" s="545" t="s">
        <v>3218</v>
      </c>
      <c r="N739" s="89" t="s">
        <v>3219</v>
      </c>
      <c r="O739" s="89" t="s">
        <v>3220</v>
      </c>
      <c r="P739" t="s">
        <v>887</v>
      </c>
    </row>
    <row r="740" spans="12:16" ht="28" x14ac:dyDescent="0.35">
      <c r="L740" s="544">
        <v>740267</v>
      </c>
      <c r="M740" s="545" t="s">
        <v>3221</v>
      </c>
      <c r="N740" s="89" t="s">
        <v>3222</v>
      </c>
      <c r="O740" s="89" t="s">
        <v>3223</v>
      </c>
      <c r="P740" t="s">
        <v>887</v>
      </c>
    </row>
    <row r="741" spans="12:16" ht="42" x14ac:dyDescent="0.35">
      <c r="L741" s="544">
        <v>740269</v>
      </c>
      <c r="M741" s="545" t="s">
        <v>3224</v>
      </c>
      <c r="N741" s="89" t="s">
        <v>3225</v>
      </c>
      <c r="O741" s="89" t="s">
        <v>3226</v>
      </c>
      <c r="P741" t="s">
        <v>887</v>
      </c>
    </row>
    <row r="742" spans="12:16" ht="42" x14ac:dyDescent="0.35">
      <c r="L742" s="544">
        <v>740270</v>
      </c>
      <c r="M742" s="545" t="s">
        <v>3227</v>
      </c>
      <c r="N742" s="89" t="s">
        <v>3228</v>
      </c>
      <c r="O742" s="89" t="s">
        <v>3229</v>
      </c>
      <c r="P742" t="s">
        <v>887</v>
      </c>
    </row>
    <row r="743" spans="12:16" ht="42" x14ac:dyDescent="0.35">
      <c r="L743" s="544">
        <v>740315</v>
      </c>
      <c r="M743" s="545" t="s">
        <v>3230</v>
      </c>
      <c r="N743" s="89" t="s">
        <v>3231</v>
      </c>
      <c r="O743" s="89" t="s">
        <v>3232</v>
      </c>
      <c r="P743" t="s">
        <v>887</v>
      </c>
    </row>
    <row r="744" spans="12:16" ht="56" x14ac:dyDescent="0.35">
      <c r="L744" s="544">
        <v>740316</v>
      </c>
      <c r="M744" s="545" t="s">
        <v>3233</v>
      </c>
      <c r="N744" s="89" t="s">
        <v>3234</v>
      </c>
      <c r="O744" s="89" t="s">
        <v>3235</v>
      </c>
      <c r="P744" t="s">
        <v>887</v>
      </c>
    </row>
    <row r="745" spans="12:16" ht="28" x14ac:dyDescent="0.35">
      <c r="L745" s="544">
        <v>740317</v>
      </c>
      <c r="M745" s="545" t="s">
        <v>3236</v>
      </c>
      <c r="N745" s="89" t="s">
        <v>3237</v>
      </c>
      <c r="O745" s="89" t="s">
        <v>3238</v>
      </c>
      <c r="P745" t="s">
        <v>887</v>
      </c>
    </row>
    <row r="746" spans="12:16" ht="42" x14ac:dyDescent="0.35">
      <c r="L746" s="544">
        <v>740320</v>
      </c>
      <c r="M746" s="545" t="s">
        <v>3239</v>
      </c>
      <c r="N746" s="89" t="s">
        <v>3240</v>
      </c>
      <c r="O746" s="89" t="s">
        <v>909</v>
      </c>
      <c r="P746" t="s">
        <v>887</v>
      </c>
    </row>
    <row r="747" spans="12:16" ht="70" x14ac:dyDescent="0.35">
      <c r="L747" s="544">
        <v>740370</v>
      </c>
      <c r="M747" s="545" t="s">
        <v>3241</v>
      </c>
      <c r="N747" s="89" t="s">
        <v>3242</v>
      </c>
      <c r="O747" s="89" t="s">
        <v>909</v>
      </c>
      <c r="P747" t="s">
        <v>887</v>
      </c>
    </row>
    <row r="748" spans="12:16" ht="42" x14ac:dyDescent="0.35">
      <c r="L748" s="544">
        <v>740379</v>
      </c>
      <c r="M748" s="545" t="s">
        <v>3243</v>
      </c>
      <c r="N748" s="89" t="s">
        <v>3244</v>
      </c>
      <c r="O748" s="89" t="s">
        <v>3245</v>
      </c>
      <c r="P748" t="s">
        <v>887</v>
      </c>
    </row>
    <row r="749" spans="12:16" ht="56" x14ac:dyDescent="0.35">
      <c r="L749" s="544">
        <v>740381</v>
      </c>
      <c r="M749" s="545" t="s">
        <v>3246</v>
      </c>
      <c r="N749" s="89" t="s">
        <v>3247</v>
      </c>
      <c r="O749" s="89" t="s">
        <v>3248</v>
      </c>
      <c r="P749" t="s">
        <v>887</v>
      </c>
    </row>
    <row r="750" spans="12:16" ht="42" x14ac:dyDescent="0.35">
      <c r="L750" s="544">
        <v>740382</v>
      </c>
      <c r="M750" s="545" t="s">
        <v>3249</v>
      </c>
      <c r="N750" s="89" t="s">
        <v>3250</v>
      </c>
      <c r="O750" s="89" t="s">
        <v>3251</v>
      </c>
      <c r="P750" t="s">
        <v>887</v>
      </c>
    </row>
    <row r="751" spans="12:16" ht="42" x14ac:dyDescent="0.35">
      <c r="L751" s="544">
        <v>740383</v>
      </c>
      <c r="M751" s="545" t="s">
        <v>3252</v>
      </c>
      <c r="N751" s="89" t="s">
        <v>3253</v>
      </c>
      <c r="O751" s="89" t="s">
        <v>3254</v>
      </c>
      <c r="P751" t="s">
        <v>887</v>
      </c>
    </row>
    <row r="752" spans="12:16" ht="28" x14ac:dyDescent="0.35">
      <c r="L752" s="544">
        <v>740384</v>
      </c>
      <c r="M752" s="545" t="s">
        <v>3255</v>
      </c>
      <c r="N752" s="89" t="s">
        <v>3256</v>
      </c>
      <c r="O752" s="89" t="s">
        <v>3257</v>
      </c>
      <c r="P752" t="s">
        <v>887</v>
      </c>
    </row>
    <row r="753" spans="12:16" ht="28" x14ac:dyDescent="0.35">
      <c r="L753" s="544">
        <v>740385</v>
      </c>
      <c r="M753" s="545" t="s">
        <v>3258</v>
      </c>
      <c r="N753" s="89" t="s">
        <v>3259</v>
      </c>
      <c r="O753" s="89" t="s">
        <v>3260</v>
      </c>
      <c r="P753" t="s">
        <v>887</v>
      </c>
    </row>
    <row r="754" spans="12:16" ht="15.5" x14ac:dyDescent="0.35">
      <c r="L754" s="544">
        <v>740386</v>
      </c>
      <c r="M754" s="545" t="s">
        <v>3261</v>
      </c>
      <c r="N754" s="89" t="s">
        <v>3262</v>
      </c>
      <c r="O754" s="89" t="s">
        <v>3263</v>
      </c>
      <c r="P754" t="s">
        <v>887</v>
      </c>
    </row>
    <row r="755" spans="12:16" ht="28" x14ac:dyDescent="0.35">
      <c r="L755" s="544">
        <v>740387</v>
      </c>
      <c r="M755" s="545" t="s">
        <v>3264</v>
      </c>
      <c r="N755" s="89" t="s">
        <v>3265</v>
      </c>
      <c r="O755" s="89" t="s">
        <v>3266</v>
      </c>
      <c r="P755" t="s">
        <v>887</v>
      </c>
    </row>
    <row r="756" spans="12:16" ht="42" x14ac:dyDescent="0.35">
      <c r="L756" s="544">
        <v>740388</v>
      </c>
      <c r="M756" s="545" t="s">
        <v>3267</v>
      </c>
      <c r="N756" s="89" t="s">
        <v>3268</v>
      </c>
      <c r="O756" s="89" t="s">
        <v>3269</v>
      </c>
      <c r="P756" t="s">
        <v>887</v>
      </c>
    </row>
    <row r="757" spans="12:16" ht="28" x14ac:dyDescent="0.35">
      <c r="L757" s="544">
        <v>740389</v>
      </c>
      <c r="M757" s="545" t="s">
        <v>3270</v>
      </c>
      <c r="N757" s="89" t="s">
        <v>3271</v>
      </c>
      <c r="O757" s="89" t="s">
        <v>3272</v>
      </c>
      <c r="P757" t="s">
        <v>887</v>
      </c>
    </row>
    <row r="758" spans="12:16" ht="28" x14ac:dyDescent="0.35">
      <c r="L758" s="544">
        <v>740396</v>
      </c>
      <c r="M758" s="545" t="s">
        <v>3273</v>
      </c>
      <c r="N758" s="89" t="s">
        <v>3274</v>
      </c>
      <c r="O758" s="89" t="s">
        <v>3275</v>
      </c>
      <c r="P758" t="s">
        <v>887</v>
      </c>
    </row>
    <row r="759" spans="12:16" ht="28" x14ac:dyDescent="0.35">
      <c r="L759" s="544">
        <v>740397</v>
      </c>
      <c r="M759" s="545" t="s">
        <v>3276</v>
      </c>
      <c r="N759" s="89" t="s">
        <v>3277</v>
      </c>
      <c r="O759" s="89" t="s">
        <v>3266</v>
      </c>
      <c r="P759" t="s">
        <v>887</v>
      </c>
    </row>
    <row r="760" spans="12:16" ht="42" x14ac:dyDescent="0.35">
      <c r="L760" s="544">
        <v>740398</v>
      </c>
      <c r="M760" s="545" t="s">
        <v>3278</v>
      </c>
      <c r="N760" s="89" t="s">
        <v>3279</v>
      </c>
      <c r="O760" s="89" t="s">
        <v>3280</v>
      </c>
      <c r="P760" t="s">
        <v>887</v>
      </c>
    </row>
    <row r="761" spans="12:16" ht="42" x14ac:dyDescent="0.35">
      <c r="L761" s="544">
        <v>740443</v>
      </c>
      <c r="M761" s="545" t="s">
        <v>3281</v>
      </c>
      <c r="N761" s="89" t="s">
        <v>3282</v>
      </c>
      <c r="O761" s="89" t="s">
        <v>3283</v>
      </c>
      <c r="P761" t="s">
        <v>887</v>
      </c>
    </row>
    <row r="762" spans="12:16" ht="42" x14ac:dyDescent="0.35">
      <c r="L762" s="544">
        <v>740450</v>
      </c>
      <c r="M762" s="545" t="s">
        <v>3284</v>
      </c>
      <c r="N762" s="89" t="s">
        <v>3285</v>
      </c>
      <c r="O762" s="89" t="s">
        <v>909</v>
      </c>
      <c r="P762" t="s">
        <v>887</v>
      </c>
    </row>
    <row r="763" spans="12:16" ht="42" x14ac:dyDescent="0.35">
      <c r="L763" s="544">
        <v>740457</v>
      </c>
      <c r="M763" s="545" t="s">
        <v>3286</v>
      </c>
      <c r="N763" s="89" t="s">
        <v>3287</v>
      </c>
      <c r="O763" s="89" t="s">
        <v>3288</v>
      </c>
      <c r="P763" t="s">
        <v>887</v>
      </c>
    </row>
    <row r="764" spans="12:16" ht="56" x14ac:dyDescent="0.35">
      <c r="L764" s="544">
        <v>740459</v>
      </c>
      <c r="M764" s="545" t="s">
        <v>3289</v>
      </c>
      <c r="N764" s="89" t="s">
        <v>3290</v>
      </c>
      <c r="O764" s="89" t="s">
        <v>3291</v>
      </c>
      <c r="P764" t="s">
        <v>887</v>
      </c>
    </row>
    <row r="765" spans="12:16" ht="15.5" x14ac:dyDescent="0.35">
      <c r="L765" s="544">
        <v>740612</v>
      </c>
      <c r="M765" s="545" t="s">
        <v>3292</v>
      </c>
      <c r="N765" s="89" t="s">
        <v>3293</v>
      </c>
      <c r="O765" s="89" t="s">
        <v>3294</v>
      </c>
      <c r="P765" t="s">
        <v>887</v>
      </c>
    </row>
    <row r="766" spans="12:16" ht="28" x14ac:dyDescent="0.35">
      <c r="L766" s="544">
        <v>740615</v>
      </c>
      <c r="M766" s="545" t="s">
        <v>3295</v>
      </c>
      <c r="N766" s="89" t="s">
        <v>3296</v>
      </c>
      <c r="O766" s="89" t="s">
        <v>3297</v>
      </c>
      <c r="P766" t="s">
        <v>887</v>
      </c>
    </row>
    <row r="767" spans="12:16" ht="15.5" x14ac:dyDescent="0.35">
      <c r="L767" s="544">
        <v>740617</v>
      </c>
      <c r="M767" s="545" t="s">
        <v>3298</v>
      </c>
      <c r="N767" s="89" t="s">
        <v>3299</v>
      </c>
      <c r="O767" s="89" t="s">
        <v>3300</v>
      </c>
      <c r="P767" t="s">
        <v>887</v>
      </c>
    </row>
    <row r="768" spans="12:16" ht="42" x14ac:dyDescent="0.35">
      <c r="L768" s="544">
        <v>740618</v>
      </c>
      <c r="M768" s="545" t="s">
        <v>3301</v>
      </c>
      <c r="N768" s="89" t="s">
        <v>3302</v>
      </c>
      <c r="O768" s="89" t="s">
        <v>3303</v>
      </c>
      <c r="P768" t="s">
        <v>887</v>
      </c>
    </row>
    <row r="769" spans="12:16" ht="28" x14ac:dyDescent="0.35">
      <c r="L769" s="544">
        <v>740657</v>
      </c>
      <c r="M769" s="545" t="s">
        <v>3304</v>
      </c>
      <c r="N769" s="89" t="s">
        <v>3305</v>
      </c>
      <c r="O769" s="89" t="s">
        <v>3306</v>
      </c>
      <c r="P769" t="s">
        <v>887</v>
      </c>
    </row>
    <row r="770" spans="12:16" ht="42" x14ac:dyDescent="0.35">
      <c r="L770" s="544">
        <v>740664</v>
      </c>
      <c r="M770" s="545" t="s">
        <v>3307</v>
      </c>
      <c r="N770" s="89" t="s">
        <v>3308</v>
      </c>
      <c r="O770" s="550" t="s">
        <v>3309</v>
      </c>
      <c r="P770" t="s">
        <v>887</v>
      </c>
    </row>
    <row r="771" spans="12:16" ht="28" x14ac:dyDescent="0.35">
      <c r="L771" s="544">
        <v>740665</v>
      </c>
      <c r="M771" s="545" t="s">
        <v>3310</v>
      </c>
      <c r="N771" s="89" t="s">
        <v>3311</v>
      </c>
      <c r="O771" s="89" t="s">
        <v>3312</v>
      </c>
      <c r="P771" t="s">
        <v>887</v>
      </c>
    </row>
    <row r="772" spans="12:16" ht="15.5" x14ac:dyDescent="0.35">
      <c r="L772" s="544">
        <v>740666</v>
      </c>
      <c r="M772" s="545" t="s">
        <v>3313</v>
      </c>
      <c r="N772" s="89" t="s">
        <v>3314</v>
      </c>
      <c r="O772" s="89" t="s">
        <v>3315</v>
      </c>
      <c r="P772" t="s">
        <v>887</v>
      </c>
    </row>
    <row r="773" spans="12:16" ht="98" x14ac:dyDescent="0.35">
      <c r="L773" s="544">
        <v>740668</v>
      </c>
      <c r="M773" s="545" t="s">
        <v>3316</v>
      </c>
      <c r="N773" s="89" t="s">
        <v>3317</v>
      </c>
      <c r="O773" s="89" t="s">
        <v>3318</v>
      </c>
      <c r="P773" t="s">
        <v>887</v>
      </c>
    </row>
    <row r="774" spans="12:16" ht="28" x14ac:dyDescent="0.35">
      <c r="L774" s="544">
        <v>740671</v>
      </c>
      <c r="M774" s="545" t="s">
        <v>594</v>
      </c>
      <c r="N774" s="89" t="s">
        <v>3319</v>
      </c>
      <c r="O774" s="89" t="s">
        <v>3320</v>
      </c>
      <c r="P774" t="s">
        <v>887</v>
      </c>
    </row>
    <row r="775" spans="12:16" ht="28" x14ac:dyDescent="0.35">
      <c r="L775" s="544">
        <v>740672</v>
      </c>
      <c r="M775" s="545" t="s">
        <v>3321</v>
      </c>
      <c r="N775" s="89" t="s">
        <v>3322</v>
      </c>
      <c r="O775" s="89" t="s">
        <v>3323</v>
      </c>
      <c r="P775" t="s">
        <v>887</v>
      </c>
    </row>
    <row r="776" spans="12:16" ht="56" x14ac:dyDescent="0.35">
      <c r="L776" s="544">
        <v>740674</v>
      </c>
      <c r="M776" s="545" t="s">
        <v>632</v>
      </c>
      <c r="N776" s="89" t="s">
        <v>3324</v>
      </c>
      <c r="O776" s="89" t="s">
        <v>3325</v>
      </c>
      <c r="P776" t="s">
        <v>887</v>
      </c>
    </row>
    <row r="777" spans="12:16" ht="56" x14ac:dyDescent="0.35">
      <c r="L777" s="544">
        <v>740675</v>
      </c>
      <c r="M777" s="545" t="s">
        <v>675</v>
      </c>
      <c r="N777" s="89" t="s">
        <v>3326</v>
      </c>
      <c r="O777" s="89" t="s">
        <v>3327</v>
      </c>
      <c r="P777" t="s">
        <v>887</v>
      </c>
    </row>
    <row r="778" spans="12:16" ht="28" x14ac:dyDescent="0.35">
      <c r="L778" s="544">
        <v>740677</v>
      </c>
      <c r="M778" s="545" t="s">
        <v>3328</v>
      </c>
      <c r="N778" s="89" t="s">
        <v>3329</v>
      </c>
      <c r="O778" s="89" t="s">
        <v>3330</v>
      </c>
      <c r="P778" t="s">
        <v>887</v>
      </c>
    </row>
    <row r="779" spans="12:16" ht="28" x14ac:dyDescent="0.35">
      <c r="L779" s="544">
        <v>740678</v>
      </c>
      <c r="M779" s="545" t="s">
        <v>3331</v>
      </c>
      <c r="N779" s="89" t="s">
        <v>3332</v>
      </c>
      <c r="O779" s="89" t="s">
        <v>3333</v>
      </c>
      <c r="P779" t="s">
        <v>887</v>
      </c>
    </row>
    <row r="780" spans="12:16" ht="42" x14ac:dyDescent="0.35">
      <c r="L780" s="544">
        <v>740681</v>
      </c>
      <c r="M780" s="545" t="s">
        <v>3334</v>
      </c>
      <c r="N780" s="89" t="s">
        <v>3335</v>
      </c>
      <c r="O780" s="89" t="s">
        <v>3336</v>
      </c>
      <c r="P780" t="s">
        <v>887</v>
      </c>
    </row>
    <row r="781" spans="12:16" ht="42" x14ac:dyDescent="0.35">
      <c r="L781" s="544">
        <v>740717</v>
      </c>
      <c r="M781" s="545" t="s">
        <v>3337</v>
      </c>
      <c r="N781" s="89" t="s">
        <v>3338</v>
      </c>
      <c r="O781" s="89" t="s">
        <v>3339</v>
      </c>
      <c r="P781" t="s">
        <v>887</v>
      </c>
    </row>
    <row r="782" spans="12:16" ht="42" x14ac:dyDescent="0.35">
      <c r="L782" s="544">
        <v>740732</v>
      </c>
      <c r="M782" s="545" t="s">
        <v>3340</v>
      </c>
      <c r="N782" s="89" t="s">
        <v>3341</v>
      </c>
      <c r="O782" s="89" t="s">
        <v>3342</v>
      </c>
      <c r="P782" t="s">
        <v>887</v>
      </c>
    </row>
    <row r="783" spans="12:16" ht="42" x14ac:dyDescent="0.35">
      <c r="L783" s="544">
        <v>740733</v>
      </c>
      <c r="M783" s="545" t="s">
        <v>3343</v>
      </c>
      <c r="N783" s="89" t="s">
        <v>3344</v>
      </c>
      <c r="O783" s="89" t="s">
        <v>3345</v>
      </c>
      <c r="P783" t="s">
        <v>887</v>
      </c>
    </row>
    <row r="784" spans="12:16" ht="28" x14ac:dyDescent="0.35">
      <c r="L784" s="544">
        <v>740735</v>
      </c>
      <c r="M784" s="545" t="s">
        <v>3346</v>
      </c>
      <c r="N784" s="89" t="s">
        <v>3347</v>
      </c>
      <c r="O784" s="89" t="s">
        <v>3348</v>
      </c>
      <c r="P784" t="s">
        <v>887</v>
      </c>
    </row>
    <row r="785" spans="12:16" ht="56" x14ac:dyDescent="0.35">
      <c r="L785" s="544">
        <v>740870</v>
      </c>
      <c r="M785" s="545" t="s">
        <v>3349</v>
      </c>
      <c r="N785" s="89" t="s">
        <v>3350</v>
      </c>
      <c r="O785" s="89" t="s">
        <v>909</v>
      </c>
      <c r="P785" t="s">
        <v>887</v>
      </c>
    </row>
    <row r="786" spans="12:16" ht="56" x14ac:dyDescent="0.35">
      <c r="L786" s="544">
        <v>740873</v>
      </c>
      <c r="M786" s="545" t="s">
        <v>3351</v>
      </c>
      <c r="N786" s="89" t="s">
        <v>3352</v>
      </c>
      <c r="O786" s="89" t="s">
        <v>3353</v>
      </c>
      <c r="P786" t="s">
        <v>887</v>
      </c>
    </row>
    <row r="787" spans="12:16" ht="126" x14ac:dyDescent="0.35">
      <c r="L787" s="544">
        <v>740874</v>
      </c>
      <c r="M787" s="545" t="s">
        <v>3354</v>
      </c>
      <c r="N787" s="89" t="s">
        <v>3355</v>
      </c>
      <c r="O787" s="89" t="s">
        <v>909</v>
      </c>
      <c r="P787" t="s">
        <v>887</v>
      </c>
    </row>
    <row r="788" spans="12:16" ht="42" x14ac:dyDescent="0.35">
      <c r="L788" s="544">
        <v>740883</v>
      </c>
      <c r="M788" s="545" t="s">
        <v>3356</v>
      </c>
      <c r="N788" s="89" t="s">
        <v>3357</v>
      </c>
      <c r="O788" s="89" t="s">
        <v>3358</v>
      </c>
      <c r="P788" t="s">
        <v>887</v>
      </c>
    </row>
    <row r="789" spans="12:16" ht="42" x14ac:dyDescent="0.35">
      <c r="L789" s="544">
        <v>740884</v>
      </c>
      <c r="M789" s="545" t="s">
        <v>790</v>
      </c>
      <c r="N789" s="89" t="s">
        <v>3359</v>
      </c>
      <c r="O789" s="89" t="s">
        <v>3360</v>
      </c>
      <c r="P789" t="s">
        <v>887</v>
      </c>
    </row>
    <row r="790" spans="12:16" ht="56" x14ac:dyDescent="0.35">
      <c r="L790" s="544">
        <v>744701</v>
      </c>
      <c r="M790" s="545" t="s">
        <v>3361</v>
      </c>
      <c r="N790" s="89" t="s">
        <v>3362</v>
      </c>
      <c r="O790" s="89" t="s">
        <v>3363</v>
      </c>
      <c r="P790" t="s">
        <v>887</v>
      </c>
    </row>
    <row r="791" spans="12:16" ht="98" x14ac:dyDescent="0.35">
      <c r="L791" s="544">
        <v>750172</v>
      </c>
      <c r="M791" s="545" t="s">
        <v>3364</v>
      </c>
      <c r="N791" s="89" t="s">
        <v>3365</v>
      </c>
      <c r="O791" s="89" t="s">
        <v>3366</v>
      </c>
      <c r="P791" t="s">
        <v>887</v>
      </c>
    </row>
    <row r="792" spans="12:16" ht="28" x14ac:dyDescent="0.35">
      <c r="L792" s="544">
        <v>750175</v>
      </c>
      <c r="M792" s="545" t="s">
        <v>3367</v>
      </c>
      <c r="N792" s="89" t="s">
        <v>3368</v>
      </c>
      <c r="O792" s="89" t="s">
        <v>3369</v>
      </c>
      <c r="P792" t="s">
        <v>887</v>
      </c>
    </row>
    <row r="793" spans="12:16" ht="28" x14ac:dyDescent="0.35">
      <c r="L793" s="544">
        <v>750177</v>
      </c>
      <c r="M793" s="545" t="s">
        <v>3370</v>
      </c>
      <c r="N793" s="89" t="s">
        <v>3371</v>
      </c>
      <c r="O793" s="89" t="s">
        <v>3372</v>
      </c>
      <c r="P793" t="s">
        <v>887</v>
      </c>
    </row>
    <row r="794" spans="12:16" ht="126" x14ac:dyDescent="0.35">
      <c r="L794" s="544">
        <v>750178</v>
      </c>
      <c r="M794" s="545" t="s">
        <v>3373</v>
      </c>
      <c r="N794" s="89" t="s">
        <v>3374</v>
      </c>
      <c r="O794" s="89" t="s">
        <v>3375</v>
      </c>
      <c r="P794" t="s">
        <v>887</v>
      </c>
    </row>
    <row r="795" spans="12:16" ht="42" x14ac:dyDescent="0.35">
      <c r="L795" s="544">
        <v>750179</v>
      </c>
      <c r="M795" s="545" t="s">
        <v>3376</v>
      </c>
      <c r="N795" s="89" t="s">
        <v>3377</v>
      </c>
      <c r="O795" s="89" t="s">
        <v>3378</v>
      </c>
      <c r="P795" t="s">
        <v>887</v>
      </c>
    </row>
    <row r="796" spans="12:16" ht="42" x14ac:dyDescent="0.35">
      <c r="L796" s="544">
        <v>750211</v>
      </c>
      <c r="M796" s="545" t="s">
        <v>3379</v>
      </c>
      <c r="N796" s="89" t="s">
        <v>3380</v>
      </c>
      <c r="O796" s="89" t="s">
        <v>3381</v>
      </c>
      <c r="P796" t="s">
        <v>887</v>
      </c>
    </row>
    <row r="797" spans="12:16" ht="98" x14ac:dyDescent="0.35">
      <c r="L797" s="547">
        <v>750340</v>
      </c>
      <c r="M797" s="545" t="s">
        <v>3382</v>
      </c>
      <c r="N797" s="89" t="s">
        <v>3383</v>
      </c>
      <c r="O797" s="89" t="s">
        <v>909</v>
      </c>
      <c r="P797" t="s">
        <v>887</v>
      </c>
    </row>
    <row r="798" spans="12:16" ht="15.5" x14ac:dyDescent="0.35">
      <c r="L798" s="544">
        <v>750347</v>
      </c>
      <c r="M798" s="545" t="s">
        <v>3384</v>
      </c>
      <c r="N798" s="89" t="s">
        <v>3385</v>
      </c>
      <c r="O798" s="89" t="s">
        <v>3386</v>
      </c>
      <c r="P798" t="s">
        <v>887</v>
      </c>
    </row>
    <row r="799" spans="12:16" ht="28" x14ac:dyDescent="0.35">
      <c r="L799" s="544">
        <v>750348</v>
      </c>
      <c r="M799" s="545" t="s">
        <v>3387</v>
      </c>
      <c r="N799" s="89" t="s">
        <v>3388</v>
      </c>
      <c r="O799" s="89" t="s">
        <v>909</v>
      </c>
      <c r="P799" t="s">
        <v>887</v>
      </c>
    </row>
    <row r="800" spans="12:16" ht="28" x14ac:dyDescent="0.35">
      <c r="L800" s="544">
        <v>750349</v>
      </c>
      <c r="M800" s="545" t="s">
        <v>3389</v>
      </c>
      <c r="N800" s="89" t="s">
        <v>3390</v>
      </c>
      <c r="O800" s="89" t="s">
        <v>3391</v>
      </c>
      <c r="P800" t="s">
        <v>887</v>
      </c>
    </row>
    <row r="801" spans="12:16" ht="112" x14ac:dyDescent="0.35">
      <c r="L801" s="544">
        <v>750371</v>
      </c>
      <c r="M801" s="545" t="s">
        <v>3392</v>
      </c>
      <c r="N801" s="89" t="s">
        <v>3393</v>
      </c>
      <c r="O801" s="89" t="s">
        <v>3394</v>
      </c>
      <c r="P801" t="s">
        <v>887</v>
      </c>
    </row>
    <row r="802" spans="12:16" ht="42" x14ac:dyDescent="0.35">
      <c r="L802" s="544">
        <v>750422</v>
      </c>
      <c r="M802" s="545" t="s">
        <v>841</v>
      </c>
      <c r="N802" s="89" t="s">
        <v>3395</v>
      </c>
      <c r="O802" s="89" t="s">
        <v>3396</v>
      </c>
      <c r="P802" t="s">
        <v>887</v>
      </c>
    </row>
    <row r="803" spans="12:16" ht="28" x14ac:dyDescent="0.35">
      <c r="L803" s="544">
        <v>750423</v>
      </c>
      <c r="M803" s="545" t="s">
        <v>3397</v>
      </c>
      <c r="N803" s="89" t="s">
        <v>3398</v>
      </c>
      <c r="O803" s="89" t="s">
        <v>3399</v>
      </c>
      <c r="P803" t="s">
        <v>887</v>
      </c>
    </row>
    <row r="804" spans="12:16" ht="15.5" x14ac:dyDescent="0.35">
      <c r="L804" s="544">
        <v>750426</v>
      </c>
      <c r="M804" s="545" t="s">
        <v>3400</v>
      </c>
      <c r="N804" s="89" t="s">
        <v>3401</v>
      </c>
      <c r="O804" s="89" t="s">
        <v>3402</v>
      </c>
      <c r="P804" t="s">
        <v>887</v>
      </c>
    </row>
    <row r="805" spans="12:16" ht="28" x14ac:dyDescent="0.35">
      <c r="L805" s="544">
        <v>750427</v>
      </c>
      <c r="M805" s="545" t="s">
        <v>3403</v>
      </c>
      <c r="N805" s="89" t="s">
        <v>3404</v>
      </c>
      <c r="O805" s="89" t="s">
        <v>3405</v>
      </c>
      <c r="P805" t="s">
        <v>887</v>
      </c>
    </row>
    <row r="806" spans="12:16" ht="15.5" x14ac:dyDescent="0.35">
      <c r="L806" s="544">
        <v>750429</v>
      </c>
      <c r="M806" s="545" t="s">
        <v>3406</v>
      </c>
      <c r="N806" s="89" t="s">
        <v>3407</v>
      </c>
      <c r="O806" s="89" t="s">
        <v>3408</v>
      </c>
      <c r="P806" t="s">
        <v>887</v>
      </c>
    </row>
    <row r="807" spans="12:16" ht="28" x14ac:dyDescent="0.35">
      <c r="L807" s="544">
        <v>750440</v>
      </c>
      <c r="M807" s="545" t="s">
        <v>3409</v>
      </c>
      <c r="N807" s="89" t="s">
        <v>3410</v>
      </c>
      <c r="O807" s="89" t="s">
        <v>909</v>
      </c>
      <c r="P807" t="s">
        <v>887</v>
      </c>
    </row>
    <row r="808" spans="12:16" ht="15.5" x14ac:dyDescent="0.35">
      <c r="L808" s="544">
        <v>750570</v>
      </c>
      <c r="M808" s="545" t="s">
        <v>3411</v>
      </c>
      <c r="N808" s="89" t="s">
        <v>3412</v>
      </c>
      <c r="O808" s="89" t="s">
        <v>909</v>
      </c>
      <c r="P808" t="s">
        <v>887</v>
      </c>
    </row>
    <row r="809" spans="12:16" ht="56" x14ac:dyDescent="0.35">
      <c r="L809" s="544">
        <v>750581</v>
      </c>
      <c r="M809" s="545" t="s">
        <v>3413</v>
      </c>
      <c r="N809" s="89" t="s">
        <v>3414</v>
      </c>
      <c r="O809" s="89" t="s">
        <v>3415</v>
      </c>
      <c r="P809" t="s">
        <v>887</v>
      </c>
    </row>
    <row r="810" spans="12:16" ht="28" x14ac:dyDescent="0.35">
      <c r="L810" s="544">
        <v>750582</v>
      </c>
      <c r="M810" s="545" t="s">
        <v>3416</v>
      </c>
      <c r="N810" s="89" t="s">
        <v>3417</v>
      </c>
      <c r="O810" s="89" t="s">
        <v>3418</v>
      </c>
      <c r="P810" t="s">
        <v>887</v>
      </c>
    </row>
    <row r="811" spans="12:16" ht="42" x14ac:dyDescent="0.35">
      <c r="L811" s="544">
        <v>750583</v>
      </c>
      <c r="M811" s="545" t="s">
        <v>853</v>
      </c>
      <c r="N811" s="89" t="s">
        <v>3419</v>
      </c>
      <c r="O811" s="89" t="s">
        <v>3420</v>
      </c>
      <c r="P811" t="s">
        <v>887</v>
      </c>
    </row>
    <row r="812" spans="12:16" ht="28" x14ac:dyDescent="0.35">
      <c r="L812" s="544">
        <v>750600</v>
      </c>
      <c r="M812" s="545" t="s">
        <v>3421</v>
      </c>
      <c r="N812" s="89" t="s">
        <v>3422</v>
      </c>
      <c r="O812" s="89" t="s">
        <v>909</v>
      </c>
      <c r="P812" t="s">
        <v>887</v>
      </c>
    </row>
    <row r="813" spans="12:16" ht="42" x14ac:dyDescent="0.35">
      <c r="L813" s="544">
        <v>750611</v>
      </c>
      <c r="M813" s="545" t="s">
        <v>3423</v>
      </c>
      <c r="N813" s="89" t="s">
        <v>3424</v>
      </c>
      <c r="O813" s="89" t="s">
        <v>3425</v>
      </c>
      <c r="P813" t="s">
        <v>887</v>
      </c>
    </row>
    <row r="814" spans="12:16" ht="28" x14ac:dyDescent="0.35">
      <c r="L814" s="544">
        <v>750612</v>
      </c>
      <c r="M814" s="545" t="s">
        <v>3426</v>
      </c>
      <c r="N814" s="89" t="s">
        <v>3427</v>
      </c>
      <c r="O814" s="89" t="s">
        <v>3428</v>
      </c>
      <c r="P814" t="s">
        <v>887</v>
      </c>
    </row>
    <row r="815" spans="12:16" ht="42" x14ac:dyDescent="0.35">
      <c r="L815" s="544">
        <v>750663</v>
      </c>
      <c r="M815" s="545" t="s">
        <v>3429</v>
      </c>
      <c r="N815" s="89" t="s">
        <v>3430</v>
      </c>
      <c r="O815" s="89" t="s">
        <v>3431</v>
      </c>
      <c r="P815" t="s">
        <v>887</v>
      </c>
    </row>
    <row r="816" spans="12:16" ht="28" x14ac:dyDescent="0.35">
      <c r="L816" s="544">
        <v>750811</v>
      </c>
      <c r="M816" s="545" t="s">
        <v>3432</v>
      </c>
      <c r="N816" s="89" t="s">
        <v>3433</v>
      </c>
      <c r="O816" s="89" t="s">
        <v>3434</v>
      </c>
      <c r="P816" t="s">
        <v>887</v>
      </c>
    </row>
    <row r="817" spans="12:16" ht="28" x14ac:dyDescent="0.35">
      <c r="L817" s="544">
        <v>750812</v>
      </c>
      <c r="M817" s="545" t="s">
        <v>3435</v>
      </c>
      <c r="N817" s="89" t="s">
        <v>3436</v>
      </c>
      <c r="O817" s="89" t="s">
        <v>3437</v>
      </c>
      <c r="P817" t="s">
        <v>887</v>
      </c>
    </row>
    <row r="818" spans="12:16" ht="28" x14ac:dyDescent="0.35">
      <c r="L818" s="544">
        <v>750819</v>
      </c>
      <c r="M818" s="545" t="s">
        <v>3438</v>
      </c>
      <c r="N818" s="89" t="s">
        <v>3439</v>
      </c>
      <c r="O818" s="89" t="s">
        <v>3440</v>
      </c>
      <c r="P818" t="s">
        <v>887</v>
      </c>
    </row>
    <row r="819" spans="12:16" ht="15.5" x14ac:dyDescent="0.35">
      <c r="L819" s="544">
        <v>750835</v>
      </c>
      <c r="M819" s="545" t="s">
        <v>3441</v>
      </c>
      <c r="N819" s="89" t="s">
        <v>3442</v>
      </c>
      <c r="O819" s="89" t="s">
        <v>3443</v>
      </c>
      <c r="P819" t="s">
        <v>887</v>
      </c>
    </row>
    <row r="820" spans="12:16" ht="84" x14ac:dyDescent="0.35">
      <c r="L820" s="544">
        <v>751121</v>
      </c>
      <c r="M820" s="545" t="s">
        <v>3444</v>
      </c>
      <c r="N820" s="89" t="s">
        <v>3445</v>
      </c>
      <c r="O820" s="89" t="s">
        <v>909</v>
      </c>
      <c r="P820" t="s">
        <v>887</v>
      </c>
    </row>
    <row r="821" spans="12:16" ht="84" x14ac:dyDescent="0.35">
      <c r="L821" s="544">
        <v>751721</v>
      </c>
      <c r="M821" s="545" t="s">
        <v>3446</v>
      </c>
      <c r="N821" s="89" t="s">
        <v>3447</v>
      </c>
      <c r="O821" s="89" t="s">
        <v>909</v>
      </c>
      <c r="P821" t="s">
        <v>887</v>
      </c>
    </row>
    <row r="822" spans="12:16" ht="28" x14ac:dyDescent="0.35">
      <c r="L822" s="544">
        <v>754221</v>
      </c>
      <c r="M822" s="545" t="s">
        <v>3448</v>
      </c>
      <c r="N822" s="89" t="s">
        <v>3449</v>
      </c>
      <c r="O822" s="89" t="s">
        <v>909</v>
      </c>
      <c r="P822" t="s">
        <v>887</v>
      </c>
    </row>
    <row r="823" spans="12:16" ht="15.5" x14ac:dyDescent="0.35">
      <c r="L823" s="544">
        <v>760111</v>
      </c>
      <c r="M823" s="545" t="s">
        <v>3450</v>
      </c>
      <c r="N823" s="89" t="s">
        <v>3451</v>
      </c>
      <c r="O823" s="89" t="s">
        <v>3452</v>
      </c>
      <c r="P823" t="s">
        <v>887</v>
      </c>
    </row>
    <row r="824" spans="12:16" ht="112" x14ac:dyDescent="0.35">
      <c r="L824" s="544">
        <v>760130</v>
      </c>
      <c r="M824" s="545" t="s">
        <v>3453</v>
      </c>
      <c r="N824" s="89" t="s">
        <v>3454</v>
      </c>
      <c r="O824" s="89" t="s">
        <v>909</v>
      </c>
      <c r="P824" t="s">
        <v>887</v>
      </c>
    </row>
    <row r="825" spans="12:16" ht="28" x14ac:dyDescent="0.35">
      <c r="L825" s="544">
        <v>760330</v>
      </c>
      <c r="M825" s="545" t="s">
        <v>3455</v>
      </c>
      <c r="N825" s="89" t="s">
        <v>3456</v>
      </c>
      <c r="O825" s="89" t="s">
        <v>909</v>
      </c>
      <c r="P825" t="s">
        <v>887</v>
      </c>
    </row>
    <row r="826" spans="12:16" ht="42" x14ac:dyDescent="0.35">
      <c r="L826" s="544">
        <v>760350</v>
      </c>
      <c r="M826" s="545" t="s">
        <v>3457</v>
      </c>
      <c r="N826" s="89" t="s">
        <v>3458</v>
      </c>
      <c r="O826" s="89" t="s">
        <v>909</v>
      </c>
      <c r="P826" t="s">
        <v>887</v>
      </c>
    </row>
    <row r="827" spans="12:16" ht="15.5" x14ac:dyDescent="0.35">
      <c r="L827" s="544">
        <v>760511</v>
      </c>
      <c r="M827" s="545" t="s">
        <v>3459</v>
      </c>
      <c r="N827" s="89" t="s">
        <v>3460</v>
      </c>
      <c r="O827" s="89" t="s">
        <v>3461</v>
      </c>
      <c r="P827" t="s">
        <v>887</v>
      </c>
    </row>
    <row r="828" spans="12:16" ht="28" x14ac:dyDescent="0.35">
      <c r="L828" s="544">
        <v>760512</v>
      </c>
      <c r="M828" s="545" t="s">
        <v>3462</v>
      </c>
      <c r="N828" s="89" t="s">
        <v>3463</v>
      </c>
      <c r="O828" s="89" t="s">
        <v>3464</v>
      </c>
      <c r="P828" t="s">
        <v>887</v>
      </c>
    </row>
    <row r="829" spans="12:16" ht="42" x14ac:dyDescent="0.35">
      <c r="L829" s="544">
        <v>811143</v>
      </c>
      <c r="M829" s="545" t="s">
        <v>3465</v>
      </c>
      <c r="N829" s="89" t="s">
        <v>3466</v>
      </c>
      <c r="O829" s="89" t="s">
        <v>909</v>
      </c>
      <c r="P829" t="s">
        <v>887</v>
      </c>
    </row>
    <row r="830" spans="12:16" ht="42" x14ac:dyDescent="0.35">
      <c r="L830" s="544">
        <v>811144</v>
      </c>
      <c r="M830" s="545" t="s">
        <v>3467</v>
      </c>
      <c r="N830" s="89" t="s">
        <v>3466</v>
      </c>
      <c r="O830" s="89" t="s">
        <v>3468</v>
      </c>
      <c r="P830" t="s">
        <v>887</v>
      </c>
    </row>
    <row r="831" spans="12:16" ht="70" x14ac:dyDescent="0.35">
      <c r="L831" s="544">
        <v>811145</v>
      </c>
      <c r="M831" s="545" t="s">
        <v>3469</v>
      </c>
      <c r="N831" s="89" t="s">
        <v>3470</v>
      </c>
      <c r="O831" s="89" t="s">
        <v>3471</v>
      </c>
      <c r="P831" t="s">
        <v>887</v>
      </c>
    </row>
    <row r="832" spans="12:16" ht="56" x14ac:dyDescent="0.35">
      <c r="L832" s="544">
        <v>811146</v>
      </c>
      <c r="M832" s="545" t="s">
        <v>3472</v>
      </c>
      <c r="N832" s="89" t="s">
        <v>3473</v>
      </c>
      <c r="O832" s="89" t="s">
        <v>909</v>
      </c>
      <c r="P832" t="s">
        <v>887</v>
      </c>
    </row>
    <row r="833" spans="12:16" ht="56" x14ac:dyDescent="0.35">
      <c r="L833" s="544">
        <v>811147</v>
      </c>
      <c r="M833" s="545" t="s">
        <v>3474</v>
      </c>
      <c r="N833" s="89" t="s">
        <v>3475</v>
      </c>
      <c r="O833" s="89" t="s">
        <v>3476</v>
      </c>
      <c r="P833" t="s">
        <v>887</v>
      </c>
    </row>
    <row r="834" spans="12:16" ht="28" x14ac:dyDescent="0.35">
      <c r="L834" s="544">
        <v>811149</v>
      </c>
      <c r="M834" s="545" t="s">
        <v>3477</v>
      </c>
      <c r="N834" s="89" t="s">
        <v>3478</v>
      </c>
      <c r="O834" s="89" t="s">
        <v>3479</v>
      </c>
      <c r="P834" t="s">
        <v>887</v>
      </c>
    </row>
    <row r="835" spans="12:16" ht="70" x14ac:dyDescent="0.35">
      <c r="L835" s="544">
        <v>811600</v>
      </c>
      <c r="M835" s="545" t="s">
        <v>3480</v>
      </c>
      <c r="N835" s="89" t="s">
        <v>3481</v>
      </c>
      <c r="O835" s="89" t="s">
        <v>909</v>
      </c>
      <c r="P835" t="s">
        <v>887</v>
      </c>
    </row>
    <row r="836" spans="12:16" ht="56" x14ac:dyDescent="0.35">
      <c r="L836" s="544">
        <v>811601</v>
      </c>
      <c r="M836" s="545" t="s">
        <v>3482</v>
      </c>
      <c r="N836" s="89" t="s">
        <v>3483</v>
      </c>
      <c r="O836" s="89" t="s">
        <v>909</v>
      </c>
      <c r="P836" t="s">
        <v>887</v>
      </c>
    </row>
    <row r="837" spans="12:16" ht="42" x14ac:dyDescent="0.35">
      <c r="L837" s="544">
        <v>812223</v>
      </c>
      <c r="M837" s="545" t="s">
        <v>3484</v>
      </c>
      <c r="N837" s="89" t="s">
        <v>3485</v>
      </c>
      <c r="O837" s="89" t="s">
        <v>3486</v>
      </c>
      <c r="P837" t="s">
        <v>887</v>
      </c>
    </row>
    <row r="838" spans="12:16" ht="56" x14ac:dyDescent="0.35">
      <c r="L838" s="544">
        <v>812224</v>
      </c>
      <c r="M838" s="545" t="s">
        <v>3487</v>
      </c>
      <c r="N838" s="89" t="s">
        <v>3488</v>
      </c>
      <c r="O838" s="89" t="s">
        <v>3489</v>
      </c>
      <c r="P838" t="s">
        <v>887</v>
      </c>
    </row>
    <row r="839" spans="12:16" ht="42" x14ac:dyDescent="0.35">
      <c r="L839" s="544">
        <v>812225</v>
      </c>
      <c r="M839" s="545" t="s">
        <v>3490</v>
      </c>
      <c r="N839" s="89" t="s">
        <v>3491</v>
      </c>
      <c r="O839" s="89" t="s">
        <v>3492</v>
      </c>
      <c r="P839" t="s">
        <v>887</v>
      </c>
    </row>
    <row r="840" spans="12:16" ht="42" x14ac:dyDescent="0.35">
      <c r="L840" s="544">
        <v>812226</v>
      </c>
      <c r="M840" s="545" t="s">
        <v>3493</v>
      </c>
      <c r="N840" s="89" t="s">
        <v>3494</v>
      </c>
      <c r="O840" s="89" t="s">
        <v>3495</v>
      </c>
      <c r="P840" t="s">
        <v>887</v>
      </c>
    </row>
    <row r="841" spans="12:16" ht="70" x14ac:dyDescent="0.35">
      <c r="L841" s="547">
        <v>812410</v>
      </c>
      <c r="M841" s="545" t="s">
        <v>3496</v>
      </c>
      <c r="N841" s="89" t="s">
        <v>3497</v>
      </c>
      <c r="O841" s="89" t="s">
        <v>909</v>
      </c>
      <c r="P841" t="s">
        <v>887</v>
      </c>
    </row>
    <row r="842" spans="12:16" ht="70" x14ac:dyDescent="0.35">
      <c r="L842" s="547">
        <v>812420</v>
      </c>
      <c r="M842" s="545" t="s">
        <v>3498</v>
      </c>
      <c r="N842" s="89" t="s">
        <v>3499</v>
      </c>
      <c r="O842" s="89" t="s">
        <v>909</v>
      </c>
      <c r="P842" t="s">
        <v>887</v>
      </c>
    </row>
    <row r="843" spans="12:16" ht="70" x14ac:dyDescent="0.35">
      <c r="L843" s="547">
        <v>812430</v>
      </c>
      <c r="M843" s="545" t="s">
        <v>3500</v>
      </c>
      <c r="N843" s="89" t="s">
        <v>3501</v>
      </c>
      <c r="O843" s="89" t="s">
        <v>909</v>
      </c>
      <c r="P843" t="s">
        <v>887</v>
      </c>
    </row>
    <row r="844" spans="12:16" ht="42" x14ac:dyDescent="0.35">
      <c r="L844" s="544">
        <v>812926</v>
      </c>
      <c r="M844" s="545" t="s">
        <v>3502</v>
      </c>
      <c r="N844" s="89" t="s">
        <v>3503</v>
      </c>
      <c r="O844" s="89" t="s">
        <v>3504</v>
      </c>
      <c r="P844" t="s">
        <v>887</v>
      </c>
    </row>
    <row r="845" spans="12:16" ht="15.5" x14ac:dyDescent="0.35">
      <c r="L845" s="544">
        <v>812928</v>
      </c>
      <c r="M845" s="545" t="s">
        <v>3505</v>
      </c>
      <c r="N845" s="89" t="s">
        <v>3506</v>
      </c>
      <c r="O845" s="89" t="s">
        <v>909</v>
      </c>
      <c r="P845" t="s">
        <v>887</v>
      </c>
    </row>
    <row r="846" spans="12:16" ht="56" x14ac:dyDescent="0.35">
      <c r="L846" s="544">
        <v>813228</v>
      </c>
      <c r="M846" s="545" t="s">
        <v>3507</v>
      </c>
      <c r="N846" s="89" t="s">
        <v>3508</v>
      </c>
      <c r="O846" s="89" t="s">
        <v>3509</v>
      </c>
      <c r="P846" t="s">
        <v>887</v>
      </c>
    </row>
    <row r="847" spans="12:16" ht="56" x14ac:dyDescent="0.35">
      <c r="L847" s="544">
        <v>813231</v>
      </c>
      <c r="M847" s="545" t="s">
        <v>3510</v>
      </c>
      <c r="N847" s="89" t="s">
        <v>3511</v>
      </c>
      <c r="O847" s="89" t="s">
        <v>3512</v>
      </c>
      <c r="P847" t="s">
        <v>887</v>
      </c>
    </row>
    <row r="848" spans="12:16" ht="70" x14ac:dyDescent="0.35">
      <c r="L848" s="544">
        <v>813301</v>
      </c>
      <c r="M848" s="545" t="s">
        <v>3513</v>
      </c>
      <c r="N848" s="89" t="s">
        <v>3514</v>
      </c>
      <c r="O848" s="89" t="s">
        <v>909</v>
      </c>
      <c r="P848" t="s">
        <v>887</v>
      </c>
    </row>
    <row r="849" spans="12:16" ht="126" x14ac:dyDescent="0.35">
      <c r="L849" s="544">
        <v>813321</v>
      </c>
      <c r="M849" s="545" t="s">
        <v>3515</v>
      </c>
      <c r="N849" s="89" t="s">
        <v>3516</v>
      </c>
      <c r="O849" s="89" t="s">
        <v>909</v>
      </c>
      <c r="P849" t="s">
        <v>887</v>
      </c>
    </row>
    <row r="850" spans="12:16" ht="112" x14ac:dyDescent="0.35">
      <c r="L850" s="544">
        <v>813400</v>
      </c>
      <c r="M850" s="545" t="s">
        <v>3517</v>
      </c>
      <c r="N850" s="89" t="s">
        <v>3518</v>
      </c>
      <c r="O850" s="89" t="s">
        <v>909</v>
      </c>
      <c r="P850" t="s">
        <v>887</v>
      </c>
    </row>
    <row r="851" spans="12:16" ht="15.5" x14ac:dyDescent="0.35">
      <c r="L851" s="544">
        <v>821111</v>
      </c>
      <c r="M851" s="545" t="s">
        <v>3519</v>
      </c>
      <c r="N851" s="89" t="s">
        <v>3520</v>
      </c>
      <c r="O851" s="89" t="s">
        <v>3521</v>
      </c>
      <c r="P851" t="s">
        <v>887</v>
      </c>
    </row>
    <row r="852" spans="12:16" ht="28" x14ac:dyDescent="0.35">
      <c r="L852" s="544">
        <v>821112</v>
      </c>
      <c r="M852" s="545" t="s">
        <v>3522</v>
      </c>
      <c r="N852" s="89" t="s">
        <v>3523</v>
      </c>
      <c r="O852" s="89" t="s">
        <v>3524</v>
      </c>
      <c r="P852" t="s">
        <v>887</v>
      </c>
    </row>
    <row r="853" spans="12:16" ht="28" x14ac:dyDescent="0.35">
      <c r="L853" s="544">
        <v>821113</v>
      </c>
      <c r="M853" s="545" t="s">
        <v>3525</v>
      </c>
      <c r="N853" s="89" t="s">
        <v>3526</v>
      </c>
      <c r="O853" s="89" t="s">
        <v>3527</v>
      </c>
      <c r="P853" t="s">
        <v>887</v>
      </c>
    </row>
    <row r="854" spans="12:16" ht="56" x14ac:dyDescent="0.35">
      <c r="L854" s="544">
        <v>821115</v>
      </c>
      <c r="M854" s="545" t="s">
        <v>3528</v>
      </c>
      <c r="N854" s="89" t="s">
        <v>3529</v>
      </c>
      <c r="O854" s="89" t="s">
        <v>3530</v>
      </c>
      <c r="P854" t="s">
        <v>887</v>
      </c>
    </row>
    <row r="855" spans="12:16" ht="56" x14ac:dyDescent="0.35">
      <c r="L855" s="544">
        <v>821117</v>
      </c>
      <c r="M855" s="545" t="s">
        <v>3531</v>
      </c>
      <c r="N855" s="89" t="s">
        <v>3532</v>
      </c>
      <c r="O855" s="89" t="s">
        <v>3533</v>
      </c>
      <c r="P855" t="s">
        <v>887</v>
      </c>
    </row>
    <row r="856" spans="12:16" ht="15.5" x14ac:dyDescent="0.35">
      <c r="L856" s="544">
        <v>821155</v>
      </c>
      <c r="M856" s="545" t="s">
        <v>3534</v>
      </c>
      <c r="N856" s="89" t="s">
        <v>3535</v>
      </c>
      <c r="O856" s="89" t="s">
        <v>3536</v>
      </c>
      <c r="P856" t="s">
        <v>887</v>
      </c>
    </row>
    <row r="857" spans="12:16" ht="28" x14ac:dyDescent="0.35">
      <c r="L857" s="544">
        <v>821156</v>
      </c>
      <c r="M857" s="545" t="s">
        <v>3537</v>
      </c>
      <c r="N857" s="89" t="s">
        <v>3538</v>
      </c>
      <c r="O857" s="89" t="s">
        <v>3539</v>
      </c>
      <c r="P857" t="s">
        <v>887</v>
      </c>
    </row>
    <row r="858" spans="12:16" ht="56" x14ac:dyDescent="0.35">
      <c r="L858" s="544">
        <v>821157</v>
      </c>
      <c r="M858" s="545" t="s">
        <v>3540</v>
      </c>
      <c r="N858" s="89" t="s">
        <v>3541</v>
      </c>
      <c r="O858" s="89" t="s">
        <v>909</v>
      </c>
      <c r="P858" t="s">
        <v>887</v>
      </c>
    </row>
    <row r="859" spans="12:16" ht="28" x14ac:dyDescent="0.35">
      <c r="L859" s="544">
        <v>822245</v>
      </c>
      <c r="M859" s="545" t="s">
        <v>3542</v>
      </c>
      <c r="N859" s="89" t="s">
        <v>3543</v>
      </c>
      <c r="O859" s="89" t="s">
        <v>3544</v>
      </c>
      <c r="P859" t="s">
        <v>887</v>
      </c>
    </row>
    <row r="860" spans="12:16" ht="28" x14ac:dyDescent="0.35">
      <c r="L860" s="544">
        <v>822248</v>
      </c>
      <c r="M860" s="545" t="s">
        <v>3545</v>
      </c>
      <c r="N860" s="89" t="s">
        <v>3546</v>
      </c>
      <c r="O860" s="89" t="s">
        <v>3547</v>
      </c>
      <c r="P860" t="s">
        <v>887</v>
      </c>
    </row>
    <row r="861" spans="12:16" ht="28" x14ac:dyDescent="0.35">
      <c r="L861" s="544">
        <v>822265</v>
      </c>
      <c r="M861" s="545" t="s">
        <v>3548</v>
      </c>
      <c r="N861" s="89" t="s">
        <v>3549</v>
      </c>
      <c r="O861" s="89" t="s">
        <v>3550</v>
      </c>
      <c r="P861" t="s">
        <v>887</v>
      </c>
    </row>
    <row r="862" spans="12:16" ht="28" x14ac:dyDescent="0.35">
      <c r="L862" s="544">
        <v>822268</v>
      </c>
      <c r="M862" s="545" t="s">
        <v>3551</v>
      </c>
      <c r="N862" s="89" t="s">
        <v>3552</v>
      </c>
      <c r="O862" s="89" t="s">
        <v>3553</v>
      </c>
      <c r="P862" t="s">
        <v>887</v>
      </c>
    </row>
    <row r="863" spans="12:16" ht="15.5" x14ac:dyDescent="0.35">
      <c r="L863" s="544">
        <v>823111</v>
      </c>
      <c r="M863" s="545" t="s">
        <v>3554</v>
      </c>
      <c r="N863" s="89" t="s">
        <v>3555</v>
      </c>
      <c r="O863" s="89" t="s">
        <v>3556</v>
      </c>
      <c r="P863" t="s">
        <v>887</v>
      </c>
    </row>
    <row r="864" spans="12:16" ht="28" x14ac:dyDescent="0.35">
      <c r="L864" s="544">
        <v>823243</v>
      </c>
      <c r="M864" s="545" t="s">
        <v>3557</v>
      </c>
      <c r="N864" s="89" t="s">
        <v>3558</v>
      </c>
      <c r="O864" s="89" t="s">
        <v>3559</v>
      </c>
      <c r="P864" t="s">
        <v>887</v>
      </c>
    </row>
    <row r="865" spans="12:16" ht="15.5" x14ac:dyDescent="0.35">
      <c r="L865" s="544">
        <v>823244</v>
      </c>
      <c r="M865" s="545" t="s">
        <v>3560</v>
      </c>
      <c r="N865" s="89" t="s">
        <v>3561</v>
      </c>
      <c r="O865" s="89" t="s">
        <v>3562</v>
      </c>
      <c r="P865" t="s">
        <v>887</v>
      </c>
    </row>
    <row r="866" spans="12:16" ht="28" x14ac:dyDescent="0.35">
      <c r="L866" s="544">
        <v>823248</v>
      </c>
      <c r="M866" s="545" t="s">
        <v>3563</v>
      </c>
      <c r="N866" s="89" t="s">
        <v>3564</v>
      </c>
      <c r="O866" s="89" t="s">
        <v>3565</v>
      </c>
      <c r="P866" t="s">
        <v>887</v>
      </c>
    </row>
    <row r="867" spans="12:16" ht="28" x14ac:dyDescent="0.35">
      <c r="L867" s="544">
        <v>824462</v>
      </c>
      <c r="M867" s="545" t="s">
        <v>3566</v>
      </c>
      <c r="N867" s="89" t="s">
        <v>3567</v>
      </c>
      <c r="O867" s="89" t="s">
        <v>3568</v>
      </c>
      <c r="P867" t="s">
        <v>887</v>
      </c>
    </row>
    <row r="868" spans="12:16" ht="28" x14ac:dyDescent="0.35">
      <c r="L868" s="544">
        <v>824464</v>
      </c>
      <c r="M868" s="545" t="s">
        <v>3569</v>
      </c>
      <c r="N868" s="89" t="s">
        <v>3570</v>
      </c>
      <c r="O868" s="89" t="s">
        <v>3571</v>
      </c>
      <c r="P868" t="s">
        <v>887</v>
      </c>
    </row>
    <row r="869" spans="12:16" ht="28" x14ac:dyDescent="0.35">
      <c r="L869" s="544">
        <v>824466</v>
      </c>
      <c r="M869" s="545" t="s">
        <v>3572</v>
      </c>
      <c r="N869" s="89" t="s">
        <v>3573</v>
      </c>
      <c r="O869" s="89" t="s">
        <v>3574</v>
      </c>
      <c r="P869" t="s">
        <v>887</v>
      </c>
    </row>
    <row r="870" spans="12:16" ht="28" x14ac:dyDescent="0.35">
      <c r="L870" s="544">
        <v>824468</v>
      </c>
      <c r="M870" s="545" t="s">
        <v>3575</v>
      </c>
      <c r="N870" s="89" t="s">
        <v>3576</v>
      </c>
      <c r="O870" s="89" t="s">
        <v>3577</v>
      </c>
      <c r="P870" t="s">
        <v>887</v>
      </c>
    </row>
    <row r="871" spans="12:16" ht="140" x14ac:dyDescent="0.35">
      <c r="L871" s="544">
        <v>826121</v>
      </c>
      <c r="M871" s="545" t="s">
        <v>3578</v>
      </c>
      <c r="N871" s="89" t="s">
        <v>3579</v>
      </c>
      <c r="O871" s="89" t="s">
        <v>909</v>
      </c>
      <c r="P871" t="s">
        <v>887</v>
      </c>
    </row>
    <row r="872" spans="12:16" ht="28" x14ac:dyDescent="0.35">
      <c r="L872" s="544">
        <v>826123</v>
      </c>
      <c r="M872" s="545" t="s">
        <v>3580</v>
      </c>
      <c r="N872" s="89" t="s">
        <v>3581</v>
      </c>
      <c r="O872" s="89" t="s">
        <v>3582</v>
      </c>
      <c r="P872" t="s">
        <v>887</v>
      </c>
    </row>
    <row r="873" spans="12:16" ht="28" x14ac:dyDescent="0.35">
      <c r="L873" s="544">
        <v>827111</v>
      </c>
      <c r="M873" s="545" t="s">
        <v>3583</v>
      </c>
      <c r="N873" s="89" t="s">
        <v>3584</v>
      </c>
      <c r="O873" s="89" t="s">
        <v>3585</v>
      </c>
      <c r="P873" t="s">
        <v>887</v>
      </c>
    </row>
    <row r="874" spans="12:16" ht="28" x14ac:dyDescent="0.35">
      <c r="L874" s="544">
        <v>831155</v>
      </c>
      <c r="M874" s="545" t="s">
        <v>3586</v>
      </c>
      <c r="N874" s="89" t="s">
        <v>3587</v>
      </c>
      <c r="O874" s="89" t="s">
        <v>3588</v>
      </c>
      <c r="P874" t="s">
        <v>887</v>
      </c>
    </row>
    <row r="875" spans="12:16" ht="70" x14ac:dyDescent="0.35">
      <c r="L875" s="544">
        <v>831157</v>
      </c>
      <c r="M875" s="545" t="s">
        <v>3589</v>
      </c>
      <c r="N875" s="89" t="s">
        <v>3590</v>
      </c>
      <c r="O875" s="89" t="s">
        <v>3591</v>
      </c>
      <c r="P875" t="s">
        <v>887</v>
      </c>
    </row>
    <row r="876" spans="12:16" ht="56" x14ac:dyDescent="0.35">
      <c r="L876" s="544">
        <v>831165</v>
      </c>
      <c r="M876" s="545" t="s">
        <v>3592</v>
      </c>
      <c r="N876" s="89" t="s">
        <v>3593</v>
      </c>
      <c r="O876" s="89" t="s">
        <v>3594</v>
      </c>
      <c r="P876" t="s">
        <v>887</v>
      </c>
    </row>
    <row r="877" spans="12:16" ht="28" x14ac:dyDescent="0.35">
      <c r="L877" s="544">
        <v>831168</v>
      </c>
      <c r="M877" s="545" t="s">
        <v>3595</v>
      </c>
      <c r="N877" s="89" t="s">
        <v>3596</v>
      </c>
      <c r="O877" s="89" t="s">
        <v>3597</v>
      </c>
      <c r="P877" t="s">
        <v>887</v>
      </c>
    </row>
    <row r="878" spans="12:16" ht="28" x14ac:dyDescent="0.35">
      <c r="L878" s="544">
        <v>831169</v>
      </c>
      <c r="M878" s="545" t="s">
        <v>3598</v>
      </c>
      <c r="N878" s="89" t="s">
        <v>3599</v>
      </c>
      <c r="O878" s="89" t="s">
        <v>3600</v>
      </c>
      <c r="P878" t="s">
        <v>887</v>
      </c>
    </row>
    <row r="879" spans="12:16" ht="28" x14ac:dyDescent="0.35">
      <c r="L879" s="544">
        <v>831171</v>
      </c>
      <c r="M879" s="545" t="s">
        <v>3601</v>
      </c>
      <c r="N879" s="89" t="s">
        <v>3602</v>
      </c>
      <c r="O879" s="89" t="s">
        <v>3603</v>
      </c>
      <c r="P879" t="s">
        <v>887</v>
      </c>
    </row>
    <row r="880" spans="12:16" ht="56" x14ac:dyDescent="0.35">
      <c r="L880" s="544">
        <v>831172</v>
      </c>
      <c r="M880" s="545" t="s">
        <v>3604</v>
      </c>
      <c r="N880" s="89" t="s">
        <v>3605</v>
      </c>
      <c r="O880" s="89" t="s">
        <v>3606</v>
      </c>
      <c r="P880" t="s">
        <v>887</v>
      </c>
    </row>
    <row r="881" spans="12:16" ht="42" x14ac:dyDescent="0.35">
      <c r="L881" s="544">
        <v>831173</v>
      </c>
      <c r="M881" s="545" t="s">
        <v>3607</v>
      </c>
      <c r="N881" s="89" t="s">
        <v>3608</v>
      </c>
      <c r="O881" s="89" t="s">
        <v>3609</v>
      </c>
      <c r="P881" t="s">
        <v>887</v>
      </c>
    </row>
    <row r="882" spans="12:16" ht="28" x14ac:dyDescent="0.35">
      <c r="L882" s="544">
        <v>831410</v>
      </c>
      <c r="M882" s="545" t="s">
        <v>3610</v>
      </c>
      <c r="N882" s="89" t="s">
        <v>3611</v>
      </c>
      <c r="O882" s="89" t="s">
        <v>909</v>
      </c>
      <c r="P882" t="s">
        <v>887</v>
      </c>
    </row>
    <row r="883" spans="12:16" ht="28" x14ac:dyDescent="0.35">
      <c r="L883" s="544">
        <v>831511</v>
      </c>
      <c r="M883" s="545" t="s">
        <v>3612</v>
      </c>
      <c r="N883" s="89" t="s">
        <v>3613</v>
      </c>
      <c r="O883" s="89" t="s">
        <v>909</v>
      </c>
      <c r="P883" t="s">
        <v>887</v>
      </c>
    </row>
    <row r="884" spans="12:16" ht="28" x14ac:dyDescent="0.35">
      <c r="L884" s="544">
        <v>832255</v>
      </c>
      <c r="M884" s="545" t="s">
        <v>3614</v>
      </c>
      <c r="N884" s="89" t="s">
        <v>3615</v>
      </c>
      <c r="O884" s="89" t="s">
        <v>3616</v>
      </c>
      <c r="P884" t="s">
        <v>887</v>
      </c>
    </row>
    <row r="885" spans="12:16" ht="28" x14ac:dyDescent="0.35">
      <c r="L885" s="544">
        <v>832266</v>
      </c>
      <c r="M885" s="545" t="s">
        <v>3617</v>
      </c>
      <c r="N885" s="89" t="s">
        <v>3618</v>
      </c>
      <c r="O885" s="89" t="s">
        <v>3619</v>
      </c>
      <c r="P885" t="s">
        <v>887</v>
      </c>
    </row>
    <row r="886" spans="12:16" ht="28" x14ac:dyDescent="0.35">
      <c r="L886" s="544">
        <v>832267</v>
      </c>
      <c r="M886" s="545" t="s">
        <v>3620</v>
      </c>
      <c r="N886" s="89" t="s">
        <v>3621</v>
      </c>
      <c r="O886" s="89" t="s">
        <v>3622</v>
      </c>
      <c r="P886" t="s">
        <v>887</v>
      </c>
    </row>
    <row r="887" spans="12:16" ht="84" x14ac:dyDescent="0.35">
      <c r="L887" s="544">
        <v>833101</v>
      </c>
      <c r="M887" s="545" t="s">
        <v>3623</v>
      </c>
      <c r="N887" s="89" t="s">
        <v>3624</v>
      </c>
      <c r="O887" s="89" t="s">
        <v>909</v>
      </c>
      <c r="P887" t="s">
        <v>887</v>
      </c>
    </row>
    <row r="888" spans="12:16" ht="126" x14ac:dyDescent="0.35">
      <c r="L888" s="544">
        <v>833221</v>
      </c>
      <c r="M888" s="545" t="s">
        <v>3625</v>
      </c>
      <c r="N888" s="89" t="s">
        <v>3626</v>
      </c>
      <c r="O888" s="89" t="s">
        <v>909</v>
      </c>
      <c r="P888" t="s">
        <v>887</v>
      </c>
    </row>
    <row r="889" spans="12:16" ht="70" x14ac:dyDescent="0.35">
      <c r="L889" s="544">
        <v>833300</v>
      </c>
      <c r="M889" s="545" t="s">
        <v>3627</v>
      </c>
      <c r="N889" s="89" t="s">
        <v>3628</v>
      </c>
      <c r="O889" s="89" t="s">
        <v>909</v>
      </c>
      <c r="P889" t="s">
        <v>887</v>
      </c>
    </row>
    <row r="890" spans="12:16" ht="28" x14ac:dyDescent="0.35">
      <c r="L890" s="544">
        <v>833354</v>
      </c>
      <c r="M890" s="545" t="s">
        <v>3629</v>
      </c>
      <c r="N890" s="89" t="s">
        <v>3630</v>
      </c>
      <c r="O890" s="89" t="s">
        <v>3631</v>
      </c>
      <c r="P890" t="s">
        <v>887</v>
      </c>
    </row>
    <row r="891" spans="12:16" ht="28" x14ac:dyDescent="0.35">
      <c r="L891" s="544">
        <v>833356</v>
      </c>
      <c r="M891" s="545" t="s">
        <v>3632</v>
      </c>
      <c r="N891" s="89" t="s">
        <v>3633</v>
      </c>
      <c r="O891" s="89" t="s">
        <v>3634</v>
      </c>
      <c r="P891" t="s">
        <v>887</v>
      </c>
    </row>
    <row r="892" spans="12:16" ht="56" x14ac:dyDescent="0.35">
      <c r="L892" s="544">
        <v>833358</v>
      </c>
      <c r="M892" s="545" t="s">
        <v>3635</v>
      </c>
      <c r="N892" s="89" t="s">
        <v>3636</v>
      </c>
      <c r="O892" s="89" t="s">
        <v>3637</v>
      </c>
      <c r="P892" t="s">
        <v>887</v>
      </c>
    </row>
    <row r="893" spans="12:16" ht="15.5" x14ac:dyDescent="0.35">
      <c r="L893" s="544">
        <v>833360</v>
      </c>
      <c r="M893" s="545" t="s">
        <v>3638</v>
      </c>
      <c r="N893" s="89" t="s">
        <v>3639</v>
      </c>
      <c r="O893" s="89" t="s">
        <v>909</v>
      </c>
      <c r="P893" t="s">
        <v>887</v>
      </c>
    </row>
    <row r="894" spans="12:16" ht="56" x14ac:dyDescent="0.35">
      <c r="L894" s="544">
        <v>833361</v>
      </c>
      <c r="M894" s="545" t="s">
        <v>3640</v>
      </c>
      <c r="N894" s="89" t="s">
        <v>3641</v>
      </c>
      <c r="O894" s="89" t="s">
        <v>3642</v>
      </c>
      <c r="P894" t="s">
        <v>887</v>
      </c>
    </row>
    <row r="895" spans="12:16" ht="42" x14ac:dyDescent="0.35">
      <c r="L895" s="544">
        <v>841161</v>
      </c>
      <c r="M895" s="545" t="s">
        <v>3643</v>
      </c>
      <c r="N895" s="89" t="s">
        <v>3644</v>
      </c>
      <c r="O895" s="89" t="s">
        <v>3645</v>
      </c>
      <c r="P895" t="s">
        <v>887</v>
      </c>
    </row>
    <row r="896" spans="12:16" ht="28" x14ac:dyDescent="0.35">
      <c r="L896" s="544">
        <v>841162</v>
      </c>
      <c r="M896" s="545" t="s">
        <v>3646</v>
      </c>
      <c r="N896" s="89" t="s">
        <v>3647</v>
      </c>
      <c r="O896" s="89" t="s">
        <v>3648</v>
      </c>
      <c r="P896" t="s">
        <v>887</v>
      </c>
    </row>
    <row r="897" spans="12:16" ht="15.5" x14ac:dyDescent="0.35">
      <c r="L897" s="544">
        <v>841163</v>
      </c>
      <c r="M897" s="545" t="s">
        <v>3649</v>
      </c>
      <c r="N897" s="89" t="s">
        <v>3650</v>
      </c>
      <c r="O897" s="89" t="s">
        <v>3651</v>
      </c>
      <c r="P897" t="s">
        <v>887</v>
      </c>
    </row>
    <row r="898" spans="12:16" ht="28" x14ac:dyDescent="0.35">
      <c r="L898" s="544">
        <v>841165</v>
      </c>
      <c r="M898" s="545" t="s">
        <v>3652</v>
      </c>
      <c r="N898" s="89" t="s">
        <v>3653</v>
      </c>
      <c r="O898" s="89" t="s">
        <v>3654</v>
      </c>
      <c r="P898" t="s">
        <v>887</v>
      </c>
    </row>
    <row r="899" spans="12:16" ht="28" x14ac:dyDescent="0.35">
      <c r="L899" s="544">
        <v>841166</v>
      </c>
      <c r="M899" s="545" t="s">
        <v>3655</v>
      </c>
      <c r="N899" s="89" t="s">
        <v>3656</v>
      </c>
      <c r="O899" s="89" t="s">
        <v>3657</v>
      </c>
      <c r="P899" t="s">
        <v>887</v>
      </c>
    </row>
    <row r="900" spans="12:16" ht="28" x14ac:dyDescent="0.35">
      <c r="L900" s="544">
        <v>841169</v>
      </c>
      <c r="M900" s="545" t="s">
        <v>3658</v>
      </c>
      <c r="N900" s="89" t="s">
        <v>3659</v>
      </c>
      <c r="O900" s="89" t="s">
        <v>3660</v>
      </c>
      <c r="P900" t="s">
        <v>887</v>
      </c>
    </row>
    <row r="901" spans="12:16" ht="42" x14ac:dyDescent="0.35">
      <c r="L901" s="544">
        <v>841423</v>
      </c>
      <c r="M901" s="545" t="s">
        <v>3661</v>
      </c>
      <c r="N901" s="89" t="s">
        <v>3662</v>
      </c>
      <c r="O901" s="89" t="s">
        <v>3663</v>
      </c>
      <c r="P901" t="s">
        <v>887</v>
      </c>
    </row>
    <row r="902" spans="12:16" ht="28" x14ac:dyDescent="0.35">
      <c r="L902" s="544">
        <v>841425</v>
      </c>
      <c r="M902" s="545" t="s">
        <v>3664</v>
      </c>
      <c r="N902" s="89" t="s">
        <v>3665</v>
      </c>
      <c r="O902" s="89" t="s">
        <v>3666</v>
      </c>
      <c r="P902" t="s">
        <v>887</v>
      </c>
    </row>
    <row r="903" spans="12:16" ht="42" x14ac:dyDescent="0.35">
      <c r="L903" s="544">
        <v>841426</v>
      </c>
      <c r="M903" s="545" t="s">
        <v>3667</v>
      </c>
      <c r="N903" s="89" t="s">
        <v>3668</v>
      </c>
      <c r="O903" s="89" t="s">
        <v>909</v>
      </c>
      <c r="P903" t="s">
        <v>887</v>
      </c>
    </row>
    <row r="904" spans="12:16" ht="28" x14ac:dyDescent="0.35">
      <c r="L904" s="544">
        <v>841427</v>
      </c>
      <c r="M904" s="545" t="s">
        <v>3669</v>
      </c>
      <c r="N904" s="89" t="s">
        <v>3670</v>
      </c>
      <c r="O904" s="89" t="s">
        <v>3671</v>
      </c>
      <c r="P904" t="s">
        <v>887</v>
      </c>
    </row>
    <row r="905" spans="12:16" ht="28" x14ac:dyDescent="0.35">
      <c r="L905" s="544">
        <v>842245</v>
      </c>
      <c r="M905" s="545" t="s">
        <v>3672</v>
      </c>
      <c r="N905" s="89" t="s">
        <v>3673</v>
      </c>
      <c r="O905" s="89" t="s">
        <v>3674</v>
      </c>
      <c r="P905" t="s">
        <v>887</v>
      </c>
    </row>
    <row r="906" spans="12:16" ht="28" x14ac:dyDescent="0.35">
      <c r="L906" s="544">
        <v>842249</v>
      </c>
      <c r="M906" s="545" t="s">
        <v>3675</v>
      </c>
      <c r="N906" s="89" t="s">
        <v>3676</v>
      </c>
      <c r="O906" s="89" t="s">
        <v>3677</v>
      </c>
      <c r="P906" t="s">
        <v>887</v>
      </c>
    </row>
    <row r="907" spans="12:16" ht="42" x14ac:dyDescent="0.35">
      <c r="L907" s="544">
        <v>843101</v>
      </c>
      <c r="M907" s="545" t="s">
        <v>3678</v>
      </c>
      <c r="N907" s="89" t="s">
        <v>3679</v>
      </c>
      <c r="O907" s="89" t="s">
        <v>909</v>
      </c>
      <c r="P907" t="s">
        <v>887</v>
      </c>
    </row>
    <row r="908" spans="12:16" ht="42" x14ac:dyDescent="0.35">
      <c r="L908" s="544">
        <v>843301</v>
      </c>
      <c r="M908" s="545" t="s">
        <v>3680</v>
      </c>
      <c r="N908" s="89" t="s">
        <v>3681</v>
      </c>
      <c r="O908" s="89" t="s">
        <v>909</v>
      </c>
      <c r="P908" t="s">
        <v>887</v>
      </c>
    </row>
    <row r="909" spans="12:16" ht="28" x14ac:dyDescent="0.35">
      <c r="L909" s="544">
        <v>843314</v>
      </c>
      <c r="M909" s="545" t="s">
        <v>3682</v>
      </c>
      <c r="N909" s="89" t="s">
        <v>3683</v>
      </c>
      <c r="O909" s="89" t="s">
        <v>3684</v>
      </c>
      <c r="P909" t="s">
        <v>887</v>
      </c>
    </row>
    <row r="910" spans="12:16" ht="42" x14ac:dyDescent="0.35">
      <c r="L910" s="544">
        <v>843316</v>
      </c>
      <c r="M910" s="545" t="s">
        <v>3685</v>
      </c>
      <c r="N910" s="89" t="s">
        <v>3686</v>
      </c>
      <c r="O910" s="89" t="s">
        <v>909</v>
      </c>
      <c r="P910" t="s">
        <v>887</v>
      </c>
    </row>
    <row r="911" spans="12:16" ht="28" x14ac:dyDescent="0.35">
      <c r="L911" s="544">
        <v>843319</v>
      </c>
      <c r="M911" s="545" t="s">
        <v>3687</v>
      </c>
      <c r="N911" s="89" t="s">
        <v>3688</v>
      </c>
      <c r="O911" s="89" t="s">
        <v>3689</v>
      </c>
      <c r="P911" t="s">
        <v>887</v>
      </c>
    </row>
    <row r="912" spans="12:16" ht="28" x14ac:dyDescent="0.35">
      <c r="L912" s="544">
        <v>844367</v>
      </c>
      <c r="M912" s="545" t="s">
        <v>3690</v>
      </c>
      <c r="N912" s="89" t="s">
        <v>3691</v>
      </c>
      <c r="O912" s="89" t="s">
        <v>3692</v>
      </c>
      <c r="P912" t="s">
        <v>887</v>
      </c>
    </row>
    <row r="913" spans="12:16" ht="28" x14ac:dyDescent="0.35">
      <c r="L913" s="544">
        <v>844368</v>
      </c>
      <c r="M913" s="545" t="s">
        <v>3693</v>
      </c>
      <c r="N913" s="89" t="s">
        <v>3694</v>
      </c>
      <c r="O913" s="89" t="s">
        <v>3695</v>
      </c>
      <c r="P913" t="s">
        <v>887</v>
      </c>
    </row>
    <row r="914" spans="12:16" ht="42" x14ac:dyDescent="0.35">
      <c r="L914" s="544">
        <v>844400</v>
      </c>
      <c r="M914" s="545" t="s">
        <v>3696</v>
      </c>
      <c r="N914" s="89" t="s">
        <v>3697</v>
      </c>
      <c r="O914" s="89" t="s">
        <v>909</v>
      </c>
      <c r="P914" t="s">
        <v>887</v>
      </c>
    </row>
    <row r="915" spans="12:16" ht="56" x14ac:dyDescent="0.35">
      <c r="L915" s="544">
        <v>844410</v>
      </c>
      <c r="M915" s="545" t="s">
        <v>3698</v>
      </c>
      <c r="N915" s="89" t="s">
        <v>3699</v>
      </c>
      <c r="O915" s="89" t="s">
        <v>909</v>
      </c>
      <c r="P915" t="s">
        <v>887</v>
      </c>
    </row>
    <row r="916" spans="12:16" ht="42" x14ac:dyDescent="0.35">
      <c r="L916" s="544">
        <v>844500</v>
      </c>
      <c r="M916" s="545" t="s">
        <v>3700</v>
      </c>
      <c r="N916" s="89" t="s">
        <v>3701</v>
      </c>
      <c r="O916" s="89" t="s">
        <v>909</v>
      </c>
      <c r="P916" t="s">
        <v>887</v>
      </c>
    </row>
    <row r="917" spans="12:16" ht="70" x14ac:dyDescent="0.35">
      <c r="L917" s="544">
        <v>844510</v>
      </c>
      <c r="M917" s="545" t="s">
        <v>3702</v>
      </c>
      <c r="N917" s="89" t="s">
        <v>3703</v>
      </c>
      <c r="O917" s="89" t="s">
        <v>909</v>
      </c>
      <c r="P917" t="s">
        <v>887</v>
      </c>
    </row>
    <row r="918" spans="12:16" ht="15.5" x14ac:dyDescent="0.35">
      <c r="L918" s="544">
        <v>845362</v>
      </c>
      <c r="M918" s="545" t="s">
        <v>3704</v>
      </c>
      <c r="N918" s="89" t="s">
        <v>3705</v>
      </c>
      <c r="O918" s="89" t="s">
        <v>909</v>
      </c>
      <c r="P918" t="s">
        <v>887</v>
      </c>
    </row>
    <row r="919" spans="12:16" ht="15.5" x14ac:dyDescent="0.35">
      <c r="L919" s="544">
        <v>845363</v>
      </c>
      <c r="M919" s="545" t="s">
        <v>3706</v>
      </c>
      <c r="N919" s="89" t="s">
        <v>3707</v>
      </c>
      <c r="O919" s="89" t="s">
        <v>909</v>
      </c>
      <c r="P919" t="s">
        <v>887</v>
      </c>
    </row>
    <row r="920" spans="12:16" ht="168" x14ac:dyDescent="0.35">
      <c r="L920" s="544">
        <v>851142</v>
      </c>
      <c r="M920" s="545" t="s">
        <v>3708</v>
      </c>
      <c r="N920" s="89" t="s">
        <v>3709</v>
      </c>
      <c r="O920" s="89" t="s">
        <v>3710</v>
      </c>
      <c r="P920" t="s">
        <v>887</v>
      </c>
    </row>
    <row r="921" spans="12:16" ht="28" x14ac:dyDescent="0.35">
      <c r="L921" s="544">
        <v>851143</v>
      </c>
      <c r="M921" s="545" t="s">
        <v>3711</v>
      </c>
      <c r="N921" s="89" t="s">
        <v>3712</v>
      </c>
      <c r="O921" s="89" t="s">
        <v>3713</v>
      </c>
      <c r="P921" t="s">
        <v>887</v>
      </c>
    </row>
    <row r="922" spans="12:16" ht="42" x14ac:dyDescent="0.35">
      <c r="L922" s="544">
        <v>851145</v>
      </c>
      <c r="M922" s="545" t="s">
        <v>3714</v>
      </c>
      <c r="N922" s="89" t="s">
        <v>3715</v>
      </c>
      <c r="O922" s="89" t="s">
        <v>3716</v>
      </c>
      <c r="P922" t="s">
        <v>887</v>
      </c>
    </row>
    <row r="923" spans="12:16" ht="56" x14ac:dyDescent="0.35">
      <c r="L923" s="544">
        <v>851147</v>
      </c>
      <c r="M923" s="545" t="s">
        <v>3717</v>
      </c>
      <c r="N923" s="89" t="s">
        <v>3718</v>
      </c>
      <c r="O923" s="89" t="s">
        <v>3719</v>
      </c>
      <c r="P923" t="s">
        <v>887</v>
      </c>
    </row>
    <row r="924" spans="12:16" ht="42" x14ac:dyDescent="0.35">
      <c r="L924" s="544">
        <v>851201</v>
      </c>
      <c r="M924" s="545" t="s">
        <v>3720</v>
      </c>
      <c r="N924" s="89" t="s">
        <v>3721</v>
      </c>
      <c r="O924" s="89" t="s">
        <v>3722</v>
      </c>
      <c r="P924" t="s">
        <v>887</v>
      </c>
    </row>
    <row r="925" spans="12:16" ht="56" x14ac:dyDescent="0.35">
      <c r="L925" s="544">
        <v>851404</v>
      </c>
      <c r="M925" s="545" t="s">
        <v>3723</v>
      </c>
      <c r="N925" s="89" t="s">
        <v>3724</v>
      </c>
      <c r="O925" s="89" t="s">
        <v>909</v>
      </c>
      <c r="P925" t="s">
        <v>887</v>
      </c>
    </row>
    <row r="926" spans="12:16" ht="56" x14ac:dyDescent="0.35">
      <c r="L926" s="544">
        <v>852201</v>
      </c>
      <c r="M926" s="545" t="s">
        <v>3725</v>
      </c>
      <c r="N926" s="89" t="s">
        <v>3726</v>
      </c>
      <c r="O926" s="89" t="s">
        <v>3727</v>
      </c>
      <c r="P926" t="s">
        <v>887</v>
      </c>
    </row>
    <row r="927" spans="12:16" ht="70" x14ac:dyDescent="0.35">
      <c r="L927" s="544">
        <v>852220</v>
      </c>
      <c r="M927" s="545" t="s">
        <v>3728</v>
      </c>
      <c r="N927" s="89" t="s">
        <v>3729</v>
      </c>
      <c r="O927" s="89" t="s">
        <v>909</v>
      </c>
      <c r="P927" t="s">
        <v>887</v>
      </c>
    </row>
    <row r="928" spans="12:16" ht="28" x14ac:dyDescent="0.35">
      <c r="L928" s="544">
        <v>852261</v>
      </c>
      <c r="M928" s="545" t="s">
        <v>3730</v>
      </c>
      <c r="N928" s="89" t="s">
        <v>3731</v>
      </c>
      <c r="O928" s="89" t="s">
        <v>3732</v>
      </c>
      <c r="P928" t="s">
        <v>887</v>
      </c>
    </row>
    <row r="929" spans="12:16" ht="42" x14ac:dyDescent="0.35">
      <c r="L929" s="544">
        <v>852262</v>
      </c>
      <c r="M929" s="545" t="s">
        <v>3733</v>
      </c>
      <c r="N929" s="89" t="s">
        <v>3734</v>
      </c>
      <c r="O929" s="89" t="s">
        <v>3735</v>
      </c>
      <c r="P929" t="s">
        <v>887</v>
      </c>
    </row>
    <row r="930" spans="12:16" ht="28" x14ac:dyDescent="0.35">
      <c r="L930" s="544">
        <v>852263</v>
      </c>
      <c r="M930" s="545" t="s">
        <v>3736</v>
      </c>
      <c r="N930" s="89" t="s">
        <v>3737</v>
      </c>
      <c r="O930" s="89" t="s">
        <v>909</v>
      </c>
      <c r="P930" t="s">
        <v>887</v>
      </c>
    </row>
    <row r="931" spans="12:16" ht="28" x14ac:dyDescent="0.35">
      <c r="L931" s="544">
        <v>852267</v>
      </c>
      <c r="M931" s="545" t="s">
        <v>3738</v>
      </c>
      <c r="N931" s="89" t="s">
        <v>3739</v>
      </c>
      <c r="O931" s="89" t="s">
        <v>3740</v>
      </c>
      <c r="P931" t="s">
        <v>887</v>
      </c>
    </row>
    <row r="932" spans="12:16" ht="42" x14ac:dyDescent="0.35">
      <c r="L932" s="544">
        <v>852269</v>
      </c>
      <c r="M932" s="545" t="s">
        <v>3741</v>
      </c>
      <c r="N932" s="89" t="s">
        <v>3742</v>
      </c>
      <c r="O932" s="89" t="s">
        <v>3743</v>
      </c>
      <c r="P932" t="s">
        <v>887</v>
      </c>
    </row>
    <row r="933" spans="12:16" ht="42" x14ac:dyDescent="0.35">
      <c r="L933" s="544">
        <v>852271</v>
      </c>
      <c r="M933" s="545" t="s">
        <v>3744</v>
      </c>
      <c r="N933" s="89" t="s">
        <v>3745</v>
      </c>
      <c r="O933" s="89" t="s">
        <v>3746</v>
      </c>
      <c r="P933" t="s">
        <v>887</v>
      </c>
    </row>
    <row r="934" spans="12:16" ht="28" x14ac:dyDescent="0.35">
      <c r="L934" s="544">
        <v>852273</v>
      </c>
      <c r="M934" s="545" t="s">
        <v>3747</v>
      </c>
      <c r="N934" s="89" t="s">
        <v>3748</v>
      </c>
      <c r="O934" s="89" t="s">
        <v>3749</v>
      </c>
      <c r="P934" t="s">
        <v>887</v>
      </c>
    </row>
    <row r="935" spans="12:16" ht="15.5" x14ac:dyDescent="0.35">
      <c r="L935" s="544">
        <v>852282</v>
      </c>
      <c r="M935" s="545" t="s">
        <v>3750</v>
      </c>
      <c r="N935" s="89" t="s">
        <v>3751</v>
      </c>
      <c r="O935" s="89" t="s">
        <v>3752</v>
      </c>
      <c r="P935" t="s">
        <v>887</v>
      </c>
    </row>
    <row r="936" spans="12:16" ht="15.5" x14ac:dyDescent="0.35">
      <c r="L936" s="544">
        <v>852287</v>
      </c>
      <c r="M936" s="545" t="s">
        <v>3753</v>
      </c>
      <c r="N936" s="89" t="s">
        <v>3754</v>
      </c>
      <c r="O936" s="89" t="s">
        <v>3755</v>
      </c>
      <c r="P936" t="s">
        <v>887</v>
      </c>
    </row>
    <row r="937" spans="12:16" ht="15.5" x14ac:dyDescent="0.35">
      <c r="L937" s="544">
        <v>852289</v>
      </c>
      <c r="M937" s="545" t="s">
        <v>3756</v>
      </c>
      <c r="N937" s="89" t="s">
        <v>3757</v>
      </c>
      <c r="O937" s="89" t="s">
        <v>3758</v>
      </c>
      <c r="P937" t="s">
        <v>887</v>
      </c>
    </row>
    <row r="938" spans="12:16" ht="56" x14ac:dyDescent="0.35">
      <c r="L938" s="544">
        <v>852301</v>
      </c>
      <c r="M938" s="545" t="s">
        <v>3759</v>
      </c>
      <c r="N938" s="89" t="s">
        <v>3724</v>
      </c>
      <c r="O938" s="89" t="s">
        <v>3760</v>
      </c>
      <c r="P938" t="s">
        <v>887</v>
      </c>
    </row>
    <row r="939" spans="12:16" ht="42" x14ac:dyDescent="0.35">
      <c r="L939" s="544">
        <v>852400</v>
      </c>
      <c r="M939" s="545" t="s">
        <v>3761</v>
      </c>
      <c r="N939" s="89" t="s">
        <v>3762</v>
      </c>
      <c r="O939" s="89" t="s">
        <v>909</v>
      </c>
      <c r="P939" t="s">
        <v>887</v>
      </c>
    </row>
    <row r="940" spans="12:16" ht="42" x14ac:dyDescent="0.35">
      <c r="L940" s="544">
        <v>853101</v>
      </c>
      <c r="M940" s="545" t="s">
        <v>3763</v>
      </c>
      <c r="N940" s="89" t="s">
        <v>3764</v>
      </c>
      <c r="O940" s="89" t="s">
        <v>3765</v>
      </c>
      <c r="P940" t="s">
        <v>887</v>
      </c>
    </row>
    <row r="941" spans="12:16" ht="28" x14ac:dyDescent="0.35">
      <c r="L941" s="544">
        <v>860612</v>
      </c>
      <c r="M941" s="545" t="s">
        <v>3766</v>
      </c>
      <c r="N941" s="89" t="s">
        <v>3767</v>
      </c>
      <c r="O941" s="89" t="s">
        <v>3768</v>
      </c>
      <c r="P941" t="s">
        <v>887</v>
      </c>
    </row>
    <row r="942" spans="12:16" ht="28" x14ac:dyDescent="0.35">
      <c r="L942" s="544">
        <v>860616</v>
      </c>
      <c r="M942" s="545" t="s">
        <v>3769</v>
      </c>
      <c r="N942" s="89" t="s">
        <v>3770</v>
      </c>
      <c r="O942" s="89" t="s">
        <v>3771</v>
      </c>
      <c r="P942" t="s">
        <v>887</v>
      </c>
    </row>
    <row r="943" spans="12:16" ht="28" x14ac:dyDescent="0.35">
      <c r="L943" s="544">
        <v>860617</v>
      </c>
      <c r="M943" s="545" t="s">
        <v>3772</v>
      </c>
      <c r="N943" s="89" t="s">
        <v>3773</v>
      </c>
      <c r="O943" s="89" t="s">
        <v>3774</v>
      </c>
      <c r="P943" t="s">
        <v>887</v>
      </c>
    </row>
    <row r="944" spans="12:16" ht="70" x14ac:dyDescent="0.35">
      <c r="L944" s="544">
        <v>871101</v>
      </c>
      <c r="M944" s="545" t="s">
        <v>3775</v>
      </c>
      <c r="N944" s="89" t="s">
        <v>3776</v>
      </c>
      <c r="O944" s="89" t="s">
        <v>909</v>
      </c>
      <c r="P944" t="s">
        <v>887</v>
      </c>
    </row>
    <row r="945" spans="12:16" ht="28" x14ac:dyDescent="0.35">
      <c r="L945" s="544">
        <v>871150</v>
      </c>
      <c r="M945" s="545" t="s">
        <v>3777</v>
      </c>
      <c r="N945" s="89" t="s">
        <v>3778</v>
      </c>
      <c r="O945" s="89" t="s">
        <v>909</v>
      </c>
      <c r="P945" t="s">
        <v>887</v>
      </c>
    </row>
    <row r="946" spans="12:16" ht="28" x14ac:dyDescent="0.35">
      <c r="L946" s="544">
        <v>871183</v>
      </c>
      <c r="M946" s="545" t="s">
        <v>3779</v>
      </c>
      <c r="N946" s="89" t="s">
        <v>3780</v>
      </c>
      <c r="O946" s="89" t="s">
        <v>3781</v>
      </c>
      <c r="P946" t="s">
        <v>887</v>
      </c>
    </row>
    <row r="947" spans="12:16" ht="28" x14ac:dyDescent="0.35">
      <c r="L947" s="544">
        <v>871185</v>
      </c>
      <c r="M947" s="545" t="s">
        <v>3782</v>
      </c>
      <c r="N947" s="89" t="s">
        <v>3783</v>
      </c>
      <c r="O947" s="89" t="s">
        <v>3784</v>
      </c>
      <c r="P947" t="s">
        <v>887</v>
      </c>
    </row>
    <row r="948" spans="12:16" ht="28" x14ac:dyDescent="0.35">
      <c r="L948" s="544">
        <v>871187</v>
      </c>
      <c r="M948" s="545" t="s">
        <v>3785</v>
      </c>
      <c r="N948" s="89" t="s">
        <v>3786</v>
      </c>
      <c r="O948" s="89" t="s">
        <v>3787</v>
      </c>
      <c r="P948" t="s">
        <v>887</v>
      </c>
    </row>
    <row r="949" spans="12:16" ht="28" x14ac:dyDescent="0.35">
      <c r="L949" s="544">
        <v>871401</v>
      </c>
      <c r="M949" s="545" t="s">
        <v>3788</v>
      </c>
      <c r="N949" s="89" t="s">
        <v>3789</v>
      </c>
      <c r="O949" s="89" t="s">
        <v>909</v>
      </c>
      <c r="P949" t="s">
        <v>887</v>
      </c>
    </row>
    <row r="950" spans="12:16" ht="98" x14ac:dyDescent="0.35">
      <c r="L950" s="544">
        <v>871421</v>
      </c>
      <c r="M950" s="545" t="s">
        <v>3790</v>
      </c>
      <c r="N950" s="89" t="s">
        <v>3791</v>
      </c>
      <c r="O950" s="89" t="s">
        <v>909</v>
      </c>
      <c r="P950" t="s">
        <v>887</v>
      </c>
    </row>
    <row r="951" spans="12:16" ht="28" x14ac:dyDescent="0.35">
      <c r="L951" s="544">
        <v>872245</v>
      </c>
      <c r="M951" s="545" t="s">
        <v>3792</v>
      </c>
      <c r="N951" s="89" t="s">
        <v>3793</v>
      </c>
      <c r="O951" s="89" t="s">
        <v>3794</v>
      </c>
      <c r="P951" t="s">
        <v>887</v>
      </c>
    </row>
    <row r="952" spans="12:16" ht="28" x14ac:dyDescent="0.35">
      <c r="L952" s="544">
        <v>872247</v>
      </c>
      <c r="M952" s="545" t="s">
        <v>3795</v>
      </c>
      <c r="N952" s="89" t="s">
        <v>3796</v>
      </c>
      <c r="O952" s="89" t="s">
        <v>3797</v>
      </c>
      <c r="P952" t="s">
        <v>887</v>
      </c>
    </row>
    <row r="953" spans="12:16" ht="42" x14ac:dyDescent="0.35">
      <c r="L953" s="544">
        <v>872248</v>
      </c>
      <c r="M953" s="545" t="s">
        <v>3798</v>
      </c>
      <c r="N953" s="89" t="s">
        <v>3799</v>
      </c>
      <c r="O953" s="89" t="s">
        <v>3800</v>
      </c>
      <c r="P953" t="s">
        <v>887</v>
      </c>
    </row>
    <row r="954" spans="12:16" ht="42" x14ac:dyDescent="0.35">
      <c r="L954" s="544">
        <v>872249</v>
      </c>
      <c r="M954" s="545" t="s">
        <v>3801</v>
      </c>
      <c r="N954" s="89" t="s">
        <v>3802</v>
      </c>
      <c r="O954" s="89" t="s">
        <v>909</v>
      </c>
      <c r="P954" t="s">
        <v>887</v>
      </c>
    </row>
    <row r="955" spans="12:16" ht="70" x14ac:dyDescent="0.35">
      <c r="L955" s="544">
        <v>872300</v>
      </c>
      <c r="M955" s="545" t="s">
        <v>3803</v>
      </c>
      <c r="N955" s="89" t="s">
        <v>3804</v>
      </c>
      <c r="O955" s="89" t="s">
        <v>909</v>
      </c>
      <c r="P955" t="s">
        <v>887</v>
      </c>
    </row>
    <row r="956" spans="12:16" ht="56" x14ac:dyDescent="0.35">
      <c r="L956" s="544">
        <v>872845</v>
      </c>
      <c r="M956" s="545" t="s">
        <v>3805</v>
      </c>
      <c r="N956" s="89" t="s">
        <v>3806</v>
      </c>
      <c r="O956" s="89" t="s">
        <v>3807</v>
      </c>
      <c r="P956" t="s">
        <v>887</v>
      </c>
    </row>
    <row r="957" spans="12:16" ht="42" x14ac:dyDescent="0.35">
      <c r="L957" s="544">
        <v>872911</v>
      </c>
      <c r="M957" s="545" t="s">
        <v>3808</v>
      </c>
      <c r="N957" s="89" t="s">
        <v>3809</v>
      </c>
      <c r="O957" s="89" t="s">
        <v>3810</v>
      </c>
      <c r="P957" t="s">
        <v>887</v>
      </c>
    </row>
    <row r="958" spans="12:16" ht="42" x14ac:dyDescent="0.35">
      <c r="L958" s="544">
        <v>881310</v>
      </c>
      <c r="M958" s="545" t="s">
        <v>3811</v>
      </c>
      <c r="N958" s="89" t="s">
        <v>3812</v>
      </c>
      <c r="O958" s="89" t="s">
        <v>909</v>
      </c>
      <c r="P958" t="s">
        <v>887</v>
      </c>
    </row>
    <row r="959" spans="12:16" ht="70" x14ac:dyDescent="0.35">
      <c r="L959" s="544">
        <v>882110</v>
      </c>
      <c r="M959" s="545" t="s">
        <v>3813</v>
      </c>
      <c r="N959" s="89" t="s">
        <v>3814</v>
      </c>
      <c r="O959" s="89" t="s">
        <v>909</v>
      </c>
      <c r="P959" t="s">
        <v>887</v>
      </c>
    </row>
    <row r="960" spans="12:16" ht="70" x14ac:dyDescent="0.35">
      <c r="L960" s="544">
        <v>882210</v>
      </c>
      <c r="M960" s="545" t="s">
        <v>3815</v>
      </c>
      <c r="N960" s="89" t="s">
        <v>3816</v>
      </c>
      <c r="O960" s="89" t="s">
        <v>909</v>
      </c>
    </row>
    <row r="961" spans="12:15" ht="28" x14ac:dyDescent="0.35">
      <c r="L961" s="544">
        <v>890123</v>
      </c>
      <c r="M961" s="545" t="s">
        <v>3817</v>
      </c>
      <c r="N961" s="89" t="s">
        <v>3818</v>
      </c>
      <c r="O961" s="89" t="s">
        <v>3819</v>
      </c>
    </row>
    <row r="962" spans="12:15" ht="42" x14ac:dyDescent="0.35">
      <c r="L962" s="544">
        <v>890127</v>
      </c>
      <c r="M962" s="545" t="s">
        <v>3820</v>
      </c>
      <c r="N962" s="89" t="s">
        <v>3821</v>
      </c>
      <c r="O962" s="89" t="s">
        <v>3822</v>
      </c>
    </row>
    <row r="963" spans="12:15" ht="28" x14ac:dyDescent="0.35">
      <c r="L963" s="544">
        <v>890134</v>
      </c>
      <c r="M963" s="545" t="s">
        <v>3823</v>
      </c>
      <c r="N963" s="89" t="s">
        <v>3824</v>
      </c>
      <c r="O963" s="89" t="s">
        <v>3825</v>
      </c>
    </row>
    <row r="964" spans="12:15" ht="28" x14ac:dyDescent="0.35">
      <c r="L964" s="544">
        <v>890136</v>
      </c>
      <c r="M964" s="545" t="s">
        <v>3826</v>
      </c>
      <c r="N964" s="89" t="s">
        <v>3827</v>
      </c>
      <c r="O964" s="89" t="s">
        <v>3828</v>
      </c>
    </row>
    <row r="965" spans="12:15" ht="28" x14ac:dyDescent="0.35">
      <c r="L965" s="544">
        <v>890144</v>
      </c>
      <c r="M965" s="545" t="s">
        <v>3829</v>
      </c>
      <c r="N965" s="89" t="s">
        <v>3830</v>
      </c>
      <c r="O965" s="89" t="s">
        <v>3831</v>
      </c>
    </row>
    <row r="966" spans="12:15" ht="28" x14ac:dyDescent="0.35">
      <c r="L966" s="544">
        <v>890151</v>
      </c>
      <c r="M966" s="545" t="s">
        <v>3832</v>
      </c>
      <c r="N966" s="89" t="s">
        <v>3833</v>
      </c>
      <c r="O966" s="89" t="s">
        <v>3834</v>
      </c>
    </row>
    <row r="967" spans="12:15" ht="28" x14ac:dyDescent="0.35">
      <c r="L967" s="544">
        <v>890152</v>
      </c>
      <c r="M967" s="545" t="s">
        <v>3835</v>
      </c>
      <c r="N967" s="89" t="s">
        <v>3836</v>
      </c>
      <c r="O967" s="89" t="s">
        <v>3837</v>
      </c>
    </row>
    <row r="968" spans="12:15" ht="42" x14ac:dyDescent="0.35">
      <c r="L968" s="544">
        <v>890154</v>
      </c>
      <c r="M968" s="545" t="s">
        <v>3838</v>
      </c>
      <c r="N968" s="89" t="s">
        <v>3839</v>
      </c>
      <c r="O968" s="89" t="s">
        <v>3840</v>
      </c>
    </row>
    <row r="969" spans="12:15" ht="28" x14ac:dyDescent="0.35">
      <c r="L969" s="544">
        <v>890156</v>
      </c>
      <c r="M969" s="545" t="s">
        <v>3841</v>
      </c>
      <c r="N969" s="89" t="s">
        <v>3842</v>
      </c>
      <c r="O969" s="89" t="s">
        <v>3843</v>
      </c>
    </row>
    <row r="970" spans="12:15" ht="28" x14ac:dyDescent="0.35">
      <c r="L970" s="544">
        <v>890158</v>
      </c>
      <c r="M970" s="545" t="s">
        <v>3844</v>
      </c>
      <c r="N970" s="89" t="s">
        <v>3845</v>
      </c>
      <c r="O970" s="89" t="s">
        <v>3846</v>
      </c>
    </row>
    <row r="971" spans="12:15" ht="42" x14ac:dyDescent="0.35">
      <c r="L971" s="544">
        <v>890171</v>
      </c>
      <c r="M971" s="545" t="s">
        <v>3847</v>
      </c>
      <c r="N971" s="89" t="s">
        <v>3848</v>
      </c>
      <c r="O971" s="89" t="s">
        <v>3849</v>
      </c>
    </row>
    <row r="972" spans="12:15" ht="42" x14ac:dyDescent="0.35">
      <c r="L972" s="544">
        <v>890172</v>
      </c>
      <c r="M972" s="545" t="s">
        <v>3850</v>
      </c>
      <c r="N972" s="89" t="s">
        <v>3851</v>
      </c>
      <c r="O972" s="89" t="s">
        <v>909</v>
      </c>
    </row>
    <row r="973" spans="12:15" ht="28" x14ac:dyDescent="0.35">
      <c r="L973" s="544">
        <v>890181</v>
      </c>
      <c r="M973" s="545" t="s">
        <v>3852</v>
      </c>
      <c r="N973" s="89" t="s">
        <v>3853</v>
      </c>
      <c r="O973" s="89" t="s">
        <v>3854</v>
      </c>
    </row>
    <row r="974" spans="12:15" ht="28" x14ac:dyDescent="0.35">
      <c r="L974" s="544">
        <v>890185</v>
      </c>
      <c r="M974" s="545" t="s">
        <v>3855</v>
      </c>
      <c r="N974" s="89" t="s">
        <v>3856</v>
      </c>
      <c r="O974" s="89" t="s">
        <v>3857</v>
      </c>
    </row>
    <row r="975" spans="12:15" ht="28" x14ac:dyDescent="0.35">
      <c r="L975" s="544">
        <v>890187</v>
      </c>
      <c r="M975" s="545" t="s">
        <v>3858</v>
      </c>
      <c r="N975" s="89" t="s">
        <v>3859</v>
      </c>
      <c r="O975" s="89" t="s">
        <v>3860</v>
      </c>
    </row>
    <row r="976" spans="12:15" ht="28" x14ac:dyDescent="0.35">
      <c r="L976" s="544">
        <v>890197</v>
      </c>
      <c r="M976" s="545" t="s">
        <v>3861</v>
      </c>
      <c r="N976" s="89" t="s">
        <v>3862</v>
      </c>
      <c r="O976" s="89" t="s">
        <v>3863</v>
      </c>
    </row>
    <row r="977" spans="12:15" ht="56" x14ac:dyDescent="0.35">
      <c r="L977" s="544">
        <v>891021</v>
      </c>
      <c r="M977" s="545" t="s">
        <v>3864</v>
      </c>
      <c r="N977" s="89" t="s">
        <v>3865</v>
      </c>
      <c r="O977" s="89" t="s">
        <v>909</v>
      </c>
    </row>
    <row r="978" spans="12:15" ht="28" x14ac:dyDescent="0.35">
      <c r="L978" s="544">
        <v>891022</v>
      </c>
      <c r="M978" s="545" t="s">
        <v>3866</v>
      </c>
      <c r="N978" s="89" t="s">
        <v>3867</v>
      </c>
      <c r="O978" s="89" t="s">
        <v>909</v>
      </c>
    </row>
    <row r="979" spans="12:15" ht="15.5" x14ac:dyDescent="0.35">
      <c r="L979" s="544">
        <v>891023</v>
      </c>
      <c r="M979" s="545" t="s">
        <v>3868</v>
      </c>
      <c r="N979" s="89" t="s">
        <v>3869</v>
      </c>
      <c r="O979" s="89" t="s">
        <v>909</v>
      </c>
    </row>
    <row r="980" spans="12:15" ht="56" x14ac:dyDescent="0.35">
      <c r="L980" s="544">
        <v>891024</v>
      </c>
      <c r="M980" s="545" t="s">
        <v>3870</v>
      </c>
      <c r="N980" s="89" t="s">
        <v>3871</v>
      </c>
      <c r="O980" s="89" t="s">
        <v>909</v>
      </c>
    </row>
    <row r="981" spans="12:15" ht="84" x14ac:dyDescent="0.35">
      <c r="L981" s="544">
        <v>892921</v>
      </c>
      <c r="M981" s="545" t="s">
        <v>3872</v>
      </c>
      <c r="N981" s="89" t="s">
        <v>3873</v>
      </c>
      <c r="O981" s="89" t="s">
        <v>909</v>
      </c>
    </row>
    <row r="982" spans="12:15" ht="84" x14ac:dyDescent="0.35">
      <c r="L982" s="544">
        <v>892922</v>
      </c>
      <c r="M982" s="545" t="s">
        <v>3874</v>
      </c>
      <c r="N982" s="89" t="s">
        <v>3875</v>
      </c>
      <c r="O982" s="89" t="s">
        <v>909</v>
      </c>
    </row>
    <row r="983" spans="12:15" ht="28" x14ac:dyDescent="0.35">
      <c r="L983" s="544">
        <v>892923</v>
      </c>
      <c r="M983" s="545" t="s">
        <v>3876</v>
      </c>
      <c r="N983" s="89" t="s">
        <v>3877</v>
      </c>
      <c r="O983" s="89" t="s">
        <v>909</v>
      </c>
    </row>
    <row r="984" spans="12:15" ht="70" x14ac:dyDescent="0.35">
      <c r="L984" s="544">
        <v>892924</v>
      </c>
      <c r="M984" s="545" t="s">
        <v>3878</v>
      </c>
      <c r="N984" s="89" t="s">
        <v>3879</v>
      </c>
      <c r="O984" s="89" t="s">
        <v>909</v>
      </c>
    </row>
    <row r="985" spans="12:15" ht="70" x14ac:dyDescent="0.35">
      <c r="L985" s="544">
        <v>895200</v>
      </c>
      <c r="M985" s="545" t="s">
        <v>3880</v>
      </c>
      <c r="N985" s="89" t="s">
        <v>3881</v>
      </c>
      <c r="O985" s="89" t="s">
        <v>909</v>
      </c>
    </row>
    <row r="986" spans="12:15" ht="56" x14ac:dyDescent="0.35">
      <c r="L986" s="544">
        <v>911125</v>
      </c>
      <c r="M986" s="545" t="s">
        <v>3882</v>
      </c>
      <c r="N986" s="89" t="s">
        <v>3883</v>
      </c>
      <c r="O986" s="89" t="s">
        <v>909</v>
      </c>
    </row>
    <row r="987" spans="12:15" ht="42" x14ac:dyDescent="0.35">
      <c r="L987" s="544">
        <v>911127</v>
      </c>
      <c r="M987" s="545" t="s">
        <v>3884</v>
      </c>
      <c r="N987" s="89" t="s">
        <v>3885</v>
      </c>
      <c r="O987" s="89" t="s">
        <v>909</v>
      </c>
    </row>
    <row r="988" spans="12:15" ht="42" x14ac:dyDescent="0.35">
      <c r="L988" s="544">
        <v>911142</v>
      </c>
      <c r="M988" s="545" t="s">
        <v>3886</v>
      </c>
      <c r="N988" s="89" t="s">
        <v>3887</v>
      </c>
      <c r="O988" s="89" t="s">
        <v>909</v>
      </c>
    </row>
    <row r="989" spans="12:15" ht="15.5" x14ac:dyDescent="0.35">
      <c r="L989" s="544">
        <v>911146</v>
      </c>
      <c r="M989" s="545" t="s">
        <v>3888</v>
      </c>
      <c r="N989" s="89" t="s">
        <v>3889</v>
      </c>
      <c r="O989" s="89" t="s">
        <v>909</v>
      </c>
    </row>
    <row r="990" spans="12:15" ht="42" x14ac:dyDescent="0.35">
      <c r="L990" s="544">
        <v>912262</v>
      </c>
      <c r="M990" s="545" t="s">
        <v>3890</v>
      </c>
      <c r="N990" s="89" t="s">
        <v>3891</v>
      </c>
      <c r="O990" s="89" t="s">
        <v>909</v>
      </c>
    </row>
    <row r="991" spans="12:15" ht="56" x14ac:dyDescent="0.35">
      <c r="L991" s="544">
        <v>913384</v>
      </c>
      <c r="M991" s="545" t="s">
        <v>3892</v>
      </c>
      <c r="N991" s="89" t="s">
        <v>3893</v>
      </c>
      <c r="O991" s="89" t="s">
        <v>909</v>
      </c>
    </row>
    <row r="992" spans="12:15" ht="42" x14ac:dyDescent="0.35">
      <c r="L992" s="544">
        <v>913393</v>
      </c>
      <c r="M992" s="545" t="s">
        <v>3894</v>
      </c>
      <c r="N992" s="89" t="s">
        <v>3895</v>
      </c>
      <c r="O992" s="89" t="s">
        <v>909</v>
      </c>
    </row>
    <row r="993" spans="12:15" ht="28" x14ac:dyDescent="0.35">
      <c r="L993" s="544">
        <v>914263</v>
      </c>
      <c r="M993" s="545" t="s">
        <v>3896</v>
      </c>
      <c r="N993" s="89" t="s">
        <v>3897</v>
      </c>
      <c r="O993" s="89" t="s">
        <v>909</v>
      </c>
    </row>
    <row r="994" spans="12:15" ht="15.5" x14ac:dyDescent="0.35">
      <c r="L994" s="544">
        <v>921164</v>
      </c>
      <c r="M994" s="545" t="s">
        <v>3898</v>
      </c>
      <c r="N994" s="89" t="s">
        <v>3899</v>
      </c>
      <c r="O994" s="89" t="s">
        <v>909</v>
      </c>
    </row>
    <row r="995" spans="12:15" ht="42" x14ac:dyDescent="0.35">
      <c r="L995" s="544">
        <v>921167</v>
      </c>
      <c r="M995" s="545" t="s">
        <v>3900</v>
      </c>
      <c r="N995" s="89" t="s">
        <v>3901</v>
      </c>
      <c r="O995" s="89" t="s">
        <v>909</v>
      </c>
    </row>
    <row r="996" spans="12:15" ht="56" x14ac:dyDescent="0.35">
      <c r="L996" s="544">
        <v>921168</v>
      </c>
      <c r="M996" s="545" t="s">
        <v>3902</v>
      </c>
      <c r="N996" s="89" t="s">
        <v>3903</v>
      </c>
      <c r="O996" s="89" t="s">
        <v>909</v>
      </c>
    </row>
    <row r="997" spans="12:15" ht="31" x14ac:dyDescent="0.35">
      <c r="L997" s="544">
        <v>921174</v>
      </c>
      <c r="M997" s="545" t="s">
        <v>3904</v>
      </c>
      <c r="N997" s="89" t="s">
        <v>3905</v>
      </c>
      <c r="O997" s="89" t="s">
        <v>909</v>
      </c>
    </row>
    <row r="998" spans="12:15" ht="15.5" x14ac:dyDescent="0.35">
      <c r="L998" s="544">
        <v>921177</v>
      </c>
      <c r="M998" s="545" t="s">
        <v>3906</v>
      </c>
      <c r="N998" s="89" t="s">
        <v>3907</v>
      </c>
      <c r="O998" s="89" t="s">
        <v>909</v>
      </c>
    </row>
    <row r="999" spans="12:15" ht="42" x14ac:dyDescent="0.35">
      <c r="L999" s="544">
        <v>921178</v>
      </c>
      <c r="M999" s="545" t="s">
        <v>3908</v>
      </c>
      <c r="N999" s="89" t="s">
        <v>3909</v>
      </c>
      <c r="O999" s="89" t="s">
        <v>909</v>
      </c>
    </row>
    <row r="1000" spans="12:15" ht="56" x14ac:dyDescent="0.35">
      <c r="L1000" s="544">
        <v>922274</v>
      </c>
      <c r="M1000" s="545" t="s">
        <v>3910</v>
      </c>
      <c r="N1000" s="89" t="s">
        <v>3911</v>
      </c>
      <c r="O1000" s="89" t="s">
        <v>909</v>
      </c>
    </row>
    <row r="1001" spans="12:15" ht="28" x14ac:dyDescent="0.35">
      <c r="L1001" s="544">
        <v>922276</v>
      </c>
      <c r="M1001" s="545" t="s">
        <v>3912</v>
      </c>
      <c r="N1001" s="89" t="s">
        <v>3913</v>
      </c>
      <c r="O1001" s="89" t="s">
        <v>909</v>
      </c>
    </row>
    <row r="1002" spans="12:15" ht="28" x14ac:dyDescent="0.35">
      <c r="L1002" s="544">
        <v>922278</v>
      </c>
      <c r="M1002" s="545" t="s">
        <v>3914</v>
      </c>
      <c r="N1002" s="89" t="s">
        <v>3915</v>
      </c>
      <c r="O1002" s="89" t="s">
        <v>909</v>
      </c>
    </row>
    <row r="1003" spans="12:15" ht="28" x14ac:dyDescent="0.35">
      <c r="L1003" s="544">
        <v>922292</v>
      </c>
      <c r="M1003" s="545" t="s">
        <v>3916</v>
      </c>
      <c r="N1003" s="89" t="s">
        <v>3917</v>
      </c>
      <c r="O1003" s="89" t="s">
        <v>909</v>
      </c>
    </row>
    <row r="1004" spans="12:15" ht="42" x14ac:dyDescent="0.35">
      <c r="L1004" s="544">
        <v>922294</v>
      </c>
      <c r="M1004" s="545" t="s">
        <v>3918</v>
      </c>
      <c r="N1004" s="89" t="s">
        <v>3919</v>
      </c>
      <c r="O1004" s="89" t="s">
        <v>909</v>
      </c>
    </row>
    <row r="1005" spans="12:15" ht="28" x14ac:dyDescent="0.35">
      <c r="L1005" s="544">
        <v>922298</v>
      </c>
      <c r="M1005" s="545" t="s">
        <v>3920</v>
      </c>
      <c r="N1005" s="89" t="s">
        <v>3921</v>
      </c>
      <c r="O1005" s="89" t="s">
        <v>909</v>
      </c>
    </row>
    <row r="1006" spans="12:15" ht="56" x14ac:dyDescent="0.35">
      <c r="L1006" s="544">
        <v>922355</v>
      </c>
      <c r="M1006" s="545" t="s">
        <v>3922</v>
      </c>
      <c r="N1006" s="89" t="s">
        <v>3923</v>
      </c>
      <c r="O1006" s="89" t="s">
        <v>909</v>
      </c>
    </row>
    <row r="1007" spans="12:15" ht="56" x14ac:dyDescent="0.35">
      <c r="L1007" s="544">
        <v>922357</v>
      </c>
      <c r="M1007" s="545" t="s">
        <v>3924</v>
      </c>
      <c r="N1007" s="89" t="s">
        <v>3925</v>
      </c>
      <c r="O1007" s="89" t="s">
        <v>909</v>
      </c>
    </row>
    <row r="1008" spans="12:15" ht="28" x14ac:dyDescent="0.35">
      <c r="L1008" s="544">
        <v>923322</v>
      </c>
      <c r="M1008" s="545" t="s">
        <v>3926</v>
      </c>
      <c r="N1008" s="89" t="s">
        <v>3927</v>
      </c>
      <c r="O1008" s="89" t="s">
        <v>909</v>
      </c>
    </row>
    <row r="1009" spans="12:15" ht="28" x14ac:dyDescent="0.35">
      <c r="L1009" s="544">
        <v>923366</v>
      </c>
      <c r="M1009" s="545" t="s">
        <v>3928</v>
      </c>
      <c r="N1009" s="89" t="s">
        <v>3929</v>
      </c>
      <c r="O1009" s="89" t="s">
        <v>909</v>
      </c>
    </row>
    <row r="1010" spans="12:15" ht="56" x14ac:dyDescent="0.35">
      <c r="L1010" s="544">
        <v>923376</v>
      </c>
      <c r="M1010" s="545" t="s">
        <v>3930</v>
      </c>
      <c r="N1010" s="89" t="s">
        <v>3931</v>
      </c>
      <c r="O1010" s="89" t="s">
        <v>909</v>
      </c>
    </row>
  </sheetData>
  <conditionalFormatting sqref="H2:H1048576">
    <cfRule type="duplicateValues" dxfId="4" priority="3"/>
  </conditionalFormatting>
  <conditionalFormatting sqref="L201:L1010 L2:L3 L5:L199">
    <cfRule type="duplicateValues" dxfId="3" priority="1"/>
    <cfRule type="duplicateValues" dxfId="2" priority="2"/>
  </conditionalFormatting>
  <hyperlinks>
    <hyperlink ref="O145" r:id="rId1" xr:uid="{03B975D4-06AB-4E0C-A6DE-9DC1C71AB9DC}"/>
    <hyperlink ref="O319" r:id="rId2" xr:uid="{208A2CA0-EB94-4199-9477-F060B6CF3D03}"/>
    <hyperlink ref="O317" r:id="rId3" xr:uid="{D59DFF5D-7742-4E31-B922-C1037A61F51F}"/>
    <hyperlink ref="O314" r:id="rId4" xr:uid="{60DB3B96-8D9F-4355-BF47-19D338CF9058}"/>
    <hyperlink ref="O313" r:id="rId5" xr:uid="{A29210C4-FA0C-4C1B-BD54-59C29B9226A7}"/>
    <hyperlink ref="O312" r:id="rId6" xr:uid="{E28D820B-7A67-4B33-A111-77E2A2E6E23E}"/>
    <hyperlink ref="O770" r:id="rId7" xr:uid="{19A78798-E438-4163-A4FE-27A6FD8D9D96}"/>
  </hyperlinks>
  <pageMargins left="0.7" right="0.7" top="0.75" bottom="0.75" header="0.3" footer="0.3"/>
  <pageSetup orientation="portrait" r:id="rId8"/>
  <tableParts count="8">
    <tablePart r:id="rId9"/>
    <tablePart r:id="rId10"/>
    <tablePart r:id="rId11"/>
    <tablePart r:id="rId12"/>
    <tablePart r:id="rId13"/>
    <tablePart r:id="rId14"/>
    <tablePart r:id="rId15"/>
    <tablePart r:id="rId16"/>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35134-0358-4276-90AD-CB26543020F8}">
  <dimension ref="A1:JC999"/>
  <sheetViews>
    <sheetView zoomScale="90" zoomScaleNormal="90" workbookViewId="0">
      <pane ySplit="1" topLeftCell="A870" activePane="bottomLeft" state="frozen"/>
      <selection pane="bottomLeft" activeCell="B3" sqref="B3"/>
    </sheetView>
  </sheetViews>
  <sheetFormatPr defaultColWidth="8.81640625" defaultRowHeight="30" customHeight="1" x14ac:dyDescent="0.35"/>
  <cols>
    <col min="1" max="1" width="12.81640625" style="85" customWidth="1"/>
    <col min="2" max="2" width="36.54296875" style="86" customWidth="1"/>
    <col min="3" max="3" width="24.453125" style="86" customWidth="1"/>
    <col min="4" max="4" width="13.54296875" style="87" customWidth="1"/>
    <col min="5" max="5" width="45.54296875" style="86" customWidth="1"/>
    <col min="6" max="6" width="28.54296875" style="86" customWidth="1"/>
    <col min="7" max="7" width="36.453125" style="86" customWidth="1"/>
    <col min="8" max="8" width="18" style="86" customWidth="1"/>
    <col min="9" max="9" width="25.81640625" style="86" customWidth="1"/>
    <col min="10" max="10" width="13" style="85" customWidth="1"/>
    <col min="11" max="11" width="15.1796875" style="86" customWidth="1"/>
    <col min="12" max="12" width="42.1796875" style="86" customWidth="1"/>
    <col min="13" max="13" width="18.54296875" style="85" bestFit="1" customWidth="1"/>
    <col min="14" max="14" width="17.7265625" style="85" bestFit="1" customWidth="1"/>
    <col min="15" max="15" width="16.1796875" style="85" customWidth="1"/>
    <col min="16" max="16" width="15.81640625" style="85" customWidth="1"/>
    <col min="17" max="17" width="16" style="87" customWidth="1"/>
    <col min="18" max="19" width="14.453125" style="85" customWidth="1"/>
    <col min="20" max="20" width="13.453125" style="85" customWidth="1"/>
    <col min="21" max="21" width="15.54296875" style="85" customWidth="1"/>
    <col min="22" max="23" width="18.54296875" style="86" customWidth="1"/>
    <col min="24" max="263" width="8.81640625" style="28"/>
    <col min="264" max="16384" width="8.81640625" style="32"/>
  </cols>
  <sheetData>
    <row r="1" spans="1:20" ht="116.25" customHeight="1" x14ac:dyDescent="0.35">
      <c r="A1" s="82" t="s">
        <v>3</v>
      </c>
      <c r="B1" s="83" t="s">
        <v>884</v>
      </c>
      <c r="C1" s="83" t="s">
        <v>3932</v>
      </c>
      <c r="D1" s="83" t="s">
        <v>3933</v>
      </c>
      <c r="E1" s="83" t="s">
        <v>885</v>
      </c>
      <c r="F1" s="83" t="s">
        <v>3934</v>
      </c>
      <c r="G1" s="83" t="s">
        <v>886</v>
      </c>
      <c r="H1" s="83" t="s">
        <v>3935</v>
      </c>
      <c r="I1" s="83" t="s">
        <v>3936</v>
      </c>
      <c r="J1" s="83" t="s">
        <v>3937</v>
      </c>
      <c r="K1" s="83" t="s">
        <v>3938</v>
      </c>
      <c r="L1" s="83" t="s">
        <v>3939</v>
      </c>
      <c r="M1" s="83" t="s">
        <v>3940</v>
      </c>
      <c r="N1" s="83" t="s">
        <v>3941</v>
      </c>
      <c r="O1" s="83" t="s">
        <v>3942</v>
      </c>
      <c r="P1" s="83" t="s">
        <v>3943</v>
      </c>
      <c r="Q1" s="83" t="s">
        <v>3944</v>
      </c>
      <c r="R1" s="83" t="s">
        <v>3945</v>
      </c>
      <c r="S1" s="83" t="s">
        <v>3946</v>
      </c>
      <c r="T1" s="83" t="s">
        <v>3947</v>
      </c>
    </row>
    <row r="2" spans="1:20" ht="30" customHeight="1" x14ac:dyDescent="0.35">
      <c r="A2" s="88">
        <v>111111</v>
      </c>
      <c r="B2" s="89" t="s">
        <v>3948</v>
      </c>
      <c r="C2" s="89" t="s">
        <v>3948</v>
      </c>
      <c r="D2" s="90" t="s">
        <v>3949</v>
      </c>
      <c r="E2" s="89" t="s">
        <v>3950</v>
      </c>
      <c r="F2" s="89" t="s">
        <v>3951</v>
      </c>
      <c r="G2" s="89" t="s">
        <v>899</v>
      </c>
      <c r="H2" s="91">
        <v>1111</v>
      </c>
      <c r="I2" s="89" t="s">
        <v>3952</v>
      </c>
      <c r="J2" s="92" t="s">
        <v>3953</v>
      </c>
      <c r="K2" s="92" t="s">
        <v>3954</v>
      </c>
      <c r="L2" s="92" t="s">
        <v>3955</v>
      </c>
      <c r="M2" s="92" t="s">
        <v>3956</v>
      </c>
      <c r="N2" s="93">
        <v>1111</v>
      </c>
      <c r="O2" s="94">
        <v>400000</v>
      </c>
      <c r="P2" s="94">
        <v>68000</v>
      </c>
      <c r="Q2" s="92" t="s">
        <v>3957</v>
      </c>
      <c r="R2" s="92" t="s">
        <v>3958</v>
      </c>
      <c r="S2" s="91">
        <v>11110</v>
      </c>
      <c r="T2" s="89" t="s">
        <v>3959</v>
      </c>
    </row>
    <row r="3" spans="1:20" ht="57.75" customHeight="1" x14ac:dyDescent="0.35">
      <c r="A3" s="88">
        <v>111115</v>
      </c>
      <c r="B3" s="89" t="s">
        <v>3960</v>
      </c>
      <c r="C3" s="89" t="s">
        <v>3960</v>
      </c>
      <c r="D3" s="90" t="s">
        <v>3949</v>
      </c>
      <c r="E3" s="89" t="s">
        <v>3961</v>
      </c>
      <c r="F3" s="89" t="s">
        <v>3962</v>
      </c>
      <c r="G3" s="89" t="s">
        <v>904</v>
      </c>
      <c r="H3" s="91">
        <v>1113</v>
      </c>
      <c r="I3" s="89" t="s">
        <v>3963</v>
      </c>
      <c r="J3" s="92" t="s">
        <v>3953</v>
      </c>
      <c r="K3" s="92" t="s">
        <v>3954</v>
      </c>
      <c r="L3" s="92" t="s">
        <v>3964</v>
      </c>
      <c r="M3" s="92" t="s">
        <v>3965</v>
      </c>
      <c r="N3" s="93">
        <v>1113</v>
      </c>
      <c r="O3" s="94">
        <v>100000</v>
      </c>
      <c r="P3" s="94">
        <v>16000</v>
      </c>
      <c r="Q3" s="92" t="s">
        <v>3957</v>
      </c>
      <c r="R3" s="92" t="s">
        <v>3966</v>
      </c>
      <c r="S3" s="91">
        <v>11151</v>
      </c>
      <c r="T3" s="91">
        <v>11130</v>
      </c>
    </row>
    <row r="4" spans="1:20" ht="66.75" customHeight="1" x14ac:dyDescent="0.35">
      <c r="A4" s="88">
        <v>111310</v>
      </c>
      <c r="B4" s="89" t="s">
        <v>3967</v>
      </c>
      <c r="C4" s="89"/>
      <c r="D4" s="95" t="s">
        <v>3949</v>
      </c>
      <c r="E4" s="96" t="s">
        <v>908</v>
      </c>
      <c r="F4" s="89"/>
      <c r="G4" s="89" t="s">
        <v>909</v>
      </c>
      <c r="H4" s="91">
        <v>1166</v>
      </c>
      <c r="I4" s="89" t="s">
        <v>3968</v>
      </c>
      <c r="J4" s="92" t="s">
        <v>3953</v>
      </c>
      <c r="K4" s="92"/>
      <c r="L4" s="92"/>
      <c r="M4" s="92"/>
      <c r="N4" s="93"/>
      <c r="O4" s="94"/>
      <c r="P4" s="94"/>
      <c r="Q4" s="92"/>
      <c r="R4" s="92"/>
      <c r="S4" s="91"/>
      <c r="T4" s="91"/>
    </row>
    <row r="5" spans="1:20" ht="30" customHeight="1" x14ac:dyDescent="0.35">
      <c r="A5" s="88">
        <v>111411</v>
      </c>
      <c r="B5" s="89" t="s">
        <v>3969</v>
      </c>
      <c r="C5" s="89" t="s">
        <v>3969</v>
      </c>
      <c r="D5" s="90" t="s">
        <v>3949</v>
      </c>
      <c r="E5" s="89" t="s">
        <v>913</v>
      </c>
      <c r="F5" s="89" t="s">
        <v>3970</v>
      </c>
      <c r="G5" s="89" t="s">
        <v>914</v>
      </c>
      <c r="H5" s="91">
        <v>1114</v>
      </c>
      <c r="I5" s="89" t="s">
        <v>3971</v>
      </c>
      <c r="J5" s="92" t="s">
        <v>3953</v>
      </c>
      <c r="K5" s="92" t="s">
        <v>3954</v>
      </c>
      <c r="L5" s="92" t="s">
        <v>3972</v>
      </c>
      <c r="M5" s="92" t="s">
        <v>3973</v>
      </c>
      <c r="N5" s="93">
        <v>1114</v>
      </c>
      <c r="O5" s="94">
        <v>160000</v>
      </c>
      <c r="P5" s="94">
        <v>53000</v>
      </c>
      <c r="Q5" s="92" t="s">
        <v>3957</v>
      </c>
      <c r="R5" s="92" t="s">
        <v>3974</v>
      </c>
      <c r="S5" s="89" t="s">
        <v>3975</v>
      </c>
      <c r="T5" s="91">
        <v>11112</v>
      </c>
    </row>
    <row r="6" spans="1:20" ht="30" customHeight="1" x14ac:dyDescent="0.35">
      <c r="A6" s="92">
        <v>111500</v>
      </c>
      <c r="B6" s="89" t="s">
        <v>3976</v>
      </c>
      <c r="C6" s="89" t="s">
        <v>3977</v>
      </c>
      <c r="D6" s="90" t="s">
        <v>3978</v>
      </c>
      <c r="E6" s="89" t="s">
        <v>918</v>
      </c>
      <c r="F6" s="89"/>
      <c r="G6" s="89" t="s">
        <v>909</v>
      </c>
      <c r="H6" s="89">
        <v>1115</v>
      </c>
      <c r="I6" s="89" t="s">
        <v>3979</v>
      </c>
      <c r="J6" s="92" t="s">
        <v>3953</v>
      </c>
      <c r="K6" s="92" t="s">
        <v>3954</v>
      </c>
      <c r="L6" s="30">
        <v>0</v>
      </c>
      <c r="M6" s="30" t="s">
        <v>3980</v>
      </c>
      <c r="N6" s="31">
        <v>1115</v>
      </c>
      <c r="O6" s="31">
        <v>12000</v>
      </c>
      <c r="P6" s="31">
        <v>6600</v>
      </c>
      <c r="Q6" s="92" t="s">
        <v>3957</v>
      </c>
      <c r="R6" s="92" t="s">
        <v>3981</v>
      </c>
      <c r="S6" s="92" t="s">
        <v>3982</v>
      </c>
      <c r="T6" s="92" t="s">
        <v>3982</v>
      </c>
    </row>
    <row r="7" spans="1:20" ht="46.5" customHeight="1" x14ac:dyDescent="0.35">
      <c r="A7" s="92">
        <v>112210</v>
      </c>
      <c r="B7" s="89" t="s">
        <v>3983</v>
      </c>
      <c r="C7" s="89"/>
      <c r="D7" s="90" t="s">
        <v>3949</v>
      </c>
      <c r="E7" s="89" t="s">
        <v>921</v>
      </c>
      <c r="F7" s="89"/>
      <c r="G7" s="89" t="s">
        <v>909</v>
      </c>
      <c r="H7" s="89">
        <v>1122</v>
      </c>
      <c r="I7" s="89" t="s">
        <v>3984</v>
      </c>
      <c r="J7" s="92" t="s">
        <v>3953</v>
      </c>
      <c r="K7" s="92"/>
      <c r="L7" s="30"/>
      <c r="M7" s="30"/>
      <c r="N7" s="31"/>
      <c r="O7" s="31"/>
      <c r="P7" s="31"/>
      <c r="Q7" s="92"/>
      <c r="R7" s="92"/>
      <c r="S7" s="92"/>
      <c r="T7" s="92"/>
    </row>
    <row r="8" spans="1:20" ht="63.75" customHeight="1" x14ac:dyDescent="0.35">
      <c r="A8" s="88">
        <v>112211</v>
      </c>
      <c r="B8" s="89" t="s">
        <v>3985</v>
      </c>
      <c r="C8" s="89" t="s">
        <v>3985</v>
      </c>
      <c r="D8" s="90" t="s">
        <v>3949</v>
      </c>
      <c r="E8" s="89" t="s">
        <v>927</v>
      </c>
      <c r="F8" s="89" t="s">
        <v>3986</v>
      </c>
      <c r="G8" s="89" t="s">
        <v>928</v>
      </c>
      <c r="H8" s="91">
        <v>1121</v>
      </c>
      <c r="I8" s="89" t="s">
        <v>3987</v>
      </c>
      <c r="J8" s="92" t="s">
        <v>3953</v>
      </c>
      <c r="K8" s="92" t="s">
        <v>3954</v>
      </c>
      <c r="L8" s="92" t="s">
        <v>3988</v>
      </c>
      <c r="M8" s="92" t="s">
        <v>3965</v>
      </c>
      <c r="N8" s="93">
        <v>1121</v>
      </c>
      <c r="O8" s="94">
        <v>350000</v>
      </c>
      <c r="P8" s="94">
        <v>17000</v>
      </c>
      <c r="Q8" s="92" t="s">
        <v>3957</v>
      </c>
      <c r="R8" s="92" t="s">
        <v>3989</v>
      </c>
      <c r="S8" s="91">
        <v>11212</v>
      </c>
      <c r="T8" s="91">
        <v>11210</v>
      </c>
    </row>
    <row r="9" spans="1:20" ht="46.5" customHeight="1" x14ac:dyDescent="0.35">
      <c r="A9" s="88">
        <v>113321</v>
      </c>
      <c r="B9" s="89" t="s">
        <v>3990</v>
      </c>
      <c r="C9" s="89" t="s">
        <v>3990</v>
      </c>
      <c r="D9" s="90" t="s">
        <v>3949</v>
      </c>
      <c r="E9" s="89" t="s">
        <v>933</v>
      </c>
      <c r="F9" s="89" t="s">
        <v>3991</v>
      </c>
      <c r="G9" s="89" t="s">
        <v>934</v>
      </c>
      <c r="H9" s="91">
        <v>1131</v>
      </c>
      <c r="I9" s="89" t="s">
        <v>3992</v>
      </c>
      <c r="J9" s="92" t="s">
        <v>3953</v>
      </c>
      <c r="K9" s="92"/>
      <c r="L9" s="92" t="s">
        <v>3993</v>
      </c>
      <c r="M9" s="92" t="s">
        <v>3965</v>
      </c>
      <c r="N9" s="93">
        <v>1131</v>
      </c>
      <c r="O9" s="94">
        <v>750000</v>
      </c>
      <c r="P9" s="94">
        <v>18000</v>
      </c>
      <c r="Q9" s="92" t="s">
        <v>3957</v>
      </c>
      <c r="R9" s="92" t="s">
        <v>3994</v>
      </c>
      <c r="S9" s="89" t="s">
        <v>3995</v>
      </c>
      <c r="T9" s="89" t="s">
        <v>3996</v>
      </c>
    </row>
    <row r="10" spans="1:20" ht="61.5" customHeight="1" x14ac:dyDescent="0.35">
      <c r="A10" s="88">
        <v>116116</v>
      </c>
      <c r="B10" s="89" t="s">
        <v>3997</v>
      </c>
      <c r="C10" s="89" t="s">
        <v>3998</v>
      </c>
      <c r="D10" s="90" t="s">
        <v>3949</v>
      </c>
      <c r="E10" s="89" t="s">
        <v>940</v>
      </c>
      <c r="F10" s="89" t="s">
        <v>3999</v>
      </c>
      <c r="G10" s="89" t="s">
        <v>941</v>
      </c>
      <c r="H10" s="91">
        <v>1111</v>
      </c>
      <c r="I10" s="89" t="s">
        <v>3952</v>
      </c>
      <c r="J10" s="92" t="s">
        <v>3953</v>
      </c>
      <c r="K10" s="92" t="s">
        <v>3954</v>
      </c>
      <c r="L10" s="92" t="s">
        <v>3955</v>
      </c>
      <c r="M10" s="92" t="s">
        <v>3956</v>
      </c>
      <c r="N10" s="93">
        <v>1111</v>
      </c>
      <c r="O10" s="94">
        <v>400000</v>
      </c>
      <c r="P10" s="94">
        <v>68000</v>
      </c>
      <c r="Q10" s="92" t="s">
        <v>3957</v>
      </c>
      <c r="R10" s="92" t="s">
        <v>883</v>
      </c>
      <c r="S10" s="91">
        <v>11110</v>
      </c>
      <c r="T10" s="89" t="s">
        <v>3959</v>
      </c>
    </row>
    <row r="11" spans="1:20" ht="78.75" customHeight="1" x14ac:dyDescent="0.35">
      <c r="A11" s="88">
        <v>116401</v>
      </c>
      <c r="B11" s="89" t="s">
        <v>4000</v>
      </c>
      <c r="C11" s="89" t="s">
        <v>4001</v>
      </c>
      <c r="D11" s="90" t="s">
        <v>3949</v>
      </c>
      <c r="E11" s="89" t="s">
        <v>950</v>
      </c>
      <c r="F11" s="89"/>
      <c r="G11" s="89" t="s">
        <v>951</v>
      </c>
      <c r="H11" s="91">
        <v>1164</v>
      </c>
      <c r="I11" s="89" t="s">
        <v>4002</v>
      </c>
      <c r="J11" s="92" t="s">
        <v>3953</v>
      </c>
      <c r="K11" s="92"/>
      <c r="L11" s="92" t="s">
        <v>4003</v>
      </c>
      <c r="M11" s="92" t="s">
        <v>3965</v>
      </c>
      <c r="N11" s="93">
        <v>1164</v>
      </c>
      <c r="O11" s="94">
        <v>46000</v>
      </c>
      <c r="P11" s="94">
        <v>3200</v>
      </c>
      <c r="Q11" s="92" t="s">
        <v>3957</v>
      </c>
      <c r="R11" s="92" t="s">
        <v>4004</v>
      </c>
      <c r="S11" s="89" t="s">
        <v>643</v>
      </c>
      <c r="T11" s="91">
        <v>11640</v>
      </c>
    </row>
    <row r="12" spans="1:20" ht="30" customHeight="1" x14ac:dyDescent="0.35">
      <c r="A12" s="88">
        <v>116402</v>
      </c>
      <c r="B12" s="89" t="s">
        <v>4005</v>
      </c>
      <c r="C12" s="89" t="s">
        <v>4005</v>
      </c>
      <c r="D12" s="90" t="s">
        <v>3949</v>
      </c>
      <c r="E12" s="89" t="s">
        <v>4006</v>
      </c>
      <c r="F12" s="89"/>
      <c r="G12" s="89" t="s">
        <v>956</v>
      </c>
      <c r="H12" s="91">
        <v>1164</v>
      </c>
      <c r="I12" s="89" t="s">
        <v>4002</v>
      </c>
      <c r="J12" s="92" t="s">
        <v>3953</v>
      </c>
      <c r="K12" s="92"/>
      <c r="L12" s="92" t="s">
        <v>4003</v>
      </c>
      <c r="M12" s="92" t="s">
        <v>3965</v>
      </c>
      <c r="N12" s="93">
        <v>1164</v>
      </c>
      <c r="O12" s="94">
        <v>46000</v>
      </c>
      <c r="P12" s="94">
        <v>3200</v>
      </c>
      <c r="Q12" s="92" t="s">
        <v>3957</v>
      </c>
      <c r="R12" s="92" t="s">
        <v>4007</v>
      </c>
      <c r="S12" s="89" t="s">
        <v>643</v>
      </c>
      <c r="T12" s="91">
        <v>11660</v>
      </c>
    </row>
    <row r="13" spans="1:20" ht="46.5" customHeight="1" x14ac:dyDescent="0.35">
      <c r="A13" s="88">
        <v>116642</v>
      </c>
      <c r="B13" s="89" t="s">
        <v>4008</v>
      </c>
      <c r="C13" s="89" t="s">
        <v>4009</v>
      </c>
      <c r="D13" s="90" t="s">
        <v>3949</v>
      </c>
      <c r="E13" s="89" t="s">
        <v>961</v>
      </c>
      <c r="F13" s="89" t="s">
        <v>4010</v>
      </c>
      <c r="G13" s="89" t="s">
        <v>962</v>
      </c>
      <c r="H13" s="91">
        <v>1165</v>
      </c>
      <c r="I13" s="89" t="s">
        <v>4011</v>
      </c>
      <c r="J13" s="92" t="s">
        <v>3953</v>
      </c>
      <c r="K13" s="92"/>
      <c r="L13" s="92" t="s">
        <v>4012</v>
      </c>
      <c r="M13" s="92" t="s">
        <v>3965</v>
      </c>
      <c r="N13" s="93">
        <v>1165</v>
      </c>
      <c r="O13" s="94">
        <v>400000</v>
      </c>
      <c r="P13" s="94">
        <v>20000</v>
      </c>
      <c r="Q13" s="92" t="s">
        <v>3957</v>
      </c>
      <c r="R13" s="92" t="s">
        <v>4013</v>
      </c>
      <c r="S13" s="89" t="s">
        <v>643</v>
      </c>
      <c r="T13" s="91">
        <v>11612</v>
      </c>
    </row>
    <row r="14" spans="1:20" ht="59.25" customHeight="1" x14ac:dyDescent="0.35">
      <c r="A14" s="88">
        <v>116661</v>
      </c>
      <c r="B14" s="89" t="s">
        <v>4014</v>
      </c>
      <c r="C14" s="89" t="s">
        <v>4015</v>
      </c>
      <c r="D14" s="90" t="s">
        <v>3949</v>
      </c>
      <c r="E14" s="89" t="s">
        <v>967</v>
      </c>
      <c r="F14" s="89"/>
      <c r="G14" s="89" t="s">
        <v>968</v>
      </c>
      <c r="H14" s="91">
        <v>1131</v>
      </c>
      <c r="I14" s="89" t="s">
        <v>3992</v>
      </c>
      <c r="J14" s="92" t="s">
        <v>3953</v>
      </c>
      <c r="K14" s="92"/>
      <c r="L14" s="92" t="s">
        <v>3993</v>
      </c>
      <c r="M14" s="92" t="s">
        <v>3965</v>
      </c>
      <c r="N14" s="93">
        <v>1131</v>
      </c>
      <c r="O14" s="94">
        <v>750000</v>
      </c>
      <c r="P14" s="94">
        <v>18000</v>
      </c>
      <c r="Q14" s="92" t="s">
        <v>3957</v>
      </c>
      <c r="R14" s="92" t="s">
        <v>4016</v>
      </c>
      <c r="S14" s="91">
        <v>11380</v>
      </c>
      <c r="T14" s="91">
        <v>11635</v>
      </c>
    </row>
    <row r="15" spans="1:20" ht="96" customHeight="1" x14ac:dyDescent="0.35">
      <c r="A15" s="88">
        <v>116662</v>
      </c>
      <c r="B15" s="89" t="s">
        <v>4017</v>
      </c>
      <c r="C15" s="89" t="s">
        <v>4018</v>
      </c>
      <c r="D15" s="90" t="s">
        <v>3949</v>
      </c>
      <c r="E15" s="89" t="s">
        <v>973</v>
      </c>
      <c r="F15" s="89" t="s">
        <v>4019</v>
      </c>
      <c r="G15" s="89" t="s">
        <v>974</v>
      </c>
      <c r="H15" s="91">
        <v>1131</v>
      </c>
      <c r="I15" s="89" t="s">
        <v>3992</v>
      </c>
      <c r="J15" s="92" t="s">
        <v>3953</v>
      </c>
      <c r="K15" s="92"/>
      <c r="L15" s="92" t="s">
        <v>3993</v>
      </c>
      <c r="M15" s="92" t="s">
        <v>3965</v>
      </c>
      <c r="N15" s="93">
        <v>1131</v>
      </c>
      <c r="O15" s="94">
        <v>750000</v>
      </c>
      <c r="P15" s="94">
        <v>18000</v>
      </c>
      <c r="Q15" s="92" t="s">
        <v>3957</v>
      </c>
      <c r="R15" s="92" t="s">
        <v>4020</v>
      </c>
      <c r="S15" s="91">
        <v>11380</v>
      </c>
      <c r="T15" s="91">
        <v>11655</v>
      </c>
    </row>
    <row r="16" spans="1:20" ht="30" customHeight="1" x14ac:dyDescent="0.35">
      <c r="A16" s="88">
        <v>116663</v>
      </c>
      <c r="B16" s="89" t="s">
        <v>4021</v>
      </c>
      <c r="C16" s="89" t="s">
        <v>4022</v>
      </c>
      <c r="D16" s="90" t="s">
        <v>3949</v>
      </c>
      <c r="E16" s="89" t="s">
        <v>978</v>
      </c>
      <c r="F16" s="89" t="s">
        <v>4023</v>
      </c>
      <c r="G16" s="89" t="s">
        <v>979</v>
      </c>
      <c r="H16" s="91">
        <v>1112</v>
      </c>
      <c r="I16" s="89" t="s">
        <v>4024</v>
      </c>
      <c r="J16" s="92" t="s">
        <v>3953</v>
      </c>
      <c r="K16" s="92"/>
      <c r="L16" s="92" t="s">
        <v>4025</v>
      </c>
      <c r="M16" s="92" t="s">
        <v>3965</v>
      </c>
      <c r="N16" s="93">
        <v>1112</v>
      </c>
      <c r="O16" s="94">
        <v>270000</v>
      </c>
      <c r="P16" s="94">
        <v>7000</v>
      </c>
      <c r="Q16" s="92" t="s">
        <v>3957</v>
      </c>
      <c r="R16" s="92" t="s">
        <v>4026</v>
      </c>
      <c r="S16" s="89" t="s">
        <v>4027</v>
      </c>
      <c r="T16" s="91">
        <v>11120</v>
      </c>
    </row>
    <row r="17" spans="1:20" ht="30" customHeight="1" x14ac:dyDescent="0.35">
      <c r="A17" s="88">
        <v>116664</v>
      </c>
      <c r="B17" s="89" t="s">
        <v>4028</v>
      </c>
      <c r="C17" s="89" t="s">
        <v>4029</v>
      </c>
      <c r="D17" s="90" t="s">
        <v>3949</v>
      </c>
      <c r="E17" s="89" t="s">
        <v>983</v>
      </c>
      <c r="F17" s="89" t="s">
        <v>4030</v>
      </c>
      <c r="G17" s="89" t="s">
        <v>984</v>
      </c>
      <c r="H17" s="91">
        <v>1131</v>
      </c>
      <c r="I17" s="89" t="s">
        <v>3992</v>
      </c>
      <c r="J17" s="92" t="s">
        <v>3953</v>
      </c>
      <c r="K17" s="92"/>
      <c r="L17" s="92" t="s">
        <v>3993</v>
      </c>
      <c r="M17" s="92" t="s">
        <v>3965</v>
      </c>
      <c r="N17" s="93">
        <v>1131</v>
      </c>
      <c r="O17" s="94">
        <v>750000</v>
      </c>
      <c r="P17" s="94">
        <v>18000</v>
      </c>
      <c r="Q17" s="92" t="s">
        <v>3957</v>
      </c>
      <c r="R17" s="92" t="s">
        <v>4031</v>
      </c>
      <c r="S17" s="91">
        <v>11330</v>
      </c>
      <c r="T17" s="89" t="s">
        <v>643</v>
      </c>
    </row>
    <row r="18" spans="1:20" ht="30" customHeight="1" x14ac:dyDescent="0.35">
      <c r="A18" s="88">
        <v>116665</v>
      </c>
      <c r="B18" s="89" t="s">
        <v>4032</v>
      </c>
      <c r="C18" s="89" t="s">
        <v>4033</v>
      </c>
      <c r="D18" s="90" t="s">
        <v>3949</v>
      </c>
      <c r="E18" s="89" t="s">
        <v>4034</v>
      </c>
      <c r="F18" s="89" t="s">
        <v>4035</v>
      </c>
      <c r="G18" s="89" t="s">
        <v>990</v>
      </c>
      <c r="H18" s="91">
        <v>1131</v>
      </c>
      <c r="I18" s="89" t="s">
        <v>3992</v>
      </c>
      <c r="J18" s="92" t="s">
        <v>3953</v>
      </c>
      <c r="K18" s="92"/>
      <c r="L18" s="92" t="s">
        <v>3993</v>
      </c>
      <c r="M18" s="92" t="s">
        <v>3965</v>
      </c>
      <c r="N18" s="93">
        <v>1131</v>
      </c>
      <c r="O18" s="94">
        <v>750000</v>
      </c>
      <c r="P18" s="94">
        <v>18000</v>
      </c>
      <c r="Q18" s="92" t="s">
        <v>3957</v>
      </c>
      <c r="R18" s="92" t="s">
        <v>4036</v>
      </c>
      <c r="S18" s="91">
        <v>11330</v>
      </c>
      <c r="T18" s="89" t="s">
        <v>643</v>
      </c>
    </row>
    <row r="19" spans="1:20" ht="108" customHeight="1" x14ac:dyDescent="0.35">
      <c r="A19" s="88">
        <v>116666</v>
      </c>
      <c r="B19" s="89" t="s">
        <v>4037</v>
      </c>
      <c r="C19" s="89" t="s">
        <v>4038</v>
      </c>
      <c r="D19" s="90" t="s">
        <v>3949</v>
      </c>
      <c r="E19" s="89" t="s">
        <v>995</v>
      </c>
      <c r="F19" s="89"/>
      <c r="G19" s="89" t="s">
        <v>996</v>
      </c>
      <c r="H19" s="91">
        <v>1131</v>
      </c>
      <c r="I19" s="89" t="s">
        <v>3992</v>
      </c>
      <c r="J19" s="92" t="s">
        <v>3953</v>
      </c>
      <c r="K19" s="92"/>
      <c r="L19" s="92" t="s">
        <v>3993</v>
      </c>
      <c r="M19" s="92" t="s">
        <v>3965</v>
      </c>
      <c r="N19" s="93">
        <v>1131</v>
      </c>
      <c r="O19" s="94">
        <v>750000</v>
      </c>
      <c r="P19" s="94">
        <v>18000</v>
      </c>
      <c r="Q19" s="92" t="s">
        <v>3957</v>
      </c>
      <c r="R19" s="92" t="s">
        <v>4039</v>
      </c>
      <c r="S19" s="91">
        <v>11350</v>
      </c>
      <c r="T19" s="89" t="s">
        <v>643</v>
      </c>
    </row>
    <row r="20" spans="1:20" ht="30" customHeight="1" x14ac:dyDescent="0.35">
      <c r="A20" s="88">
        <v>116667</v>
      </c>
      <c r="B20" s="89" t="s">
        <v>4040</v>
      </c>
      <c r="C20" s="89" t="s">
        <v>4041</v>
      </c>
      <c r="D20" s="90" t="s">
        <v>3949</v>
      </c>
      <c r="E20" s="89" t="s">
        <v>1000</v>
      </c>
      <c r="F20" s="89"/>
      <c r="G20" s="89" t="s">
        <v>1001</v>
      </c>
      <c r="H20" s="91">
        <v>1161</v>
      </c>
      <c r="I20" s="89" t="s">
        <v>4042</v>
      </c>
      <c r="J20" s="92" t="s">
        <v>3953</v>
      </c>
      <c r="K20" s="92"/>
      <c r="L20" s="92" t="s">
        <v>3993</v>
      </c>
      <c r="M20" s="92" t="s">
        <v>3965</v>
      </c>
      <c r="N20" s="93">
        <v>1161</v>
      </c>
      <c r="O20" s="94">
        <v>12000</v>
      </c>
      <c r="P20" s="94">
        <v>1400</v>
      </c>
      <c r="Q20" s="92" t="s">
        <v>3957</v>
      </c>
      <c r="R20" s="92" t="s">
        <v>4043</v>
      </c>
      <c r="S20" s="91">
        <v>11610</v>
      </c>
      <c r="T20" s="91">
        <v>11620</v>
      </c>
    </row>
    <row r="21" spans="1:20" ht="30" customHeight="1" x14ac:dyDescent="0.35">
      <c r="A21" s="88">
        <v>116668</v>
      </c>
      <c r="B21" s="89" t="s">
        <v>4044</v>
      </c>
      <c r="C21" s="89" t="s">
        <v>4045</v>
      </c>
      <c r="D21" s="90" t="s">
        <v>3949</v>
      </c>
      <c r="E21" s="89" t="s">
        <v>1006</v>
      </c>
      <c r="F21" s="89" t="s">
        <v>4046</v>
      </c>
      <c r="G21" s="89" t="s">
        <v>1007</v>
      </c>
      <c r="H21" s="91">
        <v>1162</v>
      </c>
      <c r="I21" s="89" t="s">
        <v>4047</v>
      </c>
      <c r="J21" s="92" t="s">
        <v>3953</v>
      </c>
      <c r="K21" s="92"/>
      <c r="L21" s="92" t="s">
        <v>4048</v>
      </c>
      <c r="M21" s="92" t="s">
        <v>3965</v>
      </c>
      <c r="N21" s="93">
        <v>1162</v>
      </c>
      <c r="O21" s="94">
        <v>20000</v>
      </c>
      <c r="P21" s="94">
        <v>2300</v>
      </c>
      <c r="Q21" s="92" t="s">
        <v>3957</v>
      </c>
      <c r="R21" s="92" t="s">
        <v>4049</v>
      </c>
      <c r="S21" s="89" t="s">
        <v>643</v>
      </c>
      <c r="T21" s="89" t="s">
        <v>643</v>
      </c>
    </row>
    <row r="22" spans="1:20" ht="30" customHeight="1" x14ac:dyDescent="0.35">
      <c r="A22" s="88">
        <v>116672</v>
      </c>
      <c r="B22" s="89" t="s">
        <v>4050</v>
      </c>
      <c r="C22" s="89" t="s">
        <v>4051</v>
      </c>
      <c r="D22" s="90" t="s">
        <v>3949</v>
      </c>
      <c r="E22" s="89" t="s">
        <v>1012</v>
      </c>
      <c r="F22" s="89"/>
      <c r="G22" s="89" t="s">
        <v>1013</v>
      </c>
      <c r="H22" s="91">
        <v>1163</v>
      </c>
      <c r="I22" s="89" t="s">
        <v>4052</v>
      </c>
      <c r="J22" s="92" t="s">
        <v>3953</v>
      </c>
      <c r="K22" s="92"/>
      <c r="L22" s="92" t="s">
        <v>3993</v>
      </c>
      <c r="M22" s="92" t="s">
        <v>3965</v>
      </c>
      <c r="N22" s="93">
        <v>1163</v>
      </c>
      <c r="O22" s="94">
        <v>13000</v>
      </c>
      <c r="P22" s="94">
        <v>1700</v>
      </c>
      <c r="Q22" s="92" t="s">
        <v>3957</v>
      </c>
      <c r="R22" s="92" t="s">
        <v>4053</v>
      </c>
      <c r="S22" s="91">
        <v>11370</v>
      </c>
      <c r="T22" s="91">
        <v>11610</v>
      </c>
    </row>
    <row r="23" spans="1:20" ht="30" customHeight="1" x14ac:dyDescent="0.35">
      <c r="A23" s="88">
        <v>116922</v>
      </c>
      <c r="B23" s="89" t="s">
        <v>4054</v>
      </c>
      <c r="C23" s="89" t="s">
        <v>4055</v>
      </c>
      <c r="D23" s="90" t="s">
        <v>3978</v>
      </c>
      <c r="E23" s="89" t="s">
        <v>1017</v>
      </c>
      <c r="F23" s="89" t="s">
        <v>4056</v>
      </c>
      <c r="G23" s="89" t="s">
        <v>1018</v>
      </c>
      <c r="H23" s="91">
        <v>1461</v>
      </c>
      <c r="I23" s="89" t="s">
        <v>4057</v>
      </c>
      <c r="J23" s="92" t="s">
        <v>4058</v>
      </c>
      <c r="K23" s="92"/>
      <c r="L23" s="92" t="s">
        <v>4059</v>
      </c>
      <c r="M23" s="92" t="s">
        <v>4060</v>
      </c>
      <c r="N23" s="93">
        <v>1461</v>
      </c>
      <c r="O23" s="94">
        <v>12</v>
      </c>
      <c r="P23" s="94">
        <v>1</v>
      </c>
      <c r="Q23" s="92" t="s">
        <v>3957</v>
      </c>
      <c r="R23" s="92" t="s">
        <v>4061</v>
      </c>
      <c r="S23" s="91">
        <v>14920</v>
      </c>
      <c r="T23" s="91">
        <v>14930</v>
      </c>
    </row>
    <row r="24" spans="1:20" ht="91" customHeight="1" x14ac:dyDescent="0.35">
      <c r="A24" s="88">
        <v>116933</v>
      </c>
      <c r="B24" s="89" t="s">
        <v>4062</v>
      </c>
      <c r="C24" s="89" t="s">
        <v>4063</v>
      </c>
      <c r="D24" s="90" t="s">
        <v>3978</v>
      </c>
      <c r="E24" s="89" t="s">
        <v>1022</v>
      </c>
      <c r="F24" s="89"/>
      <c r="G24" s="89" t="s">
        <v>1023</v>
      </c>
      <c r="H24" s="91">
        <v>1463</v>
      </c>
      <c r="I24" s="89" t="s">
        <v>4064</v>
      </c>
      <c r="J24" s="92" t="s">
        <v>4058</v>
      </c>
      <c r="K24" s="92"/>
      <c r="L24" s="92" t="s">
        <v>4065</v>
      </c>
      <c r="M24" s="92" t="s">
        <v>4066</v>
      </c>
      <c r="N24" s="93">
        <v>1463</v>
      </c>
      <c r="O24" s="94">
        <v>3</v>
      </c>
      <c r="P24" s="94">
        <v>1</v>
      </c>
      <c r="Q24" s="92" t="s">
        <v>3957</v>
      </c>
      <c r="R24" s="92" t="s">
        <v>4067</v>
      </c>
      <c r="S24" s="89" t="s">
        <v>643</v>
      </c>
      <c r="T24" s="89" t="s">
        <v>643</v>
      </c>
    </row>
    <row r="25" spans="1:20" ht="30" customHeight="1" x14ac:dyDescent="0.35">
      <c r="A25" s="88">
        <v>116945</v>
      </c>
      <c r="B25" s="89" t="s">
        <v>4068</v>
      </c>
      <c r="C25" s="89" t="s">
        <v>4069</v>
      </c>
      <c r="D25" s="90" t="s">
        <v>3978</v>
      </c>
      <c r="E25" s="89" t="s">
        <v>1028</v>
      </c>
      <c r="F25" s="89" t="s">
        <v>4070</v>
      </c>
      <c r="G25" s="89" t="s">
        <v>1029</v>
      </c>
      <c r="H25" s="91">
        <v>1464</v>
      </c>
      <c r="I25" s="89" t="s">
        <v>4071</v>
      </c>
      <c r="J25" s="92" t="s">
        <v>3954</v>
      </c>
      <c r="K25" s="92"/>
      <c r="L25" s="92" t="s">
        <v>4072</v>
      </c>
      <c r="M25" s="92" t="s">
        <v>4073</v>
      </c>
      <c r="N25" s="93">
        <v>1464</v>
      </c>
      <c r="O25" s="94">
        <v>26</v>
      </c>
      <c r="P25" s="94">
        <v>2</v>
      </c>
      <c r="Q25" s="92" t="s">
        <v>765</v>
      </c>
      <c r="R25" s="92" t="s">
        <v>4074</v>
      </c>
      <c r="S25" s="91">
        <v>14935</v>
      </c>
      <c r="T25" s="91">
        <v>14950</v>
      </c>
    </row>
    <row r="26" spans="1:20" ht="43.5" customHeight="1" x14ac:dyDescent="0.35">
      <c r="A26" s="88">
        <v>121111</v>
      </c>
      <c r="B26" s="89" t="s">
        <v>4075</v>
      </c>
      <c r="C26" s="89" t="s">
        <v>4076</v>
      </c>
      <c r="D26" s="90" t="s">
        <v>4077</v>
      </c>
      <c r="E26" s="89" t="s">
        <v>4078</v>
      </c>
      <c r="F26" s="89"/>
      <c r="G26" s="89" t="s">
        <v>1035</v>
      </c>
      <c r="H26" s="91">
        <v>1444</v>
      </c>
      <c r="I26" s="89" t="s">
        <v>4079</v>
      </c>
      <c r="J26" s="92" t="s">
        <v>883</v>
      </c>
      <c r="K26" s="92"/>
      <c r="L26" s="92" t="s">
        <v>4080</v>
      </c>
      <c r="M26" s="92" t="s">
        <v>4081</v>
      </c>
      <c r="N26" s="93">
        <v>1444</v>
      </c>
      <c r="O26" s="94">
        <v>190000</v>
      </c>
      <c r="P26" s="94">
        <v>5800</v>
      </c>
      <c r="Q26" s="92" t="s">
        <v>3957</v>
      </c>
      <c r="R26" s="92" t="s">
        <v>4082</v>
      </c>
      <c r="S26" s="91">
        <v>14165</v>
      </c>
      <c r="T26" s="91">
        <v>12315</v>
      </c>
    </row>
    <row r="27" spans="1:20" ht="30" customHeight="1" x14ac:dyDescent="0.35">
      <c r="A27" s="88">
        <v>121115</v>
      </c>
      <c r="B27" s="89" t="s">
        <v>4083</v>
      </c>
      <c r="C27" s="89" t="s">
        <v>4084</v>
      </c>
      <c r="D27" s="90" t="s">
        <v>3978</v>
      </c>
      <c r="E27" s="89" t="s">
        <v>4085</v>
      </c>
      <c r="F27" s="89" t="s">
        <v>4086</v>
      </c>
      <c r="G27" s="89" t="s">
        <v>1041</v>
      </c>
      <c r="H27" s="91">
        <v>1211</v>
      </c>
      <c r="I27" s="89" t="s">
        <v>4087</v>
      </c>
      <c r="J27" s="92" t="s">
        <v>4088</v>
      </c>
      <c r="K27" s="92" t="s">
        <v>4089</v>
      </c>
      <c r="L27" s="92" t="s">
        <v>4090</v>
      </c>
      <c r="M27" s="92" t="s">
        <v>4091</v>
      </c>
      <c r="N27" s="93">
        <v>1211</v>
      </c>
      <c r="O27" s="94">
        <v>32</v>
      </c>
      <c r="P27" s="94">
        <v>6</v>
      </c>
      <c r="Q27" s="92" t="s">
        <v>3957</v>
      </c>
      <c r="R27" s="92" t="s">
        <v>4092</v>
      </c>
      <c r="S27" s="89" t="s">
        <v>4093</v>
      </c>
      <c r="T27" s="89" t="s">
        <v>4093</v>
      </c>
    </row>
    <row r="28" spans="1:20" ht="44.25" customHeight="1" x14ac:dyDescent="0.35">
      <c r="A28" s="88">
        <v>121122</v>
      </c>
      <c r="B28" s="89" t="s">
        <v>4094</v>
      </c>
      <c r="C28" s="89" t="s">
        <v>4095</v>
      </c>
      <c r="D28" s="90" t="s">
        <v>3978</v>
      </c>
      <c r="E28" s="89" t="s">
        <v>4096</v>
      </c>
      <c r="F28" s="89" t="s">
        <v>4097</v>
      </c>
      <c r="G28" s="89" t="s">
        <v>1047</v>
      </c>
      <c r="H28" s="91">
        <v>1211</v>
      </c>
      <c r="I28" s="89" t="s">
        <v>4087</v>
      </c>
      <c r="J28" s="92" t="s">
        <v>4088</v>
      </c>
      <c r="K28" s="92" t="s">
        <v>4089</v>
      </c>
      <c r="L28" s="92" t="s">
        <v>4090</v>
      </c>
      <c r="M28" s="92" t="s">
        <v>4091</v>
      </c>
      <c r="N28" s="93">
        <v>1211</v>
      </c>
      <c r="O28" s="94">
        <v>32</v>
      </c>
      <c r="P28" s="94">
        <v>6</v>
      </c>
      <c r="Q28" s="92" t="s">
        <v>3957</v>
      </c>
      <c r="R28" s="92" t="s">
        <v>4098</v>
      </c>
      <c r="S28" s="91">
        <v>12110</v>
      </c>
      <c r="T28" s="91">
        <v>12110</v>
      </c>
    </row>
    <row r="29" spans="1:20" ht="57" customHeight="1" x14ac:dyDescent="0.35">
      <c r="A29" s="88">
        <v>121124</v>
      </c>
      <c r="B29" s="89" t="s">
        <v>4099</v>
      </c>
      <c r="C29" s="89" t="s">
        <v>4100</v>
      </c>
      <c r="D29" s="90" t="s">
        <v>4077</v>
      </c>
      <c r="E29" s="89" t="s">
        <v>4101</v>
      </c>
      <c r="F29" s="89" t="s">
        <v>4102</v>
      </c>
      <c r="G29" s="89" t="s">
        <v>1054</v>
      </c>
      <c r="H29" s="91">
        <v>1444</v>
      </c>
      <c r="I29" s="89" t="s">
        <v>4079</v>
      </c>
      <c r="J29" s="92" t="s">
        <v>883</v>
      </c>
      <c r="K29" s="92"/>
      <c r="L29" s="92" t="s">
        <v>4080</v>
      </c>
      <c r="M29" s="92" t="s">
        <v>4081</v>
      </c>
      <c r="N29" s="93">
        <v>1444</v>
      </c>
      <c r="O29" s="94">
        <v>190000</v>
      </c>
      <c r="P29" s="94">
        <v>5800</v>
      </c>
      <c r="Q29" s="92" t="s">
        <v>3957</v>
      </c>
      <c r="R29" s="92" t="s">
        <v>4103</v>
      </c>
      <c r="S29" s="89" t="s">
        <v>643</v>
      </c>
      <c r="T29" s="91">
        <v>12520</v>
      </c>
    </row>
    <row r="30" spans="1:20" ht="30" customHeight="1" x14ac:dyDescent="0.35">
      <c r="A30" s="88">
        <v>122111</v>
      </c>
      <c r="B30" s="89" t="s">
        <v>4104</v>
      </c>
      <c r="C30" s="89" t="s">
        <v>4105</v>
      </c>
      <c r="D30" s="90" t="s">
        <v>3978</v>
      </c>
      <c r="E30" s="89" t="s">
        <v>4106</v>
      </c>
      <c r="F30" s="89" t="s">
        <v>4107</v>
      </c>
      <c r="G30" s="89" t="s">
        <v>1062</v>
      </c>
      <c r="H30" s="91">
        <v>1221</v>
      </c>
      <c r="I30" s="89" t="s">
        <v>4108</v>
      </c>
      <c r="J30" s="92" t="s">
        <v>4088</v>
      </c>
      <c r="K30" s="92" t="s">
        <v>4089</v>
      </c>
      <c r="L30" s="92" t="s">
        <v>4109</v>
      </c>
      <c r="M30" s="92" t="s">
        <v>4110</v>
      </c>
      <c r="N30" s="93">
        <v>1221</v>
      </c>
      <c r="O30" s="94">
        <v>6</v>
      </c>
      <c r="P30" s="94">
        <v>2</v>
      </c>
      <c r="Q30" s="92" t="s">
        <v>3957</v>
      </c>
      <c r="R30" s="92" t="s">
        <v>4111</v>
      </c>
      <c r="S30" s="91">
        <v>12210</v>
      </c>
      <c r="T30" s="91">
        <v>12210</v>
      </c>
    </row>
    <row r="31" spans="1:20" ht="46.5" customHeight="1" x14ac:dyDescent="0.35">
      <c r="A31" s="88">
        <v>123335</v>
      </c>
      <c r="B31" s="89" t="s">
        <v>4112</v>
      </c>
      <c r="C31" s="89" t="s">
        <v>4113</v>
      </c>
      <c r="D31" s="90" t="s">
        <v>3978</v>
      </c>
      <c r="E31" s="89" t="s">
        <v>4114</v>
      </c>
      <c r="F31" s="89" t="s">
        <v>4115</v>
      </c>
      <c r="G31" s="89" t="s">
        <v>1065</v>
      </c>
      <c r="H31" s="91">
        <v>1231</v>
      </c>
      <c r="I31" s="89" t="s">
        <v>4116</v>
      </c>
      <c r="J31" s="92" t="s">
        <v>4088</v>
      </c>
      <c r="K31" s="92" t="s">
        <v>4089</v>
      </c>
      <c r="L31" s="92" t="s">
        <v>4117</v>
      </c>
      <c r="M31" s="92" t="s">
        <v>4118</v>
      </c>
      <c r="N31" s="93">
        <v>1231</v>
      </c>
      <c r="O31" s="94">
        <v>28</v>
      </c>
      <c r="P31" s="94">
        <v>3</v>
      </c>
      <c r="Q31" s="92" t="s">
        <v>3957</v>
      </c>
      <c r="R31" s="92" t="s">
        <v>4119</v>
      </c>
      <c r="S31" s="89" t="s">
        <v>4120</v>
      </c>
      <c r="T31" s="91">
        <v>12310</v>
      </c>
    </row>
    <row r="32" spans="1:20" ht="48.75" customHeight="1" x14ac:dyDescent="0.35">
      <c r="A32" s="88">
        <v>124131</v>
      </c>
      <c r="B32" s="89" t="s">
        <v>4121</v>
      </c>
      <c r="C32" s="89" t="s">
        <v>4122</v>
      </c>
      <c r="D32" s="90" t="s">
        <v>3978</v>
      </c>
      <c r="E32" s="89" t="s">
        <v>4123</v>
      </c>
      <c r="F32" s="89" t="s">
        <v>4124</v>
      </c>
      <c r="G32" s="89" t="s">
        <v>1070</v>
      </c>
      <c r="H32" s="91">
        <v>1241</v>
      </c>
      <c r="I32" s="89" t="s">
        <v>4125</v>
      </c>
      <c r="J32" s="92" t="s">
        <v>4126</v>
      </c>
      <c r="K32" s="92"/>
      <c r="L32" s="92" t="s">
        <v>4127</v>
      </c>
      <c r="M32" s="92" t="s">
        <v>3973</v>
      </c>
      <c r="N32" s="93">
        <v>1241</v>
      </c>
      <c r="O32" s="94">
        <v>1330000</v>
      </c>
      <c r="P32" s="94">
        <v>145000</v>
      </c>
      <c r="Q32" s="92" t="s">
        <v>3957</v>
      </c>
      <c r="R32" s="92" t="s">
        <v>4128</v>
      </c>
      <c r="S32" s="89" t="s">
        <v>4129</v>
      </c>
      <c r="T32" s="91">
        <v>12150</v>
      </c>
    </row>
    <row r="33" spans="1:20" ht="32.25" customHeight="1" x14ac:dyDescent="0.35">
      <c r="A33" s="88">
        <v>124132</v>
      </c>
      <c r="B33" s="89" t="s">
        <v>4130</v>
      </c>
      <c r="C33" s="89" t="s">
        <v>4131</v>
      </c>
      <c r="D33" s="90" t="s">
        <v>3978</v>
      </c>
      <c r="E33" s="89" t="s">
        <v>4132</v>
      </c>
      <c r="F33" s="89"/>
      <c r="G33" s="89" t="s">
        <v>1074</v>
      </c>
      <c r="H33" s="91">
        <v>1241</v>
      </c>
      <c r="I33" s="89" t="s">
        <v>4125</v>
      </c>
      <c r="J33" s="92" t="s">
        <v>4126</v>
      </c>
      <c r="K33" s="92"/>
      <c r="L33" s="92" t="s">
        <v>4127</v>
      </c>
      <c r="M33" s="92" t="s">
        <v>3973</v>
      </c>
      <c r="N33" s="93">
        <v>1241</v>
      </c>
      <c r="O33" s="94">
        <v>1330000</v>
      </c>
      <c r="P33" s="94">
        <v>145000</v>
      </c>
      <c r="Q33" s="92" t="s">
        <v>3957</v>
      </c>
      <c r="R33" s="92" t="s">
        <v>4133</v>
      </c>
      <c r="S33" s="89" t="s">
        <v>643</v>
      </c>
      <c r="T33" s="89" t="s">
        <v>643</v>
      </c>
    </row>
    <row r="34" spans="1:20" ht="32.25" customHeight="1" x14ac:dyDescent="0.35">
      <c r="A34" s="88">
        <v>124134</v>
      </c>
      <c r="B34" s="89" t="s">
        <v>4134</v>
      </c>
      <c r="C34" s="89" t="s">
        <v>4135</v>
      </c>
      <c r="D34" s="90" t="s">
        <v>3978</v>
      </c>
      <c r="E34" s="89" t="s">
        <v>4136</v>
      </c>
      <c r="F34" s="89" t="s">
        <v>4137</v>
      </c>
      <c r="G34" s="89" t="s">
        <v>1080</v>
      </c>
      <c r="H34" s="91">
        <v>1243</v>
      </c>
      <c r="I34" s="89" t="s">
        <v>4138</v>
      </c>
      <c r="J34" s="92" t="s">
        <v>4126</v>
      </c>
      <c r="K34" s="92"/>
      <c r="L34" s="92" t="s">
        <v>4139</v>
      </c>
      <c r="M34" s="92" t="s">
        <v>4140</v>
      </c>
      <c r="N34" s="93">
        <v>1243</v>
      </c>
      <c r="O34" s="94">
        <v>200000</v>
      </c>
      <c r="P34" s="94">
        <v>8400</v>
      </c>
      <c r="Q34" s="92" t="s">
        <v>3957</v>
      </c>
      <c r="R34" s="92" t="s">
        <v>4141</v>
      </c>
      <c r="S34" s="89" t="s">
        <v>4142</v>
      </c>
      <c r="T34" s="91">
        <v>12330</v>
      </c>
    </row>
    <row r="35" spans="1:20" ht="32.25" customHeight="1" x14ac:dyDescent="0.35">
      <c r="A35" s="88">
        <v>124135</v>
      </c>
      <c r="B35" s="89" t="s">
        <v>4143</v>
      </c>
      <c r="C35" s="89" t="s">
        <v>4144</v>
      </c>
      <c r="D35" s="90" t="s">
        <v>3978</v>
      </c>
      <c r="E35" s="89" t="s">
        <v>4145</v>
      </c>
      <c r="F35" s="89" t="s">
        <v>4137</v>
      </c>
      <c r="G35" s="89" t="s">
        <v>1086</v>
      </c>
      <c r="H35" s="91">
        <v>1241</v>
      </c>
      <c r="I35" s="89" t="s">
        <v>4125</v>
      </c>
      <c r="J35" s="92" t="s">
        <v>4126</v>
      </c>
      <c r="K35" s="92"/>
      <c r="L35" s="92" t="s">
        <v>4127</v>
      </c>
      <c r="M35" s="92" t="s">
        <v>3973</v>
      </c>
      <c r="N35" s="93">
        <v>1241</v>
      </c>
      <c r="O35" s="94">
        <v>1330000</v>
      </c>
      <c r="P35" s="94">
        <v>145000</v>
      </c>
      <c r="Q35" s="92" t="s">
        <v>3957</v>
      </c>
      <c r="R35" s="92" t="s">
        <v>4146</v>
      </c>
      <c r="S35" s="91">
        <v>12413</v>
      </c>
      <c r="T35" s="91">
        <v>12150</v>
      </c>
    </row>
    <row r="36" spans="1:20" ht="46.5" customHeight="1" x14ac:dyDescent="0.35">
      <c r="A36" s="88">
        <v>124137</v>
      </c>
      <c r="B36" s="89" t="s">
        <v>4147</v>
      </c>
      <c r="C36" s="89" t="s">
        <v>4148</v>
      </c>
      <c r="D36" s="90" t="s">
        <v>3978</v>
      </c>
      <c r="E36" s="89" t="s">
        <v>4149</v>
      </c>
      <c r="F36" s="89" t="s">
        <v>4137</v>
      </c>
      <c r="G36" s="89" t="s">
        <v>1092</v>
      </c>
      <c r="H36" s="91">
        <v>1243</v>
      </c>
      <c r="I36" s="89" t="s">
        <v>4138</v>
      </c>
      <c r="J36" s="92" t="s">
        <v>4126</v>
      </c>
      <c r="K36" s="92"/>
      <c r="L36" s="92" t="s">
        <v>4139</v>
      </c>
      <c r="M36" s="92" t="s">
        <v>4140</v>
      </c>
      <c r="N36" s="93">
        <v>1243</v>
      </c>
      <c r="O36" s="94">
        <v>200000</v>
      </c>
      <c r="P36" s="94">
        <v>8400</v>
      </c>
      <c r="Q36" s="92" t="s">
        <v>3957</v>
      </c>
      <c r="R36" s="92" t="s">
        <v>4150</v>
      </c>
      <c r="S36" s="89" t="s">
        <v>4151</v>
      </c>
      <c r="T36" s="91">
        <v>12330</v>
      </c>
    </row>
    <row r="37" spans="1:20" ht="45.75" customHeight="1" x14ac:dyDescent="0.35">
      <c r="A37" s="88">
        <v>124138</v>
      </c>
      <c r="B37" s="89" t="s">
        <v>4152</v>
      </c>
      <c r="C37" s="89" t="s">
        <v>4153</v>
      </c>
      <c r="D37" s="90" t="s">
        <v>3978</v>
      </c>
      <c r="E37" s="89" t="s">
        <v>4154</v>
      </c>
      <c r="F37" s="89"/>
      <c r="G37" s="89" t="s">
        <v>1098</v>
      </c>
      <c r="H37" s="91">
        <v>1244</v>
      </c>
      <c r="I37" s="89" t="s">
        <v>4155</v>
      </c>
      <c r="J37" s="92" t="s">
        <v>4126</v>
      </c>
      <c r="K37" s="92"/>
      <c r="L37" s="92" t="s">
        <v>4156</v>
      </c>
      <c r="M37" s="92" t="s">
        <v>4157</v>
      </c>
      <c r="N37" s="93">
        <v>1244</v>
      </c>
      <c r="O37" s="94">
        <v>430000</v>
      </c>
      <c r="P37" s="94">
        <v>7800</v>
      </c>
      <c r="Q37" s="92" t="s">
        <v>3957</v>
      </c>
      <c r="R37" s="92" t="s">
        <v>4158</v>
      </c>
      <c r="S37" s="89" t="s">
        <v>643</v>
      </c>
      <c r="T37" s="89" t="s">
        <v>643</v>
      </c>
    </row>
    <row r="38" spans="1:20" ht="44.25" customHeight="1" x14ac:dyDescent="0.35">
      <c r="A38" s="88">
        <v>124139</v>
      </c>
      <c r="B38" s="89" t="s">
        <v>4159</v>
      </c>
      <c r="C38" s="89" t="s">
        <v>4160</v>
      </c>
      <c r="D38" s="90" t="s">
        <v>3978</v>
      </c>
      <c r="E38" s="89" t="s">
        <v>1103</v>
      </c>
      <c r="F38" s="89" t="s">
        <v>4161</v>
      </c>
      <c r="G38" s="89" t="s">
        <v>1104</v>
      </c>
      <c r="H38" s="91">
        <v>1244</v>
      </c>
      <c r="I38" s="89" t="s">
        <v>4155</v>
      </c>
      <c r="J38" s="92" t="s">
        <v>4126</v>
      </c>
      <c r="K38" s="92"/>
      <c r="L38" s="92" t="s">
        <v>4156</v>
      </c>
      <c r="M38" s="92" t="s">
        <v>4157</v>
      </c>
      <c r="N38" s="93">
        <v>1244</v>
      </c>
      <c r="O38" s="94">
        <v>430000</v>
      </c>
      <c r="P38" s="94">
        <v>7800</v>
      </c>
      <c r="Q38" s="92" t="s">
        <v>3957</v>
      </c>
      <c r="R38" s="92" t="s">
        <v>4162</v>
      </c>
      <c r="S38" s="91">
        <v>12472</v>
      </c>
      <c r="T38" s="91">
        <v>12615</v>
      </c>
    </row>
    <row r="39" spans="1:20" ht="47.25" customHeight="1" x14ac:dyDescent="0.35">
      <c r="A39" s="88">
        <v>124231</v>
      </c>
      <c r="B39" s="89" t="s">
        <v>4163</v>
      </c>
      <c r="C39" s="89" t="s">
        <v>4164</v>
      </c>
      <c r="D39" s="90" t="s">
        <v>3978</v>
      </c>
      <c r="E39" s="89" t="s">
        <v>4165</v>
      </c>
      <c r="F39" s="89"/>
      <c r="G39" s="89" t="s">
        <v>909</v>
      </c>
      <c r="H39" s="91">
        <v>1241</v>
      </c>
      <c r="I39" s="89" t="s">
        <v>4125</v>
      </c>
      <c r="J39" s="92" t="s">
        <v>4126</v>
      </c>
      <c r="K39" s="92"/>
      <c r="L39" s="92" t="s">
        <v>4127</v>
      </c>
      <c r="M39" s="92" t="s">
        <v>3973</v>
      </c>
      <c r="N39" s="93">
        <v>1241</v>
      </c>
      <c r="O39" s="94">
        <v>1330000</v>
      </c>
      <c r="P39" s="94">
        <v>145000</v>
      </c>
      <c r="Q39" s="92" t="s">
        <v>3957</v>
      </c>
      <c r="R39" s="92" t="s">
        <v>4166</v>
      </c>
      <c r="S39" s="89" t="s">
        <v>3982</v>
      </c>
      <c r="T39" s="89" t="s">
        <v>3982</v>
      </c>
    </row>
    <row r="40" spans="1:20" ht="43.5" customHeight="1" x14ac:dyDescent="0.35">
      <c r="A40" s="88">
        <v>124234</v>
      </c>
      <c r="B40" s="89" t="s">
        <v>4167</v>
      </c>
      <c r="C40" s="89" t="s">
        <v>4168</v>
      </c>
      <c r="D40" s="90" t="s">
        <v>3978</v>
      </c>
      <c r="E40" s="89" t="s">
        <v>4169</v>
      </c>
      <c r="F40" s="89"/>
      <c r="G40" s="89" t="s">
        <v>909</v>
      </c>
      <c r="H40" s="91">
        <v>1243</v>
      </c>
      <c r="I40" s="89" t="s">
        <v>4138</v>
      </c>
      <c r="J40" s="92" t="s">
        <v>4126</v>
      </c>
      <c r="K40" s="92"/>
      <c r="L40" s="92" t="s">
        <v>4139</v>
      </c>
      <c r="M40" s="92" t="s">
        <v>4140</v>
      </c>
      <c r="N40" s="93">
        <v>1243</v>
      </c>
      <c r="O40" s="94">
        <v>200000</v>
      </c>
      <c r="P40" s="94">
        <v>8400</v>
      </c>
      <c r="Q40" s="92" t="s">
        <v>3957</v>
      </c>
      <c r="R40" s="92" t="s">
        <v>4170</v>
      </c>
      <c r="S40" s="89" t="s">
        <v>3982</v>
      </c>
      <c r="T40" s="89" t="s">
        <v>3982</v>
      </c>
    </row>
    <row r="41" spans="1:20" ht="46.5" customHeight="1" x14ac:dyDescent="0.35">
      <c r="A41" s="88">
        <v>124235</v>
      </c>
      <c r="B41" s="89" t="s">
        <v>4171</v>
      </c>
      <c r="C41" s="89" t="s">
        <v>4172</v>
      </c>
      <c r="D41" s="90" t="s">
        <v>3978</v>
      </c>
      <c r="E41" s="89" t="s">
        <v>4173</v>
      </c>
      <c r="F41" s="89"/>
      <c r="G41" s="89" t="s">
        <v>909</v>
      </c>
      <c r="H41" s="91">
        <v>1241</v>
      </c>
      <c r="I41" s="89" t="s">
        <v>4125</v>
      </c>
      <c r="J41" s="92" t="s">
        <v>4126</v>
      </c>
      <c r="K41" s="92"/>
      <c r="L41" s="92" t="s">
        <v>4127</v>
      </c>
      <c r="M41" s="92" t="s">
        <v>3973</v>
      </c>
      <c r="N41" s="93">
        <v>1241</v>
      </c>
      <c r="O41" s="94">
        <v>1330000</v>
      </c>
      <c r="P41" s="94">
        <v>145000</v>
      </c>
      <c r="Q41" s="92" t="s">
        <v>3957</v>
      </c>
      <c r="R41" s="92" t="s">
        <v>4174</v>
      </c>
      <c r="S41" s="89" t="s">
        <v>3982</v>
      </c>
      <c r="T41" s="89" t="s">
        <v>3982</v>
      </c>
    </row>
    <row r="42" spans="1:20" ht="45.75" customHeight="1" x14ac:dyDescent="0.35">
      <c r="A42" s="88">
        <v>124237</v>
      </c>
      <c r="B42" s="89" t="s">
        <v>4175</v>
      </c>
      <c r="C42" s="89" t="s">
        <v>4176</v>
      </c>
      <c r="D42" s="90" t="s">
        <v>3978</v>
      </c>
      <c r="E42" s="89" t="s">
        <v>4177</v>
      </c>
      <c r="F42" s="89"/>
      <c r="G42" s="89" t="s">
        <v>909</v>
      </c>
      <c r="H42" s="91">
        <v>1243</v>
      </c>
      <c r="I42" s="89" t="s">
        <v>4138</v>
      </c>
      <c r="J42" s="92" t="s">
        <v>4126</v>
      </c>
      <c r="K42" s="92"/>
      <c r="L42" s="92" t="s">
        <v>4139</v>
      </c>
      <c r="M42" s="92" t="s">
        <v>4140</v>
      </c>
      <c r="N42" s="93">
        <v>1243</v>
      </c>
      <c r="O42" s="94">
        <v>200000</v>
      </c>
      <c r="P42" s="94">
        <v>8400</v>
      </c>
      <c r="Q42" s="92" t="s">
        <v>3957</v>
      </c>
      <c r="R42" s="92" t="s">
        <v>4178</v>
      </c>
      <c r="S42" s="89" t="s">
        <v>3982</v>
      </c>
      <c r="T42" s="89" t="s">
        <v>3982</v>
      </c>
    </row>
    <row r="43" spans="1:20" ht="45.75" customHeight="1" x14ac:dyDescent="0.35">
      <c r="A43" s="88">
        <v>124238</v>
      </c>
      <c r="B43" s="89" t="s">
        <v>4179</v>
      </c>
      <c r="C43" s="89" t="s">
        <v>4180</v>
      </c>
      <c r="D43" s="90" t="s">
        <v>3978</v>
      </c>
      <c r="E43" s="89" t="s">
        <v>4181</v>
      </c>
      <c r="F43" s="89"/>
      <c r="G43" s="89" t="s">
        <v>909</v>
      </c>
      <c r="H43" s="91">
        <v>1244</v>
      </c>
      <c r="I43" s="89" t="s">
        <v>4155</v>
      </c>
      <c r="J43" s="92" t="s">
        <v>4126</v>
      </c>
      <c r="K43" s="92"/>
      <c r="L43" s="92" t="s">
        <v>4156</v>
      </c>
      <c r="M43" s="92" t="s">
        <v>4157</v>
      </c>
      <c r="N43" s="93">
        <v>1244</v>
      </c>
      <c r="O43" s="94">
        <v>430000</v>
      </c>
      <c r="P43" s="94">
        <v>7800</v>
      </c>
      <c r="Q43" s="92" t="s">
        <v>3957</v>
      </c>
      <c r="R43" s="92" t="s">
        <v>4182</v>
      </c>
      <c r="S43" s="89" t="s">
        <v>3982</v>
      </c>
      <c r="T43" s="89" t="s">
        <v>3982</v>
      </c>
    </row>
    <row r="44" spans="1:20" ht="30" customHeight="1" x14ac:dyDescent="0.35">
      <c r="A44" s="88">
        <v>124239</v>
      </c>
      <c r="B44" s="89" t="s">
        <v>4183</v>
      </c>
      <c r="C44" s="89" t="s">
        <v>4184</v>
      </c>
      <c r="D44" s="90" t="s">
        <v>3978</v>
      </c>
      <c r="E44" s="89" t="s">
        <v>4185</v>
      </c>
      <c r="F44" s="89" t="s">
        <v>4137</v>
      </c>
      <c r="G44" s="89" t="s">
        <v>909</v>
      </c>
      <c r="H44" s="91">
        <v>1244</v>
      </c>
      <c r="I44" s="89" t="s">
        <v>4155</v>
      </c>
      <c r="J44" s="92" t="s">
        <v>4126</v>
      </c>
      <c r="K44" s="92"/>
      <c r="L44" s="92" t="s">
        <v>4156</v>
      </c>
      <c r="M44" s="92" t="s">
        <v>4157</v>
      </c>
      <c r="N44" s="93">
        <v>1244</v>
      </c>
      <c r="O44" s="94">
        <v>430000</v>
      </c>
      <c r="P44" s="94">
        <v>7800</v>
      </c>
      <c r="Q44" s="92" t="s">
        <v>3957</v>
      </c>
      <c r="R44" s="92" t="s">
        <v>4186</v>
      </c>
      <c r="S44" s="89" t="s">
        <v>3982</v>
      </c>
      <c r="T44" s="89" t="s">
        <v>3982</v>
      </c>
    </row>
    <row r="45" spans="1:20" ht="45" customHeight="1" x14ac:dyDescent="0.35">
      <c r="A45" s="88">
        <v>124240</v>
      </c>
      <c r="B45" s="89" t="s">
        <v>4187</v>
      </c>
      <c r="C45" s="89"/>
      <c r="D45" s="90" t="s">
        <v>3978</v>
      </c>
      <c r="E45" s="89" t="s">
        <v>4188</v>
      </c>
      <c r="F45" s="89"/>
      <c r="G45" s="89" t="s">
        <v>909</v>
      </c>
      <c r="H45" s="91">
        <v>1244</v>
      </c>
      <c r="I45" s="89" t="s">
        <v>4155</v>
      </c>
      <c r="J45" s="92" t="s">
        <v>4126</v>
      </c>
      <c r="K45" s="92"/>
      <c r="L45" s="92" t="s">
        <v>4156</v>
      </c>
      <c r="M45" s="92" t="s">
        <v>4157</v>
      </c>
      <c r="N45" s="93">
        <v>1244</v>
      </c>
      <c r="O45" s="94">
        <v>430000</v>
      </c>
      <c r="P45" s="94">
        <v>7800</v>
      </c>
      <c r="Q45" s="92" t="s">
        <v>3957</v>
      </c>
      <c r="R45" s="92" t="s">
        <v>4186</v>
      </c>
      <c r="S45" s="89" t="s">
        <v>3982</v>
      </c>
      <c r="T45" s="89" t="s">
        <v>3982</v>
      </c>
    </row>
    <row r="46" spans="1:20" ht="45.75" customHeight="1" x14ac:dyDescent="0.35">
      <c r="A46" s="88">
        <v>124340</v>
      </c>
      <c r="B46" s="89" t="s">
        <v>4189</v>
      </c>
      <c r="C46" s="89" t="s">
        <v>4190</v>
      </c>
      <c r="D46" s="90" t="s">
        <v>3978</v>
      </c>
      <c r="E46" s="89" t="s">
        <v>4191</v>
      </c>
      <c r="F46" s="89" t="s">
        <v>4137</v>
      </c>
      <c r="G46" s="89" t="s">
        <v>1143</v>
      </c>
      <c r="H46" s="91">
        <v>1243</v>
      </c>
      <c r="I46" s="89" t="s">
        <v>4138</v>
      </c>
      <c r="J46" s="92" t="s">
        <v>4126</v>
      </c>
      <c r="K46" s="92"/>
      <c r="L46" s="92" t="s">
        <v>4139</v>
      </c>
      <c r="M46" s="92" t="s">
        <v>4140</v>
      </c>
      <c r="N46" s="93">
        <v>1243</v>
      </c>
      <c r="O46" s="94">
        <v>200000</v>
      </c>
      <c r="P46" s="94">
        <v>8400</v>
      </c>
      <c r="Q46" s="92" t="s">
        <v>3957</v>
      </c>
      <c r="R46" s="92" t="s">
        <v>4192</v>
      </c>
      <c r="S46" s="89" t="s">
        <v>643</v>
      </c>
      <c r="T46" s="91">
        <v>12340</v>
      </c>
    </row>
    <row r="47" spans="1:20" ht="30" customHeight="1" x14ac:dyDescent="0.35">
      <c r="A47" s="88">
        <v>124341</v>
      </c>
      <c r="B47" s="89" t="s">
        <v>4193</v>
      </c>
      <c r="C47" s="89" t="s">
        <v>4194</v>
      </c>
      <c r="D47" s="90" t="s">
        <v>3978</v>
      </c>
      <c r="E47" s="89" t="s">
        <v>4195</v>
      </c>
      <c r="F47" s="89" t="s">
        <v>4137</v>
      </c>
      <c r="G47" s="89" t="s">
        <v>1148</v>
      </c>
      <c r="H47" s="91">
        <v>1243</v>
      </c>
      <c r="I47" s="89" t="s">
        <v>4138</v>
      </c>
      <c r="J47" s="92" t="s">
        <v>4126</v>
      </c>
      <c r="K47" s="92"/>
      <c r="L47" s="92" t="s">
        <v>4139</v>
      </c>
      <c r="M47" s="92" t="s">
        <v>4140</v>
      </c>
      <c r="N47" s="93">
        <v>1243</v>
      </c>
      <c r="O47" s="94">
        <v>200000</v>
      </c>
      <c r="P47" s="94">
        <v>8400</v>
      </c>
      <c r="Q47" s="92" t="s">
        <v>3957</v>
      </c>
      <c r="R47" s="92" t="s">
        <v>4196</v>
      </c>
      <c r="S47" s="89" t="s">
        <v>4197</v>
      </c>
      <c r="T47" s="91">
        <v>12350</v>
      </c>
    </row>
    <row r="48" spans="1:20" ht="30" customHeight="1" x14ac:dyDescent="0.35">
      <c r="A48" s="88">
        <v>124342</v>
      </c>
      <c r="B48" s="89" t="s">
        <v>4198</v>
      </c>
      <c r="C48" s="89" t="s">
        <v>4199</v>
      </c>
      <c r="D48" s="90" t="s">
        <v>3978</v>
      </c>
      <c r="E48" s="89" t="s">
        <v>4200</v>
      </c>
      <c r="F48" s="89" t="s">
        <v>4137</v>
      </c>
      <c r="G48" s="89" t="s">
        <v>1153</v>
      </c>
      <c r="H48" s="91">
        <v>1243</v>
      </c>
      <c r="I48" s="89" t="s">
        <v>4138</v>
      </c>
      <c r="J48" s="92" t="s">
        <v>4126</v>
      </c>
      <c r="K48" s="92"/>
      <c r="L48" s="92" t="s">
        <v>4139</v>
      </c>
      <c r="M48" s="92" t="s">
        <v>4140</v>
      </c>
      <c r="N48" s="93">
        <v>1243</v>
      </c>
      <c r="O48" s="94">
        <v>200000</v>
      </c>
      <c r="P48" s="94">
        <v>8400</v>
      </c>
      <c r="Q48" s="92" t="s">
        <v>3957</v>
      </c>
      <c r="R48" s="92" t="s">
        <v>4201</v>
      </c>
      <c r="S48" s="89" t="s">
        <v>4142</v>
      </c>
      <c r="T48" s="91">
        <v>12330</v>
      </c>
    </row>
    <row r="49" spans="1:20" ht="48" customHeight="1" x14ac:dyDescent="0.35">
      <c r="A49" s="88">
        <v>124440</v>
      </c>
      <c r="B49" s="89" t="s">
        <v>4202</v>
      </c>
      <c r="C49" s="89" t="s">
        <v>4203</v>
      </c>
      <c r="D49" s="90" t="s">
        <v>3978</v>
      </c>
      <c r="E49" s="89" t="s">
        <v>4204</v>
      </c>
      <c r="F49" s="89"/>
      <c r="G49" s="89" t="s">
        <v>909</v>
      </c>
      <c r="H49" s="91">
        <v>1243</v>
      </c>
      <c r="I49" s="89" t="s">
        <v>4138</v>
      </c>
      <c r="J49" s="92" t="s">
        <v>4126</v>
      </c>
      <c r="K49" s="92"/>
      <c r="L49" s="92" t="s">
        <v>4139</v>
      </c>
      <c r="M49" s="92" t="s">
        <v>4140</v>
      </c>
      <c r="N49" s="93">
        <v>1243</v>
      </c>
      <c r="O49" s="94">
        <v>200000</v>
      </c>
      <c r="P49" s="94">
        <v>8400</v>
      </c>
      <c r="Q49" s="92" t="s">
        <v>3957</v>
      </c>
      <c r="R49" s="92" t="s">
        <v>4205</v>
      </c>
      <c r="S49" s="89" t="s">
        <v>3982</v>
      </c>
      <c r="T49" s="89" t="s">
        <v>3982</v>
      </c>
    </row>
    <row r="50" spans="1:20" ht="46.5" customHeight="1" x14ac:dyDescent="0.35">
      <c r="A50" s="88">
        <v>124441</v>
      </c>
      <c r="B50" s="89" t="s">
        <v>4206</v>
      </c>
      <c r="C50" s="89" t="s">
        <v>4207</v>
      </c>
      <c r="D50" s="90" t="s">
        <v>3978</v>
      </c>
      <c r="E50" s="89" t="s">
        <v>4208</v>
      </c>
      <c r="F50" s="89"/>
      <c r="G50" s="89" t="s">
        <v>909</v>
      </c>
      <c r="H50" s="91">
        <v>1243</v>
      </c>
      <c r="I50" s="89" t="s">
        <v>4138</v>
      </c>
      <c r="J50" s="92" t="s">
        <v>4126</v>
      </c>
      <c r="K50" s="92"/>
      <c r="L50" s="92" t="s">
        <v>4139</v>
      </c>
      <c r="M50" s="92" t="s">
        <v>4140</v>
      </c>
      <c r="N50" s="93">
        <v>1243</v>
      </c>
      <c r="O50" s="94">
        <v>200000</v>
      </c>
      <c r="P50" s="94">
        <v>8400</v>
      </c>
      <c r="Q50" s="92" t="s">
        <v>3957</v>
      </c>
      <c r="R50" s="92" t="s">
        <v>4209</v>
      </c>
      <c r="S50" s="89" t="s">
        <v>3982</v>
      </c>
      <c r="T50" s="89" t="s">
        <v>3982</v>
      </c>
    </row>
    <row r="51" spans="1:20" ht="49.5" customHeight="1" x14ac:dyDescent="0.35">
      <c r="A51" s="88">
        <v>124442</v>
      </c>
      <c r="B51" s="89" t="s">
        <v>4210</v>
      </c>
      <c r="C51" s="89" t="s">
        <v>4211</v>
      </c>
      <c r="D51" s="90" t="s">
        <v>3978</v>
      </c>
      <c r="E51" s="89" t="s">
        <v>4212</v>
      </c>
      <c r="F51" s="89"/>
      <c r="G51" s="89" t="s">
        <v>909</v>
      </c>
      <c r="H51" s="91">
        <v>1243</v>
      </c>
      <c r="I51" s="89" t="s">
        <v>4138</v>
      </c>
      <c r="J51" s="92" t="s">
        <v>4126</v>
      </c>
      <c r="K51" s="92"/>
      <c r="L51" s="92" t="s">
        <v>4139</v>
      </c>
      <c r="M51" s="92" t="s">
        <v>4140</v>
      </c>
      <c r="N51" s="93">
        <v>1243</v>
      </c>
      <c r="O51" s="94">
        <v>200000</v>
      </c>
      <c r="P51" s="94">
        <v>8400</v>
      </c>
      <c r="Q51" s="92" t="s">
        <v>3957</v>
      </c>
      <c r="R51" s="92" t="s">
        <v>4213</v>
      </c>
      <c r="S51" s="89" t="s">
        <v>3982</v>
      </c>
      <c r="T51" s="89" t="s">
        <v>3982</v>
      </c>
    </row>
    <row r="52" spans="1:20" ht="45.75" customHeight="1" x14ac:dyDescent="0.35">
      <c r="A52" s="88">
        <v>125210</v>
      </c>
      <c r="B52" s="89" t="s">
        <v>4214</v>
      </c>
      <c r="C52" s="89" t="s">
        <v>4215</v>
      </c>
      <c r="D52" s="90" t="s">
        <v>3949</v>
      </c>
      <c r="E52" s="89" t="s">
        <v>4216</v>
      </c>
      <c r="F52" s="89"/>
      <c r="G52" s="89" t="s">
        <v>1169</v>
      </c>
      <c r="H52" s="91">
        <v>1252</v>
      </c>
      <c r="I52" s="89" t="s">
        <v>4217</v>
      </c>
      <c r="J52" s="92" t="s">
        <v>3954</v>
      </c>
      <c r="K52" s="92"/>
      <c r="L52" s="92" t="s">
        <v>4218</v>
      </c>
      <c r="M52" s="92" t="s">
        <v>4219</v>
      </c>
      <c r="N52" s="93">
        <v>1252</v>
      </c>
      <c r="O52" s="94">
        <v>150000</v>
      </c>
      <c r="P52" s="94">
        <v>4600</v>
      </c>
      <c r="Q52" s="92" t="s">
        <v>3957</v>
      </c>
      <c r="R52" s="92" t="s">
        <v>4220</v>
      </c>
      <c r="S52" s="91">
        <v>12521</v>
      </c>
      <c r="T52" s="91">
        <v>12521</v>
      </c>
    </row>
    <row r="53" spans="1:20" ht="30" customHeight="1" x14ac:dyDescent="0.35">
      <c r="A53" s="88">
        <v>125212</v>
      </c>
      <c r="B53" s="89" t="s">
        <v>4221</v>
      </c>
      <c r="C53" s="89" t="s">
        <v>4222</v>
      </c>
      <c r="D53" s="90" t="s">
        <v>3949</v>
      </c>
      <c r="E53" s="89" t="s">
        <v>4223</v>
      </c>
      <c r="F53" s="89"/>
      <c r="G53" s="89" t="s">
        <v>909</v>
      </c>
      <c r="H53" s="91">
        <v>1252</v>
      </c>
      <c r="I53" s="89" t="s">
        <v>4217</v>
      </c>
      <c r="J53" s="92" t="s">
        <v>3954</v>
      </c>
      <c r="K53" s="92"/>
      <c r="L53" s="92" t="s">
        <v>4218</v>
      </c>
      <c r="M53" s="92" t="s">
        <v>4219</v>
      </c>
      <c r="N53" s="93">
        <v>1252</v>
      </c>
      <c r="O53" s="94">
        <v>150000</v>
      </c>
      <c r="P53" s="94">
        <v>4600</v>
      </c>
      <c r="Q53" s="92" t="s">
        <v>3957</v>
      </c>
      <c r="R53" s="92" t="s">
        <v>4224</v>
      </c>
      <c r="S53" s="89" t="s">
        <v>3982</v>
      </c>
      <c r="T53" s="89" t="s">
        <v>3982</v>
      </c>
    </row>
    <row r="54" spans="1:20" ht="30" customHeight="1" x14ac:dyDescent="0.35">
      <c r="A54" s="88">
        <v>125553</v>
      </c>
      <c r="B54" s="89" t="s">
        <v>4225</v>
      </c>
      <c r="C54" s="89" t="s">
        <v>4226</v>
      </c>
      <c r="D54" s="90" t="s">
        <v>3949</v>
      </c>
      <c r="E54" s="89" t="s">
        <v>4227</v>
      </c>
      <c r="F54" s="89" t="s">
        <v>4228</v>
      </c>
      <c r="G54" s="89" t="s">
        <v>909</v>
      </c>
      <c r="H54" s="91">
        <v>1251</v>
      </c>
      <c r="I54" s="89" t="s">
        <v>4229</v>
      </c>
      <c r="J54" s="92" t="s">
        <v>3954</v>
      </c>
      <c r="K54" s="92"/>
      <c r="L54" s="92" t="s">
        <v>4230</v>
      </c>
      <c r="M54" s="92" t="s">
        <v>4219</v>
      </c>
      <c r="N54" s="93">
        <v>1251</v>
      </c>
      <c r="O54" s="94">
        <v>150000</v>
      </c>
      <c r="P54" s="94">
        <v>4600</v>
      </c>
      <c r="Q54" s="92" t="s">
        <v>3957</v>
      </c>
      <c r="R54" s="92" t="s">
        <v>4231</v>
      </c>
      <c r="S54" s="89" t="s">
        <v>3982</v>
      </c>
      <c r="T54" s="89" t="s">
        <v>3982</v>
      </c>
    </row>
    <row r="55" spans="1:20" ht="30" customHeight="1" x14ac:dyDescent="0.35">
      <c r="A55" s="88">
        <v>125554</v>
      </c>
      <c r="B55" s="89" t="s">
        <v>4232</v>
      </c>
      <c r="C55" s="89" t="s">
        <v>4233</v>
      </c>
      <c r="D55" s="90" t="s">
        <v>3949</v>
      </c>
      <c r="E55" s="89" t="s">
        <v>4234</v>
      </c>
      <c r="F55" s="89" t="s">
        <v>4228</v>
      </c>
      <c r="G55" s="89" t="s">
        <v>1182</v>
      </c>
      <c r="H55" s="91">
        <v>1251</v>
      </c>
      <c r="I55" s="89" t="s">
        <v>4229</v>
      </c>
      <c r="J55" s="92" t="s">
        <v>3954</v>
      </c>
      <c r="K55" s="92"/>
      <c r="L55" s="92" t="s">
        <v>4230</v>
      </c>
      <c r="M55" s="92" t="s">
        <v>4219</v>
      </c>
      <c r="N55" s="93">
        <v>1251</v>
      </c>
      <c r="O55" s="94">
        <v>150000</v>
      </c>
      <c r="P55" s="94">
        <v>4600</v>
      </c>
      <c r="Q55" s="92" t="s">
        <v>3957</v>
      </c>
      <c r="R55" s="92" t="s">
        <v>4235</v>
      </c>
      <c r="S55" s="89" t="s">
        <v>4236</v>
      </c>
      <c r="T55" s="91">
        <v>12510</v>
      </c>
    </row>
    <row r="56" spans="1:20" ht="30" customHeight="1" x14ac:dyDescent="0.35">
      <c r="A56" s="88">
        <v>125977</v>
      </c>
      <c r="B56" s="89" t="s">
        <v>4237</v>
      </c>
      <c r="C56" s="89" t="s">
        <v>4238</v>
      </c>
      <c r="D56" s="90" t="s">
        <v>3978</v>
      </c>
      <c r="E56" s="89" t="s">
        <v>4239</v>
      </c>
      <c r="F56" s="89" t="s">
        <v>4240</v>
      </c>
      <c r="G56" s="89" t="s">
        <v>1186</v>
      </c>
      <c r="H56" s="91">
        <v>1262</v>
      </c>
      <c r="I56" s="89" t="s">
        <v>4241</v>
      </c>
      <c r="J56" s="92" t="s">
        <v>4089</v>
      </c>
      <c r="K56" s="92"/>
      <c r="L56" s="92" t="s">
        <v>4242</v>
      </c>
      <c r="M56" s="92" t="s">
        <v>4243</v>
      </c>
      <c r="N56" s="93">
        <v>1262</v>
      </c>
      <c r="O56" s="94">
        <v>10000</v>
      </c>
      <c r="P56" s="94">
        <v>1800</v>
      </c>
      <c r="Q56" s="92" t="s">
        <v>3957</v>
      </c>
      <c r="R56" s="92" t="s">
        <v>4244</v>
      </c>
      <c r="S56" s="91">
        <v>12621</v>
      </c>
      <c r="T56" s="91">
        <v>12516</v>
      </c>
    </row>
    <row r="57" spans="1:20" ht="30" customHeight="1" x14ac:dyDescent="0.35">
      <c r="A57" s="88">
        <v>126925</v>
      </c>
      <c r="B57" s="89" t="s">
        <v>4245</v>
      </c>
      <c r="C57" s="89" t="s">
        <v>4246</v>
      </c>
      <c r="D57" s="90" t="s">
        <v>3978</v>
      </c>
      <c r="E57" s="89" t="s">
        <v>4247</v>
      </c>
      <c r="F57" s="89" t="s">
        <v>4248</v>
      </c>
      <c r="G57" s="89" t="s">
        <v>1190</v>
      </c>
      <c r="H57" s="91">
        <v>1261</v>
      </c>
      <c r="I57" s="89" t="s">
        <v>4249</v>
      </c>
      <c r="J57" s="92" t="s">
        <v>4088</v>
      </c>
      <c r="K57" s="92" t="s">
        <v>4089</v>
      </c>
      <c r="L57" s="92" t="s">
        <v>4250</v>
      </c>
      <c r="M57" s="92" t="s">
        <v>4251</v>
      </c>
      <c r="N57" s="93">
        <v>1261</v>
      </c>
      <c r="O57" s="94">
        <v>30</v>
      </c>
      <c r="P57" s="94">
        <v>3</v>
      </c>
      <c r="Q57" s="92" t="s">
        <v>3957</v>
      </c>
      <c r="R57" s="92" t="s">
        <v>4252</v>
      </c>
      <c r="S57" s="91">
        <v>12630</v>
      </c>
      <c r="T57" s="91">
        <v>12630</v>
      </c>
    </row>
    <row r="58" spans="1:20" ht="30" customHeight="1" x14ac:dyDescent="0.35">
      <c r="A58" s="88">
        <v>126926</v>
      </c>
      <c r="B58" s="89" t="s">
        <v>4253</v>
      </c>
      <c r="C58" s="89" t="s">
        <v>4254</v>
      </c>
      <c r="D58" s="90" t="s">
        <v>3978</v>
      </c>
      <c r="E58" s="89" t="s">
        <v>4255</v>
      </c>
      <c r="F58" s="89" t="s">
        <v>4248</v>
      </c>
      <c r="G58" s="89" t="s">
        <v>1195</v>
      </c>
      <c r="H58" s="91">
        <v>1261</v>
      </c>
      <c r="I58" s="89" t="s">
        <v>4249</v>
      </c>
      <c r="J58" s="92" t="s">
        <v>4088</v>
      </c>
      <c r="K58" s="92" t="s">
        <v>4089</v>
      </c>
      <c r="L58" s="92" t="s">
        <v>4250</v>
      </c>
      <c r="M58" s="92" t="s">
        <v>4251</v>
      </c>
      <c r="N58" s="93">
        <v>1261</v>
      </c>
      <c r="O58" s="94">
        <v>30</v>
      </c>
      <c r="P58" s="94">
        <v>3</v>
      </c>
      <c r="Q58" s="92" t="s">
        <v>3957</v>
      </c>
      <c r="R58" s="92" t="s">
        <v>4256</v>
      </c>
      <c r="S58" s="91">
        <v>12630</v>
      </c>
      <c r="T58" s="91">
        <v>12640</v>
      </c>
    </row>
    <row r="59" spans="1:20" ht="30" customHeight="1" x14ac:dyDescent="0.35">
      <c r="A59" s="88">
        <v>130142</v>
      </c>
      <c r="B59" s="89" t="s">
        <v>4257</v>
      </c>
      <c r="C59" s="89" t="s">
        <v>4258</v>
      </c>
      <c r="D59" s="90" t="s">
        <v>4077</v>
      </c>
      <c r="E59" s="89" t="s">
        <v>4259</v>
      </c>
      <c r="F59" s="89" t="s">
        <v>4260</v>
      </c>
      <c r="G59" s="89" t="s">
        <v>4261</v>
      </c>
      <c r="H59" s="91">
        <v>1411</v>
      </c>
      <c r="I59" s="89" t="s">
        <v>4262</v>
      </c>
      <c r="J59" s="92" t="s">
        <v>883</v>
      </c>
      <c r="K59" s="92"/>
      <c r="L59" s="92" t="s">
        <v>4263</v>
      </c>
      <c r="M59" s="92" t="s">
        <v>4264</v>
      </c>
      <c r="N59" s="93">
        <v>1411</v>
      </c>
      <c r="O59" s="94">
        <v>36000</v>
      </c>
      <c r="P59" s="94">
        <v>13000</v>
      </c>
      <c r="Q59" s="92" t="s">
        <v>3957</v>
      </c>
      <c r="R59" s="92" t="s">
        <v>4265</v>
      </c>
      <c r="S59" s="91">
        <v>14111</v>
      </c>
      <c r="T59" s="91">
        <v>14125</v>
      </c>
    </row>
    <row r="60" spans="1:20" ht="46.5" customHeight="1" x14ac:dyDescent="0.35">
      <c r="A60" s="88">
        <v>131111</v>
      </c>
      <c r="B60" s="89" t="s">
        <v>4266</v>
      </c>
      <c r="C60" s="89" t="s">
        <v>4267</v>
      </c>
      <c r="D60" s="90" t="s">
        <v>4077</v>
      </c>
      <c r="E60" s="89" t="s">
        <v>4268</v>
      </c>
      <c r="F60" s="89" t="s">
        <v>4269</v>
      </c>
      <c r="G60" s="89" t="s">
        <v>1199</v>
      </c>
      <c r="H60" s="91">
        <v>1311</v>
      </c>
      <c r="I60" s="89" t="s">
        <v>4270</v>
      </c>
      <c r="J60" s="92" t="s">
        <v>883</v>
      </c>
      <c r="K60" s="92"/>
      <c r="L60" s="92" t="s">
        <v>4271</v>
      </c>
      <c r="M60" s="92" t="s">
        <v>4272</v>
      </c>
      <c r="N60" s="93">
        <v>1311</v>
      </c>
      <c r="O60" s="94">
        <v>90000</v>
      </c>
      <c r="P60" s="94">
        <v>2300</v>
      </c>
      <c r="Q60" s="92" t="s">
        <v>3957</v>
      </c>
      <c r="R60" s="92" t="s">
        <v>4273</v>
      </c>
      <c r="S60" s="89" t="s">
        <v>4274</v>
      </c>
      <c r="T60" s="89" t="s">
        <v>4275</v>
      </c>
    </row>
    <row r="61" spans="1:20" ht="30" customHeight="1" x14ac:dyDescent="0.35">
      <c r="A61" s="88">
        <v>131114</v>
      </c>
      <c r="B61" s="89" t="s">
        <v>4276</v>
      </c>
      <c r="C61" s="89" t="s">
        <v>4277</v>
      </c>
      <c r="D61" s="90" t="s">
        <v>4077</v>
      </c>
      <c r="E61" s="89" t="s">
        <v>1202</v>
      </c>
      <c r="F61" s="89" t="s">
        <v>4278</v>
      </c>
      <c r="G61" s="89" t="s">
        <v>1203</v>
      </c>
      <c r="H61" s="91">
        <v>1311</v>
      </c>
      <c r="I61" s="89" t="s">
        <v>4270</v>
      </c>
      <c r="J61" s="92" t="s">
        <v>883</v>
      </c>
      <c r="K61" s="92"/>
      <c r="L61" s="92" t="s">
        <v>4271</v>
      </c>
      <c r="M61" s="92" t="s">
        <v>4272</v>
      </c>
      <c r="N61" s="93">
        <v>1311</v>
      </c>
      <c r="O61" s="94">
        <v>90000</v>
      </c>
      <c r="P61" s="94">
        <v>2300</v>
      </c>
      <c r="Q61" s="92" t="s">
        <v>3957</v>
      </c>
      <c r="R61" s="92" t="s">
        <v>4279</v>
      </c>
      <c r="S61" s="91">
        <v>13125</v>
      </c>
      <c r="T61" s="91">
        <v>13160</v>
      </c>
    </row>
    <row r="62" spans="1:20" ht="30" customHeight="1" x14ac:dyDescent="0.35">
      <c r="A62" s="88">
        <v>131115</v>
      </c>
      <c r="B62" s="89" t="s">
        <v>4280</v>
      </c>
      <c r="C62" s="89" t="s">
        <v>4281</v>
      </c>
      <c r="D62" s="90" t="s">
        <v>4077</v>
      </c>
      <c r="E62" s="89" t="s">
        <v>4282</v>
      </c>
      <c r="F62" s="89"/>
      <c r="G62" s="89" t="s">
        <v>1208</v>
      </c>
      <c r="H62" s="91">
        <v>1311</v>
      </c>
      <c r="I62" s="89" t="s">
        <v>4270</v>
      </c>
      <c r="J62" s="92" t="s">
        <v>883</v>
      </c>
      <c r="K62" s="92"/>
      <c r="L62" s="92" t="s">
        <v>4271</v>
      </c>
      <c r="M62" s="92" t="s">
        <v>4272</v>
      </c>
      <c r="N62" s="93">
        <v>1311</v>
      </c>
      <c r="O62" s="94">
        <v>90000</v>
      </c>
      <c r="P62" s="94">
        <v>2300</v>
      </c>
      <c r="Q62" s="92" t="s">
        <v>3957</v>
      </c>
      <c r="R62" s="92" t="s">
        <v>4283</v>
      </c>
      <c r="S62" s="91">
        <v>13170</v>
      </c>
      <c r="T62" s="91">
        <v>13135</v>
      </c>
    </row>
    <row r="63" spans="1:20" ht="30" customHeight="1" x14ac:dyDescent="0.35">
      <c r="A63" s="88">
        <v>131116</v>
      </c>
      <c r="B63" s="89" t="s">
        <v>4284</v>
      </c>
      <c r="C63" s="89" t="s">
        <v>4285</v>
      </c>
      <c r="D63" s="90" t="s">
        <v>4077</v>
      </c>
      <c r="E63" s="89" t="s">
        <v>4282</v>
      </c>
      <c r="F63" s="89" t="s">
        <v>4286</v>
      </c>
      <c r="G63" s="89" t="s">
        <v>1213</v>
      </c>
      <c r="H63" s="91">
        <v>1311</v>
      </c>
      <c r="I63" s="89" t="s">
        <v>4270</v>
      </c>
      <c r="J63" s="92" t="s">
        <v>883</v>
      </c>
      <c r="K63" s="92"/>
      <c r="L63" s="92" t="s">
        <v>4271</v>
      </c>
      <c r="M63" s="92" t="s">
        <v>4272</v>
      </c>
      <c r="N63" s="93">
        <v>1311</v>
      </c>
      <c r="O63" s="94">
        <v>90000</v>
      </c>
      <c r="P63" s="94">
        <v>2300</v>
      </c>
      <c r="Q63" s="92" t="s">
        <v>3957</v>
      </c>
      <c r="R63" s="92" t="s">
        <v>4287</v>
      </c>
      <c r="S63" s="89" t="s">
        <v>643</v>
      </c>
      <c r="T63" s="89" t="s">
        <v>4288</v>
      </c>
    </row>
    <row r="64" spans="1:20" ht="45" customHeight="1" x14ac:dyDescent="0.35">
      <c r="A64" s="88">
        <v>131117</v>
      </c>
      <c r="B64" s="89" t="s">
        <v>4289</v>
      </c>
      <c r="C64" s="89" t="s">
        <v>4285</v>
      </c>
      <c r="D64" s="90" t="s">
        <v>4077</v>
      </c>
      <c r="E64" s="89" t="s">
        <v>4290</v>
      </c>
      <c r="F64" s="89" t="s">
        <v>4286</v>
      </c>
      <c r="G64" s="89" t="s">
        <v>1218</v>
      </c>
      <c r="H64" s="91">
        <v>1311</v>
      </c>
      <c r="I64" s="89" t="s">
        <v>4270</v>
      </c>
      <c r="J64" s="92" t="s">
        <v>883</v>
      </c>
      <c r="K64" s="92"/>
      <c r="L64" s="92" t="s">
        <v>4271</v>
      </c>
      <c r="M64" s="92" t="s">
        <v>4272</v>
      </c>
      <c r="N64" s="93">
        <v>1311</v>
      </c>
      <c r="O64" s="94">
        <v>90000</v>
      </c>
      <c r="P64" s="94">
        <v>2300</v>
      </c>
      <c r="Q64" s="92" t="s">
        <v>3957</v>
      </c>
      <c r="R64" s="92" t="s">
        <v>4291</v>
      </c>
      <c r="S64" s="91">
        <v>13160</v>
      </c>
      <c r="T64" s="91">
        <v>13150</v>
      </c>
    </row>
    <row r="65" spans="1:20" ht="30" customHeight="1" x14ac:dyDescent="0.35">
      <c r="A65" s="88">
        <v>131118</v>
      </c>
      <c r="B65" s="89" t="s">
        <v>4292</v>
      </c>
      <c r="C65" s="89" t="s">
        <v>4293</v>
      </c>
      <c r="D65" s="90" t="s">
        <v>4077</v>
      </c>
      <c r="E65" s="89" t="s">
        <v>1222</v>
      </c>
      <c r="F65" s="89"/>
      <c r="G65" s="89" t="s">
        <v>1223</v>
      </c>
      <c r="H65" s="91">
        <v>1311</v>
      </c>
      <c r="I65" s="89" t="s">
        <v>4270</v>
      </c>
      <c r="J65" s="92" t="s">
        <v>883</v>
      </c>
      <c r="K65" s="92"/>
      <c r="L65" s="92" t="s">
        <v>4271</v>
      </c>
      <c r="M65" s="92" t="s">
        <v>4272</v>
      </c>
      <c r="N65" s="93">
        <v>1311</v>
      </c>
      <c r="O65" s="94">
        <v>90000</v>
      </c>
      <c r="P65" s="94">
        <v>2300</v>
      </c>
      <c r="Q65" s="92" t="s">
        <v>3957</v>
      </c>
      <c r="R65" s="92" t="s">
        <v>4294</v>
      </c>
      <c r="S65" s="89" t="s">
        <v>643</v>
      </c>
      <c r="T65" s="91">
        <v>13120</v>
      </c>
    </row>
    <row r="66" spans="1:20" ht="30" customHeight="1" x14ac:dyDescent="0.35">
      <c r="A66" s="88">
        <v>131119</v>
      </c>
      <c r="B66" s="89" t="s">
        <v>4295</v>
      </c>
      <c r="C66" s="89" t="s">
        <v>4296</v>
      </c>
      <c r="D66" s="90" t="s">
        <v>4077</v>
      </c>
      <c r="E66" s="89" t="s">
        <v>1227</v>
      </c>
      <c r="F66" s="89"/>
      <c r="G66" s="89" t="s">
        <v>1228</v>
      </c>
      <c r="H66" s="91">
        <v>1441</v>
      </c>
      <c r="I66" s="89" t="s">
        <v>4297</v>
      </c>
      <c r="J66" s="92" t="s">
        <v>883</v>
      </c>
      <c r="K66" s="92"/>
      <c r="L66" s="92" t="s">
        <v>4298</v>
      </c>
      <c r="M66" s="92" t="s">
        <v>4299</v>
      </c>
      <c r="N66" s="93">
        <v>1441</v>
      </c>
      <c r="O66" s="94">
        <v>18000</v>
      </c>
      <c r="P66" s="94">
        <v>3900</v>
      </c>
      <c r="Q66" s="92" t="s">
        <v>3957</v>
      </c>
      <c r="R66" s="92" t="s">
        <v>4300</v>
      </c>
      <c r="S66" s="89" t="s">
        <v>643</v>
      </c>
      <c r="T66" s="91">
        <v>74027</v>
      </c>
    </row>
    <row r="67" spans="1:20" ht="50.25" customHeight="1" x14ac:dyDescent="0.35">
      <c r="A67" s="88">
        <v>131132</v>
      </c>
      <c r="B67" s="89" t="s">
        <v>4301</v>
      </c>
      <c r="C67" s="89" t="s">
        <v>4302</v>
      </c>
      <c r="D67" s="90" t="s">
        <v>4077</v>
      </c>
      <c r="E67" s="89" t="s">
        <v>1231</v>
      </c>
      <c r="F67" s="89" t="s">
        <v>4303</v>
      </c>
      <c r="G67" s="89" t="s">
        <v>1232</v>
      </c>
      <c r="H67" s="91">
        <v>1312</v>
      </c>
      <c r="I67" s="89" t="s">
        <v>4304</v>
      </c>
      <c r="J67" s="92" t="s">
        <v>883</v>
      </c>
      <c r="K67" s="92"/>
      <c r="L67" s="92" t="s">
        <v>4305</v>
      </c>
      <c r="M67" s="92" t="s">
        <v>4306</v>
      </c>
      <c r="N67" s="93">
        <v>1312</v>
      </c>
      <c r="O67" s="94">
        <v>15000</v>
      </c>
      <c r="P67" s="94">
        <v>1500</v>
      </c>
      <c r="Q67" s="92" t="s">
        <v>3957</v>
      </c>
      <c r="R67" s="92" t="s">
        <v>4307</v>
      </c>
      <c r="S67" s="89" t="s">
        <v>643</v>
      </c>
      <c r="T67" s="91">
        <v>13124</v>
      </c>
    </row>
    <row r="68" spans="1:20" ht="30" customHeight="1" x14ac:dyDescent="0.35">
      <c r="A68" s="88">
        <v>131133</v>
      </c>
      <c r="B68" s="89" t="s">
        <v>4308</v>
      </c>
      <c r="C68" s="89" t="s">
        <v>4309</v>
      </c>
      <c r="D68" s="90" t="s">
        <v>4077</v>
      </c>
      <c r="E68" s="89" t="s">
        <v>1235</v>
      </c>
      <c r="F68" s="89" t="s">
        <v>4310</v>
      </c>
      <c r="G68" s="89" t="s">
        <v>1236</v>
      </c>
      <c r="H68" s="91">
        <v>1311</v>
      </c>
      <c r="I68" s="89" t="s">
        <v>4270</v>
      </c>
      <c r="J68" s="92" t="s">
        <v>883</v>
      </c>
      <c r="K68" s="92"/>
      <c r="L68" s="92" t="s">
        <v>4271</v>
      </c>
      <c r="M68" s="92" t="s">
        <v>4272</v>
      </c>
      <c r="N68" s="93">
        <v>1311</v>
      </c>
      <c r="O68" s="94">
        <v>90000</v>
      </c>
      <c r="P68" s="94">
        <v>2300</v>
      </c>
      <c r="Q68" s="92" t="s">
        <v>3957</v>
      </c>
      <c r="R68" s="92" t="s">
        <v>4311</v>
      </c>
      <c r="S68" s="89" t="s">
        <v>643</v>
      </c>
      <c r="T68" s="91">
        <v>13122</v>
      </c>
    </row>
    <row r="69" spans="1:20" ht="30" customHeight="1" x14ac:dyDescent="0.35">
      <c r="A69" s="88">
        <v>131134</v>
      </c>
      <c r="B69" s="89" t="s">
        <v>4312</v>
      </c>
      <c r="C69" s="89" t="s">
        <v>4313</v>
      </c>
      <c r="D69" s="90" t="s">
        <v>4077</v>
      </c>
      <c r="E69" s="89" t="s">
        <v>1239</v>
      </c>
      <c r="F69" s="89" t="s">
        <v>4314</v>
      </c>
      <c r="G69" s="89" t="s">
        <v>1240</v>
      </c>
      <c r="H69" s="91">
        <v>1311</v>
      </c>
      <c r="I69" s="89" t="s">
        <v>4270</v>
      </c>
      <c r="J69" s="92" t="s">
        <v>883</v>
      </c>
      <c r="K69" s="92"/>
      <c r="L69" s="92" t="s">
        <v>4271</v>
      </c>
      <c r="M69" s="92" t="s">
        <v>4272</v>
      </c>
      <c r="N69" s="93">
        <v>1311</v>
      </c>
      <c r="O69" s="94">
        <v>90000</v>
      </c>
      <c r="P69" s="94">
        <v>2300</v>
      </c>
      <c r="Q69" s="92" t="s">
        <v>3957</v>
      </c>
      <c r="R69" s="92" t="s">
        <v>4315</v>
      </c>
      <c r="S69" s="89" t="s">
        <v>643</v>
      </c>
      <c r="T69" s="91">
        <v>13120</v>
      </c>
    </row>
    <row r="70" spans="1:20" ht="78" customHeight="1" x14ac:dyDescent="0.35">
      <c r="A70" s="88">
        <v>131135</v>
      </c>
      <c r="B70" s="89" t="s">
        <v>4316</v>
      </c>
      <c r="C70" s="89" t="s">
        <v>4317</v>
      </c>
      <c r="D70" s="90" t="s">
        <v>4077</v>
      </c>
      <c r="E70" s="89" t="s">
        <v>1244</v>
      </c>
      <c r="F70" s="89" t="s">
        <v>4318</v>
      </c>
      <c r="G70" s="89" t="s">
        <v>1245</v>
      </c>
      <c r="H70" s="91">
        <v>1311</v>
      </c>
      <c r="I70" s="89" t="s">
        <v>4270</v>
      </c>
      <c r="J70" s="92" t="s">
        <v>883</v>
      </c>
      <c r="K70" s="92"/>
      <c r="L70" s="92" t="s">
        <v>4271</v>
      </c>
      <c r="M70" s="92" t="s">
        <v>4272</v>
      </c>
      <c r="N70" s="93">
        <v>1311</v>
      </c>
      <c r="O70" s="94">
        <v>90000</v>
      </c>
      <c r="P70" s="94">
        <v>2300</v>
      </c>
      <c r="Q70" s="92" t="s">
        <v>3957</v>
      </c>
      <c r="R70" s="92" t="s">
        <v>4319</v>
      </c>
      <c r="S70" s="89" t="s">
        <v>643</v>
      </c>
      <c r="T70" s="91">
        <v>13142</v>
      </c>
    </row>
    <row r="71" spans="1:20" ht="30" customHeight="1" x14ac:dyDescent="0.35">
      <c r="A71" s="88">
        <v>131136</v>
      </c>
      <c r="B71" s="89" t="s">
        <v>4320</v>
      </c>
      <c r="C71" s="89" t="s">
        <v>4321</v>
      </c>
      <c r="D71" s="90" t="s">
        <v>4077</v>
      </c>
      <c r="E71" s="89" t="s">
        <v>1248</v>
      </c>
      <c r="F71" s="89"/>
      <c r="G71" s="89" t="s">
        <v>1249</v>
      </c>
      <c r="H71" s="91">
        <v>1311</v>
      </c>
      <c r="I71" s="89" t="s">
        <v>4270</v>
      </c>
      <c r="J71" s="92" t="s">
        <v>883</v>
      </c>
      <c r="K71" s="92"/>
      <c r="L71" s="92" t="s">
        <v>4271</v>
      </c>
      <c r="M71" s="92" t="s">
        <v>4272</v>
      </c>
      <c r="N71" s="93">
        <v>1311</v>
      </c>
      <c r="O71" s="94">
        <v>90000</v>
      </c>
      <c r="P71" s="94">
        <v>2300</v>
      </c>
      <c r="Q71" s="92" t="s">
        <v>3957</v>
      </c>
      <c r="R71" s="92" t="s">
        <v>4322</v>
      </c>
      <c r="S71" s="91">
        <v>13170</v>
      </c>
      <c r="T71" s="91">
        <v>13135</v>
      </c>
    </row>
    <row r="72" spans="1:20" ht="30" customHeight="1" x14ac:dyDescent="0.35">
      <c r="A72" s="88">
        <v>131137</v>
      </c>
      <c r="B72" s="89" t="s">
        <v>4323</v>
      </c>
      <c r="C72" s="89" t="s">
        <v>4324</v>
      </c>
      <c r="D72" s="90" t="s">
        <v>4077</v>
      </c>
      <c r="E72" s="89" t="s">
        <v>1252</v>
      </c>
      <c r="F72" s="89"/>
      <c r="G72" s="89" t="s">
        <v>1253</v>
      </c>
      <c r="H72" s="91">
        <v>1311</v>
      </c>
      <c r="I72" s="89" t="s">
        <v>4270</v>
      </c>
      <c r="J72" s="92" t="s">
        <v>883</v>
      </c>
      <c r="K72" s="92"/>
      <c r="L72" s="92" t="s">
        <v>4271</v>
      </c>
      <c r="M72" s="92" t="s">
        <v>4272</v>
      </c>
      <c r="N72" s="93">
        <v>1311</v>
      </c>
      <c r="O72" s="94">
        <v>90000</v>
      </c>
      <c r="P72" s="94">
        <v>2300</v>
      </c>
      <c r="Q72" s="92" t="s">
        <v>3957</v>
      </c>
      <c r="R72" s="92" t="s">
        <v>4325</v>
      </c>
      <c r="S72" s="91">
        <v>13160</v>
      </c>
      <c r="T72" s="91">
        <v>13150</v>
      </c>
    </row>
    <row r="73" spans="1:20" ht="30" customHeight="1" x14ac:dyDescent="0.35">
      <c r="A73" s="88">
        <v>131138</v>
      </c>
      <c r="B73" s="89" t="s">
        <v>4326</v>
      </c>
      <c r="C73" s="89" t="s">
        <v>4327</v>
      </c>
      <c r="D73" s="90" t="s">
        <v>4077</v>
      </c>
      <c r="E73" s="89" t="s">
        <v>1257</v>
      </c>
      <c r="F73" s="89"/>
      <c r="G73" s="89" t="s">
        <v>1258</v>
      </c>
      <c r="H73" s="91">
        <v>1311</v>
      </c>
      <c r="I73" s="89" t="s">
        <v>4270</v>
      </c>
      <c r="J73" s="92" t="s">
        <v>883</v>
      </c>
      <c r="K73" s="92"/>
      <c r="L73" s="92" t="s">
        <v>4271</v>
      </c>
      <c r="M73" s="92" t="s">
        <v>4272</v>
      </c>
      <c r="N73" s="93">
        <v>1311</v>
      </c>
      <c r="O73" s="94">
        <v>90000</v>
      </c>
      <c r="P73" s="94">
        <v>2300</v>
      </c>
      <c r="Q73" s="92" t="s">
        <v>3957</v>
      </c>
      <c r="R73" s="92" t="s">
        <v>4328</v>
      </c>
      <c r="S73" s="89" t="s">
        <v>643</v>
      </c>
      <c r="T73" s="91">
        <v>13122</v>
      </c>
    </row>
    <row r="74" spans="1:20" ht="30" customHeight="1" x14ac:dyDescent="0.35">
      <c r="A74" s="88">
        <v>131139</v>
      </c>
      <c r="B74" s="89" t="s">
        <v>4329</v>
      </c>
      <c r="C74" s="89" t="s">
        <v>4329</v>
      </c>
      <c r="D74" s="90" t="s">
        <v>4077</v>
      </c>
      <c r="E74" s="89" t="s">
        <v>1262</v>
      </c>
      <c r="F74" s="89"/>
      <c r="G74" s="89" t="s">
        <v>1263</v>
      </c>
      <c r="H74" s="91">
        <v>1311</v>
      </c>
      <c r="I74" s="89" t="s">
        <v>4270</v>
      </c>
      <c r="J74" s="92" t="s">
        <v>883</v>
      </c>
      <c r="K74" s="92"/>
      <c r="L74" s="92" t="s">
        <v>4271</v>
      </c>
      <c r="M74" s="92" t="s">
        <v>4272</v>
      </c>
      <c r="N74" s="93">
        <v>1311</v>
      </c>
      <c r="O74" s="94">
        <v>90000</v>
      </c>
      <c r="P74" s="94">
        <v>2300</v>
      </c>
      <c r="Q74" s="92" t="s">
        <v>3957</v>
      </c>
      <c r="R74" s="92" t="s">
        <v>4330</v>
      </c>
      <c r="S74" s="89" t="s">
        <v>643</v>
      </c>
      <c r="T74" s="91">
        <v>13120</v>
      </c>
    </row>
    <row r="75" spans="1:20" ht="30" customHeight="1" x14ac:dyDescent="0.35">
      <c r="A75" s="88">
        <v>131143</v>
      </c>
      <c r="B75" s="89" t="s">
        <v>4331</v>
      </c>
      <c r="C75" s="89" t="s">
        <v>4331</v>
      </c>
      <c r="D75" s="90" t="s">
        <v>4077</v>
      </c>
      <c r="E75" s="89" t="s">
        <v>1267</v>
      </c>
      <c r="F75" s="89" t="s">
        <v>4332</v>
      </c>
      <c r="G75" s="89" t="s">
        <v>1268</v>
      </c>
      <c r="H75" s="91">
        <v>1311</v>
      </c>
      <c r="I75" s="89" t="s">
        <v>4270</v>
      </c>
      <c r="J75" s="92" t="s">
        <v>883</v>
      </c>
      <c r="K75" s="92"/>
      <c r="L75" s="92" t="s">
        <v>4271</v>
      </c>
      <c r="M75" s="92" t="s">
        <v>4272</v>
      </c>
      <c r="N75" s="93">
        <v>1311</v>
      </c>
      <c r="O75" s="94">
        <v>90000</v>
      </c>
      <c r="P75" s="94">
        <v>2300</v>
      </c>
      <c r="Q75" s="92" t="s">
        <v>3957</v>
      </c>
      <c r="R75" s="92" t="s">
        <v>4333</v>
      </c>
      <c r="S75" s="89" t="s">
        <v>643</v>
      </c>
      <c r="T75" s="89" t="s">
        <v>643</v>
      </c>
    </row>
    <row r="76" spans="1:20" ht="30" customHeight="1" x14ac:dyDescent="0.35">
      <c r="A76" s="88">
        <v>131200</v>
      </c>
      <c r="B76" s="89" t="s">
        <v>4334</v>
      </c>
      <c r="C76" s="89" t="s">
        <v>4335</v>
      </c>
      <c r="D76" s="90" t="s">
        <v>4077</v>
      </c>
      <c r="E76" s="89" t="s">
        <v>4336</v>
      </c>
      <c r="F76" s="89" t="s">
        <v>4337</v>
      </c>
      <c r="G76" s="89" t="s">
        <v>1273</v>
      </c>
      <c r="H76" s="91">
        <v>1311</v>
      </c>
      <c r="I76" s="89" t="s">
        <v>4270</v>
      </c>
      <c r="J76" s="92" t="s">
        <v>883</v>
      </c>
      <c r="K76" s="92"/>
      <c r="L76" s="92" t="s">
        <v>4271</v>
      </c>
      <c r="M76" s="92" t="s">
        <v>4272</v>
      </c>
      <c r="N76" s="93">
        <v>1311</v>
      </c>
      <c r="O76" s="94">
        <v>90000</v>
      </c>
      <c r="P76" s="94">
        <v>2300</v>
      </c>
      <c r="Q76" s="92" t="s">
        <v>3957</v>
      </c>
      <c r="R76" s="92" t="s">
        <v>4338</v>
      </c>
      <c r="S76" s="89" t="s">
        <v>643</v>
      </c>
      <c r="T76" s="89" t="s">
        <v>643</v>
      </c>
    </row>
    <row r="77" spans="1:20" ht="30" customHeight="1" x14ac:dyDescent="0.35">
      <c r="A77" s="88">
        <v>132131</v>
      </c>
      <c r="B77" s="89" t="s">
        <v>4339</v>
      </c>
      <c r="C77" s="89" t="s">
        <v>4340</v>
      </c>
      <c r="D77" s="90" t="s">
        <v>3978</v>
      </c>
      <c r="E77" s="89" t="s">
        <v>1285</v>
      </c>
      <c r="F77" s="89"/>
      <c r="G77" s="89" t="s">
        <v>1286</v>
      </c>
      <c r="H77" s="91">
        <v>1321</v>
      </c>
      <c r="I77" s="89" t="s">
        <v>4341</v>
      </c>
      <c r="J77" s="92" t="s">
        <v>4058</v>
      </c>
      <c r="K77" s="92"/>
      <c r="L77" s="92" t="s">
        <v>4342</v>
      </c>
      <c r="M77" s="92" t="s">
        <v>4343</v>
      </c>
      <c r="N77" s="93">
        <v>1321</v>
      </c>
      <c r="O77" s="94">
        <v>360</v>
      </c>
      <c r="P77" s="94">
        <v>1</v>
      </c>
      <c r="Q77" s="92" t="s">
        <v>3957</v>
      </c>
      <c r="R77" s="92" t="s">
        <v>4344</v>
      </c>
      <c r="S77" s="91">
        <v>13220</v>
      </c>
      <c r="T77" s="91">
        <v>13210</v>
      </c>
    </row>
    <row r="78" spans="1:20" ht="30" customHeight="1" x14ac:dyDescent="0.35">
      <c r="A78" s="88">
        <v>132133</v>
      </c>
      <c r="B78" s="89" t="s">
        <v>4345</v>
      </c>
      <c r="C78" s="89" t="s">
        <v>4346</v>
      </c>
      <c r="D78" s="90" t="s">
        <v>3949</v>
      </c>
      <c r="E78" s="89" t="s">
        <v>1289</v>
      </c>
      <c r="F78" s="89" t="s">
        <v>4347</v>
      </c>
      <c r="G78" s="89" t="s">
        <v>1290</v>
      </c>
      <c r="H78" s="91">
        <v>8526</v>
      </c>
      <c r="I78" s="89" t="s">
        <v>4348</v>
      </c>
      <c r="J78" s="92" t="s">
        <v>3953</v>
      </c>
      <c r="K78" s="92"/>
      <c r="L78" s="92" t="s">
        <v>4349</v>
      </c>
      <c r="M78" s="92" t="s">
        <v>4350</v>
      </c>
      <c r="N78" s="93">
        <v>8526</v>
      </c>
      <c r="O78" s="94">
        <v>160000</v>
      </c>
      <c r="P78" s="94">
        <v>530</v>
      </c>
      <c r="Q78" s="92" t="s">
        <v>765</v>
      </c>
      <c r="R78" s="92" t="s">
        <v>4351</v>
      </c>
      <c r="S78" s="91">
        <v>85225</v>
      </c>
      <c r="T78" s="89" t="s">
        <v>4352</v>
      </c>
    </row>
    <row r="79" spans="1:20" ht="31.5" customHeight="1" x14ac:dyDescent="0.35">
      <c r="A79" s="88">
        <v>132134</v>
      </c>
      <c r="B79" s="89" t="s">
        <v>4353</v>
      </c>
      <c r="C79" s="89" t="s">
        <v>4354</v>
      </c>
      <c r="D79" s="90" t="s">
        <v>3978</v>
      </c>
      <c r="E79" s="89" t="s">
        <v>1293</v>
      </c>
      <c r="F79" s="89"/>
      <c r="G79" s="89" t="s">
        <v>1294</v>
      </c>
      <c r="H79" s="91">
        <v>1321</v>
      </c>
      <c r="I79" s="89" t="s">
        <v>4341</v>
      </c>
      <c r="J79" s="92" t="s">
        <v>4058</v>
      </c>
      <c r="K79" s="92"/>
      <c r="L79" s="92" t="s">
        <v>4342</v>
      </c>
      <c r="M79" s="92" t="s">
        <v>4343</v>
      </c>
      <c r="N79" s="93">
        <v>1321</v>
      </c>
      <c r="O79" s="94">
        <v>360</v>
      </c>
      <c r="P79" s="94">
        <v>1</v>
      </c>
      <c r="Q79" s="92" t="s">
        <v>3957</v>
      </c>
      <c r="R79" s="92" t="s">
        <v>4355</v>
      </c>
      <c r="S79" s="91">
        <v>13220</v>
      </c>
      <c r="T79" s="91">
        <v>13210</v>
      </c>
    </row>
    <row r="80" spans="1:20" ht="33.75" customHeight="1" x14ac:dyDescent="0.35">
      <c r="A80" s="88">
        <v>133101</v>
      </c>
      <c r="B80" s="89" t="s">
        <v>4356</v>
      </c>
      <c r="C80" s="89" t="s">
        <v>4357</v>
      </c>
      <c r="D80" s="90" t="s">
        <v>4077</v>
      </c>
      <c r="E80" s="89" t="s">
        <v>1298</v>
      </c>
      <c r="F80" s="89"/>
      <c r="G80" s="89" t="s">
        <v>1299</v>
      </c>
      <c r="H80" s="91">
        <v>1331</v>
      </c>
      <c r="I80" s="89" t="s">
        <v>4358</v>
      </c>
      <c r="J80" s="92" t="s">
        <v>883</v>
      </c>
      <c r="K80" s="92"/>
      <c r="L80" s="92" t="s">
        <v>4271</v>
      </c>
      <c r="M80" s="92" t="s">
        <v>4359</v>
      </c>
      <c r="N80" s="93">
        <v>1331</v>
      </c>
      <c r="O80" s="94">
        <v>26000</v>
      </c>
      <c r="P80" s="94">
        <v>3800</v>
      </c>
      <c r="Q80" s="92" t="s">
        <v>3957</v>
      </c>
      <c r="R80" s="92" t="s">
        <v>4360</v>
      </c>
      <c r="S80" s="91">
        <v>13320</v>
      </c>
      <c r="T80" s="91">
        <v>13335</v>
      </c>
    </row>
    <row r="81" spans="1:20" ht="30" customHeight="1" x14ac:dyDescent="0.35">
      <c r="A81" s="92">
        <v>133200</v>
      </c>
      <c r="B81" s="89" t="s">
        <v>4361</v>
      </c>
      <c r="C81" s="89" t="s">
        <v>4362</v>
      </c>
      <c r="D81" s="90" t="s">
        <v>4077</v>
      </c>
      <c r="E81" s="89" t="s">
        <v>1303</v>
      </c>
      <c r="F81" s="89"/>
      <c r="G81" s="89" t="s">
        <v>909</v>
      </c>
      <c r="H81" s="89">
        <v>1331</v>
      </c>
      <c r="I81" s="89" t="s">
        <v>4358</v>
      </c>
      <c r="J81" s="92" t="s">
        <v>883</v>
      </c>
      <c r="K81" s="92"/>
      <c r="L81" s="30">
        <v>527</v>
      </c>
      <c r="M81" s="30" t="s">
        <v>4363</v>
      </c>
      <c r="N81" s="31">
        <v>1331</v>
      </c>
      <c r="O81" s="31">
        <v>26000</v>
      </c>
      <c r="P81" s="31">
        <v>3800</v>
      </c>
      <c r="Q81" s="92" t="s">
        <v>3957</v>
      </c>
      <c r="R81" s="92" t="s">
        <v>4364</v>
      </c>
      <c r="S81" s="92" t="s">
        <v>3982</v>
      </c>
      <c r="T81" s="92" t="s">
        <v>3982</v>
      </c>
    </row>
    <row r="82" spans="1:20" ht="30" customHeight="1" x14ac:dyDescent="0.35">
      <c r="A82" s="88">
        <v>133314</v>
      </c>
      <c r="B82" s="89" t="s">
        <v>4365</v>
      </c>
      <c r="C82" s="89" t="s">
        <v>4366</v>
      </c>
      <c r="D82" s="90" t="s">
        <v>4077</v>
      </c>
      <c r="E82" s="89" t="s">
        <v>1307</v>
      </c>
      <c r="F82" s="89" t="s">
        <v>4367</v>
      </c>
      <c r="G82" s="89" t="s">
        <v>1308</v>
      </c>
      <c r="H82" s="91">
        <v>1331</v>
      </c>
      <c r="I82" s="89" t="s">
        <v>4358</v>
      </c>
      <c r="J82" s="92" t="s">
        <v>883</v>
      </c>
      <c r="K82" s="92"/>
      <c r="L82" s="92" t="s">
        <v>4271</v>
      </c>
      <c r="M82" s="92" t="s">
        <v>4359</v>
      </c>
      <c r="N82" s="93">
        <v>1331</v>
      </c>
      <c r="O82" s="94">
        <v>26000</v>
      </c>
      <c r="P82" s="94">
        <v>3800</v>
      </c>
      <c r="Q82" s="92" t="s">
        <v>3957</v>
      </c>
      <c r="R82" s="92" t="s">
        <v>4368</v>
      </c>
      <c r="S82" s="91">
        <v>13320</v>
      </c>
      <c r="T82" s="89" t="s">
        <v>643</v>
      </c>
    </row>
    <row r="83" spans="1:20" ht="30" customHeight="1" x14ac:dyDescent="0.35">
      <c r="A83" s="88">
        <v>134101</v>
      </c>
      <c r="B83" s="89" t="s">
        <v>4369</v>
      </c>
      <c r="C83" s="89" t="s">
        <v>4369</v>
      </c>
      <c r="D83" s="90" t="s">
        <v>3978</v>
      </c>
      <c r="E83" s="89" t="s">
        <v>1311</v>
      </c>
      <c r="F83" s="89"/>
      <c r="G83" s="89" t="s">
        <v>1312</v>
      </c>
      <c r="H83" s="91">
        <v>1341</v>
      </c>
      <c r="I83" s="89" t="s">
        <v>4370</v>
      </c>
      <c r="J83" s="92" t="s">
        <v>4058</v>
      </c>
      <c r="K83" s="92"/>
      <c r="L83" s="92" t="s">
        <v>4371</v>
      </c>
      <c r="M83" s="92" t="s">
        <v>4372</v>
      </c>
      <c r="N83" s="93">
        <v>1341</v>
      </c>
      <c r="O83" s="94">
        <v>100</v>
      </c>
      <c r="P83" s="94">
        <v>1</v>
      </c>
      <c r="Q83" s="92" t="s">
        <v>3957</v>
      </c>
      <c r="R83" s="92" t="s">
        <v>4373</v>
      </c>
      <c r="S83" s="91">
        <v>13470</v>
      </c>
      <c r="T83" s="91">
        <v>13471</v>
      </c>
    </row>
    <row r="84" spans="1:20" ht="93.75" customHeight="1" x14ac:dyDescent="0.35">
      <c r="A84" s="88">
        <v>134102</v>
      </c>
      <c r="B84" s="89" t="s">
        <v>4374</v>
      </c>
      <c r="C84" s="89" t="s">
        <v>4375</v>
      </c>
      <c r="D84" s="90" t="s">
        <v>3978</v>
      </c>
      <c r="E84" s="89" t="s">
        <v>1315</v>
      </c>
      <c r="F84" s="89"/>
      <c r="G84" s="89" t="s">
        <v>1316</v>
      </c>
      <c r="H84" s="91">
        <v>1341</v>
      </c>
      <c r="I84" s="89" t="s">
        <v>4370</v>
      </c>
      <c r="J84" s="92" t="s">
        <v>4058</v>
      </c>
      <c r="K84" s="92"/>
      <c r="L84" s="92" t="s">
        <v>4371</v>
      </c>
      <c r="M84" s="92" t="s">
        <v>4372</v>
      </c>
      <c r="N84" s="93">
        <v>1341</v>
      </c>
      <c r="O84" s="94">
        <v>100</v>
      </c>
      <c r="P84" s="94">
        <v>1</v>
      </c>
      <c r="Q84" s="92" t="s">
        <v>3957</v>
      </c>
      <c r="R84" s="92" t="s">
        <v>4376</v>
      </c>
      <c r="S84" s="89" t="s">
        <v>643</v>
      </c>
      <c r="T84" s="91">
        <v>13471</v>
      </c>
    </row>
    <row r="85" spans="1:20" ht="30" customHeight="1" x14ac:dyDescent="0.35">
      <c r="A85" s="88">
        <v>134103</v>
      </c>
      <c r="B85" s="89" t="s">
        <v>4377</v>
      </c>
      <c r="C85" s="89" t="s">
        <v>4378</v>
      </c>
      <c r="D85" s="90" t="s">
        <v>3978</v>
      </c>
      <c r="E85" s="89" t="s">
        <v>4379</v>
      </c>
      <c r="F85" s="89" t="s">
        <v>4380</v>
      </c>
      <c r="G85" s="89" t="s">
        <v>1320</v>
      </c>
      <c r="H85" s="91">
        <v>1341</v>
      </c>
      <c r="I85" s="89" t="s">
        <v>4370</v>
      </c>
      <c r="J85" s="92" t="s">
        <v>4058</v>
      </c>
      <c r="K85" s="92"/>
      <c r="L85" s="92" t="s">
        <v>4371</v>
      </c>
      <c r="M85" s="92" t="s">
        <v>4372</v>
      </c>
      <c r="N85" s="93">
        <v>1341</v>
      </c>
      <c r="O85" s="94">
        <v>100</v>
      </c>
      <c r="P85" s="94">
        <v>1</v>
      </c>
      <c r="Q85" s="92" t="s">
        <v>765</v>
      </c>
      <c r="R85" s="92" t="s">
        <v>4381</v>
      </c>
      <c r="S85" s="89" t="s">
        <v>643</v>
      </c>
      <c r="T85" s="91">
        <v>13464</v>
      </c>
    </row>
    <row r="86" spans="1:20" ht="75.75" customHeight="1" x14ac:dyDescent="0.35">
      <c r="A86" s="88">
        <v>134119</v>
      </c>
      <c r="B86" s="89" t="s">
        <v>4382</v>
      </c>
      <c r="C86" s="89" t="s">
        <v>4383</v>
      </c>
      <c r="D86" s="90" t="s">
        <v>3978</v>
      </c>
      <c r="E86" s="89" t="s">
        <v>1323</v>
      </c>
      <c r="F86" s="89" t="s">
        <v>4384</v>
      </c>
      <c r="G86" s="89" t="s">
        <v>1324</v>
      </c>
      <c r="H86" s="91">
        <v>1341</v>
      </c>
      <c r="I86" s="89" t="s">
        <v>4370</v>
      </c>
      <c r="J86" s="92" t="s">
        <v>4058</v>
      </c>
      <c r="K86" s="92"/>
      <c r="L86" s="92" t="s">
        <v>4371</v>
      </c>
      <c r="M86" s="92" t="s">
        <v>4372</v>
      </c>
      <c r="N86" s="93">
        <v>1341</v>
      </c>
      <c r="O86" s="94">
        <v>100</v>
      </c>
      <c r="P86" s="94">
        <v>1</v>
      </c>
      <c r="Q86" s="92" t="s">
        <v>3957</v>
      </c>
      <c r="R86" s="92" t="s">
        <v>4385</v>
      </c>
      <c r="S86" s="89" t="s">
        <v>643</v>
      </c>
      <c r="T86" s="89" t="s">
        <v>643</v>
      </c>
    </row>
    <row r="87" spans="1:20" ht="30" customHeight="1" x14ac:dyDescent="0.35">
      <c r="A87" s="88">
        <v>134335</v>
      </c>
      <c r="B87" s="89" t="s">
        <v>4386</v>
      </c>
      <c r="C87" s="89" t="s">
        <v>4387</v>
      </c>
      <c r="D87" s="90" t="s">
        <v>3978</v>
      </c>
      <c r="E87" s="89" t="s">
        <v>1327</v>
      </c>
      <c r="F87" s="89" t="s">
        <v>4388</v>
      </c>
      <c r="G87" s="89" t="s">
        <v>1328</v>
      </c>
      <c r="H87" s="91">
        <v>1341</v>
      </c>
      <c r="I87" s="89" t="s">
        <v>4370</v>
      </c>
      <c r="J87" s="92" t="s">
        <v>4058</v>
      </c>
      <c r="K87" s="92"/>
      <c r="L87" s="92" t="s">
        <v>4371</v>
      </c>
      <c r="M87" s="92" t="s">
        <v>4372</v>
      </c>
      <c r="N87" s="93">
        <v>1341</v>
      </c>
      <c r="O87" s="94">
        <v>100</v>
      </c>
      <c r="P87" s="94">
        <v>1</v>
      </c>
      <c r="Q87" s="92" t="s">
        <v>3957</v>
      </c>
      <c r="R87" s="92" t="s">
        <v>4387</v>
      </c>
      <c r="S87" s="91">
        <v>13430</v>
      </c>
      <c r="T87" s="91">
        <v>13440</v>
      </c>
    </row>
    <row r="88" spans="1:20" ht="30" customHeight="1" x14ac:dyDescent="0.35">
      <c r="A88" s="88">
        <v>134336</v>
      </c>
      <c r="B88" s="89" t="s">
        <v>4389</v>
      </c>
      <c r="C88" s="89" t="s">
        <v>4390</v>
      </c>
      <c r="D88" s="90" t="s">
        <v>4077</v>
      </c>
      <c r="E88" s="89" t="s">
        <v>4391</v>
      </c>
      <c r="F88" s="89"/>
      <c r="G88" s="89" t="s">
        <v>1332</v>
      </c>
      <c r="H88" s="91">
        <v>1331</v>
      </c>
      <c r="I88" s="89" t="s">
        <v>4358</v>
      </c>
      <c r="J88" s="92" t="s">
        <v>883</v>
      </c>
      <c r="K88" s="92"/>
      <c r="L88" s="92" t="s">
        <v>4271</v>
      </c>
      <c r="M88" s="92" t="s">
        <v>4359</v>
      </c>
      <c r="N88" s="93">
        <v>1331</v>
      </c>
      <c r="O88" s="94">
        <v>26000</v>
      </c>
      <c r="P88" s="94">
        <v>3800</v>
      </c>
      <c r="Q88" s="92" t="s">
        <v>3957</v>
      </c>
      <c r="R88" s="92" t="s">
        <v>4392</v>
      </c>
      <c r="S88" s="91">
        <v>13320</v>
      </c>
      <c r="T88" s="91">
        <v>13365</v>
      </c>
    </row>
    <row r="89" spans="1:20" ht="77.25" customHeight="1" x14ac:dyDescent="0.35">
      <c r="A89" s="88">
        <v>134338</v>
      </c>
      <c r="B89" s="89" t="s">
        <v>4393</v>
      </c>
      <c r="C89" s="89" t="s">
        <v>4394</v>
      </c>
      <c r="D89" s="90" t="s">
        <v>3978</v>
      </c>
      <c r="E89" s="89" t="s">
        <v>1335</v>
      </c>
      <c r="F89" s="89"/>
      <c r="G89" s="89" t="s">
        <v>1336</v>
      </c>
      <c r="H89" s="91">
        <v>8927</v>
      </c>
      <c r="I89" s="89" t="s">
        <v>4395</v>
      </c>
      <c r="J89" s="92" t="s">
        <v>4058</v>
      </c>
      <c r="K89" s="92"/>
      <c r="L89" s="92" t="s">
        <v>4396</v>
      </c>
      <c r="M89" s="92" t="s">
        <v>4397</v>
      </c>
      <c r="N89" s="93">
        <v>8927</v>
      </c>
      <c r="O89" s="94">
        <v>200</v>
      </c>
      <c r="P89" s="94">
        <v>3</v>
      </c>
      <c r="Q89" s="92" t="s">
        <v>3957</v>
      </c>
      <c r="R89" s="92" t="s">
        <v>4398</v>
      </c>
      <c r="S89" s="91">
        <v>13252</v>
      </c>
      <c r="T89" s="91">
        <v>89018</v>
      </c>
    </row>
    <row r="90" spans="1:20" ht="30" customHeight="1" x14ac:dyDescent="0.35">
      <c r="A90" s="88">
        <v>134341</v>
      </c>
      <c r="B90" s="89" t="s">
        <v>4399</v>
      </c>
      <c r="C90" s="89" t="s">
        <v>4400</v>
      </c>
      <c r="D90" s="90" t="s">
        <v>4077</v>
      </c>
      <c r="E90" s="89" t="s">
        <v>1339</v>
      </c>
      <c r="F90" s="89" t="s">
        <v>4401</v>
      </c>
      <c r="G90" s="89" t="s">
        <v>1340</v>
      </c>
      <c r="H90" s="91">
        <v>1331</v>
      </c>
      <c r="I90" s="89" t="s">
        <v>4358</v>
      </c>
      <c r="J90" s="92" t="s">
        <v>883</v>
      </c>
      <c r="K90" s="92"/>
      <c r="L90" s="92" t="s">
        <v>4271</v>
      </c>
      <c r="M90" s="92" t="s">
        <v>4359</v>
      </c>
      <c r="N90" s="93">
        <v>1331</v>
      </c>
      <c r="O90" s="94">
        <v>26000</v>
      </c>
      <c r="P90" s="94">
        <v>3800</v>
      </c>
      <c r="Q90" s="92" t="s">
        <v>3957</v>
      </c>
      <c r="R90" s="92" t="s">
        <v>4402</v>
      </c>
      <c r="S90" s="91">
        <v>13320</v>
      </c>
      <c r="T90" s="91">
        <v>13372</v>
      </c>
    </row>
    <row r="91" spans="1:20" ht="60" customHeight="1" x14ac:dyDescent="0.35">
      <c r="A91" s="88">
        <v>134351</v>
      </c>
      <c r="B91" s="89" t="s">
        <v>4403</v>
      </c>
      <c r="C91" s="89" t="s">
        <v>4404</v>
      </c>
      <c r="D91" s="90" t="s">
        <v>3978</v>
      </c>
      <c r="E91" s="89" t="s">
        <v>1343</v>
      </c>
      <c r="F91" s="89"/>
      <c r="G91" s="89" t="s">
        <v>1344</v>
      </c>
      <c r="H91" s="91">
        <v>1341</v>
      </c>
      <c r="I91" s="89" t="s">
        <v>4370</v>
      </c>
      <c r="J91" s="92" t="s">
        <v>4058</v>
      </c>
      <c r="K91" s="92"/>
      <c r="L91" s="92" t="s">
        <v>4371</v>
      </c>
      <c r="M91" s="92" t="s">
        <v>4372</v>
      </c>
      <c r="N91" s="93">
        <v>1341</v>
      </c>
      <c r="O91" s="94">
        <v>100</v>
      </c>
      <c r="P91" s="94">
        <v>1</v>
      </c>
      <c r="Q91" s="92" t="s">
        <v>3957</v>
      </c>
      <c r="R91" s="92" t="s">
        <v>4405</v>
      </c>
      <c r="S91" s="91">
        <v>13440</v>
      </c>
      <c r="T91" s="91">
        <v>13443</v>
      </c>
    </row>
    <row r="92" spans="1:20" ht="30" customHeight="1" x14ac:dyDescent="0.35">
      <c r="A92" s="88">
        <v>134353</v>
      </c>
      <c r="B92" s="89" t="s">
        <v>4406</v>
      </c>
      <c r="C92" s="89" t="s">
        <v>4407</v>
      </c>
      <c r="D92" s="90" t="s">
        <v>3978</v>
      </c>
      <c r="E92" s="89" t="s">
        <v>1347</v>
      </c>
      <c r="F92" s="89" t="s">
        <v>4408</v>
      </c>
      <c r="G92" s="89" t="s">
        <v>1348</v>
      </c>
      <c r="H92" s="91">
        <v>1341</v>
      </c>
      <c r="I92" s="89" t="s">
        <v>4370</v>
      </c>
      <c r="J92" s="92" t="s">
        <v>4058</v>
      </c>
      <c r="K92" s="92"/>
      <c r="L92" s="92" t="s">
        <v>4371</v>
      </c>
      <c r="M92" s="92" t="s">
        <v>4372</v>
      </c>
      <c r="N92" s="93">
        <v>1341</v>
      </c>
      <c r="O92" s="94">
        <v>100</v>
      </c>
      <c r="P92" s="94">
        <v>1</v>
      </c>
      <c r="Q92" s="92" t="s">
        <v>3957</v>
      </c>
      <c r="R92" s="92" t="s">
        <v>4409</v>
      </c>
      <c r="S92" s="91">
        <v>13440</v>
      </c>
      <c r="T92" s="91">
        <v>13443</v>
      </c>
    </row>
    <row r="93" spans="1:20" ht="64.5" customHeight="1" x14ac:dyDescent="0.35">
      <c r="A93" s="88">
        <v>134355</v>
      </c>
      <c r="B93" s="89" t="s">
        <v>4410</v>
      </c>
      <c r="C93" s="89" t="s">
        <v>4410</v>
      </c>
      <c r="D93" s="90" t="s">
        <v>3978</v>
      </c>
      <c r="E93" s="89" t="s">
        <v>1351</v>
      </c>
      <c r="F93" s="89" t="s">
        <v>4411</v>
      </c>
      <c r="G93" s="89" t="s">
        <v>1352</v>
      </c>
      <c r="H93" s="91">
        <v>1341</v>
      </c>
      <c r="I93" s="89" t="s">
        <v>4370</v>
      </c>
      <c r="J93" s="92" t="s">
        <v>4058</v>
      </c>
      <c r="K93" s="92"/>
      <c r="L93" s="92" t="s">
        <v>4371</v>
      </c>
      <c r="M93" s="92" t="s">
        <v>4372</v>
      </c>
      <c r="N93" s="93">
        <v>1341</v>
      </c>
      <c r="O93" s="94">
        <v>100</v>
      </c>
      <c r="P93" s="94">
        <v>1</v>
      </c>
      <c r="Q93" s="92" t="s">
        <v>3957</v>
      </c>
      <c r="R93" s="92" t="s">
        <v>4412</v>
      </c>
      <c r="S93" s="91">
        <v>13410</v>
      </c>
      <c r="T93" s="91">
        <v>13460</v>
      </c>
    </row>
    <row r="94" spans="1:20" ht="30" customHeight="1" x14ac:dyDescent="0.35">
      <c r="A94" s="88">
        <v>134373</v>
      </c>
      <c r="B94" s="89" t="s">
        <v>4413</v>
      </c>
      <c r="C94" s="89" t="s">
        <v>4414</v>
      </c>
      <c r="D94" s="90" t="s">
        <v>3978</v>
      </c>
      <c r="E94" s="89" t="s">
        <v>1355</v>
      </c>
      <c r="F94" s="89"/>
      <c r="G94" s="89" t="s">
        <v>1356</v>
      </c>
      <c r="H94" s="91">
        <v>1341</v>
      </c>
      <c r="I94" s="89" t="s">
        <v>4370</v>
      </c>
      <c r="J94" s="92" t="s">
        <v>4058</v>
      </c>
      <c r="K94" s="92"/>
      <c r="L94" s="92" t="s">
        <v>4371</v>
      </c>
      <c r="M94" s="92" t="s">
        <v>4372</v>
      </c>
      <c r="N94" s="93">
        <v>1341</v>
      </c>
      <c r="O94" s="94">
        <v>100</v>
      </c>
      <c r="P94" s="94">
        <v>1</v>
      </c>
      <c r="Q94" s="92" t="s">
        <v>3957</v>
      </c>
      <c r="R94" s="92" t="s">
        <v>4415</v>
      </c>
      <c r="S94" s="89" t="s">
        <v>643</v>
      </c>
      <c r="T94" s="91">
        <v>13470</v>
      </c>
    </row>
    <row r="95" spans="1:20" ht="30" customHeight="1" x14ac:dyDescent="0.35">
      <c r="A95" s="88">
        <v>134374</v>
      </c>
      <c r="B95" s="89" t="s">
        <v>4416</v>
      </c>
      <c r="C95" s="89" t="s">
        <v>4001</v>
      </c>
      <c r="D95" s="90" t="s">
        <v>3978</v>
      </c>
      <c r="E95" s="89" t="s">
        <v>1359</v>
      </c>
      <c r="F95" s="89" t="s">
        <v>4417</v>
      </c>
      <c r="G95" s="89" t="s">
        <v>1360</v>
      </c>
      <c r="H95" s="91">
        <v>1341</v>
      </c>
      <c r="I95" s="89" t="s">
        <v>4370</v>
      </c>
      <c r="J95" s="92" t="s">
        <v>4058</v>
      </c>
      <c r="K95" s="92"/>
      <c r="L95" s="92" t="s">
        <v>4371</v>
      </c>
      <c r="M95" s="92" t="s">
        <v>4372</v>
      </c>
      <c r="N95" s="93">
        <v>1341</v>
      </c>
      <c r="O95" s="94">
        <v>100</v>
      </c>
      <c r="P95" s="94">
        <v>1</v>
      </c>
      <c r="Q95" s="92" t="s">
        <v>3957</v>
      </c>
      <c r="R95" s="92" t="s">
        <v>4001</v>
      </c>
      <c r="S95" s="89" t="s">
        <v>643</v>
      </c>
      <c r="T95" s="91">
        <v>13441</v>
      </c>
    </row>
    <row r="96" spans="1:20" ht="30" customHeight="1" x14ac:dyDescent="0.35">
      <c r="A96" s="88">
        <v>134375</v>
      </c>
      <c r="B96" s="89" t="s">
        <v>4418</v>
      </c>
      <c r="C96" s="89" t="s">
        <v>4419</v>
      </c>
      <c r="D96" s="90" t="s">
        <v>4077</v>
      </c>
      <c r="E96" s="89" t="s">
        <v>4420</v>
      </c>
      <c r="F96" s="89" t="s">
        <v>4421</v>
      </c>
      <c r="G96" s="89" t="s">
        <v>1364</v>
      </c>
      <c r="H96" s="91">
        <v>1331</v>
      </c>
      <c r="I96" s="89" t="s">
        <v>4358</v>
      </c>
      <c r="J96" s="92" t="s">
        <v>883</v>
      </c>
      <c r="K96" s="92"/>
      <c r="L96" s="92" t="s">
        <v>4271</v>
      </c>
      <c r="M96" s="92" t="s">
        <v>4359</v>
      </c>
      <c r="N96" s="93">
        <v>1331</v>
      </c>
      <c r="O96" s="94">
        <v>26000</v>
      </c>
      <c r="P96" s="94">
        <v>3800</v>
      </c>
      <c r="Q96" s="92" t="s">
        <v>3957</v>
      </c>
      <c r="R96" s="92" t="s">
        <v>4422</v>
      </c>
      <c r="S96" s="91">
        <v>13320</v>
      </c>
      <c r="T96" s="91">
        <v>13365</v>
      </c>
    </row>
    <row r="97" spans="1:20" ht="36.75" customHeight="1" x14ac:dyDescent="0.35">
      <c r="A97" s="88">
        <v>134376</v>
      </c>
      <c r="B97" s="89" t="s">
        <v>4423</v>
      </c>
      <c r="C97" s="89" t="s">
        <v>4424</v>
      </c>
      <c r="D97" s="90" t="s">
        <v>3978</v>
      </c>
      <c r="E97" s="89" t="s">
        <v>1367</v>
      </c>
      <c r="F97" s="89"/>
      <c r="G97" s="89" t="s">
        <v>1368</v>
      </c>
      <c r="H97" s="91">
        <v>1341</v>
      </c>
      <c r="I97" s="89" t="s">
        <v>4370</v>
      </c>
      <c r="J97" s="92" t="s">
        <v>4058</v>
      </c>
      <c r="K97" s="92"/>
      <c r="L97" s="92" t="s">
        <v>4371</v>
      </c>
      <c r="M97" s="92" t="s">
        <v>4372</v>
      </c>
      <c r="N97" s="93">
        <v>1341</v>
      </c>
      <c r="O97" s="94">
        <v>100</v>
      </c>
      <c r="P97" s="94">
        <v>1</v>
      </c>
      <c r="Q97" s="92" t="s">
        <v>3957</v>
      </c>
      <c r="R97" s="92" t="s">
        <v>4424</v>
      </c>
      <c r="S97" s="89" t="s">
        <v>643</v>
      </c>
      <c r="T97" s="89" t="s">
        <v>643</v>
      </c>
    </row>
    <row r="98" spans="1:20" ht="30" customHeight="1" x14ac:dyDescent="0.35">
      <c r="A98" s="88">
        <v>134422</v>
      </c>
      <c r="B98" s="89" t="s">
        <v>4425</v>
      </c>
      <c r="C98" s="89" t="s">
        <v>4426</v>
      </c>
      <c r="D98" s="90" t="s">
        <v>3978</v>
      </c>
      <c r="E98" s="89" t="s">
        <v>1371</v>
      </c>
      <c r="F98" s="89"/>
      <c r="G98" s="89" t="s">
        <v>1372</v>
      </c>
      <c r="H98" s="91">
        <v>1341</v>
      </c>
      <c r="I98" s="89" t="s">
        <v>4370</v>
      </c>
      <c r="J98" s="92" t="s">
        <v>4058</v>
      </c>
      <c r="K98" s="92"/>
      <c r="L98" s="92" t="s">
        <v>4371</v>
      </c>
      <c r="M98" s="92" t="s">
        <v>4372</v>
      </c>
      <c r="N98" s="93">
        <v>1341</v>
      </c>
      <c r="O98" s="94">
        <v>100</v>
      </c>
      <c r="P98" s="94">
        <v>1</v>
      </c>
      <c r="Q98" s="92" t="s">
        <v>3957</v>
      </c>
      <c r="R98" s="92" t="s">
        <v>4427</v>
      </c>
      <c r="S98" s="91">
        <v>13410</v>
      </c>
      <c r="T98" s="91">
        <v>13420</v>
      </c>
    </row>
    <row r="99" spans="1:20" ht="77.25" customHeight="1" x14ac:dyDescent="0.35">
      <c r="A99" s="88">
        <v>134465</v>
      </c>
      <c r="B99" s="89" t="s">
        <v>4428</v>
      </c>
      <c r="C99" s="89" t="s">
        <v>4429</v>
      </c>
      <c r="D99" s="90" t="s">
        <v>3978</v>
      </c>
      <c r="E99" s="89" t="s">
        <v>1375</v>
      </c>
      <c r="F99" s="89" t="s">
        <v>4430</v>
      </c>
      <c r="G99" s="89" t="s">
        <v>1376</v>
      </c>
      <c r="H99" s="91">
        <v>1341</v>
      </c>
      <c r="I99" s="89" t="s">
        <v>4370</v>
      </c>
      <c r="J99" s="92" t="s">
        <v>4058</v>
      </c>
      <c r="K99" s="92"/>
      <c r="L99" s="92" t="s">
        <v>4371</v>
      </c>
      <c r="M99" s="92" t="s">
        <v>4372</v>
      </c>
      <c r="N99" s="93">
        <v>1341</v>
      </c>
      <c r="O99" s="94">
        <v>100</v>
      </c>
      <c r="P99" s="94">
        <v>1</v>
      </c>
      <c r="Q99" s="92" t="s">
        <v>3957</v>
      </c>
      <c r="R99" s="92" t="s">
        <v>4431</v>
      </c>
      <c r="S99" s="89" t="s">
        <v>643</v>
      </c>
      <c r="T99" s="89" t="s">
        <v>4432</v>
      </c>
    </row>
    <row r="100" spans="1:20" ht="48" customHeight="1" x14ac:dyDescent="0.35">
      <c r="A100" s="88">
        <v>134473</v>
      </c>
      <c r="B100" s="89" t="s">
        <v>4433</v>
      </c>
      <c r="C100" s="89" t="s">
        <v>4434</v>
      </c>
      <c r="D100" s="90" t="s">
        <v>3978</v>
      </c>
      <c r="E100" s="89" t="s">
        <v>1379</v>
      </c>
      <c r="F100" s="89"/>
      <c r="G100" s="89" t="s">
        <v>1380</v>
      </c>
      <c r="H100" s="91">
        <v>1341</v>
      </c>
      <c r="I100" s="89" t="s">
        <v>4370</v>
      </c>
      <c r="J100" s="92" t="s">
        <v>4058</v>
      </c>
      <c r="K100" s="92"/>
      <c r="L100" s="92" t="s">
        <v>4371</v>
      </c>
      <c r="M100" s="92" t="s">
        <v>4372</v>
      </c>
      <c r="N100" s="93">
        <v>1341</v>
      </c>
      <c r="O100" s="94">
        <v>100</v>
      </c>
      <c r="P100" s="94">
        <v>1</v>
      </c>
      <c r="Q100" s="92" t="s">
        <v>3957</v>
      </c>
      <c r="R100" s="92" t="s">
        <v>4435</v>
      </c>
      <c r="S100" s="89" t="s">
        <v>643</v>
      </c>
      <c r="T100" s="91">
        <v>13410</v>
      </c>
    </row>
    <row r="101" spans="1:20" ht="30" customHeight="1" x14ac:dyDescent="0.35">
      <c r="A101" s="88">
        <v>134482</v>
      </c>
      <c r="B101" s="89" t="s">
        <v>4436</v>
      </c>
      <c r="C101" s="89" t="s">
        <v>4437</v>
      </c>
      <c r="D101" s="90" t="s">
        <v>3978</v>
      </c>
      <c r="E101" s="89" t="s">
        <v>1383</v>
      </c>
      <c r="F101" s="89" t="s">
        <v>4438</v>
      </c>
      <c r="G101" s="89" t="s">
        <v>1384</v>
      </c>
      <c r="H101" s="91">
        <v>1341</v>
      </c>
      <c r="I101" s="89" t="s">
        <v>4370</v>
      </c>
      <c r="J101" s="92" t="s">
        <v>4058</v>
      </c>
      <c r="K101" s="92"/>
      <c r="L101" s="92" t="s">
        <v>4371</v>
      </c>
      <c r="M101" s="92" t="s">
        <v>4372</v>
      </c>
      <c r="N101" s="93">
        <v>1341</v>
      </c>
      <c r="O101" s="94">
        <v>100</v>
      </c>
      <c r="P101" s="94">
        <v>1</v>
      </c>
      <c r="Q101" s="92" t="s">
        <v>3957</v>
      </c>
      <c r="R101" s="92" t="s">
        <v>4439</v>
      </c>
      <c r="S101" s="89" t="s">
        <v>643</v>
      </c>
      <c r="T101" s="89" t="s">
        <v>643</v>
      </c>
    </row>
    <row r="102" spans="1:20" ht="30" customHeight="1" x14ac:dyDescent="0.35">
      <c r="A102" s="88">
        <v>134484</v>
      </c>
      <c r="B102" s="89" t="s">
        <v>4440</v>
      </c>
      <c r="C102" s="89" t="s">
        <v>4441</v>
      </c>
      <c r="D102" s="90" t="s">
        <v>3978</v>
      </c>
      <c r="E102" s="89" t="s">
        <v>4442</v>
      </c>
      <c r="F102" s="89"/>
      <c r="G102" s="89" t="s">
        <v>1388</v>
      </c>
      <c r="H102" s="91">
        <v>1341</v>
      </c>
      <c r="I102" s="89" t="s">
        <v>4370</v>
      </c>
      <c r="J102" s="92" t="s">
        <v>4058</v>
      </c>
      <c r="K102" s="92"/>
      <c r="L102" s="92" t="s">
        <v>4371</v>
      </c>
      <c r="M102" s="92" t="s">
        <v>4372</v>
      </c>
      <c r="N102" s="93">
        <v>1341</v>
      </c>
      <c r="O102" s="94">
        <v>100</v>
      </c>
      <c r="P102" s="94">
        <v>1</v>
      </c>
      <c r="Q102" s="92" t="s">
        <v>3957</v>
      </c>
      <c r="R102" s="92" t="s">
        <v>4443</v>
      </c>
      <c r="S102" s="89" t="s">
        <v>643</v>
      </c>
      <c r="T102" s="89" t="s">
        <v>643</v>
      </c>
    </row>
    <row r="103" spans="1:20" ht="30" customHeight="1" x14ac:dyDescent="0.35">
      <c r="A103" s="88">
        <v>134511</v>
      </c>
      <c r="B103" s="89" t="s">
        <v>4444</v>
      </c>
      <c r="C103" s="89" t="s">
        <v>4445</v>
      </c>
      <c r="D103" s="90" t="s">
        <v>3978</v>
      </c>
      <c r="E103" s="89" t="s">
        <v>1391</v>
      </c>
      <c r="F103" s="89"/>
      <c r="G103" s="89" t="s">
        <v>1384</v>
      </c>
      <c r="H103" s="91">
        <v>1341</v>
      </c>
      <c r="I103" s="89" t="s">
        <v>4370</v>
      </c>
      <c r="J103" s="92" t="s">
        <v>4058</v>
      </c>
      <c r="K103" s="92"/>
      <c r="L103" s="92" t="s">
        <v>4371</v>
      </c>
      <c r="M103" s="92" t="s">
        <v>4372</v>
      </c>
      <c r="N103" s="93">
        <v>1341</v>
      </c>
      <c r="O103" s="94">
        <v>100</v>
      </c>
      <c r="P103" s="94">
        <v>1</v>
      </c>
      <c r="Q103" s="92" t="s">
        <v>3957</v>
      </c>
      <c r="R103" s="92" t="s">
        <v>4446</v>
      </c>
      <c r="S103" s="91">
        <v>13410</v>
      </c>
      <c r="T103" s="91">
        <v>13466</v>
      </c>
    </row>
    <row r="104" spans="1:20" ht="30" customHeight="1" x14ac:dyDescent="0.35">
      <c r="A104" s="88">
        <v>134678</v>
      </c>
      <c r="B104" s="89" t="s">
        <v>4447</v>
      </c>
      <c r="C104" s="89" t="s">
        <v>4448</v>
      </c>
      <c r="D104" s="90" t="s">
        <v>3978</v>
      </c>
      <c r="E104" s="89" t="s">
        <v>1394</v>
      </c>
      <c r="F104" s="89"/>
      <c r="G104" s="89" t="s">
        <v>1395</v>
      </c>
      <c r="H104" s="91">
        <v>1341</v>
      </c>
      <c r="I104" s="89" t="s">
        <v>4370</v>
      </c>
      <c r="J104" s="92" t="s">
        <v>4058</v>
      </c>
      <c r="K104" s="92"/>
      <c r="L104" s="92" t="s">
        <v>4371</v>
      </c>
      <c r="M104" s="92" t="s">
        <v>4372</v>
      </c>
      <c r="N104" s="93">
        <v>1341</v>
      </c>
      <c r="O104" s="94">
        <v>100</v>
      </c>
      <c r="P104" s="94">
        <v>1</v>
      </c>
      <c r="Q104" s="92" t="s">
        <v>3957</v>
      </c>
      <c r="R104" s="92" t="s">
        <v>4449</v>
      </c>
      <c r="S104" s="91">
        <v>13470</v>
      </c>
      <c r="T104" s="91">
        <v>13462</v>
      </c>
    </row>
    <row r="105" spans="1:20" ht="30" customHeight="1" x14ac:dyDescent="0.35">
      <c r="A105" s="88">
        <v>135583</v>
      </c>
      <c r="B105" s="89" t="s">
        <v>4450</v>
      </c>
      <c r="C105" s="89" t="s">
        <v>4451</v>
      </c>
      <c r="D105" s="90" t="s">
        <v>3949</v>
      </c>
      <c r="E105" s="89" t="s">
        <v>1398</v>
      </c>
      <c r="F105" s="89"/>
      <c r="G105" s="89" t="s">
        <v>1399</v>
      </c>
      <c r="H105" s="91">
        <v>1351</v>
      </c>
      <c r="I105" s="89" t="s">
        <v>4452</v>
      </c>
      <c r="J105" s="92" t="s">
        <v>4453</v>
      </c>
      <c r="K105" s="92"/>
      <c r="L105" s="92" t="s">
        <v>4454</v>
      </c>
      <c r="M105" s="92" t="s">
        <v>4455</v>
      </c>
      <c r="N105" s="93">
        <v>1351</v>
      </c>
      <c r="O105" s="94">
        <v>1000</v>
      </c>
      <c r="P105" s="94">
        <v>19</v>
      </c>
      <c r="Q105" s="92" t="s">
        <v>765</v>
      </c>
      <c r="R105" s="92" t="s">
        <v>4456</v>
      </c>
      <c r="S105" s="91">
        <v>13510</v>
      </c>
      <c r="T105" s="91">
        <v>13520</v>
      </c>
    </row>
    <row r="106" spans="1:20" ht="30" customHeight="1" x14ac:dyDescent="0.35">
      <c r="A106" s="88">
        <v>135586</v>
      </c>
      <c r="B106" s="89" t="s">
        <v>4457</v>
      </c>
      <c r="C106" s="89" t="s">
        <v>4458</v>
      </c>
      <c r="D106" s="90" t="s">
        <v>3949</v>
      </c>
      <c r="E106" s="89" t="s">
        <v>1402</v>
      </c>
      <c r="F106" s="89"/>
      <c r="G106" s="89" t="s">
        <v>1403</v>
      </c>
      <c r="H106" s="91">
        <v>1351</v>
      </c>
      <c r="I106" s="89" t="s">
        <v>4452</v>
      </c>
      <c r="J106" s="92" t="s">
        <v>4453</v>
      </c>
      <c r="K106" s="92"/>
      <c r="L106" s="92" t="s">
        <v>4454</v>
      </c>
      <c r="M106" s="92" t="s">
        <v>4455</v>
      </c>
      <c r="N106" s="93">
        <v>1351</v>
      </c>
      <c r="O106" s="94">
        <v>1000</v>
      </c>
      <c r="P106" s="94">
        <v>19</v>
      </c>
      <c r="Q106" s="92" t="s">
        <v>765</v>
      </c>
      <c r="R106" s="92" t="s">
        <v>4459</v>
      </c>
      <c r="S106" s="91">
        <v>13511</v>
      </c>
      <c r="T106" s="91">
        <v>13520</v>
      </c>
    </row>
    <row r="107" spans="1:20" ht="30" customHeight="1" x14ac:dyDescent="0.35">
      <c r="A107" s="88">
        <v>136635</v>
      </c>
      <c r="B107" s="89" t="s">
        <v>4460</v>
      </c>
      <c r="C107" s="89" t="s">
        <v>4460</v>
      </c>
      <c r="D107" s="90" t="s">
        <v>3978</v>
      </c>
      <c r="E107" s="89" t="s">
        <v>1406</v>
      </c>
      <c r="F107" s="89"/>
      <c r="G107" s="89" t="s">
        <v>1407</v>
      </c>
      <c r="H107" s="91">
        <v>1362</v>
      </c>
      <c r="I107" s="89" t="s">
        <v>4461</v>
      </c>
      <c r="J107" s="92" t="s">
        <v>4058</v>
      </c>
      <c r="K107" s="92"/>
      <c r="L107" s="92" t="s">
        <v>4462</v>
      </c>
      <c r="M107" s="92" t="s">
        <v>4463</v>
      </c>
      <c r="N107" s="93">
        <v>1362</v>
      </c>
      <c r="O107" s="94">
        <v>650</v>
      </c>
      <c r="P107" s="94">
        <v>20</v>
      </c>
      <c r="Q107" s="92" t="s">
        <v>765</v>
      </c>
      <c r="R107" s="92" t="s">
        <v>4464</v>
      </c>
      <c r="S107" s="89" t="s">
        <v>643</v>
      </c>
      <c r="T107" s="89" t="s">
        <v>643</v>
      </c>
    </row>
    <row r="108" spans="1:20" ht="30" customHeight="1" x14ac:dyDescent="0.35">
      <c r="A108" s="88">
        <v>136661</v>
      </c>
      <c r="B108" s="89" t="s">
        <v>4465</v>
      </c>
      <c r="C108" s="89" t="s">
        <v>4465</v>
      </c>
      <c r="D108" s="90" t="s">
        <v>3978</v>
      </c>
      <c r="E108" s="89" t="s">
        <v>1410</v>
      </c>
      <c r="F108" s="89"/>
      <c r="G108" s="89" t="s">
        <v>1411</v>
      </c>
      <c r="H108" s="91">
        <v>1361</v>
      </c>
      <c r="I108" s="89" t="s">
        <v>4466</v>
      </c>
      <c r="J108" s="92" t="s">
        <v>3954</v>
      </c>
      <c r="K108" s="92"/>
      <c r="L108" s="92" t="s">
        <v>4467</v>
      </c>
      <c r="M108" s="92" t="s">
        <v>4468</v>
      </c>
      <c r="N108" s="93">
        <v>1361</v>
      </c>
      <c r="O108" s="94">
        <v>200000</v>
      </c>
      <c r="P108" s="94">
        <v>6500</v>
      </c>
      <c r="Q108" s="92" t="s">
        <v>765</v>
      </c>
      <c r="R108" s="92" t="s">
        <v>4469</v>
      </c>
      <c r="S108" s="91">
        <v>13612</v>
      </c>
      <c r="T108" s="91">
        <v>13610</v>
      </c>
    </row>
    <row r="109" spans="1:20" ht="30" customHeight="1" x14ac:dyDescent="0.35">
      <c r="A109" s="88">
        <v>136662</v>
      </c>
      <c r="B109" s="89" t="s">
        <v>4470</v>
      </c>
      <c r="C109" s="89" t="s">
        <v>4471</v>
      </c>
      <c r="D109" s="90" t="s">
        <v>3978</v>
      </c>
      <c r="E109" s="89" t="s">
        <v>1414</v>
      </c>
      <c r="F109" s="89" t="s">
        <v>4472</v>
      </c>
      <c r="G109" s="89" t="s">
        <v>1415</v>
      </c>
      <c r="H109" s="91">
        <v>1362</v>
      </c>
      <c r="I109" s="89" t="s">
        <v>4461</v>
      </c>
      <c r="J109" s="92" t="s">
        <v>4058</v>
      </c>
      <c r="K109" s="92"/>
      <c r="L109" s="92" t="s">
        <v>4462</v>
      </c>
      <c r="M109" s="92" t="s">
        <v>4463</v>
      </c>
      <c r="N109" s="93">
        <v>1362</v>
      </c>
      <c r="O109" s="94">
        <v>650</v>
      </c>
      <c r="P109" s="94">
        <v>20</v>
      </c>
      <c r="Q109" s="92" t="s">
        <v>765</v>
      </c>
      <c r="R109" s="92" t="s">
        <v>4473</v>
      </c>
      <c r="S109" s="89" t="s">
        <v>643</v>
      </c>
      <c r="T109" s="89" t="s">
        <v>643</v>
      </c>
    </row>
    <row r="110" spans="1:20" ht="30" customHeight="1" x14ac:dyDescent="0.35">
      <c r="A110" s="88">
        <v>136664</v>
      </c>
      <c r="B110" s="89" t="s">
        <v>4474</v>
      </c>
      <c r="C110" s="89" t="s">
        <v>4475</v>
      </c>
      <c r="D110" s="90" t="s">
        <v>3978</v>
      </c>
      <c r="E110" s="89" t="s">
        <v>1417</v>
      </c>
      <c r="F110" s="89"/>
      <c r="G110" s="89" t="s">
        <v>1418</v>
      </c>
      <c r="H110" s="91">
        <v>1361</v>
      </c>
      <c r="I110" s="89" t="s">
        <v>4466</v>
      </c>
      <c r="J110" s="92" t="s">
        <v>3954</v>
      </c>
      <c r="K110" s="92"/>
      <c r="L110" s="92" t="s">
        <v>4467</v>
      </c>
      <c r="M110" s="92" t="s">
        <v>4468</v>
      </c>
      <c r="N110" s="93">
        <v>1361</v>
      </c>
      <c r="O110" s="94">
        <v>200000</v>
      </c>
      <c r="P110" s="94">
        <v>6500</v>
      </c>
      <c r="Q110" s="92" t="s">
        <v>765</v>
      </c>
      <c r="R110" s="92" t="s">
        <v>4476</v>
      </c>
      <c r="S110" s="91">
        <v>13610</v>
      </c>
      <c r="T110" s="91">
        <v>13635</v>
      </c>
    </row>
    <row r="111" spans="1:20" ht="30" customHeight="1" x14ac:dyDescent="0.35">
      <c r="A111" s="88">
        <v>136666</v>
      </c>
      <c r="B111" s="89" t="s">
        <v>4477</v>
      </c>
      <c r="C111" s="89" t="s">
        <v>4478</v>
      </c>
      <c r="D111" s="90" t="s">
        <v>3978</v>
      </c>
      <c r="E111" s="89" t="s">
        <v>4479</v>
      </c>
      <c r="F111" s="89" t="s">
        <v>4480</v>
      </c>
      <c r="G111" s="89" t="s">
        <v>1421</v>
      </c>
      <c r="H111" s="91">
        <v>1362</v>
      </c>
      <c r="I111" s="89" t="s">
        <v>4461</v>
      </c>
      <c r="J111" s="92" t="s">
        <v>4058</v>
      </c>
      <c r="K111" s="92"/>
      <c r="L111" s="92" t="s">
        <v>4462</v>
      </c>
      <c r="M111" s="92" t="s">
        <v>4463</v>
      </c>
      <c r="N111" s="93">
        <v>1362</v>
      </c>
      <c r="O111" s="94">
        <v>650</v>
      </c>
      <c r="P111" s="94">
        <v>20</v>
      </c>
      <c r="Q111" s="92" t="s">
        <v>765</v>
      </c>
      <c r="R111" s="92" t="s">
        <v>4481</v>
      </c>
      <c r="S111" s="89" t="s">
        <v>643</v>
      </c>
      <c r="T111" s="91">
        <v>13655</v>
      </c>
    </row>
    <row r="112" spans="1:20" ht="48" customHeight="1" x14ac:dyDescent="0.35">
      <c r="A112" s="88">
        <v>136667</v>
      </c>
      <c r="B112" s="89" t="s">
        <v>4482</v>
      </c>
      <c r="C112" s="89" t="s">
        <v>4483</v>
      </c>
      <c r="D112" s="90" t="s">
        <v>3978</v>
      </c>
      <c r="E112" s="89" t="s">
        <v>1423</v>
      </c>
      <c r="F112" s="89"/>
      <c r="G112" s="89" t="s">
        <v>1424</v>
      </c>
      <c r="H112" s="91">
        <v>1361</v>
      </c>
      <c r="I112" s="89" t="s">
        <v>4466</v>
      </c>
      <c r="J112" s="92" t="s">
        <v>3954</v>
      </c>
      <c r="K112" s="92"/>
      <c r="L112" s="92" t="s">
        <v>4467</v>
      </c>
      <c r="M112" s="92" t="s">
        <v>4468</v>
      </c>
      <c r="N112" s="93">
        <v>1361</v>
      </c>
      <c r="O112" s="94">
        <v>200000</v>
      </c>
      <c r="P112" s="94">
        <v>6500</v>
      </c>
      <c r="Q112" s="92" t="s">
        <v>765</v>
      </c>
      <c r="R112" s="92" t="s">
        <v>4484</v>
      </c>
      <c r="S112" s="91">
        <v>13620</v>
      </c>
      <c r="T112" s="91">
        <v>13650</v>
      </c>
    </row>
    <row r="113" spans="1:20" ht="96" customHeight="1" x14ac:dyDescent="0.35">
      <c r="A113" s="88">
        <v>136668</v>
      </c>
      <c r="B113" s="89" t="s">
        <v>4485</v>
      </c>
      <c r="C113" s="89" t="s">
        <v>4486</v>
      </c>
      <c r="D113" s="90" t="s">
        <v>3978</v>
      </c>
      <c r="E113" s="89" t="s">
        <v>1426</v>
      </c>
      <c r="F113" s="89" t="s">
        <v>4487</v>
      </c>
      <c r="G113" s="89" t="s">
        <v>4488</v>
      </c>
      <c r="H113" s="91">
        <v>8927</v>
      </c>
      <c r="I113" s="89" t="s">
        <v>4395</v>
      </c>
      <c r="J113" s="92" t="s">
        <v>4058</v>
      </c>
      <c r="K113" s="92"/>
      <c r="L113" s="92" t="s">
        <v>4396</v>
      </c>
      <c r="M113" s="92" t="s">
        <v>4397</v>
      </c>
      <c r="N113" s="93">
        <v>8927</v>
      </c>
      <c r="O113" s="94">
        <v>200</v>
      </c>
      <c r="P113" s="94">
        <v>3</v>
      </c>
      <c r="Q113" s="92" t="s">
        <v>3957</v>
      </c>
      <c r="R113" s="92" t="s">
        <v>4489</v>
      </c>
      <c r="S113" s="91">
        <v>13252</v>
      </c>
      <c r="T113" s="91">
        <v>89018</v>
      </c>
    </row>
    <row r="114" spans="1:20" ht="30" customHeight="1" x14ac:dyDescent="0.35">
      <c r="A114" s="92">
        <v>137200</v>
      </c>
      <c r="B114" s="89" t="s">
        <v>4490</v>
      </c>
      <c r="C114" s="89" t="s">
        <v>4491</v>
      </c>
      <c r="D114" s="90" t="s">
        <v>4077</v>
      </c>
      <c r="E114" s="89" t="s">
        <v>4492</v>
      </c>
      <c r="F114" s="89"/>
      <c r="G114" s="89" t="s">
        <v>909</v>
      </c>
      <c r="H114" s="89">
        <v>1371</v>
      </c>
      <c r="I114" s="89" t="s">
        <v>4493</v>
      </c>
      <c r="J114" s="92"/>
      <c r="K114" s="92"/>
      <c r="L114" s="92"/>
      <c r="M114" s="92"/>
      <c r="N114" s="90"/>
      <c r="O114" s="92"/>
      <c r="P114" s="92"/>
      <c r="Q114" s="92"/>
      <c r="R114" s="92"/>
      <c r="S114" s="89"/>
      <c r="T114" s="89"/>
    </row>
    <row r="115" spans="1:20" ht="30" customHeight="1" x14ac:dyDescent="0.35">
      <c r="A115" s="88">
        <v>140421</v>
      </c>
      <c r="B115" s="89" t="s">
        <v>4494</v>
      </c>
      <c r="C115" s="89" t="s">
        <v>4495</v>
      </c>
      <c r="D115" s="90" t="s">
        <v>4077</v>
      </c>
      <c r="E115" s="89" t="s">
        <v>4496</v>
      </c>
      <c r="F115" s="89"/>
      <c r="G115" s="89" t="s">
        <v>1432</v>
      </c>
      <c r="H115" s="91">
        <v>1404</v>
      </c>
      <c r="I115" s="89" t="s">
        <v>4497</v>
      </c>
      <c r="J115" s="92" t="s">
        <v>883</v>
      </c>
      <c r="K115" s="92"/>
      <c r="L115" s="92" t="s">
        <v>4498</v>
      </c>
      <c r="M115" s="92" t="s">
        <v>4499</v>
      </c>
      <c r="N115" s="93">
        <v>1404</v>
      </c>
      <c r="O115" s="94">
        <v>100000</v>
      </c>
      <c r="P115" s="94">
        <v>18000</v>
      </c>
      <c r="Q115" s="92" t="s">
        <v>3957</v>
      </c>
      <c r="R115" s="92" t="s">
        <v>4500</v>
      </c>
      <c r="S115" s="91">
        <v>14161</v>
      </c>
      <c r="T115" s="89" t="s">
        <v>643</v>
      </c>
    </row>
    <row r="116" spans="1:20" ht="30" customHeight="1" x14ac:dyDescent="0.35">
      <c r="A116" s="88">
        <v>140422</v>
      </c>
      <c r="B116" s="89" t="s">
        <v>1433</v>
      </c>
      <c r="C116" s="89" t="s">
        <v>1433</v>
      </c>
      <c r="D116" s="90" t="s">
        <v>4077</v>
      </c>
      <c r="E116" s="89" t="s">
        <v>4501</v>
      </c>
      <c r="F116" s="89" t="s">
        <v>4502</v>
      </c>
      <c r="G116" s="89" t="s">
        <v>1435</v>
      </c>
      <c r="H116" s="91">
        <v>1405</v>
      </c>
      <c r="I116" s="89" t="s">
        <v>4503</v>
      </c>
      <c r="J116" s="92" t="s">
        <v>883</v>
      </c>
      <c r="K116" s="92"/>
      <c r="L116" s="92" t="s">
        <v>4498</v>
      </c>
      <c r="M116" s="92" t="s">
        <v>4499</v>
      </c>
      <c r="N116" s="93">
        <v>1404</v>
      </c>
      <c r="O116" s="94">
        <v>100000</v>
      </c>
      <c r="P116" s="94">
        <v>18000</v>
      </c>
      <c r="Q116" s="92" t="s">
        <v>3957</v>
      </c>
      <c r="R116" s="92" t="s">
        <v>1433</v>
      </c>
      <c r="S116" s="91">
        <v>14162</v>
      </c>
      <c r="T116" s="89" t="s">
        <v>4504</v>
      </c>
    </row>
    <row r="117" spans="1:20" ht="30" customHeight="1" x14ac:dyDescent="0.35">
      <c r="A117" s="88">
        <v>141101</v>
      </c>
      <c r="B117" s="89" t="s">
        <v>4505</v>
      </c>
      <c r="C117" s="89" t="s">
        <v>4506</v>
      </c>
      <c r="D117" s="90" t="s">
        <v>4077</v>
      </c>
      <c r="E117" s="89" t="s">
        <v>4507</v>
      </c>
      <c r="F117" s="89"/>
      <c r="G117" s="89" t="s">
        <v>1440</v>
      </c>
      <c r="H117" s="91">
        <v>1411</v>
      </c>
      <c r="I117" s="89" t="s">
        <v>4262</v>
      </c>
      <c r="J117" s="92" t="s">
        <v>883</v>
      </c>
      <c r="K117" s="92"/>
      <c r="L117" s="92" t="s">
        <v>4263</v>
      </c>
      <c r="M117" s="92" t="s">
        <v>4264</v>
      </c>
      <c r="N117" s="93">
        <v>1411</v>
      </c>
      <c r="O117" s="94">
        <v>36000</v>
      </c>
      <c r="P117" s="94">
        <v>13000</v>
      </c>
      <c r="Q117" s="92" t="s">
        <v>3957</v>
      </c>
      <c r="R117" s="92" t="s">
        <v>4508</v>
      </c>
      <c r="S117" s="91">
        <v>14111</v>
      </c>
      <c r="T117" s="89" t="s">
        <v>4509</v>
      </c>
    </row>
    <row r="118" spans="1:20" ht="30" customHeight="1" x14ac:dyDescent="0.35">
      <c r="A118" s="88">
        <v>141154</v>
      </c>
      <c r="B118" s="89" t="s">
        <v>4510</v>
      </c>
      <c r="C118" s="89" t="s">
        <v>4511</v>
      </c>
      <c r="D118" s="90" t="s">
        <v>4077</v>
      </c>
      <c r="E118" s="89" t="s">
        <v>1442</v>
      </c>
      <c r="F118" s="89"/>
      <c r="G118" s="89" t="s">
        <v>1443</v>
      </c>
      <c r="H118" s="91">
        <v>1444</v>
      </c>
      <c r="I118" s="89" t="s">
        <v>4079</v>
      </c>
      <c r="J118" s="92" t="s">
        <v>883</v>
      </c>
      <c r="K118" s="92"/>
      <c r="L118" s="92" t="s">
        <v>4080</v>
      </c>
      <c r="M118" s="92" t="s">
        <v>4081</v>
      </c>
      <c r="N118" s="93">
        <v>1444</v>
      </c>
      <c r="O118" s="94">
        <v>190000</v>
      </c>
      <c r="P118" s="94">
        <v>5800</v>
      </c>
      <c r="Q118" s="92" t="s">
        <v>3957</v>
      </c>
      <c r="R118" s="92" t="s">
        <v>4512</v>
      </c>
      <c r="S118" s="89" t="s">
        <v>643</v>
      </c>
      <c r="T118" s="89" t="s">
        <v>643</v>
      </c>
    </row>
    <row r="119" spans="1:20" ht="30" customHeight="1" x14ac:dyDescent="0.35">
      <c r="A119" s="88">
        <v>141165</v>
      </c>
      <c r="B119" s="89" t="s">
        <v>4513</v>
      </c>
      <c r="C119" s="89" t="s">
        <v>4514</v>
      </c>
      <c r="D119" s="90" t="s">
        <v>4077</v>
      </c>
      <c r="E119" s="89" t="s">
        <v>1445</v>
      </c>
      <c r="F119" s="89"/>
      <c r="G119" s="89" t="s">
        <v>1446</v>
      </c>
      <c r="H119" s="91">
        <v>1444</v>
      </c>
      <c r="I119" s="89" t="s">
        <v>4079</v>
      </c>
      <c r="J119" s="92" t="s">
        <v>883</v>
      </c>
      <c r="K119" s="92"/>
      <c r="L119" s="92" t="s">
        <v>4080</v>
      </c>
      <c r="M119" s="92" t="s">
        <v>4081</v>
      </c>
      <c r="N119" s="93">
        <v>1444</v>
      </c>
      <c r="O119" s="94">
        <v>190000</v>
      </c>
      <c r="P119" s="94">
        <v>5800</v>
      </c>
      <c r="Q119" s="92" t="s">
        <v>3957</v>
      </c>
      <c r="R119" s="92" t="s">
        <v>4514</v>
      </c>
      <c r="S119" s="89" t="s">
        <v>643</v>
      </c>
      <c r="T119" s="89" t="s">
        <v>4515</v>
      </c>
    </row>
    <row r="120" spans="1:20" ht="30" customHeight="1" x14ac:dyDescent="0.35">
      <c r="A120" s="88">
        <v>141175</v>
      </c>
      <c r="B120" s="89" t="s">
        <v>4516</v>
      </c>
      <c r="C120" s="89" t="s">
        <v>4517</v>
      </c>
      <c r="D120" s="90" t="s">
        <v>4077</v>
      </c>
      <c r="E120" s="89" t="s">
        <v>1448</v>
      </c>
      <c r="F120" s="89"/>
      <c r="G120" s="89" t="s">
        <v>1449</v>
      </c>
      <c r="H120" s="91">
        <v>1457</v>
      </c>
      <c r="I120" s="89" t="s">
        <v>4518</v>
      </c>
      <c r="J120" s="92" t="s">
        <v>883</v>
      </c>
      <c r="K120" s="92"/>
      <c r="L120" s="92" t="s">
        <v>4519</v>
      </c>
      <c r="M120" s="92" t="s">
        <v>4520</v>
      </c>
      <c r="N120" s="93">
        <v>1457</v>
      </c>
      <c r="O120" s="94">
        <v>22000</v>
      </c>
      <c r="P120" s="94">
        <v>11000</v>
      </c>
      <c r="Q120" s="92" t="s">
        <v>3957</v>
      </c>
      <c r="R120" s="92" t="s">
        <v>4521</v>
      </c>
      <c r="S120" s="89" t="s">
        <v>643</v>
      </c>
      <c r="T120" s="89" t="s">
        <v>643</v>
      </c>
    </row>
    <row r="121" spans="1:20" ht="30" customHeight="1" x14ac:dyDescent="0.35">
      <c r="A121" s="88">
        <v>141181</v>
      </c>
      <c r="B121" s="89" t="s">
        <v>4522</v>
      </c>
      <c r="C121" s="89" t="s">
        <v>4523</v>
      </c>
      <c r="D121" s="90" t="s">
        <v>3978</v>
      </c>
      <c r="E121" s="89" t="s">
        <v>4524</v>
      </c>
      <c r="F121" s="89"/>
      <c r="G121" s="89" t="s">
        <v>1452</v>
      </c>
      <c r="H121" s="91">
        <v>1466</v>
      </c>
      <c r="I121" s="89" t="s">
        <v>4525</v>
      </c>
      <c r="J121" s="92" t="s">
        <v>883</v>
      </c>
      <c r="K121" s="92"/>
      <c r="L121" s="92" t="s">
        <v>4526</v>
      </c>
      <c r="M121" s="92" t="s">
        <v>3980</v>
      </c>
      <c r="N121" s="93">
        <v>1466</v>
      </c>
      <c r="O121" s="94">
        <v>55000</v>
      </c>
      <c r="P121" s="94">
        <v>15000</v>
      </c>
      <c r="Q121" s="92" t="s">
        <v>3957</v>
      </c>
      <c r="R121" s="92" t="s">
        <v>4527</v>
      </c>
      <c r="S121" s="89" t="s">
        <v>643</v>
      </c>
      <c r="T121" s="89" t="s">
        <v>643</v>
      </c>
    </row>
    <row r="122" spans="1:20" ht="30" customHeight="1" x14ac:dyDescent="0.35">
      <c r="A122" s="88">
        <v>141182</v>
      </c>
      <c r="B122" s="89" t="s">
        <v>4528</v>
      </c>
      <c r="C122" s="89" t="s">
        <v>4529</v>
      </c>
      <c r="D122" s="90" t="s">
        <v>3978</v>
      </c>
      <c r="E122" s="89" t="s">
        <v>1454</v>
      </c>
      <c r="F122" s="89" t="s">
        <v>4530</v>
      </c>
      <c r="G122" s="89" t="s">
        <v>1455</v>
      </c>
      <c r="H122" s="91">
        <v>1465</v>
      </c>
      <c r="I122" s="89" t="s">
        <v>4531</v>
      </c>
      <c r="J122" s="92" t="s">
        <v>883</v>
      </c>
      <c r="K122" s="92"/>
      <c r="L122" s="92" t="s">
        <v>4532</v>
      </c>
      <c r="M122" s="92" t="s">
        <v>4533</v>
      </c>
      <c r="N122" s="93">
        <v>1465</v>
      </c>
      <c r="O122" s="94">
        <v>12000</v>
      </c>
      <c r="P122" s="94">
        <v>10000</v>
      </c>
      <c r="Q122" s="92" t="s">
        <v>3957</v>
      </c>
      <c r="R122" s="92" t="s">
        <v>4534</v>
      </c>
      <c r="S122" s="89" t="s">
        <v>643</v>
      </c>
      <c r="T122" s="91">
        <v>14188</v>
      </c>
    </row>
    <row r="123" spans="1:20" ht="30" customHeight="1" x14ac:dyDescent="0.35">
      <c r="A123" s="88">
        <v>141183</v>
      </c>
      <c r="B123" s="89" t="s">
        <v>4535</v>
      </c>
      <c r="C123" s="89" t="s">
        <v>4536</v>
      </c>
      <c r="D123" s="90" t="s">
        <v>4077</v>
      </c>
      <c r="E123" s="89" t="s">
        <v>1457</v>
      </c>
      <c r="F123" s="89"/>
      <c r="G123" s="89" t="s">
        <v>1458</v>
      </c>
      <c r="H123" s="91">
        <v>2111</v>
      </c>
      <c r="I123" s="89" t="s">
        <v>4537</v>
      </c>
      <c r="J123" s="92" t="s">
        <v>4058</v>
      </c>
      <c r="K123" s="92"/>
      <c r="L123" s="92" t="s">
        <v>4538</v>
      </c>
      <c r="M123" s="92" t="s">
        <v>4539</v>
      </c>
      <c r="N123" s="93">
        <v>2111</v>
      </c>
      <c r="O123" s="94">
        <v>200000</v>
      </c>
      <c r="P123" s="94">
        <v>28000</v>
      </c>
      <c r="Q123" s="92" t="s">
        <v>3957</v>
      </c>
      <c r="R123" s="92" t="s">
        <v>4540</v>
      </c>
      <c r="S123" s="89" t="s">
        <v>643</v>
      </c>
      <c r="T123" s="89" t="s">
        <v>643</v>
      </c>
    </row>
    <row r="124" spans="1:20" ht="30" customHeight="1" x14ac:dyDescent="0.35">
      <c r="A124" s="88">
        <v>141184</v>
      </c>
      <c r="B124" s="89" t="s">
        <v>4541</v>
      </c>
      <c r="C124" s="89" t="s">
        <v>4542</v>
      </c>
      <c r="D124" s="90" t="s">
        <v>4077</v>
      </c>
      <c r="E124" s="89" t="s">
        <v>1460</v>
      </c>
      <c r="F124" s="89" t="s">
        <v>4543</v>
      </c>
      <c r="G124" s="89" t="s">
        <v>1461</v>
      </c>
      <c r="H124" s="91">
        <v>7383</v>
      </c>
      <c r="I124" s="89" t="s">
        <v>4544</v>
      </c>
      <c r="J124" s="92" t="s">
        <v>883</v>
      </c>
      <c r="K124" s="92" t="s">
        <v>36</v>
      </c>
      <c r="L124" s="92" t="s">
        <v>4545</v>
      </c>
      <c r="M124" s="92" t="s">
        <v>4546</v>
      </c>
      <c r="N124" s="93">
        <v>7383</v>
      </c>
      <c r="O124" s="94">
        <v>9300</v>
      </c>
      <c r="P124" s="94">
        <v>1100</v>
      </c>
      <c r="Q124" s="92" t="s">
        <v>3957</v>
      </c>
      <c r="R124" s="92" t="s">
        <v>4547</v>
      </c>
      <c r="S124" s="91">
        <v>73050</v>
      </c>
      <c r="T124" s="91">
        <v>73065</v>
      </c>
    </row>
    <row r="125" spans="1:20" ht="30" customHeight="1" x14ac:dyDescent="0.35">
      <c r="A125" s="88">
        <v>141185</v>
      </c>
      <c r="B125" s="89" t="s">
        <v>4548</v>
      </c>
      <c r="C125" s="89" t="s">
        <v>4549</v>
      </c>
      <c r="D125" s="90" t="s">
        <v>4077</v>
      </c>
      <c r="E125" s="89" t="s">
        <v>1463</v>
      </c>
      <c r="F125" s="89"/>
      <c r="G125" s="89" t="s">
        <v>1464</v>
      </c>
      <c r="H125" s="91">
        <v>2111</v>
      </c>
      <c r="I125" s="89" t="s">
        <v>4537</v>
      </c>
      <c r="J125" s="92" t="s">
        <v>4058</v>
      </c>
      <c r="K125" s="92"/>
      <c r="L125" s="92" t="s">
        <v>4538</v>
      </c>
      <c r="M125" s="92" t="s">
        <v>4539</v>
      </c>
      <c r="N125" s="93">
        <v>2111</v>
      </c>
      <c r="O125" s="94">
        <v>200000</v>
      </c>
      <c r="P125" s="94">
        <v>28000</v>
      </c>
      <c r="Q125" s="92" t="s">
        <v>3957</v>
      </c>
      <c r="R125" s="92" t="s">
        <v>4550</v>
      </c>
      <c r="S125" s="89" t="s">
        <v>643</v>
      </c>
      <c r="T125" s="89" t="s">
        <v>643</v>
      </c>
    </row>
    <row r="126" spans="1:20" ht="30" customHeight="1" x14ac:dyDescent="0.35">
      <c r="A126" s="88">
        <v>141232</v>
      </c>
      <c r="B126" s="89" t="s">
        <v>4551</v>
      </c>
      <c r="C126" s="89" t="s">
        <v>4552</v>
      </c>
      <c r="D126" s="90" t="s">
        <v>4077</v>
      </c>
      <c r="E126" s="89" t="s">
        <v>4553</v>
      </c>
      <c r="F126" s="89"/>
      <c r="G126" s="89" t="s">
        <v>1467</v>
      </c>
      <c r="H126" s="91">
        <v>2184</v>
      </c>
      <c r="I126" s="89" t="s">
        <v>4554</v>
      </c>
      <c r="J126" s="92" t="s">
        <v>883</v>
      </c>
      <c r="K126" s="92"/>
      <c r="L126" s="92" t="s">
        <v>4555</v>
      </c>
      <c r="M126" s="92" t="s">
        <v>4556</v>
      </c>
      <c r="N126" s="93">
        <v>2184</v>
      </c>
      <c r="O126" s="94">
        <v>57000</v>
      </c>
      <c r="P126" s="94">
        <v>12000</v>
      </c>
      <c r="Q126" s="92" t="s">
        <v>3957</v>
      </c>
      <c r="R126" s="92" t="s">
        <v>4557</v>
      </c>
      <c r="S126" s="91">
        <v>21881</v>
      </c>
      <c r="T126" s="91">
        <v>21175</v>
      </c>
    </row>
    <row r="127" spans="1:20" ht="30" customHeight="1" x14ac:dyDescent="0.35">
      <c r="A127" s="88">
        <v>141383</v>
      </c>
      <c r="B127" s="89" t="s">
        <v>4558</v>
      </c>
      <c r="C127" s="89" t="s">
        <v>4559</v>
      </c>
      <c r="D127" s="90" t="s">
        <v>4077</v>
      </c>
      <c r="E127" s="89" t="s">
        <v>1469</v>
      </c>
      <c r="F127" s="89"/>
      <c r="G127" s="89" t="s">
        <v>2807</v>
      </c>
      <c r="H127" s="91">
        <v>1441</v>
      </c>
      <c r="I127" s="89" t="s">
        <v>4297</v>
      </c>
      <c r="J127" s="92" t="s">
        <v>883</v>
      </c>
      <c r="K127" s="92"/>
      <c r="L127" s="92" t="s">
        <v>4298</v>
      </c>
      <c r="M127" s="92" t="s">
        <v>4299</v>
      </c>
      <c r="N127" s="93">
        <v>1441</v>
      </c>
      <c r="O127" s="94">
        <v>18000</v>
      </c>
      <c r="P127" s="94">
        <v>3900</v>
      </c>
      <c r="Q127" s="92" t="s">
        <v>3957</v>
      </c>
      <c r="R127" s="92" t="s">
        <v>4560</v>
      </c>
      <c r="S127" s="91">
        <v>13135</v>
      </c>
      <c r="T127" s="91">
        <v>14160</v>
      </c>
    </row>
    <row r="128" spans="1:20" ht="30" customHeight="1" x14ac:dyDescent="0.35">
      <c r="A128" s="88">
        <v>141385</v>
      </c>
      <c r="B128" s="89" t="s">
        <v>4561</v>
      </c>
      <c r="C128" s="89" t="s">
        <v>4562</v>
      </c>
      <c r="D128" s="90" t="s">
        <v>4077</v>
      </c>
      <c r="E128" s="89" t="s">
        <v>1472</v>
      </c>
      <c r="F128" s="89"/>
      <c r="G128" s="89" t="s">
        <v>909</v>
      </c>
      <c r="H128" s="91">
        <v>1441</v>
      </c>
      <c r="I128" s="89" t="s">
        <v>4297</v>
      </c>
      <c r="J128" s="92" t="s">
        <v>883</v>
      </c>
      <c r="K128" s="92"/>
      <c r="L128" s="92" t="s">
        <v>4298</v>
      </c>
      <c r="M128" s="92" t="s">
        <v>4299</v>
      </c>
      <c r="N128" s="93">
        <v>1441</v>
      </c>
      <c r="O128" s="94">
        <v>18000</v>
      </c>
      <c r="P128" s="94">
        <v>3900</v>
      </c>
      <c r="Q128" s="92" t="s">
        <v>3957</v>
      </c>
      <c r="R128" s="92" t="s">
        <v>4563</v>
      </c>
      <c r="S128" s="91">
        <v>13135</v>
      </c>
      <c r="T128" s="91">
        <v>14165</v>
      </c>
    </row>
    <row r="129" spans="1:20" ht="30" customHeight="1" x14ac:dyDescent="0.35">
      <c r="A129" s="88">
        <v>141387</v>
      </c>
      <c r="B129" s="89" t="s">
        <v>4564</v>
      </c>
      <c r="C129" s="89" t="s">
        <v>4565</v>
      </c>
      <c r="D129" s="90" t="s">
        <v>4077</v>
      </c>
      <c r="E129" s="89" t="s">
        <v>1474</v>
      </c>
      <c r="F129" s="89"/>
      <c r="G129" s="89" t="s">
        <v>1475</v>
      </c>
      <c r="H129" s="91">
        <v>1441</v>
      </c>
      <c r="I129" s="89" t="s">
        <v>4297</v>
      </c>
      <c r="J129" s="92" t="s">
        <v>883</v>
      </c>
      <c r="K129" s="92"/>
      <c r="L129" s="92" t="s">
        <v>4298</v>
      </c>
      <c r="M129" s="92" t="s">
        <v>4299</v>
      </c>
      <c r="N129" s="93">
        <v>1441</v>
      </c>
      <c r="O129" s="94">
        <v>18000</v>
      </c>
      <c r="P129" s="94">
        <v>3900</v>
      </c>
      <c r="Q129" s="92" t="s">
        <v>3957</v>
      </c>
      <c r="R129" s="92" t="s">
        <v>4566</v>
      </c>
      <c r="S129" s="91">
        <v>13135</v>
      </c>
      <c r="T129" s="89" t="s">
        <v>643</v>
      </c>
    </row>
    <row r="130" spans="1:20" ht="30" customHeight="1" x14ac:dyDescent="0.35">
      <c r="A130" s="88">
        <v>141389</v>
      </c>
      <c r="B130" s="89" t="s">
        <v>4567</v>
      </c>
      <c r="C130" s="89" t="s">
        <v>4568</v>
      </c>
      <c r="D130" s="90" t="s">
        <v>4077</v>
      </c>
      <c r="E130" s="89" t="s">
        <v>4569</v>
      </c>
      <c r="F130" s="89"/>
      <c r="G130" s="89" t="s">
        <v>1478</v>
      </c>
      <c r="H130" s="91">
        <v>1441</v>
      </c>
      <c r="I130" s="89" t="s">
        <v>4297</v>
      </c>
      <c r="J130" s="92" t="s">
        <v>883</v>
      </c>
      <c r="K130" s="92"/>
      <c r="L130" s="92" t="s">
        <v>4298</v>
      </c>
      <c r="M130" s="92" t="s">
        <v>4299</v>
      </c>
      <c r="N130" s="93">
        <v>1441</v>
      </c>
      <c r="O130" s="94">
        <v>18000</v>
      </c>
      <c r="P130" s="94">
        <v>3900</v>
      </c>
      <c r="Q130" s="92" t="s">
        <v>3957</v>
      </c>
      <c r="R130" s="92" t="s">
        <v>4570</v>
      </c>
      <c r="S130" s="91">
        <v>13135</v>
      </c>
      <c r="T130" s="91">
        <v>17117</v>
      </c>
    </row>
    <row r="131" spans="1:20" ht="30" customHeight="1" x14ac:dyDescent="0.35">
      <c r="A131" s="88">
        <v>141391</v>
      </c>
      <c r="B131" s="89" t="s">
        <v>4571</v>
      </c>
      <c r="C131" s="89" t="s">
        <v>4572</v>
      </c>
      <c r="D131" s="90" t="s">
        <v>4077</v>
      </c>
      <c r="E131" s="89" t="s">
        <v>1480</v>
      </c>
      <c r="F131" s="89" t="s">
        <v>4573</v>
      </c>
      <c r="G131" s="89" t="s">
        <v>1481</v>
      </c>
      <c r="H131" s="91">
        <v>1311</v>
      </c>
      <c r="I131" s="89" t="s">
        <v>4270</v>
      </c>
      <c r="J131" s="92" t="s">
        <v>883</v>
      </c>
      <c r="K131" s="92"/>
      <c r="L131" s="92" t="s">
        <v>4271</v>
      </c>
      <c r="M131" s="92" t="s">
        <v>4272</v>
      </c>
      <c r="N131" s="93">
        <v>1311</v>
      </c>
      <c r="O131" s="94">
        <v>90000</v>
      </c>
      <c r="P131" s="94">
        <v>2300</v>
      </c>
      <c r="Q131" s="92" t="s">
        <v>3957</v>
      </c>
      <c r="R131" s="92" t="s">
        <v>4574</v>
      </c>
      <c r="S131" s="89" t="s">
        <v>643</v>
      </c>
      <c r="T131" s="89" t="s">
        <v>643</v>
      </c>
    </row>
    <row r="132" spans="1:20" ht="30" customHeight="1" x14ac:dyDescent="0.35">
      <c r="A132" s="88">
        <v>141392</v>
      </c>
      <c r="B132" s="89" t="s">
        <v>4575</v>
      </c>
      <c r="C132" s="89" t="s">
        <v>4576</v>
      </c>
      <c r="D132" s="90" t="s">
        <v>4077</v>
      </c>
      <c r="E132" s="89" t="s">
        <v>1483</v>
      </c>
      <c r="F132" s="89" t="s">
        <v>4577</v>
      </c>
      <c r="G132" s="89" t="s">
        <v>1484</v>
      </c>
      <c r="H132" s="91">
        <v>1402</v>
      </c>
      <c r="I132" s="89" t="s">
        <v>4578</v>
      </c>
      <c r="J132" s="92" t="s">
        <v>883</v>
      </c>
      <c r="K132" s="92"/>
      <c r="L132" s="92" t="s">
        <v>4579</v>
      </c>
      <c r="M132" s="92" t="s">
        <v>4580</v>
      </c>
      <c r="N132" s="93">
        <v>1402</v>
      </c>
      <c r="O132" s="94">
        <v>54000</v>
      </c>
      <c r="P132" s="94">
        <v>7300</v>
      </c>
      <c r="Q132" s="92" t="s">
        <v>3957</v>
      </c>
      <c r="R132" s="92" t="s">
        <v>4581</v>
      </c>
      <c r="S132" s="89" t="s">
        <v>643</v>
      </c>
      <c r="T132" s="89" t="s">
        <v>643</v>
      </c>
    </row>
    <row r="133" spans="1:20" ht="30" customHeight="1" x14ac:dyDescent="0.35">
      <c r="A133" s="88">
        <v>141393</v>
      </c>
      <c r="B133" s="89" t="s">
        <v>4582</v>
      </c>
      <c r="C133" s="89" t="s">
        <v>4583</v>
      </c>
      <c r="D133" s="90" t="s">
        <v>4077</v>
      </c>
      <c r="E133" s="89" t="s">
        <v>4584</v>
      </c>
      <c r="F133" s="89" t="s">
        <v>4573</v>
      </c>
      <c r="G133" s="89" t="s">
        <v>1487</v>
      </c>
      <c r="H133" s="91">
        <v>1402</v>
      </c>
      <c r="I133" s="89" t="s">
        <v>4578</v>
      </c>
      <c r="J133" s="92" t="s">
        <v>883</v>
      </c>
      <c r="K133" s="92"/>
      <c r="L133" s="92" t="s">
        <v>4579</v>
      </c>
      <c r="M133" s="92" t="s">
        <v>4580</v>
      </c>
      <c r="N133" s="93">
        <v>1402</v>
      </c>
      <c r="O133" s="94">
        <v>54000</v>
      </c>
      <c r="P133" s="94">
        <v>7300</v>
      </c>
      <c r="Q133" s="92" t="s">
        <v>3957</v>
      </c>
      <c r="R133" s="92" t="s">
        <v>4585</v>
      </c>
      <c r="S133" s="89" t="s">
        <v>643</v>
      </c>
      <c r="T133" s="89" t="s">
        <v>643</v>
      </c>
    </row>
    <row r="134" spans="1:20" ht="30" customHeight="1" x14ac:dyDescent="0.35">
      <c r="A134" s="92">
        <v>141400</v>
      </c>
      <c r="B134" s="89" t="s">
        <v>4586</v>
      </c>
      <c r="C134" s="89" t="s">
        <v>4491</v>
      </c>
      <c r="D134" s="90" t="s">
        <v>4077</v>
      </c>
      <c r="E134" s="89" t="s">
        <v>1489</v>
      </c>
      <c r="F134" s="89"/>
      <c r="G134" s="89" t="s">
        <v>909</v>
      </c>
      <c r="H134" s="89">
        <v>1402</v>
      </c>
      <c r="I134" s="89" t="s">
        <v>4578</v>
      </c>
      <c r="J134" s="92"/>
      <c r="K134" s="92"/>
      <c r="L134" s="92"/>
      <c r="M134" s="92"/>
      <c r="N134" s="90"/>
      <c r="O134" s="92"/>
      <c r="P134" s="92"/>
      <c r="Q134" s="92"/>
      <c r="R134" s="92"/>
      <c r="S134" s="89"/>
      <c r="T134" s="89"/>
    </row>
    <row r="135" spans="1:20" ht="30" customHeight="1" x14ac:dyDescent="0.35">
      <c r="A135" s="88">
        <v>141411</v>
      </c>
      <c r="B135" s="89" t="s">
        <v>4587</v>
      </c>
      <c r="C135" s="89" t="s">
        <v>4588</v>
      </c>
      <c r="D135" s="90" t="s">
        <v>4077</v>
      </c>
      <c r="E135" s="89" t="s">
        <v>1491</v>
      </c>
      <c r="F135" s="89"/>
      <c r="G135" s="89" t="s">
        <v>1492</v>
      </c>
      <c r="H135" s="91">
        <v>1402</v>
      </c>
      <c r="I135" s="89" t="s">
        <v>4578</v>
      </c>
      <c r="J135" s="92" t="s">
        <v>883</v>
      </c>
      <c r="K135" s="92"/>
      <c r="L135" s="92" t="s">
        <v>4579</v>
      </c>
      <c r="M135" s="92" t="s">
        <v>4580</v>
      </c>
      <c r="N135" s="93">
        <v>1402</v>
      </c>
      <c r="O135" s="94">
        <v>54000</v>
      </c>
      <c r="P135" s="94">
        <v>7300</v>
      </c>
      <c r="Q135" s="92" t="s">
        <v>3957</v>
      </c>
      <c r="R135" s="92" t="s">
        <v>4589</v>
      </c>
      <c r="S135" s="89" t="s">
        <v>643</v>
      </c>
      <c r="T135" s="89" t="s">
        <v>643</v>
      </c>
    </row>
    <row r="136" spans="1:20" ht="30" customHeight="1" x14ac:dyDescent="0.35">
      <c r="A136" s="88">
        <v>141421</v>
      </c>
      <c r="B136" s="89" t="s">
        <v>4590</v>
      </c>
      <c r="C136" s="89" t="s">
        <v>4591</v>
      </c>
      <c r="D136" s="90" t="s">
        <v>4077</v>
      </c>
      <c r="E136" s="89" t="s">
        <v>1494</v>
      </c>
      <c r="F136" s="89"/>
      <c r="G136" s="89" t="s">
        <v>1495</v>
      </c>
      <c r="H136" s="91">
        <v>1402</v>
      </c>
      <c r="I136" s="89" t="s">
        <v>4578</v>
      </c>
      <c r="J136" s="92" t="s">
        <v>883</v>
      </c>
      <c r="K136" s="92"/>
      <c r="L136" s="92" t="s">
        <v>4579</v>
      </c>
      <c r="M136" s="92" t="s">
        <v>4580</v>
      </c>
      <c r="N136" s="93">
        <v>1402</v>
      </c>
      <c r="O136" s="94">
        <v>54000</v>
      </c>
      <c r="P136" s="94">
        <v>7300</v>
      </c>
      <c r="Q136" s="92" t="s">
        <v>3957</v>
      </c>
      <c r="R136" s="92" t="s">
        <v>4592</v>
      </c>
      <c r="S136" s="89" t="s">
        <v>643</v>
      </c>
      <c r="T136" s="89" t="s">
        <v>643</v>
      </c>
    </row>
    <row r="137" spans="1:20" ht="123" customHeight="1" x14ac:dyDescent="0.35">
      <c r="A137" s="88">
        <v>141446</v>
      </c>
      <c r="B137" s="89" t="s">
        <v>4593</v>
      </c>
      <c r="C137" s="89" t="s">
        <v>4594</v>
      </c>
      <c r="D137" s="90" t="s">
        <v>4077</v>
      </c>
      <c r="E137" s="89" t="s">
        <v>4595</v>
      </c>
      <c r="F137" s="89"/>
      <c r="G137" s="89" t="s">
        <v>1498</v>
      </c>
      <c r="H137" s="91">
        <v>1402</v>
      </c>
      <c r="I137" s="89" t="s">
        <v>4578</v>
      </c>
      <c r="J137" s="92" t="s">
        <v>883</v>
      </c>
      <c r="K137" s="92"/>
      <c r="L137" s="92" t="s">
        <v>4579</v>
      </c>
      <c r="M137" s="92" t="s">
        <v>4580</v>
      </c>
      <c r="N137" s="93">
        <v>1402</v>
      </c>
      <c r="O137" s="94">
        <v>54000</v>
      </c>
      <c r="P137" s="94">
        <v>7300</v>
      </c>
      <c r="Q137" s="92" t="s">
        <v>3957</v>
      </c>
      <c r="R137" s="92" t="s">
        <v>4596</v>
      </c>
      <c r="S137" s="89" t="s">
        <v>643</v>
      </c>
      <c r="T137" s="89" t="s">
        <v>643</v>
      </c>
    </row>
    <row r="138" spans="1:20" ht="30" customHeight="1" x14ac:dyDescent="0.35">
      <c r="A138" s="88">
        <v>141447</v>
      </c>
      <c r="B138" s="89" t="s">
        <v>4597</v>
      </c>
      <c r="C138" s="89" t="s">
        <v>4598</v>
      </c>
      <c r="D138" s="90" t="s">
        <v>4077</v>
      </c>
      <c r="E138" s="89" t="s">
        <v>1500</v>
      </c>
      <c r="F138" s="89"/>
      <c r="G138" s="89" t="s">
        <v>1501</v>
      </c>
      <c r="H138" s="91">
        <v>1402</v>
      </c>
      <c r="I138" s="89" t="s">
        <v>4578</v>
      </c>
      <c r="J138" s="92" t="s">
        <v>883</v>
      </c>
      <c r="K138" s="92"/>
      <c r="L138" s="92" t="s">
        <v>4579</v>
      </c>
      <c r="M138" s="92" t="s">
        <v>4580</v>
      </c>
      <c r="N138" s="93">
        <v>1402</v>
      </c>
      <c r="O138" s="94">
        <v>54000</v>
      </c>
      <c r="P138" s="94">
        <v>7300</v>
      </c>
      <c r="Q138" s="92" t="s">
        <v>3957</v>
      </c>
      <c r="R138" s="92" t="s">
        <v>4599</v>
      </c>
      <c r="S138" s="89" t="s">
        <v>643</v>
      </c>
      <c r="T138" s="89" t="s">
        <v>643</v>
      </c>
    </row>
    <row r="139" spans="1:20" ht="30" customHeight="1" x14ac:dyDescent="0.35">
      <c r="A139" s="88">
        <v>141449</v>
      </c>
      <c r="B139" s="89" t="s">
        <v>4600</v>
      </c>
      <c r="C139" s="89"/>
      <c r="D139" s="90" t="s">
        <v>4077</v>
      </c>
      <c r="E139" s="89" t="s">
        <v>4601</v>
      </c>
      <c r="F139" s="89"/>
      <c r="G139" s="89" t="s">
        <v>1504</v>
      </c>
      <c r="H139" s="91">
        <v>1402</v>
      </c>
      <c r="I139" s="89" t="s">
        <v>4578</v>
      </c>
      <c r="J139" s="92" t="s">
        <v>883</v>
      </c>
      <c r="K139" s="92"/>
      <c r="L139" s="92" t="s">
        <v>4579</v>
      </c>
      <c r="M139" s="92" t="s">
        <v>4580</v>
      </c>
      <c r="N139" s="93">
        <v>1402</v>
      </c>
      <c r="O139" s="94">
        <v>54000</v>
      </c>
      <c r="P139" s="94">
        <v>7300</v>
      </c>
      <c r="Q139" s="92" t="s">
        <v>3957</v>
      </c>
      <c r="R139" s="92" t="s">
        <v>4602</v>
      </c>
      <c r="S139" s="89" t="s">
        <v>643</v>
      </c>
      <c r="T139" s="89" t="s">
        <v>643</v>
      </c>
    </row>
    <row r="140" spans="1:20" ht="30" customHeight="1" x14ac:dyDescent="0.35">
      <c r="A140" s="88">
        <v>141453</v>
      </c>
      <c r="B140" s="89" t="s">
        <v>4603</v>
      </c>
      <c r="C140" s="89" t="s">
        <v>4604</v>
      </c>
      <c r="D140" s="90" t="s">
        <v>4077</v>
      </c>
      <c r="E140" s="89" t="s">
        <v>1506</v>
      </c>
      <c r="F140" s="89"/>
      <c r="G140" s="89" t="s">
        <v>1507</v>
      </c>
      <c r="H140" s="91">
        <v>1412</v>
      </c>
      <c r="I140" s="89" t="s">
        <v>4605</v>
      </c>
      <c r="J140" s="92" t="s">
        <v>883</v>
      </c>
      <c r="K140" s="92"/>
      <c r="L140" s="92" t="s">
        <v>4579</v>
      </c>
      <c r="M140" s="92" t="s">
        <v>4606</v>
      </c>
      <c r="N140" s="93">
        <v>1412</v>
      </c>
      <c r="O140" s="94">
        <v>120000</v>
      </c>
      <c r="P140" s="94">
        <v>13000</v>
      </c>
      <c r="Q140" s="92" t="s">
        <v>3957</v>
      </c>
      <c r="R140" s="92" t="s">
        <v>4607</v>
      </c>
      <c r="S140" s="91">
        <v>14110</v>
      </c>
      <c r="T140" s="91">
        <v>14140</v>
      </c>
    </row>
    <row r="141" spans="1:20" ht="30" customHeight="1" x14ac:dyDescent="0.35">
      <c r="A141" s="88">
        <v>141454</v>
      </c>
      <c r="B141" s="89" t="s">
        <v>4608</v>
      </c>
      <c r="C141" s="89" t="s">
        <v>4609</v>
      </c>
      <c r="D141" s="90" t="s">
        <v>4077</v>
      </c>
      <c r="E141" s="89" t="s">
        <v>4610</v>
      </c>
      <c r="F141" s="89"/>
      <c r="G141" s="84" t="s">
        <v>1510</v>
      </c>
      <c r="H141" s="91">
        <v>1444</v>
      </c>
      <c r="I141" s="89" t="s">
        <v>4079</v>
      </c>
      <c r="J141" s="92" t="s">
        <v>883</v>
      </c>
      <c r="K141" s="92"/>
      <c r="L141" s="92" t="s">
        <v>4080</v>
      </c>
      <c r="M141" s="92" t="s">
        <v>4081</v>
      </c>
      <c r="N141" s="93">
        <v>1444</v>
      </c>
      <c r="O141" s="94">
        <v>190000</v>
      </c>
      <c r="P141" s="94">
        <v>5800</v>
      </c>
      <c r="Q141" s="92" t="s">
        <v>3957</v>
      </c>
      <c r="R141" s="92" t="s">
        <v>4611</v>
      </c>
      <c r="S141" s="91">
        <v>14114</v>
      </c>
      <c r="T141" s="91">
        <v>14325</v>
      </c>
    </row>
    <row r="142" spans="1:20" ht="30" customHeight="1" x14ac:dyDescent="0.35">
      <c r="A142" s="88">
        <v>141455</v>
      </c>
      <c r="B142" s="89" t="s">
        <v>4612</v>
      </c>
      <c r="C142" s="89" t="s">
        <v>4613</v>
      </c>
      <c r="D142" s="90" t="s">
        <v>4077</v>
      </c>
      <c r="E142" s="89" t="s">
        <v>4614</v>
      </c>
      <c r="F142" s="89"/>
      <c r="G142" s="89" t="s">
        <v>1513</v>
      </c>
      <c r="H142" s="91">
        <v>1444</v>
      </c>
      <c r="I142" s="89" t="s">
        <v>4079</v>
      </c>
      <c r="J142" s="92" t="s">
        <v>883</v>
      </c>
      <c r="K142" s="92"/>
      <c r="L142" s="92" t="s">
        <v>4080</v>
      </c>
      <c r="M142" s="92" t="s">
        <v>4081</v>
      </c>
      <c r="N142" s="93">
        <v>1444</v>
      </c>
      <c r="O142" s="94">
        <v>190000</v>
      </c>
      <c r="P142" s="94">
        <v>5800</v>
      </c>
      <c r="Q142" s="92" t="s">
        <v>3957</v>
      </c>
      <c r="R142" s="92" t="s">
        <v>4615</v>
      </c>
      <c r="S142" s="89" t="s">
        <v>643</v>
      </c>
      <c r="T142" s="89" t="s">
        <v>643</v>
      </c>
    </row>
    <row r="143" spans="1:20" ht="30" customHeight="1" x14ac:dyDescent="0.35">
      <c r="A143" s="88">
        <v>141456</v>
      </c>
      <c r="B143" s="89" t="s">
        <v>4616</v>
      </c>
      <c r="C143" s="89" t="s">
        <v>4617</v>
      </c>
      <c r="D143" s="90" t="s">
        <v>4077</v>
      </c>
      <c r="E143" s="89" t="s">
        <v>4618</v>
      </c>
      <c r="F143" s="89" t="s">
        <v>4619</v>
      </c>
      <c r="G143" s="89" t="s">
        <v>1516</v>
      </c>
      <c r="H143" s="91">
        <v>1444</v>
      </c>
      <c r="I143" s="89" t="s">
        <v>4079</v>
      </c>
      <c r="J143" s="92" t="s">
        <v>883</v>
      </c>
      <c r="K143" s="92"/>
      <c r="L143" s="92" t="s">
        <v>4080</v>
      </c>
      <c r="M143" s="92" t="s">
        <v>4081</v>
      </c>
      <c r="N143" s="93">
        <v>1444</v>
      </c>
      <c r="O143" s="94">
        <v>190000</v>
      </c>
      <c r="P143" s="94">
        <v>5800</v>
      </c>
      <c r="Q143" s="92" t="s">
        <v>3957</v>
      </c>
      <c r="R143" s="92" t="s">
        <v>4620</v>
      </c>
      <c r="S143" s="91">
        <v>14114</v>
      </c>
      <c r="T143" s="91">
        <v>14142</v>
      </c>
    </row>
    <row r="144" spans="1:20" ht="30" customHeight="1" x14ac:dyDescent="0.35">
      <c r="A144" s="88">
        <v>141459</v>
      </c>
      <c r="B144" s="89" t="s">
        <v>4621</v>
      </c>
      <c r="C144" s="89" t="s">
        <v>4622</v>
      </c>
      <c r="D144" s="90" t="s">
        <v>4077</v>
      </c>
      <c r="E144" s="89" t="s">
        <v>1518</v>
      </c>
      <c r="F144" s="89" t="s">
        <v>4623</v>
      </c>
      <c r="G144" s="89" t="s">
        <v>1519</v>
      </c>
      <c r="H144" s="91">
        <v>1412</v>
      </c>
      <c r="I144" s="89" t="s">
        <v>4605</v>
      </c>
      <c r="J144" s="92" t="s">
        <v>883</v>
      </c>
      <c r="K144" s="92"/>
      <c r="L144" s="92" t="s">
        <v>4579</v>
      </c>
      <c r="M144" s="92" t="s">
        <v>4606</v>
      </c>
      <c r="N144" s="93">
        <v>1412</v>
      </c>
      <c r="O144" s="94">
        <v>120000</v>
      </c>
      <c r="P144" s="94">
        <v>13000</v>
      </c>
      <c r="Q144" s="92" t="s">
        <v>3957</v>
      </c>
      <c r="R144" s="92" t="s">
        <v>4624</v>
      </c>
      <c r="S144" s="89" t="s">
        <v>4625</v>
      </c>
      <c r="T144" s="91">
        <v>14140</v>
      </c>
    </row>
    <row r="145" spans="1:20" ht="30" customHeight="1" x14ac:dyDescent="0.35">
      <c r="A145" s="88">
        <v>141461</v>
      </c>
      <c r="B145" s="89" t="s">
        <v>4626</v>
      </c>
      <c r="C145" s="89" t="s">
        <v>4626</v>
      </c>
      <c r="D145" s="90" t="s">
        <v>4077</v>
      </c>
      <c r="E145" s="89" t="s">
        <v>1521</v>
      </c>
      <c r="F145" s="89"/>
      <c r="G145" s="89" t="s">
        <v>1522</v>
      </c>
      <c r="H145" s="91">
        <v>1412</v>
      </c>
      <c r="I145" s="89" t="s">
        <v>4605</v>
      </c>
      <c r="J145" s="92" t="s">
        <v>883</v>
      </c>
      <c r="K145" s="92"/>
      <c r="L145" s="92" t="s">
        <v>4579</v>
      </c>
      <c r="M145" s="92" t="s">
        <v>4606</v>
      </c>
      <c r="N145" s="93">
        <v>1412</v>
      </c>
      <c r="O145" s="94">
        <v>120000</v>
      </c>
      <c r="P145" s="94">
        <v>13000</v>
      </c>
      <c r="Q145" s="92" t="s">
        <v>3957</v>
      </c>
      <c r="R145" s="92" t="s">
        <v>4627</v>
      </c>
      <c r="S145" s="91">
        <v>14110</v>
      </c>
      <c r="T145" s="91">
        <v>14140</v>
      </c>
    </row>
    <row r="146" spans="1:20" ht="30" customHeight="1" x14ac:dyDescent="0.35">
      <c r="A146" s="88">
        <v>141481</v>
      </c>
      <c r="B146" s="89" t="s">
        <v>4628</v>
      </c>
      <c r="C146" s="89" t="s">
        <v>4629</v>
      </c>
      <c r="D146" s="90" t="s">
        <v>4077</v>
      </c>
      <c r="E146" s="89" t="s">
        <v>1524</v>
      </c>
      <c r="F146" s="89" t="s">
        <v>4630</v>
      </c>
      <c r="G146" s="89" t="s">
        <v>1525</v>
      </c>
      <c r="H146" s="91">
        <v>1402</v>
      </c>
      <c r="I146" s="89" t="s">
        <v>4578</v>
      </c>
      <c r="J146" s="92" t="s">
        <v>883</v>
      </c>
      <c r="K146" s="92"/>
      <c r="L146" s="92" t="s">
        <v>4579</v>
      </c>
      <c r="M146" s="92" t="s">
        <v>4580</v>
      </c>
      <c r="N146" s="93">
        <v>1402</v>
      </c>
      <c r="O146" s="94">
        <v>54000</v>
      </c>
      <c r="P146" s="94">
        <v>7300</v>
      </c>
      <c r="Q146" s="92" t="s">
        <v>3957</v>
      </c>
      <c r="R146" s="92" t="s">
        <v>4631</v>
      </c>
      <c r="S146" s="89" t="s">
        <v>643</v>
      </c>
      <c r="T146" s="89" t="s">
        <v>643</v>
      </c>
    </row>
    <row r="147" spans="1:20" ht="30" customHeight="1" x14ac:dyDescent="0.35">
      <c r="A147" s="88">
        <v>141489</v>
      </c>
      <c r="B147" s="89" t="s">
        <v>4632</v>
      </c>
      <c r="C147" s="89" t="s">
        <v>4633</v>
      </c>
      <c r="D147" s="90" t="s">
        <v>4077</v>
      </c>
      <c r="E147" s="89" t="s">
        <v>1527</v>
      </c>
      <c r="F147" s="89"/>
      <c r="G147" s="89" t="s">
        <v>1528</v>
      </c>
      <c r="H147" s="91">
        <v>1402</v>
      </c>
      <c r="I147" s="89" t="s">
        <v>4578</v>
      </c>
      <c r="J147" s="92" t="s">
        <v>883</v>
      </c>
      <c r="K147" s="92"/>
      <c r="L147" s="92" t="s">
        <v>4579</v>
      </c>
      <c r="M147" s="92" t="s">
        <v>4580</v>
      </c>
      <c r="N147" s="93">
        <v>1402</v>
      </c>
      <c r="O147" s="94">
        <v>54000</v>
      </c>
      <c r="P147" s="94">
        <v>7300</v>
      </c>
      <c r="Q147" s="92" t="s">
        <v>3957</v>
      </c>
      <c r="R147" s="92" t="s">
        <v>4634</v>
      </c>
      <c r="S147" s="89" t="s">
        <v>643</v>
      </c>
      <c r="T147" s="89" t="s">
        <v>643</v>
      </c>
    </row>
    <row r="148" spans="1:20" ht="30" customHeight="1" x14ac:dyDescent="0.35">
      <c r="A148" s="88">
        <v>141626</v>
      </c>
      <c r="B148" s="89" t="s">
        <v>4635</v>
      </c>
      <c r="C148" s="89" t="s">
        <v>4636</v>
      </c>
      <c r="D148" s="90" t="s">
        <v>4077</v>
      </c>
      <c r="E148" s="89" t="s">
        <v>1530</v>
      </c>
      <c r="F148" s="89" t="s">
        <v>4637</v>
      </c>
      <c r="G148" s="89" t="s">
        <v>1531</v>
      </c>
      <c r="H148" s="91">
        <v>1412</v>
      </c>
      <c r="I148" s="89" t="s">
        <v>4605</v>
      </c>
      <c r="J148" s="92" t="s">
        <v>883</v>
      </c>
      <c r="K148" s="92"/>
      <c r="L148" s="92" t="s">
        <v>4579</v>
      </c>
      <c r="M148" s="92" t="s">
        <v>4606</v>
      </c>
      <c r="N148" s="93">
        <v>1412</v>
      </c>
      <c r="O148" s="94">
        <v>120000</v>
      </c>
      <c r="P148" s="94">
        <v>13000</v>
      </c>
      <c r="Q148" s="92" t="s">
        <v>3957</v>
      </c>
      <c r="R148" s="92" t="s">
        <v>4638</v>
      </c>
      <c r="S148" s="91">
        <v>14110</v>
      </c>
      <c r="T148" s="89" t="s">
        <v>643</v>
      </c>
    </row>
    <row r="149" spans="1:20" ht="30" customHeight="1" x14ac:dyDescent="0.35">
      <c r="A149" s="88">
        <v>141627</v>
      </c>
      <c r="B149" s="89" t="s">
        <v>4639</v>
      </c>
      <c r="C149" s="89" t="s">
        <v>4640</v>
      </c>
      <c r="D149" s="90" t="s">
        <v>4077</v>
      </c>
      <c r="E149" s="89" t="s">
        <v>4641</v>
      </c>
      <c r="F149" s="89"/>
      <c r="G149" s="89" t="s">
        <v>1534</v>
      </c>
      <c r="H149" s="91">
        <v>1412</v>
      </c>
      <c r="I149" s="89" t="s">
        <v>4605</v>
      </c>
      <c r="J149" s="92" t="s">
        <v>883</v>
      </c>
      <c r="K149" s="92"/>
      <c r="L149" s="92" t="s">
        <v>4579</v>
      </c>
      <c r="M149" s="92" t="s">
        <v>4606</v>
      </c>
      <c r="N149" s="93">
        <v>1412</v>
      </c>
      <c r="O149" s="94">
        <v>120000</v>
      </c>
      <c r="P149" s="94">
        <v>13000</v>
      </c>
      <c r="Q149" s="92" t="s">
        <v>3957</v>
      </c>
      <c r="R149" s="92" t="s">
        <v>4642</v>
      </c>
      <c r="S149" s="91">
        <v>14110</v>
      </c>
      <c r="T149" s="89" t="s">
        <v>643</v>
      </c>
    </row>
    <row r="150" spans="1:20" ht="30" customHeight="1" x14ac:dyDescent="0.35">
      <c r="A150" s="88">
        <v>141629</v>
      </c>
      <c r="B150" s="89" t="s">
        <v>4643</v>
      </c>
      <c r="C150" s="89" t="s">
        <v>4644</v>
      </c>
      <c r="D150" s="90" t="s">
        <v>4077</v>
      </c>
      <c r="E150" s="89" t="s">
        <v>1536</v>
      </c>
      <c r="F150" s="89"/>
      <c r="G150" s="89" t="s">
        <v>1537</v>
      </c>
      <c r="H150" s="91">
        <v>1412</v>
      </c>
      <c r="I150" s="89" t="s">
        <v>4605</v>
      </c>
      <c r="J150" s="92" t="s">
        <v>883</v>
      </c>
      <c r="K150" s="92"/>
      <c r="L150" s="92" t="s">
        <v>4579</v>
      </c>
      <c r="M150" s="92" t="s">
        <v>4606</v>
      </c>
      <c r="N150" s="93">
        <v>1412</v>
      </c>
      <c r="O150" s="94">
        <v>120000</v>
      </c>
      <c r="P150" s="94">
        <v>13000</v>
      </c>
      <c r="Q150" s="92" t="s">
        <v>3957</v>
      </c>
      <c r="R150" s="92" t="s">
        <v>4645</v>
      </c>
      <c r="S150" s="91">
        <v>14110</v>
      </c>
      <c r="T150" s="89" t="s">
        <v>643</v>
      </c>
    </row>
    <row r="151" spans="1:20" ht="30" customHeight="1" x14ac:dyDescent="0.35">
      <c r="A151" s="88">
        <v>141635</v>
      </c>
      <c r="B151" s="89" t="s">
        <v>4646</v>
      </c>
      <c r="C151" s="89" t="s">
        <v>4647</v>
      </c>
      <c r="D151" s="90" t="s">
        <v>4077</v>
      </c>
      <c r="E151" s="89" t="s">
        <v>1539</v>
      </c>
      <c r="F151" s="89" t="s">
        <v>4648</v>
      </c>
      <c r="G151" s="89" t="s">
        <v>1540</v>
      </c>
      <c r="H151" s="91">
        <v>1412</v>
      </c>
      <c r="I151" s="89" t="s">
        <v>4605</v>
      </c>
      <c r="J151" s="92" t="s">
        <v>883</v>
      </c>
      <c r="K151" s="92"/>
      <c r="L151" s="92" t="s">
        <v>4579</v>
      </c>
      <c r="M151" s="92" t="s">
        <v>4606</v>
      </c>
      <c r="N151" s="93">
        <v>1412</v>
      </c>
      <c r="O151" s="94">
        <v>120000</v>
      </c>
      <c r="P151" s="94">
        <v>13000</v>
      </c>
      <c r="Q151" s="92" t="s">
        <v>3957</v>
      </c>
      <c r="R151" s="92" t="s">
        <v>4649</v>
      </c>
      <c r="S151" s="91">
        <v>14110</v>
      </c>
      <c r="T151" s="89" t="s">
        <v>643</v>
      </c>
    </row>
    <row r="152" spans="1:20" ht="30" customHeight="1" x14ac:dyDescent="0.35">
      <c r="A152" s="88">
        <v>141649</v>
      </c>
      <c r="B152" s="89" t="s">
        <v>4650</v>
      </c>
      <c r="C152" s="89" t="s">
        <v>4651</v>
      </c>
      <c r="D152" s="90" t="s">
        <v>4077</v>
      </c>
      <c r="E152" s="89" t="s">
        <v>4652</v>
      </c>
      <c r="F152" s="89"/>
      <c r="G152" s="89" t="s">
        <v>1543</v>
      </c>
      <c r="H152" s="91">
        <v>1444</v>
      </c>
      <c r="I152" s="89" t="s">
        <v>4079</v>
      </c>
      <c r="J152" s="92" t="s">
        <v>883</v>
      </c>
      <c r="K152" s="92"/>
      <c r="L152" s="92" t="s">
        <v>4080</v>
      </c>
      <c r="M152" s="92" t="s">
        <v>4081</v>
      </c>
      <c r="N152" s="93">
        <v>1444</v>
      </c>
      <c r="O152" s="94">
        <v>190000</v>
      </c>
      <c r="P152" s="94">
        <v>5800</v>
      </c>
      <c r="Q152" s="92" t="s">
        <v>3957</v>
      </c>
      <c r="R152" s="92" t="s">
        <v>4653</v>
      </c>
      <c r="S152" s="91">
        <v>14115</v>
      </c>
      <c r="T152" s="89" t="s">
        <v>643</v>
      </c>
    </row>
    <row r="153" spans="1:20" ht="30" customHeight="1" x14ac:dyDescent="0.35">
      <c r="A153" s="92">
        <v>141650</v>
      </c>
      <c r="B153" s="89" t="s">
        <v>4654</v>
      </c>
      <c r="C153" s="89"/>
      <c r="D153" s="90" t="s">
        <v>4077</v>
      </c>
      <c r="E153" s="89" t="s">
        <v>4655</v>
      </c>
      <c r="F153" s="89"/>
      <c r="G153" s="89" t="s">
        <v>909</v>
      </c>
      <c r="H153" s="91">
        <v>1444</v>
      </c>
      <c r="I153" s="89" t="s">
        <v>4079</v>
      </c>
      <c r="J153" s="92" t="s">
        <v>883</v>
      </c>
      <c r="K153" s="92"/>
      <c r="L153" s="92" t="s">
        <v>4080</v>
      </c>
      <c r="M153" s="92" t="s">
        <v>4081</v>
      </c>
      <c r="N153" s="93">
        <v>1444</v>
      </c>
      <c r="O153" s="94">
        <v>190000</v>
      </c>
      <c r="P153" s="94">
        <v>5800</v>
      </c>
      <c r="Q153" s="92" t="s">
        <v>3957</v>
      </c>
      <c r="R153" s="92" t="s">
        <v>4653</v>
      </c>
      <c r="S153" s="91">
        <v>14115</v>
      </c>
      <c r="T153" s="89" t="s">
        <v>643</v>
      </c>
    </row>
    <row r="154" spans="1:20" ht="30" customHeight="1" x14ac:dyDescent="0.35">
      <c r="A154" s="92">
        <v>141651</v>
      </c>
      <c r="B154" s="89" t="s">
        <v>4656</v>
      </c>
      <c r="C154" s="89"/>
      <c r="D154" s="90" t="s">
        <v>4077</v>
      </c>
      <c r="E154" s="89" t="s">
        <v>4657</v>
      </c>
      <c r="F154" s="89"/>
      <c r="G154" s="89" t="s">
        <v>909</v>
      </c>
      <c r="H154" s="91">
        <v>1444</v>
      </c>
      <c r="I154" s="89" t="s">
        <v>4079</v>
      </c>
      <c r="J154" s="92" t="s">
        <v>883</v>
      </c>
      <c r="K154" s="92"/>
      <c r="L154" s="92" t="s">
        <v>4080</v>
      </c>
      <c r="M154" s="92" t="s">
        <v>4081</v>
      </c>
      <c r="N154" s="93">
        <v>1444</v>
      </c>
      <c r="O154" s="94">
        <v>190000</v>
      </c>
      <c r="P154" s="94">
        <v>5800</v>
      </c>
      <c r="Q154" s="92" t="s">
        <v>3957</v>
      </c>
      <c r="R154" s="92" t="s">
        <v>4653</v>
      </c>
      <c r="S154" s="91">
        <v>14115</v>
      </c>
      <c r="T154" s="89" t="s">
        <v>643</v>
      </c>
    </row>
    <row r="155" spans="1:20" ht="30" customHeight="1" x14ac:dyDescent="0.35">
      <c r="A155" s="92">
        <v>141652</v>
      </c>
      <c r="B155" s="89" t="s">
        <v>4658</v>
      </c>
      <c r="C155" s="89"/>
      <c r="D155" s="90" t="s">
        <v>4077</v>
      </c>
      <c r="E155" s="89" t="s">
        <v>4659</v>
      </c>
      <c r="F155" s="89"/>
      <c r="G155" s="89" t="s">
        <v>909</v>
      </c>
      <c r="H155" s="91">
        <v>1444</v>
      </c>
      <c r="I155" s="89" t="s">
        <v>4079</v>
      </c>
      <c r="J155" s="92" t="s">
        <v>883</v>
      </c>
      <c r="K155" s="92"/>
      <c r="L155" s="92" t="s">
        <v>4080</v>
      </c>
      <c r="M155" s="92" t="s">
        <v>4081</v>
      </c>
      <c r="N155" s="93">
        <v>1444</v>
      </c>
      <c r="O155" s="94">
        <v>190000</v>
      </c>
      <c r="P155" s="94">
        <v>5800</v>
      </c>
      <c r="Q155" s="92" t="s">
        <v>3957</v>
      </c>
      <c r="R155" s="92" t="s">
        <v>4653</v>
      </c>
      <c r="S155" s="91">
        <v>14115</v>
      </c>
      <c r="T155" s="89" t="s">
        <v>643</v>
      </c>
    </row>
    <row r="156" spans="1:20" ht="30" customHeight="1" x14ac:dyDescent="0.35">
      <c r="A156" s="88">
        <v>141743</v>
      </c>
      <c r="B156" s="89" t="s">
        <v>4660</v>
      </c>
      <c r="C156" s="89" t="s">
        <v>4661</v>
      </c>
      <c r="D156" s="90" t="s">
        <v>4077</v>
      </c>
      <c r="E156" s="89" t="s">
        <v>1551</v>
      </c>
      <c r="F156" s="89"/>
      <c r="G156" s="89" t="s">
        <v>1552</v>
      </c>
      <c r="H156" s="91">
        <v>1441</v>
      </c>
      <c r="I156" s="89" t="s">
        <v>4297</v>
      </c>
      <c r="J156" s="92" t="s">
        <v>883</v>
      </c>
      <c r="K156" s="92"/>
      <c r="L156" s="92" t="s">
        <v>4298</v>
      </c>
      <c r="M156" s="92" t="s">
        <v>4299</v>
      </c>
      <c r="N156" s="93">
        <v>1441</v>
      </c>
      <c r="O156" s="94">
        <v>18000</v>
      </c>
      <c r="P156" s="94">
        <v>3900</v>
      </c>
      <c r="Q156" s="92" t="s">
        <v>3957</v>
      </c>
      <c r="R156" s="92" t="s">
        <v>4662</v>
      </c>
      <c r="S156" s="91">
        <v>13135</v>
      </c>
      <c r="T156" s="91">
        <v>14160</v>
      </c>
    </row>
    <row r="157" spans="1:20" ht="30" customHeight="1" x14ac:dyDescent="0.35">
      <c r="A157" s="88">
        <v>141745</v>
      </c>
      <c r="B157" s="89" t="s">
        <v>4663</v>
      </c>
      <c r="C157" s="89" t="s">
        <v>4664</v>
      </c>
      <c r="D157" s="90" t="s">
        <v>4077</v>
      </c>
      <c r="E157" s="89" t="s">
        <v>1554</v>
      </c>
      <c r="F157" s="89"/>
      <c r="G157" s="89" t="s">
        <v>1555</v>
      </c>
      <c r="H157" s="91">
        <v>1441</v>
      </c>
      <c r="I157" s="89" t="s">
        <v>4297</v>
      </c>
      <c r="J157" s="92" t="s">
        <v>883</v>
      </c>
      <c r="K157" s="92"/>
      <c r="L157" s="92" t="s">
        <v>4298</v>
      </c>
      <c r="M157" s="92" t="s">
        <v>4299</v>
      </c>
      <c r="N157" s="93">
        <v>1441</v>
      </c>
      <c r="O157" s="94">
        <v>18000</v>
      </c>
      <c r="P157" s="94">
        <v>3900</v>
      </c>
      <c r="Q157" s="92" t="s">
        <v>3957</v>
      </c>
      <c r="R157" s="92" t="s">
        <v>4665</v>
      </c>
      <c r="S157" s="91">
        <v>13135</v>
      </c>
      <c r="T157" s="91">
        <v>14165</v>
      </c>
    </row>
    <row r="158" spans="1:20" ht="52.5" customHeight="1" x14ac:dyDescent="0.35">
      <c r="A158" s="88">
        <v>141747</v>
      </c>
      <c r="B158" s="89" t="s">
        <v>4666</v>
      </c>
      <c r="C158" s="89" t="s">
        <v>4667</v>
      </c>
      <c r="D158" s="90" t="s">
        <v>4077</v>
      </c>
      <c r="E158" s="89" t="s">
        <v>1557</v>
      </c>
      <c r="F158" s="89"/>
      <c r="G158" s="89" t="s">
        <v>1558</v>
      </c>
      <c r="H158" s="91">
        <v>1441</v>
      </c>
      <c r="I158" s="89" t="s">
        <v>4297</v>
      </c>
      <c r="J158" s="92" t="s">
        <v>883</v>
      </c>
      <c r="K158" s="92"/>
      <c r="L158" s="92" t="s">
        <v>4298</v>
      </c>
      <c r="M158" s="92" t="s">
        <v>4299</v>
      </c>
      <c r="N158" s="93">
        <v>1441</v>
      </c>
      <c r="O158" s="94">
        <v>18000</v>
      </c>
      <c r="P158" s="94">
        <v>3900</v>
      </c>
      <c r="Q158" s="92" t="s">
        <v>3957</v>
      </c>
      <c r="R158" s="92" t="s">
        <v>4668</v>
      </c>
      <c r="S158" s="91">
        <v>13135</v>
      </c>
      <c r="T158" s="89" t="s">
        <v>643</v>
      </c>
    </row>
    <row r="159" spans="1:20" ht="30" customHeight="1" x14ac:dyDescent="0.35">
      <c r="A159" s="88">
        <v>141753</v>
      </c>
      <c r="B159" s="89" t="s">
        <v>4669</v>
      </c>
      <c r="C159" s="89" t="s">
        <v>4670</v>
      </c>
      <c r="D159" s="90" t="s">
        <v>4077</v>
      </c>
      <c r="E159" s="89" t="s">
        <v>1560</v>
      </c>
      <c r="F159" s="89"/>
      <c r="G159" s="89" t="s">
        <v>1561</v>
      </c>
      <c r="H159" s="91">
        <v>1412</v>
      </c>
      <c r="I159" s="89" t="s">
        <v>4605</v>
      </c>
      <c r="J159" s="92" t="s">
        <v>883</v>
      </c>
      <c r="K159" s="92"/>
      <c r="L159" s="92" t="s">
        <v>4579</v>
      </c>
      <c r="M159" s="92" t="s">
        <v>4606</v>
      </c>
      <c r="N159" s="93">
        <v>1412</v>
      </c>
      <c r="O159" s="94">
        <v>120000</v>
      </c>
      <c r="P159" s="94">
        <v>13000</v>
      </c>
      <c r="Q159" s="92" t="s">
        <v>3957</v>
      </c>
      <c r="R159" s="92" t="s">
        <v>4671</v>
      </c>
      <c r="S159" s="91">
        <v>14112</v>
      </c>
      <c r="T159" s="89" t="s">
        <v>643</v>
      </c>
    </row>
    <row r="160" spans="1:20" ht="30" customHeight="1" x14ac:dyDescent="0.35">
      <c r="A160" s="88">
        <v>141762</v>
      </c>
      <c r="B160" s="89" t="s">
        <v>4672</v>
      </c>
      <c r="C160" s="89" t="s">
        <v>4673</v>
      </c>
      <c r="D160" s="90" t="s">
        <v>4077</v>
      </c>
      <c r="E160" s="89" t="s">
        <v>4674</v>
      </c>
      <c r="F160" s="89"/>
      <c r="G160" s="89" t="s">
        <v>1564</v>
      </c>
      <c r="H160" s="91">
        <v>1311</v>
      </c>
      <c r="I160" s="89" t="s">
        <v>4270</v>
      </c>
      <c r="J160" s="92" t="s">
        <v>883</v>
      </c>
      <c r="K160" s="92"/>
      <c r="L160" s="92" t="s">
        <v>4271</v>
      </c>
      <c r="M160" s="92" t="s">
        <v>4272</v>
      </c>
      <c r="N160" s="93">
        <v>1311</v>
      </c>
      <c r="O160" s="94">
        <v>90000</v>
      </c>
      <c r="P160" s="94">
        <v>2300</v>
      </c>
      <c r="Q160" s="92" t="s">
        <v>3957</v>
      </c>
      <c r="R160" s="92" t="s">
        <v>4675</v>
      </c>
      <c r="S160" s="89" t="s">
        <v>643</v>
      </c>
      <c r="T160" s="89" t="s">
        <v>643</v>
      </c>
    </row>
    <row r="161" spans="1:20" ht="30" customHeight="1" x14ac:dyDescent="0.35">
      <c r="A161" s="88">
        <v>141763</v>
      </c>
      <c r="B161" s="89" t="s">
        <v>4676</v>
      </c>
      <c r="C161" s="89" t="s">
        <v>4677</v>
      </c>
      <c r="D161" s="90" t="s">
        <v>4077</v>
      </c>
      <c r="E161" s="89" t="s">
        <v>1566</v>
      </c>
      <c r="F161" s="89"/>
      <c r="G161" s="89" t="s">
        <v>1567</v>
      </c>
      <c r="H161" s="91">
        <v>1442</v>
      </c>
      <c r="I161" s="89" t="s">
        <v>4678</v>
      </c>
      <c r="J161" s="92" t="s">
        <v>883</v>
      </c>
      <c r="K161" s="92"/>
      <c r="L161" s="92" t="s">
        <v>4679</v>
      </c>
      <c r="M161" s="92" t="s">
        <v>4680</v>
      </c>
      <c r="N161" s="93">
        <v>1442</v>
      </c>
      <c r="O161" s="94">
        <v>130000</v>
      </c>
      <c r="P161" s="94">
        <v>8200</v>
      </c>
      <c r="Q161" s="92" t="s">
        <v>3957</v>
      </c>
      <c r="R161" s="92" t="s">
        <v>4681</v>
      </c>
      <c r="S161" s="91">
        <v>14116</v>
      </c>
      <c r="T161" s="89" t="s">
        <v>643</v>
      </c>
    </row>
    <row r="162" spans="1:20" ht="30" customHeight="1" x14ac:dyDescent="0.35">
      <c r="A162" s="88">
        <v>141764</v>
      </c>
      <c r="B162" s="89" t="s">
        <v>4682</v>
      </c>
      <c r="C162" s="89" t="s">
        <v>4683</v>
      </c>
      <c r="D162" s="90" t="s">
        <v>4077</v>
      </c>
      <c r="E162" s="89" t="s">
        <v>1569</v>
      </c>
      <c r="F162" s="89"/>
      <c r="G162" s="89" t="s">
        <v>1570</v>
      </c>
      <c r="H162" s="91">
        <v>1442</v>
      </c>
      <c r="I162" s="89" t="s">
        <v>4678</v>
      </c>
      <c r="J162" s="92" t="s">
        <v>883</v>
      </c>
      <c r="K162" s="92"/>
      <c r="L162" s="92" t="s">
        <v>4679</v>
      </c>
      <c r="M162" s="92" t="s">
        <v>4680</v>
      </c>
      <c r="N162" s="93">
        <v>1442</v>
      </c>
      <c r="O162" s="94">
        <v>130000</v>
      </c>
      <c r="P162" s="94">
        <v>8200</v>
      </c>
      <c r="Q162" s="92" t="s">
        <v>3957</v>
      </c>
      <c r="R162" s="92" t="s">
        <v>4684</v>
      </c>
      <c r="S162" s="91">
        <v>14116</v>
      </c>
      <c r="T162" s="89" t="s">
        <v>643</v>
      </c>
    </row>
    <row r="163" spans="1:20" ht="31.5" customHeight="1" x14ac:dyDescent="0.35">
      <c r="A163" s="88">
        <v>141765</v>
      </c>
      <c r="B163" s="89" t="s">
        <v>4685</v>
      </c>
      <c r="C163" s="89" t="s">
        <v>4686</v>
      </c>
      <c r="D163" s="90" t="s">
        <v>4077</v>
      </c>
      <c r="E163" s="89" t="s">
        <v>4687</v>
      </c>
      <c r="F163" s="89"/>
      <c r="G163" s="89" t="s">
        <v>1573</v>
      </c>
      <c r="H163" s="91">
        <v>1442</v>
      </c>
      <c r="I163" s="89" t="s">
        <v>4678</v>
      </c>
      <c r="J163" s="92" t="s">
        <v>883</v>
      </c>
      <c r="K163" s="92"/>
      <c r="L163" s="92" t="s">
        <v>4679</v>
      </c>
      <c r="M163" s="92" t="s">
        <v>4680</v>
      </c>
      <c r="N163" s="93">
        <v>1442</v>
      </c>
      <c r="O163" s="94">
        <v>130000</v>
      </c>
      <c r="P163" s="94">
        <v>8200</v>
      </c>
      <c r="Q163" s="92" t="s">
        <v>3957</v>
      </c>
      <c r="R163" s="92" t="s">
        <v>4688</v>
      </c>
      <c r="S163" s="91">
        <v>14116</v>
      </c>
      <c r="T163" s="89" t="s">
        <v>643</v>
      </c>
    </row>
    <row r="164" spans="1:20" ht="30" customHeight="1" x14ac:dyDescent="0.35">
      <c r="A164" s="88">
        <v>141766</v>
      </c>
      <c r="B164" s="89" t="s">
        <v>4689</v>
      </c>
      <c r="C164" s="89" t="s">
        <v>4690</v>
      </c>
      <c r="D164" s="90" t="s">
        <v>4077</v>
      </c>
      <c r="E164" s="89" t="s">
        <v>4691</v>
      </c>
      <c r="F164" s="89"/>
      <c r="G164" s="89" t="s">
        <v>1576</v>
      </c>
      <c r="H164" s="91">
        <v>1442</v>
      </c>
      <c r="I164" s="89" t="s">
        <v>4678</v>
      </c>
      <c r="J164" s="92" t="s">
        <v>883</v>
      </c>
      <c r="K164" s="92"/>
      <c r="L164" s="92" t="s">
        <v>4679</v>
      </c>
      <c r="M164" s="92" t="s">
        <v>4680</v>
      </c>
      <c r="N164" s="93">
        <v>1442</v>
      </c>
      <c r="O164" s="94">
        <v>130000</v>
      </c>
      <c r="P164" s="94">
        <v>8200</v>
      </c>
      <c r="Q164" s="92" t="s">
        <v>3957</v>
      </c>
      <c r="R164" s="92" t="s">
        <v>4692</v>
      </c>
      <c r="S164" s="91">
        <v>14116</v>
      </c>
      <c r="T164" s="91">
        <v>14375</v>
      </c>
    </row>
    <row r="165" spans="1:20" ht="30" customHeight="1" x14ac:dyDescent="0.35">
      <c r="A165" s="88">
        <v>141782</v>
      </c>
      <c r="B165" s="89" t="s">
        <v>4693</v>
      </c>
      <c r="C165" s="89" t="s">
        <v>4694</v>
      </c>
      <c r="D165" s="90" t="s">
        <v>4077</v>
      </c>
      <c r="E165" s="89" t="s">
        <v>1578</v>
      </c>
      <c r="F165" s="89" t="s">
        <v>4695</v>
      </c>
      <c r="G165" s="89" t="s">
        <v>1579</v>
      </c>
      <c r="H165" s="91">
        <v>1412</v>
      </c>
      <c r="I165" s="89" t="s">
        <v>4605</v>
      </c>
      <c r="J165" s="92" t="s">
        <v>883</v>
      </c>
      <c r="K165" s="92"/>
      <c r="L165" s="92" t="s">
        <v>4579</v>
      </c>
      <c r="M165" s="92" t="s">
        <v>4606</v>
      </c>
      <c r="N165" s="93">
        <v>1412</v>
      </c>
      <c r="O165" s="94">
        <v>120000</v>
      </c>
      <c r="P165" s="94">
        <v>13000</v>
      </c>
      <c r="Q165" s="92" t="s">
        <v>3957</v>
      </c>
      <c r="R165" s="92" t="s">
        <v>4696</v>
      </c>
      <c r="S165" s="89" t="s">
        <v>643</v>
      </c>
      <c r="T165" s="91">
        <v>14112</v>
      </c>
    </row>
    <row r="166" spans="1:20" ht="30" customHeight="1" x14ac:dyDescent="0.35">
      <c r="A166" s="88">
        <v>141783</v>
      </c>
      <c r="B166" s="89" t="s">
        <v>4697</v>
      </c>
      <c r="C166" s="89" t="s">
        <v>4698</v>
      </c>
      <c r="D166" s="90" t="s">
        <v>4077</v>
      </c>
      <c r="E166" s="89" t="s">
        <v>1581</v>
      </c>
      <c r="F166" s="89"/>
      <c r="G166" s="89" t="s">
        <v>1582</v>
      </c>
      <c r="H166" s="91">
        <v>1412</v>
      </c>
      <c r="I166" s="89" t="s">
        <v>4605</v>
      </c>
      <c r="J166" s="92" t="s">
        <v>883</v>
      </c>
      <c r="K166" s="92"/>
      <c r="L166" s="92" t="s">
        <v>4579</v>
      </c>
      <c r="M166" s="92" t="s">
        <v>4606</v>
      </c>
      <c r="N166" s="93">
        <v>1412</v>
      </c>
      <c r="O166" s="94">
        <v>120000</v>
      </c>
      <c r="P166" s="94">
        <v>13000</v>
      </c>
      <c r="Q166" s="92" t="s">
        <v>3957</v>
      </c>
      <c r="R166" s="92" t="s">
        <v>4699</v>
      </c>
      <c r="S166" s="89" t="s">
        <v>643</v>
      </c>
      <c r="T166" s="89" t="s">
        <v>4700</v>
      </c>
    </row>
    <row r="167" spans="1:20" ht="30" customHeight="1" x14ac:dyDescent="0.35">
      <c r="A167" s="88">
        <v>141784</v>
      </c>
      <c r="B167" s="89" t="s">
        <v>4701</v>
      </c>
      <c r="C167" s="89" t="s">
        <v>4702</v>
      </c>
      <c r="D167" s="90" t="s">
        <v>4077</v>
      </c>
      <c r="E167" s="89" t="s">
        <v>1584</v>
      </c>
      <c r="F167" s="89" t="s">
        <v>4703</v>
      </c>
      <c r="G167" s="89" t="s">
        <v>1585</v>
      </c>
      <c r="H167" s="91">
        <v>1412</v>
      </c>
      <c r="I167" s="89" t="s">
        <v>4605</v>
      </c>
      <c r="J167" s="92" t="s">
        <v>883</v>
      </c>
      <c r="K167" s="92"/>
      <c r="L167" s="92" t="s">
        <v>4579</v>
      </c>
      <c r="M167" s="92" t="s">
        <v>4606</v>
      </c>
      <c r="N167" s="93">
        <v>1412</v>
      </c>
      <c r="O167" s="94">
        <v>120000</v>
      </c>
      <c r="P167" s="94">
        <v>13000</v>
      </c>
      <c r="Q167" s="92" t="s">
        <v>3957</v>
      </c>
      <c r="R167" s="92" t="s">
        <v>4704</v>
      </c>
      <c r="S167" s="89" t="s">
        <v>643</v>
      </c>
      <c r="T167" s="91">
        <v>14111</v>
      </c>
    </row>
    <row r="168" spans="1:20" ht="30" customHeight="1" x14ac:dyDescent="0.35">
      <c r="A168" s="88">
        <v>141785</v>
      </c>
      <c r="B168" s="89" t="s">
        <v>4705</v>
      </c>
      <c r="C168" s="89" t="s">
        <v>4706</v>
      </c>
      <c r="D168" s="90" t="s">
        <v>4077</v>
      </c>
      <c r="E168" s="89" t="s">
        <v>1587</v>
      </c>
      <c r="F168" s="89"/>
      <c r="G168" s="89" t="s">
        <v>1588</v>
      </c>
      <c r="H168" s="91">
        <v>1412</v>
      </c>
      <c r="I168" s="89" t="s">
        <v>4605</v>
      </c>
      <c r="J168" s="92" t="s">
        <v>883</v>
      </c>
      <c r="K168" s="92"/>
      <c r="L168" s="92" t="s">
        <v>4579</v>
      </c>
      <c r="M168" s="92" t="s">
        <v>4606</v>
      </c>
      <c r="N168" s="93">
        <v>1412</v>
      </c>
      <c r="O168" s="94">
        <v>120000</v>
      </c>
      <c r="P168" s="94">
        <v>13000</v>
      </c>
      <c r="Q168" s="92" t="s">
        <v>3957</v>
      </c>
      <c r="R168" s="92" t="s">
        <v>4707</v>
      </c>
      <c r="S168" s="89" t="s">
        <v>643</v>
      </c>
      <c r="T168" s="89" t="s">
        <v>643</v>
      </c>
    </row>
    <row r="169" spans="1:20" ht="30" customHeight="1" x14ac:dyDescent="0.35">
      <c r="A169" s="88">
        <v>141786</v>
      </c>
      <c r="B169" s="89" t="s">
        <v>4708</v>
      </c>
      <c r="C169" s="89" t="s">
        <v>4709</v>
      </c>
      <c r="D169" s="90" t="s">
        <v>4077</v>
      </c>
      <c r="E169" s="89" t="s">
        <v>1590</v>
      </c>
      <c r="F169" s="89"/>
      <c r="G169" s="89" t="s">
        <v>1591</v>
      </c>
      <c r="H169" s="91">
        <v>1412</v>
      </c>
      <c r="I169" s="89" t="s">
        <v>4605</v>
      </c>
      <c r="J169" s="92" t="s">
        <v>883</v>
      </c>
      <c r="K169" s="92"/>
      <c r="L169" s="92" t="s">
        <v>4579</v>
      </c>
      <c r="M169" s="92" t="s">
        <v>4606</v>
      </c>
      <c r="N169" s="93">
        <v>1412</v>
      </c>
      <c r="O169" s="94">
        <v>120000</v>
      </c>
      <c r="P169" s="94">
        <v>13000</v>
      </c>
      <c r="Q169" s="92" t="s">
        <v>3957</v>
      </c>
      <c r="R169" s="92" t="s">
        <v>4710</v>
      </c>
      <c r="S169" s="89" t="s">
        <v>643</v>
      </c>
      <c r="T169" s="89" t="s">
        <v>643</v>
      </c>
    </row>
    <row r="170" spans="1:20" ht="30" customHeight="1" x14ac:dyDescent="0.35">
      <c r="A170" s="88">
        <v>141787</v>
      </c>
      <c r="B170" s="89" t="s">
        <v>4711</v>
      </c>
      <c r="C170" s="89" t="s">
        <v>4712</v>
      </c>
      <c r="D170" s="90" t="s">
        <v>4077</v>
      </c>
      <c r="E170" s="89" t="s">
        <v>1593</v>
      </c>
      <c r="F170" s="89"/>
      <c r="G170" s="89" t="s">
        <v>1594</v>
      </c>
      <c r="H170" s="91">
        <v>1443</v>
      </c>
      <c r="I170" s="89" t="s">
        <v>4713</v>
      </c>
      <c r="J170" s="92" t="s">
        <v>883</v>
      </c>
      <c r="K170" s="92"/>
      <c r="L170" s="92" t="s">
        <v>4714</v>
      </c>
      <c r="M170" s="92" t="s">
        <v>4715</v>
      </c>
      <c r="N170" s="93">
        <v>1443</v>
      </c>
      <c r="O170" s="94">
        <v>120000</v>
      </c>
      <c r="P170" s="94">
        <v>4800</v>
      </c>
      <c r="Q170" s="92" t="s">
        <v>3957</v>
      </c>
      <c r="R170" s="92" t="s">
        <v>4716</v>
      </c>
      <c r="S170" s="91">
        <v>14133</v>
      </c>
      <c r="T170" s="91">
        <v>15620</v>
      </c>
    </row>
    <row r="171" spans="1:20" ht="121.5" customHeight="1" x14ac:dyDescent="0.35">
      <c r="A171" s="88">
        <v>141821</v>
      </c>
      <c r="B171" s="89" t="s">
        <v>4717</v>
      </c>
      <c r="C171" s="89" t="s">
        <v>4718</v>
      </c>
      <c r="D171" s="90" t="s">
        <v>4077</v>
      </c>
      <c r="E171" s="89" t="s">
        <v>4719</v>
      </c>
      <c r="F171" s="89"/>
      <c r="G171" s="89" t="s">
        <v>1597</v>
      </c>
      <c r="H171" s="91">
        <v>4411</v>
      </c>
      <c r="I171" s="89" t="s">
        <v>4720</v>
      </c>
      <c r="J171" s="92" t="s">
        <v>883</v>
      </c>
      <c r="K171" s="92"/>
      <c r="L171" s="92" t="s">
        <v>4721</v>
      </c>
      <c r="M171" s="92" t="s">
        <v>4722</v>
      </c>
      <c r="N171" s="93">
        <v>4411</v>
      </c>
      <c r="O171" s="94">
        <v>1400000</v>
      </c>
      <c r="P171" s="94">
        <v>47000</v>
      </c>
      <c r="Q171" s="92" t="s">
        <v>3957</v>
      </c>
      <c r="R171" s="92" t="s">
        <v>4723</v>
      </c>
      <c r="S171" s="91">
        <v>44110</v>
      </c>
      <c r="T171" s="89" t="s">
        <v>643</v>
      </c>
    </row>
    <row r="172" spans="1:20" ht="88.5" customHeight="1" x14ac:dyDescent="0.35">
      <c r="A172" s="88">
        <v>141911</v>
      </c>
      <c r="B172" s="89" t="s">
        <v>4724</v>
      </c>
      <c r="C172" s="89" t="s">
        <v>4725</v>
      </c>
      <c r="D172" s="90" t="s">
        <v>4077</v>
      </c>
      <c r="E172" s="89" t="s">
        <v>1599</v>
      </c>
      <c r="F172" s="89"/>
      <c r="G172" s="89" t="s">
        <v>1600</v>
      </c>
      <c r="H172" s="91">
        <v>1457</v>
      </c>
      <c r="I172" s="89" t="s">
        <v>4518</v>
      </c>
      <c r="J172" s="92" t="s">
        <v>883</v>
      </c>
      <c r="K172" s="92"/>
      <c r="L172" s="92" t="s">
        <v>4519</v>
      </c>
      <c r="M172" s="92" t="s">
        <v>4520</v>
      </c>
      <c r="N172" s="93">
        <v>1457</v>
      </c>
      <c r="O172" s="94">
        <v>22000</v>
      </c>
      <c r="P172" s="94">
        <v>11000</v>
      </c>
      <c r="Q172" s="92" t="s">
        <v>3957</v>
      </c>
      <c r="R172" s="92" t="s">
        <v>4726</v>
      </c>
      <c r="S172" s="89" t="s">
        <v>643</v>
      </c>
      <c r="T172" s="89" t="s">
        <v>643</v>
      </c>
    </row>
    <row r="173" spans="1:20" ht="63.75" customHeight="1" x14ac:dyDescent="0.35">
      <c r="A173" s="88">
        <v>141912</v>
      </c>
      <c r="B173" s="89" t="s">
        <v>4727</v>
      </c>
      <c r="C173" s="89" t="s">
        <v>4728</v>
      </c>
      <c r="D173" s="90" t="s">
        <v>4077</v>
      </c>
      <c r="E173" s="89" t="s">
        <v>1602</v>
      </c>
      <c r="F173" s="89"/>
      <c r="G173" s="89" t="s">
        <v>1603</v>
      </c>
      <c r="H173" s="91">
        <v>1403</v>
      </c>
      <c r="I173" s="89" t="s">
        <v>1598</v>
      </c>
      <c r="J173" s="92" t="s">
        <v>883</v>
      </c>
      <c r="K173" s="92"/>
      <c r="L173" s="92" t="s">
        <v>4271</v>
      </c>
      <c r="M173" s="92" t="s">
        <v>4729</v>
      </c>
      <c r="N173" s="93">
        <v>1403</v>
      </c>
      <c r="O173" s="94">
        <v>6000</v>
      </c>
      <c r="P173" s="94">
        <v>4000</v>
      </c>
      <c r="Q173" s="92" t="s">
        <v>3957</v>
      </c>
      <c r="R173" s="92" t="s">
        <v>4730</v>
      </c>
      <c r="S173" s="89" t="s">
        <v>643</v>
      </c>
      <c r="T173" s="89" t="s">
        <v>643</v>
      </c>
    </row>
    <row r="174" spans="1:20" ht="30" customHeight="1" x14ac:dyDescent="0.35">
      <c r="A174" s="88">
        <v>141913</v>
      </c>
      <c r="B174" s="89" t="s">
        <v>4731</v>
      </c>
      <c r="C174" s="89" t="s">
        <v>4732</v>
      </c>
      <c r="D174" s="90" t="s">
        <v>4077</v>
      </c>
      <c r="E174" s="89" t="s">
        <v>1605</v>
      </c>
      <c r="F174" s="89"/>
      <c r="G174" s="89" t="s">
        <v>909</v>
      </c>
      <c r="H174" s="91">
        <v>4122</v>
      </c>
      <c r="I174" s="89" t="s">
        <v>2669</v>
      </c>
      <c r="J174" s="92" t="s">
        <v>4126</v>
      </c>
      <c r="K174" s="92"/>
      <c r="L174" s="92" t="s">
        <v>4733</v>
      </c>
      <c r="M174" s="92" t="s">
        <v>4734</v>
      </c>
      <c r="N174" s="93">
        <v>4122</v>
      </c>
      <c r="O174" s="94">
        <v>14000</v>
      </c>
      <c r="P174" s="94">
        <v>1700</v>
      </c>
      <c r="Q174" s="92" t="s">
        <v>3957</v>
      </c>
      <c r="R174" s="92" t="s">
        <v>4735</v>
      </c>
      <c r="S174" s="89" t="s">
        <v>643</v>
      </c>
      <c r="T174" s="89" t="s">
        <v>643</v>
      </c>
    </row>
    <row r="175" spans="1:20" ht="30" customHeight="1" x14ac:dyDescent="0.35">
      <c r="A175" s="88">
        <v>141914</v>
      </c>
      <c r="B175" s="89" t="s">
        <v>4736</v>
      </c>
      <c r="C175" s="89" t="s">
        <v>4737</v>
      </c>
      <c r="D175" s="90" t="s">
        <v>4077</v>
      </c>
      <c r="E175" s="89" t="s">
        <v>1607</v>
      </c>
      <c r="F175" s="89"/>
      <c r="G175" s="89" t="s">
        <v>1608</v>
      </c>
      <c r="H175" s="91">
        <v>1452</v>
      </c>
      <c r="I175" s="89" t="s">
        <v>1606</v>
      </c>
      <c r="J175" s="92" t="s">
        <v>883</v>
      </c>
      <c r="K175" s="92"/>
      <c r="L175" s="92" t="s">
        <v>4519</v>
      </c>
      <c r="M175" s="92" t="s">
        <v>4738</v>
      </c>
      <c r="N175" s="93">
        <v>1452</v>
      </c>
      <c r="O175" s="94">
        <v>20000</v>
      </c>
      <c r="P175" s="94">
        <v>3000</v>
      </c>
      <c r="Q175" s="92" t="s">
        <v>3957</v>
      </c>
      <c r="R175" s="92" t="s">
        <v>4739</v>
      </c>
      <c r="S175" s="89" t="s">
        <v>643</v>
      </c>
      <c r="T175" s="89" t="s">
        <v>643</v>
      </c>
    </row>
    <row r="176" spans="1:20" ht="30" customHeight="1" x14ac:dyDescent="0.35">
      <c r="A176" s="88">
        <v>141915</v>
      </c>
      <c r="B176" s="89" t="s">
        <v>4740</v>
      </c>
      <c r="C176" s="89" t="s">
        <v>4741</v>
      </c>
      <c r="D176" s="90" t="s">
        <v>4077</v>
      </c>
      <c r="E176" s="89" t="s">
        <v>1610</v>
      </c>
      <c r="F176" s="89"/>
      <c r="G176" s="89" t="s">
        <v>1611</v>
      </c>
      <c r="H176" s="91">
        <v>1403</v>
      </c>
      <c r="I176" s="89" t="s">
        <v>1598</v>
      </c>
      <c r="J176" s="92" t="s">
        <v>883</v>
      </c>
      <c r="K176" s="92"/>
      <c r="L176" s="92" t="s">
        <v>4271</v>
      </c>
      <c r="M176" s="92" t="s">
        <v>4729</v>
      </c>
      <c r="N176" s="93">
        <v>1403</v>
      </c>
      <c r="O176" s="94">
        <v>6000</v>
      </c>
      <c r="P176" s="94">
        <v>4000</v>
      </c>
      <c r="Q176" s="92" t="s">
        <v>3957</v>
      </c>
      <c r="R176" s="92" t="s">
        <v>4742</v>
      </c>
      <c r="S176" s="91">
        <v>14121</v>
      </c>
      <c r="T176" s="89" t="s">
        <v>643</v>
      </c>
    </row>
    <row r="177" spans="1:20" ht="30" customHeight="1" x14ac:dyDescent="0.35">
      <c r="A177" s="88">
        <v>143199</v>
      </c>
      <c r="B177" s="89" t="s">
        <v>4743</v>
      </c>
      <c r="C177" s="89" t="s">
        <v>4744</v>
      </c>
      <c r="D177" s="90" t="s">
        <v>4077</v>
      </c>
      <c r="E177" s="89" t="s">
        <v>1615</v>
      </c>
      <c r="F177" s="89"/>
      <c r="G177" s="89" t="s">
        <v>1616</v>
      </c>
      <c r="H177" s="91">
        <v>1431</v>
      </c>
      <c r="I177" s="89" t="s">
        <v>1614</v>
      </c>
      <c r="J177" s="92" t="s">
        <v>883</v>
      </c>
      <c r="K177" s="92"/>
      <c r="L177" s="92" t="s">
        <v>4745</v>
      </c>
      <c r="M177" s="92" t="s">
        <v>4746</v>
      </c>
      <c r="N177" s="93">
        <v>1431</v>
      </c>
      <c r="O177" s="94">
        <v>58000</v>
      </c>
      <c r="P177" s="94">
        <v>9600</v>
      </c>
      <c r="Q177" s="92" t="s">
        <v>3957</v>
      </c>
      <c r="R177" s="92" t="s">
        <v>4747</v>
      </c>
      <c r="S177" s="91">
        <v>14310</v>
      </c>
      <c r="T177" s="91">
        <v>14365</v>
      </c>
    </row>
    <row r="178" spans="1:20" ht="30" customHeight="1" x14ac:dyDescent="0.35">
      <c r="A178" s="88">
        <v>143770</v>
      </c>
      <c r="B178" s="89" t="s">
        <v>4748</v>
      </c>
      <c r="C178" s="89" t="s">
        <v>4749</v>
      </c>
      <c r="D178" s="90" t="s">
        <v>4077</v>
      </c>
      <c r="E178" s="89" t="s">
        <v>4750</v>
      </c>
      <c r="F178" s="89"/>
      <c r="G178" s="89" t="s">
        <v>909</v>
      </c>
      <c r="H178" s="91">
        <v>1443</v>
      </c>
      <c r="I178" s="89" t="s">
        <v>4713</v>
      </c>
      <c r="J178" s="92" t="s">
        <v>883</v>
      </c>
      <c r="K178" s="92"/>
      <c r="L178" s="92" t="s">
        <v>4714</v>
      </c>
      <c r="M178" s="92" t="s">
        <v>4715</v>
      </c>
      <c r="N178" s="93">
        <v>1443</v>
      </c>
      <c r="O178" s="94">
        <v>120000</v>
      </c>
      <c r="P178" s="94">
        <v>4800</v>
      </c>
      <c r="Q178" s="92" t="s">
        <v>3957</v>
      </c>
      <c r="R178" s="92" t="s">
        <v>4751</v>
      </c>
      <c r="S178" s="89" t="s">
        <v>3982</v>
      </c>
      <c r="T178" s="91">
        <v>14377</v>
      </c>
    </row>
    <row r="179" spans="1:20" ht="30" customHeight="1" x14ac:dyDescent="0.35">
      <c r="A179" s="88">
        <v>144321</v>
      </c>
      <c r="B179" s="89" t="s">
        <v>4752</v>
      </c>
      <c r="C179" s="89" t="s">
        <v>4752</v>
      </c>
      <c r="D179" s="90" t="s">
        <v>4077</v>
      </c>
      <c r="E179" s="89" t="s">
        <v>4753</v>
      </c>
      <c r="F179" s="89"/>
      <c r="G179" s="89" t="s">
        <v>1623</v>
      </c>
      <c r="H179" s="91">
        <v>1443</v>
      </c>
      <c r="I179" s="89" t="s">
        <v>4713</v>
      </c>
      <c r="J179" s="92" t="s">
        <v>883</v>
      </c>
      <c r="K179" s="92"/>
      <c r="L179" s="92" t="s">
        <v>4714</v>
      </c>
      <c r="M179" s="92" t="s">
        <v>4715</v>
      </c>
      <c r="N179" s="93">
        <v>1443</v>
      </c>
      <c r="O179" s="94">
        <v>120000</v>
      </c>
      <c r="P179" s="94">
        <v>4800</v>
      </c>
      <c r="Q179" s="92" t="s">
        <v>3957</v>
      </c>
      <c r="R179" s="92" t="s">
        <v>4754</v>
      </c>
      <c r="S179" s="91">
        <v>14140</v>
      </c>
      <c r="T179" s="89" t="s">
        <v>643</v>
      </c>
    </row>
    <row r="180" spans="1:20" ht="47.25" customHeight="1" x14ac:dyDescent="0.35">
      <c r="A180" s="88">
        <v>144401</v>
      </c>
      <c r="B180" s="89" t="s">
        <v>4755</v>
      </c>
      <c r="C180" s="89" t="s">
        <v>4756</v>
      </c>
      <c r="D180" s="90" t="s">
        <v>4077</v>
      </c>
      <c r="E180" s="89" t="s">
        <v>1625</v>
      </c>
      <c r="F180" s="89"/>
      <c r="G180" s="89" t="s">
        <v>1626</v>
      </c>
      <c r="H180" s="91">
        <v>1444</v>
      </c>
      <c r="I180" s="89" t="s">
        <v>4079</v>
      </c>
      <c r="J180" s="92" t="s">
        <v>883</v>
      </c>
      <c r="K180" s="92"/>
      <c r="L180" s="92" t="s">
        <v>4080</v>
      </c>
      <c r="M180" s="92" t="s">
        <v>4081</v>
      </c>
      <c r="N180" s="93">
        <v>1444</v>
      </c>
      <c r="O180" s="94">
        <v>190000</v>
      </c>
      <c r="P180" s="94">
        <v>5800</v>
      </c>
      <c r="Q180" s="92" t="s">
        <v>3957</v>
      </c>
      <c r="R180" s="92" t="s">
        <v>4757</v>
      </c>
      <c r="S180" s="89" t="s">
        <v>643</v>
      </c>
      <c r="T180" s="89" t="s">
        <v>4758</v>
      </c>
    </row>
    <row r="181" spans="1:20" ht="30" customHeight="1" x14ac:dyDescent="0.35">
      <c r="A181" s="88">
        <v>144421</v>
      </c>
      <c r="B181" s="89" t="s">
        <v>4759</v>
      </c>
      <c r="C181" s="89" t="s">
        <v>4760</v>
      </c>
      <c r="D181" s="90" t="s">
        <v>4077</v>
      </c>
      <c r="E181" s="89" t="s">
        <v>1628</v>
      </c>
      <c r="F181" s="89"/>
      <c r="G181" s="89" t="s">
        <v>1629</v>
      </c>
      <c r="H181" s="91">
        <v>1444</v>
      </c>
      <c r="I181" s="89" t="s">
        <v>4079</v>
      </c>
      <c r="J181" s="92" t="s">
        <v>883</v>
      </c>
      <c r="K181" s="92"/>
      <c r="L181" s="92" t="s">
        <v>4080</v>
      </c>
      <c r="M181" s="92" t="s">
        <v>4081</v>
      </c>
      <c r="N181" s="93">
        <v>1444</v>
      </c>
      <c r="O181" s="94">
        <v>190000</v>
      </c>
      <c r="P181" s="94">
        <v>5800</v>
      </c>
      <c r="Q181" s="92" t="s">
        <v>3957</v>
      </c>
      <c r="R181" s="92" t="s">
        <v>4761</v>
      </c>
      <c r="S181" s="91">
        <v>14166</v>
      </c>
      <c r="T181" s="89" t="s">
        <v>643</v>
      </c>
    </row>
    <row r="182" spans="1:20" ht="30" customHeight="1" x14ac:dyDescent="0.35">
      <c r="A182" s="88">
        <v>144422</v>
      </c>
      <c r="B182" s="89" t="s">
        <v>4762</v>
      </c>
      <c r="C182" s="89" t="s">
        <v>4762</v>
      </c>
      <c r="D182" s="90" t="s">
        <v>4077</v>
      </c>
      <c r="E182" s="89" t="s">
        <v>1631</v>
      </c>
      <c r="F182" s="89" t="s">
        <v>4763</v>
      </c>
      <c r="G182" s="89" t="s">
        <v>1632</v>
      </c>
      <c r="H182" s="91">
        <v>1444</v>
      </c>
      <c r="I182" s="89" t="s">
        <v>4079</v>
      </c>
      <c r="J182" s="92" t="s">
        <v>883</v>
      </c>
      <c r="K182" s="92"/>
      <c r="L182" s="92" t="s">
        <v>4080</v>
      </c>
      <c r="M182" s="92" t="s">
        <v>4081</v>
      </c>
      <c r="N182" s="93">
        <v>1444</v>
      </c>
      <c r="O182" s="94">
        <v>190000</v>
      </c>
      <c r="P182" s="94">
        <v>5800</v>
      </c>
      <c r="Q182" s="92" t="s">
        <v>3957</v>
      </c>
      <c r="R182" s="92" t="s">
        <v>4764</v>
      </c>
      <c r="S182" s="91">
        <v>14180</v>
      </c>
      <c r="T182" s="89" t="s">
        <v>643</v>
      </c>
    </row>
    <row r="183" spans="1:20" ht="30" customHeight="1" x14ac:dyDescent="0.35">
      <c r="A183" s="88">
        <v>144423</v>
      </c>
      <c r="B183" s="89" t="s">
        <v>4765</v>
      </c>
      <c r="C183" s="89" t="s">
        <v>4765</v>
      </c>
      <c r="D183" s="90" t="s">
        <v>4077</v>
      </c>
      <c r="E183" s="89" t="s">
        <v>1634</v>
      </c>
      <c r="F183" s="89"/>
      <c r="G183" s="89" t="s">
        <v>1635</v>
      </c>
      <c r="H183" s="91">
        <v>1444</v>
      </c>
      <c r="I183" s="89" t="s">
        <v>4079</v>
      </c>
      <c r="J183" s="92" t="s">
        <v>883</v>
      </c>
      <c r="K183" s="92"/>
      <c r="L183" s="92" t="s">
        <v>4080</v>
      </c>
      <c r="M183" s="92" t="s">
        <v>4081</v>
      </c>
      <c r="N183" s="93">
        <v>1444</v>
      </c>
      <c r="O183" s="94">
        <v>190000</v>
      </c>
      <c r="P183" s="94">
        <v>5800</v>
      </c>
      <c r="Q183" s="92" t="s">
        <v>3957</v>
      </c>
      <c r="R183" s="92" t="s">
        <v>4766</v>
      </c>
      <c r="S183" s="91">
        <v>14176</v>
      </c>
      <c r="T183" s="89" t="s">
        <v>643</v>
      </c>
    </row>
    <row r="184" spans="1:20" ht="30" customHeight="1" x14ac:dyDescent="0.35">
      <c r="A184" s="88">
        <v>144621</v>
      </c>
      <c r="B184" s="89" t="s">
        <v>4767</v>
      </c>
      <c r="C184" s="89" t="s">
        <v>4768</v>
      </c>
      <c r="D184" s="90" t="s">
        <v>4077</v>
      </c>
      <c r="E184" s="89" t="s">
        <v>1637</v>
      </c>
      <c r="F184" s="89"/>
      <c r="G184" s="89" t="s">
        <v>2807</v>
      </c>
      <c r="H184" s="91">
        <v>1446</v>
      </c>
      <c r="I184" s="89" t="s">
        <v>4769</v>
      </c>
      <c r="J184" s="92" t="s">
        <v>883</v>
      </c>
      <c r="K184" s="92"/>
      <c r="L184" s="92" t="s">
        <v>4770</v>
      </c>
      <c r="M184" s="92" t="s">
        <v>4771</v>
      </c>
      <c r="N184" s="93">
        <v>1446</v>
      </c>
      <c r="O184" s="94">
        <v>79000</v>
      </c>
      <c r="P184" s="94">
        <v>13000</v>
      </c>
      <c r="Q184" s="92" t="s">
        <v>3957</v>
      </c>
      <c r="R184" s="92" t="s">
        <v>4772</v>
      </c>
      <c r="S184" s="91">
        <v>14132</v>
      </c>
      <c r="T184" s="91">
        <v>14347</v>
      </c>
    </row>
    <row r="185" spans="1:20" ht="30" customHeight="1" x14ac:dyDescent="0.35">
      <c r="A185" s="88">
        <v>145921</v>
      </c>
      <c r="B185" s="89" t="s">
        <v>4773</v>
      </c>
      <c r="C185" s="89" t="s">
        <v>4774</v>
      </c>
      <c r="D185" s="90" t="s">
        <v>3978</v>
      </c>
      <c r="E185" s="89" t="s">
        <v>1639</v>
      </c>
      <c r="F185" s="89" t="s">
        <v>4775</v>
      </c>
      <c r="G185" s="89" t="s">
        <v>1640</v>
      </c>
      <c r="H185" s="91">
        <v>1459</v>
      </c>
      <c r="I185" s="89" t="s">
        <v>4776</v>
      </c>
      <c r="J185" s="92" t="s">
        <v>883</v>
      </c>
      <c r="K185" s="92"/>
      <c r="L185" s="92" t="s">
        <v>4777</v>
      </c>
      <c r="M185" s="92" t="s">
        <v>4778</v>
      </c>
      <c r="N185" s="93">
        <v>1459</v>
      </c>
      <c r="O185" s="94">
        <v>41000</v>
      </c>
      <c r="P185" s="94">
        <v>2400</v>
      </c>
      <c r="Q185" s="92" t="s">
        <v>3957</v>
      </c>
      <c r="R185" s="92" t="s">
        <v>4779</v>
      </c>
      <c r="S185" s="91">
        <v>14179</v>
      </c>
      <c r="T185" s="89" t="s">
        <v>4780</v>
      </c>
    </row>
    <row r="186" spans="1:20" ht="30" customHeight="1" x14ac:dyDescent="0.35">
      <c r="A186" s="88">
        <v>146601</v>
      </c>
      <c r="B186" s="89" t="s">
        <v>4781</v>
      </c>
      <c r="C186" s="89" t="s">
        <v>4782</v>
      </c>
      <c r="D186" s="90" t="s">
        <v>3978</v>
      </c>
      <c r="E186" s="89" t="s">
        <v>4783</v>
      </c>
      <c r="F186" s="89"/>
      <c r="G186" s="89" t="s">
        <v>1643</v>
      </c>
      <c r="H186" s="91">
        <v>1466</v>
      </c>
      <c r="I186" s="89" t="s">
        <v>4525</v>
      </c>
      <c r="J186" s="92" t="s">
        <v>883</v>
      </c>
      <c r="K186" s="92"/>
      <c r="L186" s="92" t="s">
        <v>4526</v>
      </c>
      <c r="M186" s="92" t="s">
        <v>3980</v>
      </c>
      <c r="N186" s="93">
        <v>1466</v>
      </c>
      <c r="O186" s="94">
        <v>55000</v>
      </c>
      <c r="P186" s="94">
        <v>15000</v>
      </c>
      <c r="Q186" s="92" t="s">
        <v>3957</v>
      </c>
      <c r="R186" s="92" t="s">
        <v>4784</v>
      </c>
      <c r="S186" s="89" t="s">
        <v>643</v>
      </c>
      <c r="T186" s="89" t="s">
        <v>643</v>
      </c>
    </row>
    <row r="187" spans="1:20" ht="30" customHeight="1" x14ac:dyDescent="0.35">
      <c r="A187" s="92">
        <v>148170</v>
      </c>
      <c r="B187" s="89" t="s">
        <v>4785</v>
      </c>
      <c r="C187" s="89" t="s">
        <v>4786</v>
      </c>
      <c r="D187" s="90" t="s">
        <v>3978</v>
      </c>
      <c r="E187" s="89" t="s">
        <v>1645</v>
      </c>
      <c r="F187" s="89"/>
      <c r="G187" s="89" t="s">
        <v>909</v>
      </c>
      <c r="H187" s="89">
        <v>1456</v>
      </c>
      <c r="I187" s="89" t="s">
        <v>4787</v>
      </c>
      <c r="J187" s="92" t="s">
        <v>4058</v>
      </c>
      <c r="K187" s="92"/>
      <c r="L187" s="30">
        <v>0</v>
      </c>
      <c r="M187" s="30" t="s">
        <v>4788</v>
      </c>
      <c r="N187" s="31">
        <v>1456</v>
      </c>
      <c r="O187" s="31">
        <v>1</v>
      </c>
      <c r="P187" s="31">
        <v>1</v>
      </c>
      <c r="Q187" s="92" t="s">
        <v>3957</v>
      </c>
      <c r="R187" s="92" t="s">
        <v>4789</v>
      </c>
      <c r="S187" s="92" t="s">
        <v>3982</v>
      </c>
      <c r="T187" s="92" t="s">
        <v>3982</v>
      </c>
    </row>
    <row r="188" spans="1:20" ht="30" customHeight="1" x14ac:dyDescent="0.35">
      <c r="A188" s="88">
        <v>149399</v>
      </c>
      <c r="B188" s="89" t="s">
        <v>4790</v>
      </c>
      <c r="C188" s="89" t="s">
        <v>4791</v>
      </c>
      <c r="D188" s="90" t="s">
        <v>3978</v>
      </c>
      <c r="E188" s="89" t="s">
        <v>2647</v>
      </c>
      <c r="F188" s="89"/>
      <c r="G188" s="89" t="s">
        <v>1648</v>
      </c>
      <c r="H188" s="91">
        <v>1494</v>
      </c>
      <c r="I188" s="89" t="s">
        <v>4792</v>
      </c>
      <c r="J188" s="92" t="s">
        <v>4058</v>
      </c>
      <c r="K188" s="92"/>
      <c r="L188" s="92" t="s">
        <v>4793</v>
      </c>
      <c r="M188" s="92" t="s">
        <v>4794</v>
      </c>
      <c r="N188" s="93">
        <v>1494</v>
      </c>
      <c r="O188" s="94">
        <v>10</v>
      </c>
      <c r="P188" s="94">
        <v>1</v>
      </c>
      <c r="Q188" s="92" t="s">
        <v>3957</v>
      </c>
      <c r="R188" s="92" t="s">
        <v>4795</v>
      </c>
      <c r="S188" s="89" t="s">
        <v>643</v>
      </c>
      <c r="T188" s="89" t="s">
        <v>643</v>
      </c>
    </row>
    <row r="189" spans="1:20" ht="30" customHeight="1" x14ac:dyDescent="0.35">
      <c r="A189" s="88">
        <v>149411</v>
      </c>
      <c r="B189" s="89" t="s">
        <v>4796</v>
      </c>
      <c r="C189" s="89" t="s">
        <v>4796</v>
      </c>
      <c r="D189" s="90" t="s">
        <v>3978</v>
      </c>
      <c r="E189" s="89" t="s">
        <v>1650</v>
      </c>
      <c r="F189" s="89" t="s">
        <v>4797</v>
      </c>
      <c r="G189" s="89" t="s">
        <v>1651</v>
      </c>
      <c r="H189" s="91">
        <v>1499</v>
      </c>
      <c r="I189" s="89" t="s">
        <v>4798</v>
      </c>
      <c r="J189" s="92" t="s">
        <v>883</v>
      </c>
      <c r="K189" s="92"/>
      <c r="L189" s="92" t="s">
        <v>4799</v>
      </c>
      <c r="M189" s="92" t="s">
        <v>4800</v>
      </c>
      <c r="N189" s="93">
        <v>1499</v>
      </c>
      <c r="O189" s="94">
        <v>35</v>
      </c>
      <c r="P189" s="94">
        <v>1</v>
      </c>
      <c r="Q189" s="92" t="s">
        <v>3957</v>
      </c>
      <c r="R189" s="92" t="s">
        <v>4801</v>
      </c>
      <c r="S189" s="91">
        <v>14925</v>
      </c>
      <c r="T189" s="89" t="s">
        <v>643</v>
      </c>
    </row>
    <row r="190" spans="1:20" ht="30" customHeight="1" x14ac:dyDescent="0.35">
      <c r="A190" s="88">
        <v>149511</v>
      </c>
      <c r="B190" s="89" t="s">
        <v>4802</v>
      </c>
      <c r="C190" s="89" t="s">
        <v>4803</v>
      </c>
      <c r="D190" s="90" t="s">
        <v>4077</v>
      </c>
      <c r="E190" s="89" t="s">
        <v>4804</v>
      </c>
      <c r="F190" s="89" t="s">
        <v>4805</v>
      </c>
      <c r="G190" s="89" t="s">
        <v>1654</v>
      </c>
      <c r="H190" s="91">
        <v>1331</v>
      </c>
      <c r="I190" s="89" t="s">
        <v>4358</v>
      </c>
      <c r="J190" s="92" t="s">
        <v>883</v>
      </c>
      <c r="K190" s="92"/>
      <c r="L190" s="92" t="s">
        <v>4271</v>
      </c>
      <c r="M190" s="92" t="s">
        <v>4359</v>
      </c>
      <c r="N190" s="93">
        <v>1331</v>
      </c>
      <c r="O190" s="94">
        <v>26000</v>
      </c>
      <c r="P190" s="94">
        <v>3800</v>
      </c>
      <c r="Q190" s="92" t="s">
        <v>3957</v>
      </c>
      <c r="R190" s="92" t="s">
        <v>4806</v>
      </c>
      <c r="S190" s="91">
        <v>13320</v>
      </c>
      <c r="T190" s="89" t="s">
        <v>643</v>
      </c>
    </row>
    <row r="191" spans="1:20" ht="30" customHeight="1" x14ac:dyDescent="0.35">
      <c r="A191" s="88">
        <v>149512</v>
      </c>
      <c r="B191" s="89" t="s">
        <v>4807</v>
      </c>
      <c r="C191" s="89" t="s">
        <v>4808</v>
      </c>
      <c r="D191" s="90" t="s">
        <v>3978</v>
      </c>
      <c r="E191" s="89" t="s">
        <v>1656</v>
      </c>
      <c r="F191" s="89" t="s">
        <v>4809</v>
      </c>
      <c r="G191" s="89" t="s">
        <v>1657</v>
      </c>
      <c r="H191" s="91">
        <v>1451</v>
      </c>
      <c r="I191" s="89" t="s">
        <v>4810</v>
      </c>
      <c r="J191" s="92" t="s">
        <v>4058</v>
      </c>
      <c r="K191" s="92"/>
      <c r="L191" s="92" t="s">
        <v>4811</v>
      </c>
      <c r="M191" s="92" t="s">
        <v>4812</v>
      </c>
      <c r="N191" s="93">
        <v>1451</v>
      </c>
      <c r="O191" s="94">
        <v>1</v>
      </c>
      <c r="P191" s="94">
        <v>1</v>
      </c>
      <c r="Q191" s="92" t="s">
        <v>3957</v>
      </c>
      <c r="R191" s="92" t="s">
        <v>4813</v>
      </c>
      <c r="S191" s="89" t="s">
        <v>643</v>
      </c>
      <c r="T191" s="89" t="s">
        <v>643</v>
      </c>
    </row>
    <row r="192" spans="1:20" ht="92.25" customHeight="1" x14ac:dyDescent="0.35">
      <c r="A192" s="88">
        <v>149514</v>
      </c>
      <c r="B192" s="89" t="s">
        <v>4814</v>
      </c>
      <c r="C192" s="89" t="s">
        <v>4815</v>
      </c>
      <c r="D192" s="90" t="s">
        <v>4077</v>
      </c>
      <c r="E192" s="89" t="s">
        <v>1659</v>
      </c>
      <c r="F192" s="89"/>
      <c r="G192" s="89" t="s">
        <v>1660</v>
      </c>
      <c r="H192" s="91">
        <v>1452</v>
      </c>
      <c r="I192" s="89" t="s">
        <v>1606</v>
      </c>
      <c r="J192" s="92" t="s">
        <v>883</v>
      </c>
      <c r="K192" s="92"/>
      <c r="L192" s="92" t="s">
        <v>4519</v>
      </c>
      <c r="M192" s="92" t="s">
        <v>4738</v>
      </c>
      <c r="N192" s="93">
        <v>1452</v>
      </c>
      <c r="O192" s="94">
        <v>20000</v>
      </c>
      <c r="P192" s="94">
        <v>3000</v>
      </c>
      <c r="Q192" s="92" t="s">
        <v>3957</v>
      </c>
      <c r="R192" s="92" t="s">
        <v>4816</v>
      </c>
      <c r="S192" s="89" t="s">
        <v>643</v>
      </c>
      <c r="T192" s="89" t="s">
        <v>643</v>
      </c>
    </row>
    <row r="193" spans="1:20" ht="30" customHeight="1" x14ac:dyDescent="0.35">
      <c r="A193" s="88">
        <v>149516</v>
      </c>
      <c r="B193" s="89" t="s">
        <v>4817</v>
      </c>
      <c r="C193" s="89" t="s">
        <v>4818</v>
      </c>
      <c r="D193" s="90" t="s">
        <v>4077</v>
      </c>
      <c r="E193" s="89" t="s">
        <v>4819</v>
      </c>
      <c r="F193" s="89"/>
      <c r="G193" s="89" t="s">
        <v>4820</v>
      </c>
      <c r="H193" s="91">
        <v>1331</v>
      </c>
      <c r="I193" s="89" t="s">
        <v>4358</v>
      </c>
      <c r="J193" s="92" t="s">
        <v>883</v>
      </c>
      <c r="K193" s="92"/>
      <c r="L193" s="92" t="s">
        <v>4271</v>
      </c>
      <c r="M193" s="92" t="s">
        <v>4359</v>
      </c>
      <c r="N193" s="93">
        <v>1331</v>
      </c>
      <c r="O193" s="94">
        <v>26000</v>
      </c>
      <c r="P193" s="94">
        <v>3800</v>
      </c>
      <c r="Q193" s="92" t="s">
        <v>3957</v>
      </c>
      <c r="R193" s="92" t="s">
        <v>4821</v>
      </c>
      <c r="S193" s="91">
        <v>13320</v>
      </c>
      <c r="T193" s="91">
        <v>13365</v>
      </c>
    </row>
    <row r="194" spans="1:20" ht="30" customHeight="1" x14ac:dyDescent="0.35">
      <c r="A194" s="88">
        <v>149621</v>
      </c>
      <c r="B194" s="89" t="s">
        <v>4822</v>
      </c>
      <c r="C194" s="89" t="s">
        <v>4823</v>
      </c>
      <c r="D194" s="90" t="s">
        <v>3978</v>
      </c>
      <c r="E194" s="89" t="s">
        <v>4824</v>
      </c>
      <c r="F194" s="89" t="s">
        <v>4825</v>
      </c>
      <c r="G194" s="89" t="s">
        <v>1663</v>
      </c>
      <c r="H194" s="91">
        <v>1341</v>
      </c>
      <c r="I194" s="89" t="s">
        <v>4370</v>
      </c>
      <c r="J194" s="92" t="s">
        <v>4058</v>
      </c>
      <c r="K194" s="92"/>
      <c r="L194" s="92" t="s">
        <v>4371</v>
      </c>
      <c r="M194" s="92" t="s">
        <v>4372</v>
      </c>
      <c r="N194" s="93">
        <v>1341</v>
      </c>
      <c r="O194" s="94">
        <v>100</v>
      </c>
      <c r="P194" s="94">
        <v>1</v>
      </c>
      <c r="Q194" s="92" t="s">
        <v>3957</v>
      </c>
      <c r="R194" s="92" t="s">
        <v>4826</v>
      </c>
      <c r="S194" s="91">
        <v>13470</v>
      </c>
      <c r="T194" s="91">
        <v>13471</v>
      </c>
    </row>
    <row r="195" spans="1:20" ht="30" customHeight="1" x14ac:dyDescent="0.35">
      <c r="A195" s="88">
        <v>149622</v>
      </c>
      <c r="B195" s="89" t="s">
        <v>4827</v>
      </c>
      <c r="C195" s="89" t="s">
        <v>4828</v>
      </c>
      <c r="D195" s="90" t="s">
        <v>3978</v>
      </c>
      <c r="E195" s="89" t="s">
        <v>1665</v>
      </c>
      <c r="F195" s="89" t="s">
        <v>4829</v>
      </c>
      <c r="G195" s="89" t="s">
        <v>1666</v>
      </c>
      <c r="H195" s="91">
        <v>1341</v>
      </c>
      <c r="I195" s="89" t="s">
        <v>4370</v>
      </c>
      <c r="J195" s="92" t="s">
        <v>4058</v>
      </c>
      <c r="K195" s="92"/>
      <c r="L195" s="92" t="s">
        <v>4371</v>
      </c>
      <c r="M195" s="92" t="s">
        <v>4372</v>
      </c>
      <c r="N195" s="93">
        <v>1341</v>
      </c>
      <c r="O195" s="94">
        <v>100</v>
      </c>
      <c r="P195" s="94">
        <v>1</v>
      </c>
      <c r="Q195" s="92" t="s">
        <v>3957</v>
      </c>
      <c r="R195" s="92" t="s">
        <v>4830</v>
      </c>
      <c r="S195" s="89" t="s">
        <v>643</v>
      </c>
      <c r="T195" s="89" t="s">
        <v>643</v>
      </c>
    </row>
    <row r="196" spans="1:20" ht="30" customHeight="1" x14ac:dyDescent="0.35">
      <c r="A196" s="88">
        <v>149623</v>
      </c>
      <c r="B196" s="89" t="s">
        <v>4831</v>
      </c>
      <c r="C196" s="89" t="s">
        <v>4832</v>
      </c>
      <c r="D196" s="90" t="s">
        <v>3978</v>
      </c>
      <c r="E196" s="89" t="s">
        <v>4833</v>
      </c>
      <c r="F196" s="89" t="s">
        <v>4834</v>
      </c>
      <c r="G196" s="89" t="s">
        <v>1669</v>
      </c>
      <c r="H196" s="91">
        <v>1341</v>
      </c>
      <c r="I196" s="89" t="s">
        <v>4370</v>
      </c>
      <c r="J196" s="92" t="s">
        <v>4058</v>
      </c>
      <c r="K196" s="92"/>
      <c r="L196" s="92" t="s">
        <v>4371</v>
      </c>
      <c r="M196" s="92" t="s">
        <v>4372</v>
      </c>
      <c r="N196" s="93">
        <v>1341</v>
      </c>
      <c r="O196" s="94">
        <v>100</v>
      </c>
      <c r="P196" s="94">
        <v>1</v>
      </c>
      <c r="Q196" s="92" t="s">
        <v>3957</v>
      </c>
      <c r="R196" s="92" t="s">
        <v>4835</v>
      </c>
      <c r="S196" s="89" t="s">
        <v>643</v>
      </c>
      <c r="T196" s="89" t="s">
        <v>643</v>
      </c>
    </row>
    <row r="197" spans="1:20" ht="30" customHeight="1" x14ac:dyDescent="0.35">
      <c r="A197" s="88">
        <v>149624</v>
      </c>
      <c r="B197" s="89" t="s">
        <v>4836</v>
      </c>
      <c r="C197" s="89" t="s">
        <v>4837</v>
      </c>
      <c r="D197" s="90" t="s">
        <v>3978</v>
      </c>
      <c r="E197" s="89" t="s">
        <v>1671</v>
      </c>
      <c r="F197" s="89"/>
      <c r="G197" s="89" t="s">
        <v>1672</v>
      </c>
      <c r="H197" s="91">
        <v>1341</v>
      </c>
      <c r="I197" s="89" t="s">
        <v>4370</v>
      </c>
      <c r="J197" s="92" t="s">
        <v>4058</v>
      </c>
      <c r="K197" s="92"/>
      <c r="L197" s="92" t="s">
        <v>4371</v>
      </c>
      <c r="M197" s="92" t="s">
        <v>4372</v>
      </c>
      <c r="N197" s="93">
        <v>1341</v>
      </c>
      <c r="O197" s="94">
        <v>100</v>
      </c>
      <c r="P197" s="94">
        <v>1</v>
      </c>
      <c r="Q197" s="92" t="s">
        <v>3957</v>
      </c>
      <c r="R197" s="92" t="s">
        <v>4838</v>
      </c>
      <c r="S197" s="89" t="s">
        <v>643</v>
      </c>
      <c r="T197" s="91">
        <v>13471</v>
      </c>
    </row>
    <row r="198" spans="1:20" ht="30" customHeight="1" x14ac:dyDescent="0.35">
      <c r="A198" s="88">
        <v>149625</v>
      </c>
      <c r="B198" s="89" t="s">
        <v>4839</v>
      </c>
      <c r="C198" s="89" t="s">
        <v>4840</v>
      </c>
      <c r="D198" s="90" t="s">
        <v>3978</v>
      </c>
      <c r="E198" s="89" t="s">
        <v>1674</v>
      </c>
      <c r="F198" s="89"/>
      <c r="G198" s="89" t="s">
        <v>1675</v>
      </c>
      <c r="H198" s="91">
        <v>1341</v>
      </c>
      <c r="I198" s="89" t="s">
        <v>4370</v>
      </c>
      <c r="J198" s="92" t="s">
        <v>4058</v>
      </c>
      <c r="K198" s="92"/>
      <c r="L198" s="92" t="s">
        <v>4371</v>
      </c>
      <c r="M198" s="92" t="s">
        <v>4372</v>
      </c>
      <c r="N198" s="93">
        <v>1341</v>
      </c>
      <c r="O198" s="94">
        <v>100</v>
      </c>
      <c r="P198" s="94">
        <v>1</v>
      </c>
      <c r="Q198" s="92" t="s">
        <v>3957</v>
      </c>
      <c r="R198" s="92" t="s">
        <v>4841</v>
      </c>
      <c r="S198" s="91">
        <v>13470</v>
      </c>
      <c r="T198" s="91">
        <v>13471</v>
      </c>
    </row>
    <row r="199" spans="1:20" ht="136.5" customHeight="1" x14ac:dyDescent="0.35">
      <c r="A199" s="88">
        <v>149626</v>
      </c>
      <c r="B199" s="89" t="s">
        <v>4842</v>
      </c>
      <c r="C199" s="89" t="s">
        <v>4843</v>
      </c>
      <c r="D199" s="90" t="s">
        <v>3978</v>
      </c>
      <c r="E199" s="89" t="s">
        <v>1677</v>
      </c>
      <c r="F199" s="89"/>
      <c r="G199" s="89" t="s">
        <v>1678</v>
      </c>
      <c r="H199" s="91">
        <v>1341</v>
      </c>
      <c r="I199" s="89" t="s">
        <v>4370</v>
      </c>
      <c r="J199" s="92" t="s">
        <v>4058</v>
      </c>
      <c r="K199" s="92"/>
      <c r="L199" s="92" t="s">
        <v>4371</v>
      </c>
      <c r="M199" s="92" t="s">
        <v>4372</v>
      </c>
      <c r="N199" s="93">
        <v>1341</v>
      </c>
      <c r="O199" s="94">
        <v>100</v>
      </c>
      <c r="P199" s="94">
        <v>1</v>
      </c>
      <c r="Q199" s="92" t="s">
        <v>3957</v>
      </c>
      <c r="R199" s="92" t="s">
        <v>4844</v>
      </c>
      <c r="S199" s="89" t="s">
        <v>643</v>
      </c>
      <c r="T199" s="89" t="s">
        <v>643</v>
      </c>
    </row>
    <row r="200" spans="1:20" ht="30" customHeight="1" x14ac:dyDescent="0.35">
      <c r="A200" s="88">
        <v>149627</v>
      </c>
      <c r="B200" s="89" t="s">
        <v>4845</v>
      </c>
      <c r="C200" s="89" t="s">
        <v>4846</v>
      </c>
      <c r="D200" s="90" t="s">
        <v>3978</v>
      </c>
      <c r="E200" s="89" t="s">
        <v>1680</v>
      </c>
      <c r="F200" s="89"/>
      <c r="G200" s="89" t="s">
        <v>1681</v>
      </c>
      <c r="H200" s="91">
        <v>1341</v>
      </c>
      <c r="I200" s="89" t="s">
        <v>4370</v>
      </c>
      <c r="J200" s="92" t="s">
        <v>4058</v>
      </c>
      <c r="K200" s="92"/>
      <c r="L200" s="92" t="s">
        <v>4371</v>
      </c>
      <c r="M200" s="92" t="s">
        <v>4372</v>
      </c>
      <c r="N200" s="93">
        <v>1341</v>
      </c>
      <c r="O200" s="94">
        <v>100</v>
      </c>
      <c r="P200" s="94">
        <v>1</v>
      </c>
      <c r="Q200" s="92" t="s">
        <v>3957</v>
      </c>
      <c r="R200" s="92" t="s">
        <v>4847</v>
      </c>
      <c r="S200" s="89" t="s">
        <v>643</v>
      </c>
      <c r="T200" s="89" t="s">
        <v>643</v>
      </c>
    </row>
    <row r="201" spans="1:20" ht="30" customHeight="1" x14ac:dyDescent="0.35">
      <c r="A201" s="88">
        <v>149628</v>
      </c>
      <c r="B201" s="89" t="s">
        <v>4848</v>
      </c>
      <c r="C201" s="89" t="s">
        <v>4849</v>
      </c>
      <c r="D201" s="90" t="s">
        <v>3978</v>
      </c>
      <c r="E201" s="89" t="s">
        <v>4850</v>
      </c>
      <c r="F201" s="89"/>
      <c r="G201" s="89" t="s">
        <v>1684</v>
      </c>
      <c r="H201" s="91">
        <v>1496</v>
      </c>
      <c r="I201" s="89" t="s">
        <v>4851</v>
      </c>
      <c r="J201" s="92" t="s">
        <v>883</v>
      </c>
      <c r="K201" s="92"/>
      <c r="L201" s="92" t="s">
        <v>4852</v>
      </c>
      <c r="M201" s="92" t="s">
        <v>4853</v>
      </c>
      <c r="N201" s="93">
        <v>1496</v>
      </c>
      <c r="O201" s="94">
        <v>600000</v>
      </c>
      <c r="P201" s="94">
        <v>50000</v>
      </c>
      <c r="Q201" s="92" t="s">
        <v>3957</v>
      </c>
      <c r="R201" s="92" t="s">
        <v>4854</v>
      </c>
      <c r="S201" s="91">
        <v>14962</v>
      </c>
      <c r="T201" s="89" t="s">
        <v>643</v>
      </c>
    </row>
    <row r="202" spans="1:20" ht="43.5" customHeight="1" x14ac:dyDescent="0.35">
      <c r="A202" s="88">
        <v>149629</v>
      </c>
      <c r="B202" s="89" t="s">
        <v>4855</v>
      </c>
      <c r="C202" s="89" t="s">
        <v>4856</v>
      </c>
      <c r="D202" s="90" t="s">
        <v>3978</v>
      </c>
      <c r="E202" s="89" t="s">
        <v>1686</v>
      </c>
      <c r="F202" s="89" t="s">
        <v>4857</v>
      </c>
      <c r="G202" s="89" t="s">
        <v>1687</v>
      </c>
      <c r="H202" s="91">
        <v>1467</v>
      </c>
      <c r="I202" s="89" t="s">
        <v>4858</v>
      </c>
      <c r="J202" s="92" t="s">
        <v>4058</v>
      </c>
      <c r="K202" s="92"/>
      <c r="L202" s="92" t="s">
        <v>4859</v>
      </c>
      <c r="M202" s="92" t="s">
        <v>4860</v>
      </c>
      <c r="N202" s="93">
        <v>1467</v>
      </c>
      <c r="O202" s="94">
        <v>1</v>
      </c>
      <c r="P202" s="94">
        <v>1</v>
      </c>
      <c r="Q202" s="92" t="s">
        <v>3957</v>
      </c>
      <c r="R202" s="92" t="s">
        <v>4861</v>
      </c>
      <c r="S202" s="89" t="s">
        <v>643</v>
      </c>
      <c r="T202" s="89" t="s">
        <v>643</v>
      </c>
    </row>
    <row r="203" spans="1:20" ht="30" customHeight="1" x14ac:dyDescent="0.35">
      <c r="A203" s="88">
        <v>149711</v>
      </c>
      <c r="B203" s="89" t="s">
        <v>4862</v>
      </c>
      <c r="C203" s="89" t="s">
        <v>4863</v>
      </c>
      <c r="D203" s="90" t="s">
        <v>3978</v>
      </c>
      <c r="E203" s="89" t="s">
        <v>1689</v>
      </c>
      <c r="F203" s="89"/>
      <c r="G203" s="89" t="s">
        <v>1690</v>
      </c>
      <c r="H203" s="91">
        <v>1453</v>
      </c>
      <c r="I203" s="89" t="s">
        <v>4864</v>
      </c>
      <c r="J203" s="92" t="s">
        <v>4058</v>
      </c>
      <c r="K203" s="92"/>
      <c r="L203" s="92" t="s">
        <v>4865</v>
      </c>
      <c r="M203" s="92" t="s">
        <v>4866</v>
      </c>
      <c r="N203" s="93">
        <v>1453</v>
      </c>
      <c r="O203" s="94">
        <v>1</v>
      </c>
      <c r="P203" s="94">
        <v>1</v>
      </c>
      <c r="Q203" s="92" t="s">
        <v>3957</v>
      </c>
      <c r="R203" s="92" t="s">
        <v>4867</v>
      </c>
      <c r="S203" s="89" t="s">
        <v>643</v>
      </c>
      <c r="T203" s="89" t="s">
        <v>643</v>
      </c>
    </row>
    <row r="204" spans="1:20" ht="61.5" customHeight="1" x14ac:dyDescent="0.35">
      <c r="A204" s="88">
        <v>149811</v>
      </c>
      <c r="B204" s="89" t="s">
        <v>4868</v>
      </c>
      <c r="C204" s="89" t="s">
        <v>4868</v>
      </c>
      <c r="D204" s="90" t="s">
        <v>3949</v>
      </c>
      <c r="E204" s="89" t="s">
        <v>1692</v>
      </c>
      <c r="F204" s="89"/>
      <c r="G204" s="89" t="s">
        <v>1693</v>
      </c>
      <c r="H204" s="91">
        <v>1454</v>
      </c>
      <c r="I204" s="89" t="s">
        <v>4869</v>
      </c>
      <c r="J204" s="92" t="s">
        <v>3954</v>
      </c>
      <c r="K204" s="92"/>
      <c r="L204" s="92" t="s">
        <v>4870</v>
      </c>
      <c r="M204" s="92" t="s">
        <v>4871</v>
      </c>
      <c r="N204" s="93">
        <v>1454</v>
      </c>
      <c r="O204" s="94">
        <v>1000</v>
      </c>
      <c r="P204" s="94">
        <v>470</v>
      </c>
      <c r="Q204" s="92" t="s">
        <v>3957</v>
      </c>
      <c r="R204" s="92" t="s">
        <v>4872</v>
      </c>
      <c r="S204" s="89" t="s">
        <v>643</v>
      </c>
      <c r="T204" s="89" t="s">
        <v>643</v>
      </c>
    </row>
    <row r="205" spans="1:20" ht="30" customHeight="1" x14ac:dyDescent="0.35">
      <c r="A205" s="89">
        <v>149860</v>
      </c>
      <c r="B205" s="89" t="s">
        <v>4873</v>
      </c>
      <c r="C205" s="89" t="s">
        <v>4874</v>
      </c>
      <c r="D205" s="90" t="s">
        <v>3978</v>
      </c>
      <c r="E205" s="89" t="s">
        <v>4875</v>
      </c>
      <c r="F205" s="89"/>
      <c r="G205" s="89" t="s">
        <v>909</v>
      </c>
      <c r="H205" s="91">
        <v>4422</v>
      </c>
      <c r="I205" s="89" t="s">
        <v>4876</v>
      </c>
      <c r="J205" s="92" t="s">
        <v>883</v>
      </c>
      <c r="K205" s="92"/>
      <c r="L205" s="92" t="s">
        <v>4877</v>
      </c>
      <c r="M205" s="92" t="s">
        <v>4878</v>
      </c>
      <c r="N205" s="93">
        <v>4422</v>
      </c>
      <c r="O205" s="94">
        <v>400000</v>
      </c>
      <c r="P205" s="94">
        <v>5500</v>
      </c>
      <c r="Q205" s="92" t="s">
        <v>3957</v>
      </c>
      <c r="R205" s="92" t="s">
        <v>4874</v>
      </c>
      <c r="S205" s="89" t="s">
        <v>3982</v>
      </c>
      <c r="T205" s="91">
        <v>14986</v>
      </c>
    </row>
    <row r="206" spans="1:20" ht="30" customHeight="1" x14ac:dyDescent="0.35">
      <c r="A206" s="88">
        <v>149921</v>
      </c>
      <c r="B206" s="89" t="s">
        <v>4879</v>
      </c>
      <c r="C206" s="89" t="s">
        <v>4880</v>
      </c>
      <c r="D206" s="90" t="s">
        <v>3978</v>
      </c>
      <c r="E206" s="89" t="s">
        <v>1697</v>
      </c>
      <c r="F206" s="89"/>
      <c r="G206" s="89" t="s">
        <v>1698</v>
      </c>
      <c r="H206" s="91">
        <v>1499</v>
      </c>
      <c r="I206" s="89" t="s">
        <v>4798</v>
      </c>
      <c r="J206" s="92" t="s">
        <v>883</v>
      </c>
      <c r="K206" s="92"/>
      <c r="L206" s="92" t="s">
        <v>4799</v>
      </c>
      <c r="M206" s="92" t="s">
        <v>4800</v>
      </c>
      <c r="N206" s="93">
        <v>1499</v>
      </c>
      <c r="O206" s="94">
        <v>35</v>
      </c>
      <c r="P206" s="94">
        <v>1</v>
      </c>
      <c r="Q206" s="92" t="s">
        <v>3957</v>
      </c>
      <c r="R206" s="92" t="s">
        <v>4881</v>
      </c>
      <c r="S206" s="91">
        <v>14937</v>
      </c>
      <c r="T206" s="89" t="s">
        <v>643</v>
      </c>
    </row>
    <row r="207" spans="1:20" ht="30" customHeight="1" x14ac:dyDescent="0.35">
      <c r="A207" s="88">
        <v>149962</v>
      </c>
      <c r="B207" s="89" t="s">
        <v>4882</v>
      </c>
      <c r="C207" s="89" t="s">
        <v>4883</v>
      </c>
      <c r="D207" s="90" t="s">
        <v>4077</v>
      </c>
      <c r="E207" s="89" t="s">
        <v>1700</v>
      </c>
      <c r="F207" s="89"/>
      <c r="G207" s="89" t="s">
        <v>1701</v>
      </c>
      <c r="H207" s="91">
        <v>1413</v>
      </c>
      <c r="I207" s="89" t="s">
        <v>4884</v>
      </c>
      <c r="J207" s="92" t="s">
        <v>883</v>
      </c>
      <c r="K207" s="92"/>
      <c r="L207" s="92" t="s">
        <v>4885</v>
      </c>
      <c r="M207" s="92" t="s">
        <v>4156</v>
      </c>
      <c r="N207" s="93">
        <v>1413</v>
      </c>
      <c r="O207" s="94">
        <v>14000</v>
      </c>
      <c r="P207" s="94">
        <v>4600</v>
      </c>
      <c r="Q207" s="92" t="s">
        <v>3957</v>
      </c>
      <c r="R207" s="92" t="s">
        <v>4886</v>
      </c>
      <c r="S207" s="91">
        <v>13310</v>
      </c>
      <c r="T207" s="91">
        <v>14170</v>
      </c>
    </row>
    <row r="208" spans="1:20" ht="30" customHeight="1" x14ac:dyDescent="0.35">
      <c r="A208" s="88">
        <v>149965</v>
      </c>
      <c r="B208" s="89" t="s">
        <v>4887</v>
      </c>
      <c r="C208" s="89" t="s">
        <v>4888</v>
      </c>
      <c r="D208" s="90" t="s">
        <v>3978</v>
      </c>
      <c r="E208" s="89" t="s">
        <v>1703</v>
      </c>
      <c r="F208" s="89"/>
      <c r="G208" s="89" t="s">
        <v>1704</v>
      </c>
      <c r="H208" s="91">
        <v>1499</v>
      </c>
      <c r="I208" s="89" t="s">
        <v>4798</v>
      </c>
      <c r="J208" s="92" t="s">
        <v>883</v>
      </c>
      <c r="K208" s="92"/>
      <c r="L208" s="92" t="s">
        <v>4799</v>
      </c>
      <c r="M208" s="92" t="s">
        <v>4800</v>
      </c>
      <c r="N208" s="93">
        <v>1499</v>
      </c>
      <c r="O208" s="94">
        <v>35</v>
      </c>
      <c r="P208" s="94">
        <v>1</v>
      </c>
      <c r="Q208" s="92" t="s">
        <v>3957</v>
      </c>
      <c r="R208" s="92" t="s">
        <v>4889</v>
      </c>
      <c r="S208" s="91">
        <v>14940</v>
      </c>
      <c r="T208" s="89" t="s">
        <v>643</v>
      </c>
    </row>
    <row r="209" spans="1:20" ht="30" customHeight="1" x14ac:dyDescent="0.35">
      <c r="A209" s="88">
        <v>149967</v>
      </c>
      <c r="B209" s="89" t="s">
        <v>4890</v>
      </c>
      <c r="C209" s="89" t="s">
        <v>4891</v>
      </c>
      <c r="D209" s="90" t="s">
        <v>3978</v>
      </c>
      <c r="E209" s="89" t="s">
        <v>1706</v>
      </c>
      <c r="F209" s="89" t="s">
        <v>4892</v>
      </c>
      <c r="G209" s="89" t="s">
        <v>1707</v>
      </c>
      <c r="H209" s="91">
        <v>1734</v>
      </c>
      <c r="I209" s="89" t="s">
        <v>1874</v>
      </c>
      <c r="J209" s="92" t="s">
        <v>3954</v>
      </c>
      <c r="K209" s="92"/>
      <c r="L209" s="92" t="s">
        <v>4893</v>
      </c>
      <c r="M209" s="92" t="s">
        <v>4894</v>
      </c>
      <c r="N209" s="93">
        <v>1734</v>
      </c>
      <c r="O209" s="94">
        <v>1</v>
      </c>
      <c r="P209" s="94">
        <v>1</v>
      </c>
      <c r="Q209" s="92" t="s">
        <v>3957</v>
      </c>
      <c r="R209" s="92" t="s">
        <v>4895</v>
      </c>
      <c r="S209" s="91">
        <v>17971</v>
      </c>
      <c r="T209" s="89" t="s">
        <v>4896</v>
      </c>
    </row>
    <row r="210" spans="1:20" ht="30" customHeight="1" x14ac:dyDescent="0.35">
      <c r="A210" s="88">
        <v>149968</v>
      </c>
      <c r="B210" s="89" t="s">
        <v>4897</v>
      </c>
      <c r="C210" s="89" t="s">
        <v>4898</v>
      </c>
      <c r="D210" s="90" t="s">
        <v>3978</v>
      </c>
      <c r="E210" s="89" t="s">
        <v>1709</v>
      </c>
      <c r="F210" s="89"/>
      <c r="G210" s="89" t="s">
        <v>1710</v>
      </c>
      <c r="H210" s="91">
        <v>1499</v>
      </c>
      <c r="I210" s="89" t="s">
        <v>4798</v>
      </c>
      <c r="J210" s="92" t="s">
        <v>883</v>
      </c>
      <c r="K210" s="92"/>
      <c r="L210" s="92" t="s">
        <v>4799</v>
      </c>
      <c r="M210" s="92" t="s">
        <v>4800</v>
      </c>
      <c r="N210" s="93">
        <v>1499</v>
      </c>
      <c r="O210" s="94">
        <v>35</v>
      </c>
      <c r="P210" s="94">
        <v>1</v>
      </c>
      <c r="Q210" s="92" t="s">
        <v>3957</v>
      </c>
      <c r="R210" s="92" t="s">
        <v>4899</v>
      </c>
      <c r="S210" s="91">
        <v>14940</v>
      </c>
      <c r="T210" s="89" t="s">
        <v>643</v>
      </c>
    </row>
    <row r="211" spans="1:20" ht="30" customHeight="1" x14ac:dyDescent="0.35">
      <c r="A211" s="88">
        <v>151153</v>
      </c>
      <c r="B211" s="89" t="s">
        <v>4900</v>
      </c>
      <c r="C211" s="89" t="s">
        <v>4901</v>
      </c>
      <c r="D211" s="90" t="s">
        <v>3949</v>
      </c>
      <c r="E211" s="89" t="s">
        <v>1712</v>
      </c>
      <c r="F211" s="89" t="s">
        <v>4902</v>
      </c>
      <c r="G211" s="89" t="s">
        <v>1713</v>
      </c>
      <c r="H211" s="91">
        <v>1511</v>
      </c>
      <c r="I211" s="89" t="s">
        <v>4903</v>
      </c>
      <c r="J211" s="92" t="s">
        <v>4058</v>
      </c>
      <c r="K211" s="92" t="s">
        <v>4904</v>
      </c>
      <c r="L211" s="92" t="s">
        <v>4905</v>
      </c>
      <c r="M211" s="92" t="s">
        <v>4906</v>
      </c>
      <c r="N211" s="93">
        <v>1511</v>
      </c>
      <c r="O211" s="94">
        <v>40000</v>
      </c>
      <c r="P211" s="94">
        <v>5000</v>
      </c>
      <c r="Q211" s="92" t="s">
        <v>3957</v>
      </c>
      <c r="R211" s="92" t="s">
        <v>4907</v>
      </c>
      <c r="S211" s="91">
        <v>15110</v>
      </c>
      <c r="T211" s="91">
        <v>15160</v>
      </c>
    </row>
    <row r="212" spans="1:20" ht="30" customHeight="1" x14ac:dyDescent="0.35">
      <c r="A212" s="88">
        <v>151155</v>
      </c>
      <c r="B212" s="89" t="s">
        <v>4908</v>
      </c>
      <c r="C212" s="89" t="s">
        <v>4909</v>
      </c>
      <c r="D212" s="90" t="s">
        <v>3949</v>
      </c>
      <c r="E212" s="89" t="s">
        <v>1715</v>
      </c>
      <c r="F212" s="89"/>
      <c r="G212" s="89" t="s">
        <v>1716</v>
      </c>
      <c r="H212" s="91">
        <v>1511</v>
      </c>
      <c r="I212" s="89" t="s">
        <v>4903</v>
      </c>
      <c r="J212" s="92" t="s">
        <v>4058</v>
      </c>
      <c r="K212" s="92" t="s">
        <v>4904</v>
      </c>
      <c r="L212" s="92" t="s">
        <v>4905</v>
      </c>
      <c r="M212" s="92" t="s">
        <v>4906</v>
      </c>
      <c r="N212" s="93">
        <v>1511</v>
      </c>
      <c r="O212" s="94">
        <v>40000</v>
      </c>
      <c r="P212" s="94">
        <v>5000</v>
      </c>
      <c r="Q212" s="92" t="s">
        <v>3957</v>
      </c>
      <c r="R212" s="92" t="s">
        <v>4910</v>
      </c>
      <c r="S212" s="91">
        <v>15110</v>
      </c>
      <c r="T212" s="91">
        <v>15140</v>
      </c>
    </row>
    <row r="213" spans="1:20" ht="30" customHeight="1" x14ac:dyDescent="0.35">
      <c r="A213" s="88">
        <v>152111</v>
      </c>
      <c r="B213" s="89" t="s">
        <v>4911</v>
      </c>
      <c r="C213" s="89" t="s">
        <v>4911</v>
      </c>
      <c r="D213" s="90" t="s">
        <v>3949</v>
      </c>
      <c r="E213" s="89" t="s">
        <v>1718</v>
      </c>
      <c r="F213" s="89"/>
      <c r="G213" s="89" t="s">
        <v>1719</v>
      </c>
      <c r="H213" s="91">
        <v>1512</v>
      </c>
      <c r="I213" s="89" t="s">
        <v>1717</v>
      </c>
      <c r="J213" s="92" t="s">
        <v>3953</v>
      </c>
      <c r="K213" s="92" t="s">
        <v>4904</v>
      </c>
      <c r="L213" s="92" t="s">
        <v>4905</v>
      </c>
      <c r="M213" s="92" t="s">
        <v>4912</v>
      </c>
      <c r="N213" s="93">
        <v>1512</v>
      </c>
      <c r="O213" s="94">
        <v>39000</v>
      </c>
      <c r="P213" s="94">
        <v>2700</v>
      </c>
      <c r="Q213" s="92" t="s">
        <v>3957</v>
      </c>
      <c r="R213" s="92" t="s">
        <v>4911</v>
      </c>
      <c r="S213" s="91">
        <v>15210</v>
      </c>
      <c r="T213" s="91">
        <v>15220</v>
      </c>
    </row>
    <row r="214" spans="1:20" ht="30" customHeight="1" x14ac:dyDescent="0.35">
      <c r="A214" s="88">
        <v>154452</v>
      </c>
      <c r="B214" s="89" t="s">
        <v>4913</v>
      </c>
      <c r="C214" s="89" t="s">
        <v>4914</v>
      </c>
      <c r="D214" s="90" t="s">
        <v>3949</v>
      </c>
      <c r="E214" s="89" t="s">
        <v>1721</v>
      </c>
      <c r="F214" s="89"/>
      <c r="G214" s="89" t="s">
        <v>1722</v>
      </c>
      <c r="H214" s="91">
        <v>1541</v>
      </c>
      <c r="I214" s="89" t="s">
        <v>4915</v>
      </c>
      <c r="J214" s="92" t="s">
        <v>3953</v>
      </c>
      <c r="K214" s="92"/>
      <c r="L214" s="92" t="s">
        <v>4916</v>
      </c>
      <c r="M214" s="92" t="s">
        <v>4917</v>
      </c>
      <c r="N214" s="93">
        <v>1541</v>
      </c>
      <c r="O214" s="94">
        <v>34000</v>
      </c>
      <c r="P214" s="94">
        <v>1900</v>
      </c>
      <c r="Q214" s="92" t="s">
        <v>765</v>
      </c>
      <c r="R214" s="92" t="s">
        <v>4918</v>
      </c>
      <c r="S214" s="89" t="s">
        <v>4919</v>
      </c>
      <c r="T214" s="89" t="s">
        <v>4920</v>
      </c>
    </row>
    <row r="215" spans="1:20" ht="30" customHeight="1" x14ac:dyDescent="0.35">
      <c r="A215" s="88">
        <v>155199</v>
      </c>
      <c r="B215" s="89" t="s">
        <v>4921</v>
      </c>
      <c r="C215" s="89" t="s">
        <v>4921</v>
      </c>
      <c r="D215" s="90" t="s">
        <v>3978</v>
      </c>
      <c r="E215" s="89" t="s">
        <v>4922</v>
      </c>
      <c r="F215" s="89"/>
      <c r="G215" s="89" t="s">
        <v>1725</v>
      </c>
      <c r="H215" s="91">
        <v>1551</v>
      </c>
      <c r="I215" s="89" t="s">
        <v>1723</v>
      </c>
      <c r="J215" s="92" t="s">
        <v>3954</v>
      </c>
      <c r="K215" s="92"/>
      <c r="L215" s="92" t="s">
        <v>4923</v>
      </c>
      <c r="M215" s="92" t="s">
        <v>4924</v>
      </c>
      <c r="N215" s="93">
        <v>1551</v>
      </c>
      <c r="O215" s="94">
        <v>1300</v>
      </c>
      <c r="P215" s="94">
        <v>310</v>
      </c>
      <c r="Q215" s="92" t="s">
        <v>3957</v>
      </c>
      <c r="R215" s="92" t="s">
        <v>4925</v>
      </c>
      <c r="S215" s="91">
        <v>15930</v>
      </c>
      <c r="T215" s="91">
        <v>15520</v>
      </c>
    </row>
    <row r="216" spans="1:20" ht="30" customHeight="1" x14ac:dyDescent="0.35">
      <c r="A216" s="88">
        <v>159353</v>
      </c>
      <c r="B216" s="89" t="s">
        <v>4926</v>
      </c>
      <c r="C216" s="89" t="s">
        <v>4927</v>
      </c>
      <c r="D216" s="90" t="s">
        <v>4077</v>
      </c>
      <c r="E216" s="89" t="s">
        <v>1727</v>
      </c>
      <c r="F216" s="89"/>
      <c r="G216" s="89" t="s">
        <v>1728</v>
      </c>
      <c r="H216" s="91">
        <v>1443</v>
      </c>
      <c r="I216" s="89" t="s">
        <v>4713</v>
      </c>
      <c r="J216" s="92" t="s">
        <v>883</v>
      </c>
      <c r="K216" s="92"/>
      <c r="L216" s="92" t="s">
        <v>4714</v>
      </c>
      <c r="M216" s="92" t="s">
        <v>4715</v>
      </c>
      <c r="N216" s="93">
        <v>1443</v>
      </c>
      <c r="O216" s="94">
        <v>120000</v>
      </c>
      <c r="P216" s="94">
        <v>4800</v>
      </c>
      <c r="Q216" s="92" t="s">
        <v>3957</v>
      </c>
      <c r="R216" s="92" t="s">
        <v>4928</v>
      </c>
      <c r="S216" s="91">
        <v>14133</v>
      </c>
      <c r="T216" s="89" t="s">
        <v>4929</v>
      </c>
    </row>
    <row r="217" spans="1:20" ht="30" customHeight="1" x14ac:dyDescent="0.35">
      <c r="A217" s="88">
        <v>163100</v>
      </c>
      <c r="B217" s="89" t="s">
        <v>4930</v>
      </c>
      <c r="C217" s="89"/>
      <c r="D217" s="90" t="s">
        <v>3978</v>
      </c>
      <c r="E217" s="89" t="s">
        <v>1730</v>
      </c>
      <c r="F217" s="89"/>
      <c r="G217" s="89" t="s">
        <v>909</v>
      </c>
      <c r="H217" s="91">
        <v>1631</v>
      </c>
      <c r="I217" s="89" t="s">
        <v>1729</v>
      </c>
      <c r="J217" s="92" t="s">
        <v>4058</v>
      </c>
      <c r="K217" s="92"/>
      <c r="L217" s="92"/>
      <c r="M217" s="92"/>
      <c r="N217" s="93"/>
      <c r="O217" s="94"/>
      <c r="P217" s="94"/>
      <c r="Q217" s="92"/>
      <c r="R217" s="92"/>
      <c r="S217" s="91"/>
      <c r="T217" s="89"/>
    </row>
    <row r="218" spans="1:20" ht="30" customHeight="1" x14ac:dyDescent="0.35">
      <c r="A218" s="88">
        <v>163311</v>
      </c>
      <c r="B218" s="89" t="s">
        <v>4931</v>
      </c>
      <c r="C218" s="89" t="s">
        <v>4932</v>
      </c>
      <c r="D218" s="90" t="s">
        <v>3978</v>
      </c>
      <c r="E218" s="89" t="s">
        <v>4933</v>
      </c>
      <c r="F218" s="89"/>
      <c r="G218" s="89" t="s">
        <v>1733</v>
      </c>
      <c r="H218" s="91">
        <v>1631</v>
      </c>
      <c r="I218" s="89" t="s">
        <v>1729</v>
      </c>
      <c r="J218" s="92" t="s">
        <v>883</v>
      </c>
      <c r="K218" s="92"/>
      <c r="L218" s="92" t="s">
        <v>4934</v>
      </c>
      <c r="M218" s="92" t="s">
        <v>4935</v>
      </c>
      <c r="N218" s="93">
        <v>1631</v>
      </c>
      <c r="O218" s="94">
        <v>200</v>
      </c>
      <c r="P218" s="94">
        <v>1</v>
      </c>
      <c r="Q218" s="92" t="s">
        <v>3957</v>
      </c>
      <c r="R218" s="92" t="s">
        <v>4936</v>
      </c>
      <c r="S218" s="91">
        <v>16310</v>
      </c>
      <c r="T218" s="89" t="s">
        <v>4937</v>
      </c>
    </row>
    <row r="219" spans="1:20" ht="30" customHeight="1" x14ac:dyDescent="0.35">
      <c r="A219" s="88">
        <v>164211</v>
      </c>
      <c r="B219" s="89" t="s">
        <v>4938</v>
      </c>
      <c r="C219" s="89" t="s">
        <v>4939</v>
      </c>
      <c r="D219" s="90" t="s">
        <v>3949</v>
      </c>
      <c r="E219" s="89" t="s">
        <v>1735</v>
      </c>
      <c r="F219" s="89"/>
      <c r="G219" s="89" t="s">
        <v>1736</v>
      </c>
      <c r="H219" s="91">
        <v>1641</v>
      </c>
      <c r="I219" s="89" t="s">
        <v>4940</v>
      </c>
      <c r="J219" s="92" t="s">
        <v>4058</v>
      </c>
      <c r="K219" s="92"/>
      <c r="L219" s="92" t="s">
        <v>4941</v>
      </c>
      <c r="M219" s="92" t="s">
        <v>4942</v>
      </c>
      <c r="N219" s="93">
        <v>1641</v>
      </c>
      <c r="O219" s="94">
        <v>4000</v>
      </c>
      <c r="P219" s="94">
        <v>550</v>
      </c>
      <c r="Q219" s="92" t="s">
        <v>765</v>
      </c>
      <c r="R219" s="92" t="s">
        <v>4943</v>
      </c>
      <c r="S219" s="89" t="s">
        <v>4944</v>
      </c>
      <c r="T219" s="89" t="s">
        <v>4945</v>
      </c>
    </row>
    <row r="220" spans="1:20" ht="30" customHeight="1" x14ac:dyDescent="0.35">
      <c r="A220" s="88">
        <v>171141</v>
      </c>
      <c r="B220" s="89" t="s">
        <v>4946</v>
      </c>
      <c r="C220" s="89" t="s">
        <v>4946</v>
      </c>
      <c r="D220" s="90" t="s">
        <v>4077</v>
      </c>
      <c r="E220" s="89" t="s">
        <v>4947</v>
      </c>
      <c r="F220" s="89"/>
      <c r="G220" s="89" t="s">
        <v>1739</v>
      </c>
      <c r="H220" s="91">
        <v>4427</v>
      </c>
      <c r="I220" s="89" t="s">
        <v>4948</v>
      </c>
      <c r="J220" s="92" t="s">
        <v>883</v>
      </c>
      <c r="K220" s="92"/>
      <c r="L220" s="92" t="s">
        <v>4949</v>
      </c>
      <c r="M220" s="92" t="s">
        <v>4950</v>
      </c>
      <c r="N220" s="93">
        <v>4427</v>
      </c>
      <c r="O220" s="94">
        <v>31000</v>
      </c>
      <c r="P220" s="94">
        <v>2100</v>
      </c>
      <c r="Q220" s="92" t="s">
        <v>3957</v>
      </c>
      <c r="R220" s="92" t="s">
        <v>4951</v>
      </c>
      <c r="S220" s="91">
        <v>44223</v>
      </c>
      <c r="T220" s="91">
        <v>14345</v>
      </c>
    </row>
    <row r="221" spans="1:20" ht="30" customHeight="1" x14ac:dyDescent="0.35">
      <c r="A221" s="88">
        <v>171152</v>
      </c>
      <c r="B221" s="89" t="s">
        <v>4952</v>
      </c>
      <c r="C221" s="89" t="s">
        <v>4953</v>
      </c>
      <c r="D221" s="90" t="s">
        <v>4077</v>
      </c>
      <c r="E221" s="89" t="s">
        <v>1741</v>
      </c>
      <c r="F221" s="89" t="s">
        <v>4954</v>
      </c>
      <c r="G221" s="89" t="s">
        <v>1742</v>
      </c>
      <c r="H221" s="91">
        <v>1711</v>
      </c>
      <c r="I221" s="89" t="s">
        <v>4955</v>
      </c>
      <c r="J221" s="92" t="s">
        <v>3954</v>
      </c>
      <c r="K221" s="92"/>
      <c r="L221" s="92" t="s">
        <v>4956</v>
      </c>
      <c r="M221" s="92" t="s">
        <v>4957</v>
      </c>
      <c r="N221" s="93">
        <v>1711</v>
      </c>
      <c r="O221" s="94">
        <v>210000</v>
      </c>
      <c r="P221" s="94">
        <v>12000</v>
      </c>
      <c r="Q221" s="92" t="s">
        <v>3957</v>
      </c>
      <c r="R221" s="92" t="s">
        <v>4958</v>
      </c>
      <c r="S221" s="91">
        <v>17120</v>
      </c>
      <c r="T221" s="91">
        <v>17110</v>
      </c>
    </row>
    <row r="222" spans="1:20" ht="30" customHeight="1" x14ac:dyDescent="0.35">
      <c r="A222" s="88">
        <v>171155</v>
      </c>
      <c r="B222" s="89" t="s">
        <v>4959</v>
      </c>
      <c r="C222" s="89" t="s">
        <v>4960</v>
      </c>
      <c r="D222" s="90" t="s">
        <v>4077</v>
      </c>
      <c r="E222" s="89" t="s">
        <v>1744</v>
      </c>
      <c r="F222" s="89"/>
      <c r="G222" s="89" t="s">
        <v>1745</v>
      </c>
      <c r="H222" s="91">
        <v>7601</v>
      </c>
      <c r="I222" s="89" t="s">
        <v>4961</v>
      </c>
      <c r="J222" s="92" t="s">
        <v>883</v>
      </c>
      <c r="K222" s="92"/>
      <c r="L222" s="92" t="s">
        <v>4962</v>
      </c>
      <c r="M222" s="92" t="s">
        <v>4963</v>
      </c>
      <c r="N222" s="93">
        <v>7601</v>
      </c>
      <c r="O222" s="94">
        <v>86000</v>
      </c>
      <c r="P222" s="94">
        <v>19000</v>
      </c>
      <c r="Q222" s="92" t="s">
        <v>3957</v>
      </c>
      <c r="R222" s="92" t="s">
        <v>4964</v>
      </c>
      <c r="S222" s="91">
        <v>74035</v>
      </c>
      <c r="T222" s="91">
        <v>76010</v>
      </c>
    </row>
    <row r="223" spans="1:20" ht="44.25" customHeight="1" x14ac:dyDescent="0.35">
      <c r="A223" s="88">
        <v>171157</v>
      </c>
      <c r="B223" s="89" t="s">
        <v>4965</v>
      </c>
      <c r="C223" s="89" t="s">
        <v>4966</v>
      </c>
      <c r="D223" s="90" t="s">
        <v>4077</v>
      </c>
      <c r="E223" s="89" t="s">
        <v>4967</v>
      </c>
      <c r="F223" s="89" t="s">
        <v>4968</v>
      </c>
      <c r="G223" s="89" t="s">
        <v>1748</v>
      </c>
      <c r="H223" s="91">
        <v>1715</v>
      </c>
      <c r="I223" s="89" t="s">
        <v>4969</v>
      </c>
      <c r="J223" s="92" t="s">
        <v>883</v>
      </c>
      <c r="K223" s="92"/>
      <c r="L223" s="92" t="s">
        <v>4970</v>
      </c>
      <c r="M223" s="92" t="s">
        <v>4971</v>
      </c>
      <c r="N223" s="93">
        <v>1715</v>
      </c>
      <c r="O223" s="94">
        <v>120000</v>
      </c>
      <c r="P223" s="94">
        <v>40000</v>
      </c>
      <c r="Q223" s="92" t="s">
        <v>3957</v>
      </c>
      <c r="R223" s="92" t="s">
        <v>4972</v>
      </c>
      <c r="S223" s="91">
        <v>17125</v>
      </c>
      <c r="T223" s="91">
        <v>17130</v>
      </c>
    </row>
    <row r="224" spans="1:20" ht="30" customHeight="1" x14ac:dyDescent="0.35">
      <c r="A224" s="88">
        <v>171158</v>
      </c>
      <c r="B224" s="89" t="s">
        <v>4973</v>
      </c>
      <c r="C224" s="89" t="s">
        <v>4973</v>
      </c>
      <c r="D224" s="90" t="s">
        <v>4077</v>
      </c>
      <c r="E224" s="89" t="s">
        <v>1750</v>
      </c>
      <c r="F224" s="89"/>
      <c r="G224" s="89" t="s">
        <v>1751</v>
      </c>
      <c r="H224" s="91">
        <v>1713</v>
      </c>
      <c r="I224" s="89" t="s">
        <v>4974</v>
      </c>
      <c r="J224" s="92" t="s">
        <v>883</v>
      </c>
      <c r="K224" s="92"/>
      <c r="L224" s="92" t="s">
        <v>4975</v>
      </c>
      <c r="M224" s="92" t="s">
        <v>4976</v>
      </c>
      <c r="N224" s="93">
        <v>1713</v>
      </c>
      <c r="O224" s="94">
        <v>31000</v>
      </c>
      <c r="P224" s="94">
        <v>10000</v>
      </c>
      <c r="Q224" s="92" t="s">
        <v>3957</v>
      </c>
      <c r="R224" s="92" t="s">
        <v>4977</v>
      </c>
      <c r="S224" s="91">
        <v>17115</v>
      </c>
      <c r="T224" s="89" t="s">
        <v>643</v>
      </c>
    </row>
    <row r="225" spans="1:20" ht="30" customHeight="1" x14ac:dyDescent="0.35">
      <c r="A225" s="88">
        <v>171211</v>
      </c>
      <c r="B225" s="89" t="s">
        <v>4978</v>
      </c>
      <c r="C225" s="89" t="s">
        <v>4979</v>
      </c>
      <c r="D225" s="90" t="s">
        <v>4077</v>
      </c>
      <c r="E225" s="89" t="s">
        <v>4980</v>
      </c>
      <c r="F225" s="89"/>
      <c r="G225" s="89" t="s">
        <v>1754</v>
      </c>
      <c r="H225" s="91">
        <v>1711</v>
      </c>
      <c r="I225" s="89" t="s">
        <v>4955</v>
      </c>
      <c r="J225" s="92" t="s">
        <v>3954</v>
      </c>
      <c r="K225" s="92"/>
      <c r="L225" s="92" t="s">
        <v>4956</v>
      </c>
      <c r="M225" s="92" t="s">
        <v>4957</v>
      </c>
      <c r="N225" s="93">
        <v>1711</v>
      </c>
      <c r="O225" s="94">
        <v>210000</v>
      </c>
      <c r="P225" s="94">
        <v>12000</v>
      </c>
      <c r="Q225" s="92" t="s">
        <v>3957</v>
      </c>
      <c r="R225" s="92" t="s">
        <v>4981</v>
      </c>
      <c r="S225" s="91">
        <v>17120</v>
      </c>
      <c r="T225" s="91">
        <v>17110</v>
      </c>
    </row>
    <row r="226" spans="1:20" ht="30" customHeight="1" x14ac:dyDescent="0.35">
      <c r="A226" s="88">
        <v>171212</v>
      </c>
      <c r="B226" s="89" t="s">
        <v>4982</v>
      </c>
      <c r="C226" s="89" t="s">
        <v>4983</v>
      </c>
      <c r="D226" s="90" t="s">
        <v>4077</v>
      </c>
      <c r="E226" s="89" t="s">
        <v>1756</v>
      </c>
      <c r="F226" s="89"/>
      <c r="G226" s="89" t="s">
        <v>1757</v>
      </c>
      <c r="H226" s="91">
        <v>1721</v>
      </c>
      <c r="I226" s="89" t="s">
        <v>4984</v>
      </c>
      <c r="J226" s="92" t="s">
        <v>883</v>
      </c>
      <c r="K226" s="92"/>
      <c r="L226" s="92" t="s">
        <v>4985</v>
      </c>
      <c r="M226" s="92" t="s">
        <v>4986</v>
      </c>
      <c r="N226" s="93">
        <v>1721</v>
      </c>
      <c r="O226" s="94">
        <v>170000</v>
      </c>
      <c r="P226" s="94">
        <v>12000</v>
      </c>
      <c r="Q226" s="92" t="s">
        <v>3957</v>
      </c>
      <c r="R226" s="92" t="s">
        <v>4987</v>
      </c>
      <c r="S226" s="89" t="s">
        <v>643</v>
      </c>
      <c r="T226" s="91">
        <v>17135</v>
      </c>
    </row>
    <row r="227" spans="1:20" ht="30" customHeight="1" x14ac:dyDescent="0.35">
      <c r="A227" s="88">
        <v>171214</v>
      </c>
      <c r="B227" s="89" t="s">
        <v>4988</v>
      </c>
      <c r="C227" s="89" t="s">
        <v>4989</v>
      </c>
      <c r="D227" s="90" t="s">
        <v>4077</v>
      </c>
      <c r="E227" s="89" t="s">
        <v>1759</v>
      </c>
      <c r="F227" s="89"/>
      <c r="G227" s="89" t="s">
        <v>1760</v>
      </c>
      <c r="H227" s="91">
        <v>1722</v>
      </c>
      <c r="I227" s="89" t="s">
        <v>4990</v>
      </c>
      <c r="J227" s="92" t="s">
        <v>883</v>
      </c>
      <c r="K227" s="92"/>
      <c r="L227" s="92" t="s">
        <v>4985</v>
      </c>
      <c r="M227" s="92" t="s">
        <v>4991</v>
      </c>
      <c r="N227" s="93">
        <v>1722</v>
      </c>
      <c r="O227" s="94">
        <v>29000</v>
      </c>
      <c r="P227" s="94">
        <v>13000</v>
      </c>
      <c r="Q227" s="92" t="s">
        <v>3957</v>
      </c>
      <c r="R227" s="92" t="s">
        <v>4992</v>
      </c>
      <c r="S227" s="89" t="s">
        <v>643</v>
      </c>
      <c r="T227" s="89" t="s">
        <v>643</v>
      </c>
    </row>
    <row r="228" spans="1:20" ht="30" customHeight="1" x14ac:dyDescent="0.35">
      <c r="A228" s="92">
        <v>171250</v>
      </c>
      <c r="B228" s="89" t="s">
        <v>4993</v>
      </c>
      <c r="C228" s="89" t="s">
        <v>4994</v>
      </c>
      <c r="D228" s="90" t="s">
        <v>4077</v>
      </c>
      <c r="E228" s="89" t="s">
        <v>4995</v>
      </c>
      <c r="F228" s="89"/>
      <c r="G228" s="89" t="s">
        <v>909</v>
      </c>
      <c r="H228" s="89">
        <v>1715</v>
      </c>
      <c r="I228" s="89" t="s">
        <v>4969</v>
      </c>
      <c r="J228" s="92" t="s">
        <v>883</v>
      </c>
      <c r="K228" s="92"/>
      <c r="L228" s="30">
        <v>250</v>
      </c>
      <c r="M228" s="30" t="s">
        <v>4996</v>
      </c>
      <c r="N228" s="31">
        <v>1715</v>
      </c>
      <c r="O228" s="31">
        <v>120000</v>
      </c>
      <c r="P228" s="31">
        <v>40000</v>
      </c>
      <c r="Q228" s="92" t="s">
        <v>3957</v>
      </c>
      <c r="R228" s="92" t="s">
        <v>4997</v>
      </c>
      <c r="S228" s="92" t="s">
        <v>3982</v>
      </c>
      <c r="T228" s="92" t="s">
        <v>3982</v>
      </c>
    </row>
    <row r="229" spans="1:20" ht="30" customHeight="1" x14ac:dyDescent="0.35">
      <c r="A229" s="92">
        <v>171260</v>
      </c>
      <c r="B229" s="89" t="s">
        <v>4998</v>
      </c>
      <c r="C229" s="89"/>
      <c r="D229" s="90" t="s">
        <v>4077</v>
      </c>
      <c r="E229" s="89" t="s">
        <v>1765</v>
      </c>
      <c r="F229" s="89"/>
      <c r="G229" s="89" t="s">
        <v>909</v>
      </c>
      <c r="H229" s="89">
        <v>1715</v>
      </c>
      <c r="I229" s="89" t="s">
        <v>4969</v>
      </c>
      <c r="J229" s="92" t="s">
        <v>883</v>
      </c>
      <c r="K229" s="92"/>
      <c r="L229" s="30"/>
      <c r="M229" s="30"/>
      <c r="N229" s="31"/>
      <c r="O229" s="31"/>
      <c r="P229" s="31"/>
      <c r="Q229" s="92"/>
      <c r="R229" s="92"/>
      <c r="S229" s="92"/>
      <c r="T229" s="92"/>
    </row>
    <row r="230" spans="1:20" ht="30" customHeight="1" x14ac:dyDescent="0.35">
      <c r="A230" s="88">
        <v>171356</v>
      </c>
      <c r="B230" s="89" t="s">
        <v>4999</v>
      </c>
      <c r="C230" s="89" t="s">
        <v>5000</v>
      </c>
      <c r="D230" s="90" t="s">
        <v>4077</v>
      </c>
      <c r="E230" s="89" t="s">
        <v>1767</v>
      </c>
      <c r="F230" s="89"/>
      <c r="G230" s="89" t="s">
        <v>1768</v>
      </c>
      <c r="H230" s="91">
        <v>6100</v>
      </c>
      <c r="I230" s="89" t="s">
        <v>5001</v>
      </c>
      <c r="J230" s="92" t="s">
        <v>883</v>
      </c>
      <c r="K230" s="92"/>
      <c r="L230" s="92" t="s">
        <v>5002</v>
      </c>
      <c r="M230" s="92" t="s">
        <v>5003</v>
      </c>
      <c r="N230" s="93">
        <v>6100</v>
      </c>
      <c r="O230" s="94">
        <v>1000000</v>
      </c>
      <c r="P230" s="94">
        <v>8400</v>
      </c>
      <c r="Q230" s="92" t="s">
        <v>3957</v>
      </c>
      <c r="R230" s="92" t="s">
        <v>5004</v>
      </c>
      <c r="S230" s="91">
        <v>61065</v>
      </c>
      <c r="T230" s="91">
        <v>61077</v>
      </c>
    </row>
    <row r="231" spans="1:20" ht="30" customHeight="1" x14ac:dyDescent="0.35">
      <c r="A231" s="88">
        <v>171393</v>
      </c>
      <c r="B231" s="89" t="s">
        <v>5005</v>
      </c>
      <c r="C231" s="89" t="s">
        <v>5006</v>
      </c>
      <c r="D231" s="90" t="s">
        <v>4077</v>
      </c>
      <c r="E231" s="89" t="s">
        <v>1770</v>
      </c>
      <c r="F231" s="89"/>
      <c r="G231" s="89" t="s">
        <v>1768</v>
      </c>
      <c r="H231" s="91">
        <v>1712</v>
      </c>
      <c r="I231" s="89" t="s">
        <v>5007</v>
      </c>
      <c r="J231" s="92" t="s">
        <v>883</v>
      </c>
      <c r="K231" s="92"/>
      <c r="L231" s="92" t="s">
        <v>4956</v>
      </c>
      <c r="M231" s="92" t="s">
        <v>5008</v>
      </c>
      <c r="N231" s="93">
        <v>1712</v>
      </c>
      <c r="O231" s="94">
        <v>220000</v>
      </c>
      <c r="P231" s="94">
        <v>13000</v>
      </c>
      <c r="Q231" s="92" t="s">
        <v>3957</v>
      </c>
      <c r="R231" s="92" t="s">
        <v>5009</v>
      </c>
      <c r="S231" s="89" t="s">
        <v>643</v>
      </c>
      <c r="T231" s="91">
        <v>17120</v>
      </c>
    </row>
    <row r="232" spans="1:20" ht="30" customHeight="1" x14ac:dyDescent="0.35">
      <c r="A232" s="88">
        <v>171443</v>
      </c>
      <c r="B232" s="89" t="s">
        <v>5010</v>
      </c>
      <c r="C232" s="89" t="s">
        <v>5011</v>
      </c>
      <c r="D232" s="90" t="s">
        <v>4077</v>
      </c>
      <c r="E232" s="89" t="s">
        <v>1772</v>
      </c>
      <c r="F232" s="89"/>
      <c r="G232" s="89" t="s">
        <v>1773</v>
      </c>
      <c r="H232" s="91">
        <v>1714</v>
      </c>
      <c r="I232" s="89" t="s">
        <v>5012</v>
      </c>
      <c r="J232" s="92" t="s">
        <v>883</v>
      </c>
      <c r="K232" s="92"/>
      <c r="L232" s="92" t="s">
        <v>5013</v>
      </c>
      <c r="M232" s="92" t="s">
        <v>4976</v>
      </c>
      <c r="N232" s="93">
        <v>1714</v>
      </c>
      <c r="O232" s="94">
        <v>210000</v>
      </c>
      <c r="P232" s="94">
        <v>26000</v>
      </c>
      <c r="Q232" s="92" t="s">
        <v>3957</v>
      </c>
      <c r="R232" s="92" t="s">
        <v>5014</v>
      </c>
      <c r="S232" s="89" t="s">
        <v>5015</v>
      </c>
      <c r="T232" s="91">
        <v>17115</v>
      </c>
    </row>
    <row r="233" spans="1:20" ht="30" customHeight="1" x14ac:dyDescent="0.35">
      <c r="A233" s="88">
        <v>171445</v>
      </c>
      <c r="B233" s="89" t="s">
        <v>5016</v>
      </c>
      <c r="C233" s="89" t="s">
        <v>5017</v>
      </c>
      <c r="D233" s="90" t="s">
        <v>4077</v>
      </c>
      <c r="E233" s="89" t="s">
        <v>1775</v>
      </c>
      <c r="F233" s="89"/>
      <c r="G233" s="89" t="s">
        <v>1776</v>
      </c>
      <c r="H233" s="91">
        <v>1714</v>
      </c>
      <c r="I233" s="89" t="s">
        <v>5012</v>
      </c>
      <c r="J233" s="92" t="s">
        <v>883</v>
      </c>
      <c r="K233" s="92"/>
      <c r="L233" s="92" t="s">
        <v>5013</v>
      </c>
      <c r="M233" s="92" t="s">
        <v>4976</v>
      </c>
      <c r="N233" s="93">
        <v>1714</v>
      </c>
      <c r="O233" s="94">
        <v>210000</v>
      </c>
      <c r="P233" s="94">
        <v>26000</v>
      </c>
      <c r="Q233" s="92" t="s">
        <v>3957</v>
      </c>
      <c r="R233" s="92" t="s">
        <v>5018</v>
      </c>
      <c r="S233" s="89" t="s">
        <v>5015</v>
      </c>
      <c r="T233" s="91">
        <v>17115</v>
      </c>
    </row>
    <row r="234" spans="1:20" ht="44.25" customHeight="1" x14ac:dyDescent="0.35">
      <c r="A234" s="88">
        <v>171447</v>
      </c>
      <c r="B234" s="89" t="s">
        <v>5019</v>
      </c>
      <c r="C234" s="89" t="s">
        <v>5020</v>
      </c>
      <c r="D234" s="90" t="s">
        <v>4077</v>
      </c>
      <c r="E234" s="89" t="s">
        <v>1778</v>
      </c>
      <c r="F234" s="89"/>
      <c r="G234" s="89" t="s">
        <v>1779</v>
      </c>
      <c r="H234" s="91">
        <v>1711</v>
      </c>
      <c r="I234" s="89" t="s">
        <v>4955</v>
      </c>
      <c r="J234" s="92" t="s">
        <v>3954</v>
      </c>
      <c r="K234" s="92"/>
      <c r="L234" s="92" t="s">
        <v>4956</v>
      </c>
      <c r="M234" s="92" t="s">
        <v>4957</v>
      </c>
      <c r="N234" s="93">
        <v>1711</v>
      </c>
      <c r="O234" s="94">
        <v>210000</v>
      </c>
      <c r="P234" s="94">
        <v>12000</v>
      </c>
      <c r="Q234" s="92" t="s">
        <v>3957</v>
      </c>
      <c r="R234" s="92" t="s">
        <v>5021</v>
      </c>
      <c r="S234" s="91">
        <v>17120</v>
      </c>
      <c r="T234" s="91">
        <v>17110</v>
      </c>
    </row>
    <row r="235" spans="1:20" ht="30" customHeight="1" x14ac:dyDescent="0.35">
      <c r="A235" s="88">
        <v>171449</v>
      </c>
      <c r="B235" s="89" t="s">
        <v>5022</v>
      </c>
      <c r="C235" s="89" t="s">
        <v>5023</v>
      </c>
      <c r="D235" s="90" t="s">
        <v>4077</v>
      </c>
      <c r="E235" s="89" t="s">
        <v>1781</v>
      </c>
      <c r="F235" s="89"/>
      <c r="G235" s="89" t="s">
        <v>1782</v>
      </c>
      <c r="H235" s="91">
        <v>1711</v>
      </c>
      <c r="I235" s="89" t="s">
        <v>4955</v>
      </c>
      <c r="J235" s="92" t="s">
        <v>3954</v>
      </c>
      <c r="K235" s="92"/>
      <c r="L235" s="92" t="s">
        <v>4956</v>
      </c>
      <c r="M235" s="92" t="s">
        <v>4957</v>
      </c>
      <c r="N235" s="93">
        <v>1711</v>
      </c>
      <c r="O235" s="94">
        <v>210000</v>
      </c>
      <c r="P235" s="94">
        <v>12000</v>
      </c>
      <c r="Q235" s="92" t="s">
        <v>3957</v>
      </c>
      <c r="R235" s="92" t="s">
        <v>5024</v>
      </c>
      <c r="S235" s="91">
        <v>17120</v>
      </c>
      <c r="T235" s="91">
        <v>17110</v>
      </c>
    </row>
    <row r="236" spans="1:20" ht="30" customHeight="1" x14ac:dyDescent="0.35">
      <c r="A236" s="88">
        <v>171450</v>
      </c>
      <c r="B236" s="89" t="s">
        <v>5025</v>
      </c>
      <c r="C236" s="89" t="s">
        <v>5026</v>
      </c>
      <c r="D236" s="90" t="s">
        <v>4077</v>
      </c>
      <c r="E236" s="89" t="s">
        <v>1784</v>
      </c>
      <c r="F236" s="89"/>
      <c r="G236" s="89" t="s">
        <v>1785</v>
      </c>
      <c r="H236" s="91">
        <v>1714</v>
      </c>
      <c r="I236" s="89" t="s">
        <v>5012</v>
      </c>
      <c r="J236" s="92" t="s">
        <v>883</v>
      </c>
      <c r="K236" s="92"/>
      <c r="L236" s="92" t="s">
        <v>5013</v>
      </c>
      <c r="M236" s="92" t="s">
        <v>4976</v>
      </c>
      <c r="N236" s="93">
        <v>1714</v>
      </c>
      <c r="O236" s="94">
        <v>210000</v>
      </c>
      <c r="P236" s="94">
        <v>26000</v>
      </c>
      <c r="Q236" s="92" t="s">
        <v>3957</v>
      </c>
      <c r="R236" s="92" t="s">
        <v>5027</v>
      </c>
      <c r="S236" s="89" t="s">
        <v>5015</v>
      </c>
      <c r="T236" s="91">
        <v>17115</v>
      </c>
    </row>
    <row r="237" spans="1:20" ht="30" customHeight="1" x14ac:dyDescent="0.35">
      <c r="A237" s="88">
        <v>171471</v>
      </c>
      <c r="B237" s="89" t="s">
        <v>5028</v>
      </c>
      <c r="C237" s="89" t="s">
        <v>5029</v>
      </c>
      <c r="D237" s="90" t="s">
        <v>4077</v>
      </c>
      <c r="E237" s="89" t="s">
        <v>1787</v>
      </c>
      <c r="F237" s="89"/>
      <c r="G237" s="89" t="s">
        <v>1788</v>
      </c>
      <c r="H237" s="91">
        <v>1731</v>
      </c>
      <c r="I237" s="89" t="s">
        <v>5030</v>
      </c>
      <c r="J237" s="92" t="s">
        <v>883</v>
      </c>
      <c r="K237" s="92"/>
      <c r="L237" s="92" t="s">
        <v>5031</v>
      </c>
      <c r="M237" s="92" t="s">
        <v>5032</v>
      </c>
      <c r="N237" s="93">
        <v>1731</v>
      </c>
      <c r="O237" s="94">
        <v>37000</v>
      </c>
      <c r="P237" s="94">
        <v>1500</v>
      </c>
      <c r="Q237" s="92" t="s">
        <v>3957</v>
      </c>
      <c r="R237" s="92" t="s">
        <v>5033</v>
      </c>
      <c r="S237" s="91">
        <v>17122</v>
      </c>
      <c r="T237" s="91">
        <v>17310</v>
      </c>
    </row>
    <row r="238" spans="1:20" ht="30" customHeight="1" x14ac:dyDescent="0.35">
      <c r="A238" s="88">
        <v>171472</v>
      </c>
      <c r="B238" s="89" t="s">
        <v>5034</v>
      </c>
      <c r="C238" s="89" t="s">
        <v>5035</v>
      </c>
      <c r="D238" s="90" t="s">
        <v>4077</v>
      </c>
      <c r="E238" s="89" t="s">
        <v>1790</v>
      </c>
      <c r="F238" s="89"/>
      <c r="G238" s="89" t="s">
        <v>1791</v>
      </c>
      <c r="H238" s="91">
        <v>1731</v>
      </c>
      <c r="I238" s="89" t="s">
        <v>5030</v>
      </c>
      <c r="J238" s="92" t="s">
        <v>883</v>
      </c>
      <c r="K238" s="92"/>
      <c r="L238" s="92" t="s">
        <v>5031</v>
      </c>
      <c r="M238" s="92" t="s">
        <v>5032</v>
      </c>
      <c r="N238" s="93">
        <v>1731</v>
      </c>
      <c r="O238" s="94">
        <v>37000</v>
      </c>
      <c r="P238" s="94">
        <v>1500</v>
      </c>
      <c r="Q238" s="92" t="s">
        <v>3957</v>
      </c>
      <c r="R238" s="92" t="s">
        <v>5036</v>
      </c>
      <c r="S238" s="91">
        <v>17123</v>
      </c>
      <c r="T238" s="91">
        <v>17311</v>
      </c>
    </row>
    <row r="239" spans="1:20" ht="30" customHeight="1" x14ac:dyDescent="0.35">
      <c r="A239" s="88">
        <v>171473</v>
      </c>
      <c r="B239" s="89" t="s">
        <v>5037</v>
      </c>
      <c r="C239" s="89" t="s">
        <v>5038</v>
      </c>
      <c r="D239" s="90" t="s">
        <v>4077</v>
      </c>
      <c r="E239" s="89" t="s">
        <v>1793</v>
      </c>
      <c r="F239" s="89"/>
      <c r="G239" s="89" t="s">
        <v>1794</v>
      </c>
      <c r="H239" s="91">
        <v>1731</v>
      </c>
      <c r="I239" s="89" t="s">
        <v>5030</v>
      </c>
      <c r="J239" s="92" t="s">
        <v>883</v>
      </c>
      <c r="K239" s="92"/>
      <c r="L239" s="92" t="s">
        <v>5031</v>
      </c>
      <c r="M239" s="92" t="s">
        <v>5032</v>
      </c>
      <c r="N239" s="93">
        <v>1731</v>
      </c>
      <c r="O239" s="94">
        <v>37000</v>
      </c>
      <c r="P239" s="94">
        <v>1500</v>
      </c>
      <c r="Q239" s="92" t="s">
        <v>3957</v>
      </c>
      <c r="R239" s="92" t="s">
        <v>5039</v>
      </c>
      <c r="S239" s="91">
        <v>17123</v>
      </c>
      <c r="T239" s="91">
        <v>17311</v>
      </c>
    </row>
    <row r="240" spans="1:20" ht="30" customHeight="1" x14ac:dyDescent="0.35">
      <c r="A240" s="88">
        <v>171475</v>
      </c>
      <c r="B240" s="89" t="s">
        <v>5040</v>
      </c>
      <c r="C240" s="89" t="s">
        <v>5041</v>
      </c>
      <c r="D240" s="90" t="s">
        <v>4077</v>
      </c>
      <c r="E240" s="89" t="s">
        <v>5042</v>
      </c>
      <c r="F240" s="89" t="s">
        <v>5043</v>
      </c>
      <c r="G240" s="89" t="s">
        <v>1797</v>
      </c>
      <c r="H240" s="91">
        <v>1718</v>
      </c>
      <c r="I240" s="89" t="s">
        <v>5044</v>
      </c>
      <c r="J240" s="92" t="s">
        <v>883</v>
      </c>
      <c r="K240" s="92"/>
      <c r="L240" s="92" t="s">
        <v>5045</v>
      </c>
      <c r="M240" s="92" t="s">
        <v>5046</v>
      </c>
      <c r="N240" s="93">
        <v>1718</v>
      </c>
      <c r="O240" s="94">
        <v>39000</v>
      </c>
      <c r="P240" s="94">
        <v>6000</v>
      </c>
      <c r="Q240" s="92" t="s">
        <v>3957</v>
      </c>
      <c r="R240" s="92" t="s">
        <v>5047</v>
      </c>
      <c r="S240" s="91">
        <v>17121</v>
      </c>
      <c r="T240" s="91">
        <v>17150</v>
      </c>
    </row>
    <row r="241" spans="1:20" ht="30" customHeight="1" x14ac:dyDescent="0.35">
      <c r="A241" s="88">
        <v>171476</v>
      </c>
      <c r="B241" s="89" t="s">
        <v>5048</v>
      </c>
      <c r="C241" s="89" t="s">
        <v>5049</v>
      </c>
      <c r="D241" s="90" t="s">
        <v>4077</v>
      </c>
      <c r="E241" s="89" t="s">
        <v>5050</v>
      </c>
      <c r="F241" s="89" t="s">
        <v>5051</v>
      </c>
      <c r="G241" s="89" t="s">
        <v>1800</v>
      </c>
      <c r="H241" s="91">
        <v>1718</v>
      </c>
      <c r="I241" s="89" t="s">
        <v>5044</v>
      </c>
      <c r="J241" s="92" t="s">
        <v>883</v>
      </c>
      <c r="K241" s="92"/>
      <c r="L241" s="92" t="s">
        <v>5045</v>
      </c>
      <c r="M241" s="92" t="s">
        <v>5046</v>
      </c>
      <c r="N241" s="93">
        <v>1718</v>
      </c>
      <c r="O241" s="94">
        <v>39000</v>
      </c>
      <c r="P241" s="94">
        <v>6000</v>
      </c>
      <c r="Q241" s="92" t="s">
        <v>3957</v>
      </c>
      <c r="R241" s="92" t="s">
        <v>5052</v>
      </c>
      <c r="S241" s="91">
        <v>17121</v>
      </c>
      <c r="T241" s="91">
        <v>17150</v>
      </c>
    </row>
    <row r="242" spans="1:20" ht="30" customHeight="1" x14ac:dyDescent="0.35">
      <c r="A242" s="88">
        <v>171617</v>
      </c>
      <c r="B242" s="89" t="s">
        <v>5053</v>
      </c>
      <c r="C242" s="89" t="s">
        <v>5054</v>
      </c>
      <c r="D242" s="90" t="s">
        <v>4077</v>
      </c>
      <c r="E242" s="89" t="s">
        <v>1802</v>
      </c>
      <c r="F242" s="89"/>
      <c r="G242" s="89" t="s">
        <v>1803</v>
      </c>
      <c r="H242" s="91">
        <v>1732</v>
      </c>
      <c r="I242" s="89" t="s">
        <v>5055</v>
      </c>
      <c r="J242" s="92" t="s">
        <v>883</v>
      </c>
      <c r="K242" s="92"/>
      <c r="L242" s="92" t="s">
        <v>5056</v>
      </c>
      <c r="M242" s="92" t="s">
        <v>5057</v>
      </c>
      <c r="N242" s="93">
        <v>1732</v>
      </c>
      <c r="O242" s="94">
        <v>120000</v>
      </c>
      <c r="P242" s="94">
        <v>8500</v>
      </c>
      <c r="Q242" s="92" t="s">
        <v>3957</v>
      </c>
      <c r="R242" s="92" t="s">
        <v>5058</v>
      </c>
      <c r="S242" s="91">
        <v>14129</v>
      </c>
      <c r="T242" s="91">
        <v>17177</v>
      </c>
    </row>
    <row r="243" spans="1:20" ht="30" customHeight="1" x14ac:dyDescent="0.35">
      <c r="A243" s="88">
        <v>171618</v>
      </c>
      <c r="B243" s="89" t="s">
        <v>5059</v>
      </c>
      <c r="C243" s="89" t="s">
        <v>5060</v>
      </c>
      <c r="D243" s="90" t="s">
        <v>4077</v>
      </c>
      <c r="E243" s="89" t="s">
        <v>5061</v>
      </c>
      <c r="F243" s="89" t="s">
        <v>5062</v>
      </c>
      <c r="G243" s="89" t="s">
        <v>1806</v>
      </c>
      <c r="H243" s="91">
        <v>1711</v>
      </c>
      <c r="I243" s="89" t="s">
        <v>4955</v>
      </c>
      <c r="J243" s="92" t="s">
        <v>3954</v>
      </c>
      <c r="K243" s="92"/>
      <c r="L243" s="92" t="s">
        <v>4956</v>
      </c>
      <c r="M243" s="92" t="s">
        <v>4957</v>
      </c>
      <c r="N243" s="93">
        <v>1711</v>
      </c>
      <c r="O243" s="94">
        <v>210000</v>
      </c>
      <c r="P243" s="94">
        <v>12000</v>
      </c>
      <c r="Q243" s="92" t="s">
        <v>3957</v>
      </c>
      <c r="R243" s="92" t="s">
        <v>5063</v>
      </c>
      <c r="S243" s="91">
        <v>17120</v>
      </c>
      <c r="T243" s="91">
        <v>17110</v>
      </c>
    </row>
    <row r="244" spans="1:20" ht="30" customHeight="1" x14ac:dyDescent="0.35">
      <c r="A244" s="88">
        <v>171619</v>
      </c>
      <c r="B244" s="89" t="s">
        <v>5064</v>
      </c>
      <c r="C244" s="89" t="s">
        <v>5065</v>
      </c>
      <c r="D244" s="90" t="s">
        <v>4077</v>
      </c>
      <c r="E244" s="89" t="s">
        <v>1808</v>
      </c>
      <c r="F244" s="89"/>
      <c r="G244" s="89" t="s">
        <v>1809</v>
      </c>
      <c r="H244" s="91">
        <v>1412</v>
      </c>
      <c r="I244" s="89" t="s">
        <v>4605</v>
      </c>
      <c r="J244" s="92" t="s">
        <v>883</v>
      </c>
      <c r="K244" s="92"/>
      <c r="L244" s="92" t="s">
        <v>4579</v>
      </c>
      <c r="M244" s="92" t="s">
        <v>4606</v>
      </c>
      <c r="N244" s="93">
        <v>1412</v>
      </c>
      <c r="O244" s="94">
        <v>120000</v>
      </c>
      <c r="P244" s="94">
        <v>13000</v>
      </c>
      <c r="Q244" s="92" t="s">
        <v>3957</v>
      </c>
      <c r="R244" s="92" t="s">
        <v>5066</v>
      </c>
      <c r="S244" s="89" t="s">
        <v>643</v>
      </c>
      <c r="T244" s="91">
        <v>14140</v>
      </c>
    </row>
    <row r="245" spans="1:20" ht="30" customHeight="1" x14ac:dyDescent="0.35">
      <c r="A245" s="88">
        <v>171620</v>
      </c>
      <c r="B245" s="89" t="s">
        <v>5067</v>
      </c>
      <c r="C245" s="89" t="s">
        <v>5068</v>
      </c>
      <c r="D245" s="90" t="s">
        <v>4077</v>
      </c>
      <c r="E245" s="89" t="s">
        <v>5069</v>
      </c>
      <c r="F245" s="89"/>
      <c r="G245" s="89" t="s">
        <v>909</v>
      </c>
      <c r="H245" s="91">
        <v>1412</v>
      </c>
      <c r="I245" s="89" t="s">
        <v>4605</v>
      </c>
      <c r="J245" s="92" t="s">
        <v>883</v>
      </c>
      <c r="K245" s="92"/>
      <c r="L245" s="92" t="s">
        <v>4579</v>
      </c>
      <c r="M245" s="92" t="s">
        <v>4606</v>
      </c>
      <c r="N245" s="93">
        <v>1412</v>
      </c>
      <c r="O245" s="94">
        <v>120000</v>
      </c>
      <c r="P245" s="94">
        <v>13000</v>
      </c>
      <c r="Q245" s="92" t="s">
        <v>3957</v>
      </c>
      <c r="R245" s="92" t="s">
        <v>5070</v>
      </c>
      <c r="S245" s="89" t="s">
        <v>643</v>
      </c>
      <c r="T245" s="91">
        <v>14140</v>
      </c>
    </row>
    <row r="246" spans="1:20" ht="30" customHeight="1" x14ac:dyDescent="0.35">
      <c r="A246" s="88">
        <v>171621</v>
      </c>
      <c r="B246" s="89" t="s">
        <v>5071</v>
      </c>
      <c r="C246" s="89" t="s">
        <v>5072</v>
      </c>
      <c r="D246" s="90" t="s">
        <v>4077</v>
      </c>
      <c r="E246" s="89" t="s">
        <v>5073</v>
      </c>
      <c r="F246" s="89"/>
      <c r="G246" s="89" t="s">
        <v>1814</v>
      </c>
      <c r="H246" s="91">
        <v>1711</v>
      </c>
      <c r="I246" s="89" t="s">
        <v>4955</v>
      </c>
      <c r="J246" s="92" t="s">
        <v>3954</v>
      </c>
      <c r="K246" s="92"/>
      <c r="L246" s="92" t="s">
        <v>4956</v>
      </c>
      <c r="M246" s="92" t="s">
        <v>4957</v>
      </c>
      <c r="N246" s="93">
        <v>1711</v>
      </c>
      <c r="O246" s="94">
        <v>210000</v>
      </c>
      <c r="P246" s="94">
        <v>12000</v>
      </c>
      <c r="Q246" s="92" t="s">
        <v>3957</v>
      </c>
      <c r="R246" s="92" t="s">
        <v>5074</v>
      </c>
      <c r="S246" s="91">
        <v>17120</v>
      </c>
      <c r="T246" s="91">
        <v>17110</v>
      </c>
    </row>
    <row r="247" spans="1:20" ht="30" customHeight="1" x14ac:dyDescent="0.35">
      <c r="A247" s="88">
        <v>171623</v>
      </c>
      <c r="B247" s="89" t="s">
        <v>5075</v>
      </c>
      <c r="C247" s="89" t="s">
        <v>5076</v>
      </c>
      <c r="D247" s="90" t="s">
        <v>4077</v>
      </c>
      <c r="E247" s="89" t="s">
        <v>1816</v>
      </c>
      <c r="F247" s="89"/>
      <c r="G247" s="89" t="s">
        <v>909</v>
      </c>
      <c r="H247" s="91">
        <v>1712</v>
      </c>
      <c r="I247" s="89" t="s">
        <v>5007</v>
      </c>
      <c r="J247" s="92" t="s">
        <v>883</v>
      </c>
      <c r="K247" s="92"/>
      <c r="L247" s="92" t="s">
        <v>4956</v>
      </c>
      <c r="M247" s="92" t="s">
        <v>5008</v>
      </c>
      <c r="N247" s="93">
        <v>1712</v>
      </c>
      <c r="O247" s="94">
        <v>220000</v>
      </c>
      <c r="P247" s="94">
        <v>13000</v>
      </c>
      <c r="Q247" s="92" t="s">
        <v>3957</v>
      </c>
      <c r="R247" s="92" t="s">
        <v>5077</v>
      </c>
      <c r="S247" s="89" t="s">
        <v>5078</v>
      </c>
      <c r="T247" s="91">
        <v>17120</v>
      </c>
    </row>
    <row r="248" spans="1:20" ht="30" customHeight="1" x14ac:dyDescent="0.35">
      <c r="A248" s="88">
        <v>171625</v>
      </c>
      <c r="B248" s="89" t="s">
        <v>5079</v>
      </c>
      <c r="C248" s="89" t="s">
        <v>5080</v>
      </c>
      <c r="D248" s="90" t="s">
        <v>4077</v>
      </c>
      <c r="E248" s="89" t="s">
        <v>5081</v>
      </c>
      <c r="F248" s="89"/>
      <c r="G248" s="89" t="s">
        <v>1819</v>
      </c>
      <c r="H248" s="91">
        <v>1712</v>
      </c>
      <c r="I248" s="89" t="s">
        <v>5007</v>
      </c>
      <c r="J248" s="92" t="s">
        <v>883</v>
      </c>
      <c r="K248" s="92"/>
      <c r="L248" s="92" t="s">
        <v>4956</v>
      </c>
      <c r="M248" s="92" t="s">
        <v>5008</v>
      </c>
      <c r="N248" s="93">
        <v>1712</v>
      </c>
      <c r="O248" s="94">
        <v>220000</v>
      </c>
      <c r="P248" s="94">
        <v>13000</v>
      </c>
      <c r="Q248" s="92" t="s">
        <v>3957</v>
      </c>
      <c r="R248" s="92" t="s">
        <v>5082</v>
      </c>
      <c r="S248" s="91">
        <v>17134</v>
      </c>
      <c r="T248" s="91">
        <v>17120</v>
      </c>
    </row>
    <row r="249" spans="1:20" ht="48" customHeight="1" x14ac:dyDescent="0.35">
      <c r="A249" s="88">
        <v>171627</v>
      </c>
      <c r="B249" s="89" t="s">
        <v>5083</v>
      </c>
      <c r="C249" s="89" t="s">
        <v>5084</v>
      </c>
      <c r="D249" s="90" t="s">
        <v>4077</v>
      </c>
      <c r="E249" s="89" t="s">
        <v>5085</v>
      </c>
      <c r="F249" s="89"/>
      <c r="G249" s="89" t="s">
        <v>1822</v>
      </c>
      <c r="H249" s="91">
        <v>1711</v>
      </c>
      <c r="I249" s="89" t="s">
        <v>4955</v>
      </c>
      <c r="J249" s="92" t="s">
        <v>3954</v>
      </c>
      <c r="K249" s="92"/>
      <c r="L249" s="92" t="s">
        <v>4956</v>
      </c>
      <c r="M249" s="92" t="s">
        <v>4957</v>
      </c>
      <c r="N249" s="93">
        <v>1711</v>
      </c>
      <c r="O249" s="94">
        <v>210000</v>
      </c>
      <c r="P249" s="94">
        <v>12000</v>
      </c>
      <c r="Q249" s="92" t="s">
        <v>3957</v>
      </c>
      <c r="R249" s="92" t="s">
        <v>5086</v>
      </c>
      <c r="S249" s="91">
        <v>17120</v>
      </c>
      <c r="T249" s="91">
        <v>17110</v>
      </c>
    </row>
    <row r="250" spans="1:20" ht="30" customHeight="1" x14ac:dyDescent="0.35">
      <c r="A250" s="88">
        <v>171628</v>
      </c>
      <c r="B250" s="89" t="s">
        <v>5087</v>
      </c>
      <c r="C250" s="89" t="s">
        <v>5088</v>
      </c>
      <c r="D250" s="90" t="s">
        <v>4077</v>
      </c>
      <c r="E250" s="89" t="s">
        <v>1824</v>
      </c>
      <c r="F250" s="89"/>
      <c r="G250" s="89" t="s">
        <v>1825</v>
      </c>
      <c r="H250" s="91">
        <v>1711</v>
      </c>
      <c r="I250" s="89" t="s">
        <v>4955</v>
      </c>
      <c r="J250" s="92" t="s">
        <v>3954</v>
      </c>
      <c r="K250" s="92"/>
      <c r="L250" s="92" t="s">
        <v>4956</v>
      </c>
      <c r="M250" s="92" t="s">
        <v>4957</v>
      </c>
      <c r="N250" s="93">
        <v>1711</v>
      </c>
      <c r="O250" s="94">
        <v>210000</v>
      </c>
      <c r="P250" s="94">
        <v>12000</v>
      </c>
      <c r="Q250" s="92" t="s">
        <v>3957</v>
      </c>
      <c r="R250" s="92" t="s">
        <v>5089</v>
      </c>
      <c r="S250" s="91">
        <v>17120</v>
      </c>
      <c r="T250" s="91">
        <v>17110</v>
      </c>
    </row>
    <row r="251" spans="1:20" ht="30" customHeight="1" x14ac:dyDescent="0.35">
      <c r="A251" s="88">
        <v>171712</v>
      </c>
      <c r="B251" s="89" t="s">
        <v>5090</v>
      </c>
      <c r="C251" s="89" t="s">
        <v>5091</v>
      </c>
      <c r="D251" s="90" t="s">
        <v>4077</v>
      </c>
      <c r="E251" s="89" t="s">
        <v>5092</v>
      </c>
      <c r="F251" s="89"/>
      <c r="G251" s="89" t="s">
        <v>1828</v>
      </c>
      <c r="H251" s="91">
        <v>1711</v>
      </c>
      <c r="I251" s="89" t="s">
        <v>4955</v>
      </c>
      <c r="J251" s="92" t="s">
        <v>3954</v>
      </c>
      <c r="K251" s="92"/>
      <c r="L251" s="92" t="s">
        <v>4956</v>
      </c>
      <c r="M251" s="92" t="s">
        <v>4957</v>
      </c>
      <c r="N251" s="93">
        <v>1711</v>
      </c>
      <c r="O251" s="94">
        <v>210000</v>
      </c>
      <c r="P251" s="94">
        <v>12000</v>
      </c>
      <c r="Q251" s="92" t="s">
        <v>3957</v>
      </c>
      <c r="R251" s="92" t="s">
        <v>5093</v>
      </c>
      <c r="S251" s="91">
        <v>17120</v>
      </c>
      <c r="T251" s="91">
        <v>17110</v>
      </c>
    </row>
    <row r="252" spans="1:20" ht="30" customHeight="1" x14ac:dyDescent="0.35">
      <c r="A252" s="88">
        <v>171721</v>
      </c>
      <c r="B252" s="89" t="s">
        <v>5094</v>
      </c>
      <c r="C252" s="89" t="s">
        <v>5095</v>
      </c>
      <c r="D252" s="90" t="s">
        <v>4077</v>
      </c>
      <c r="E252" s="89" t="s">
        <v>5096</v>
      </c>
      <c r="F252" s="89"/>
      <c r="G252" s="89" t="s">
        <v>1831</v>
      </c>
      <c r="H252" s="91">
        <v>1717</v>
      </c>
      <c r="I252" s="89" t="s">
        <v>1829</v>
      </c>
      <c r="J252" s="92" t="s">
        <v>883</v>
      </c>
      <c r="K252" s="92"/>
      <c r="L252" s="92" t="s">
        <v>5097</v>
      </c>
      <c r="M252" s="92" t="s">
        <v>5098</v>
      </c>
      <c r="N252" s="93">
        <v>1717</v>
      </c>
      <c r="O252" s="94">
        <v>30000</v>
      </c>
      <c r="P252" s="94">
        <v>4100</v>
      </c>
      <c r="Q252" s="92" t="s">
        <v>3957</v>
      </c>
      <c r="R252" s="92" t="s">
        <v>5099</v>
      </c>
      <c r="S252" s="91">
        <v>17119</v>
      </c>
      <c r="T252" s="89" t="s">
        <v>643</v>
      </c>
    </row>
    <row r="253" spans="1:20" ht="30" customHeight="1" x14ac:dyDescent="0.35">
      <c r="A253" s="88">
        <v>171813</v>
      </c>
      <c r="B253" s="89" t="s">
        <v>5100</v>
      </c>
      <c r="C253" s="89" t="s">
        <v>5101</v>
      </c>
      <c r="D253" s="90" t="s">
        <v>4077</v>
      </c>
      <c r="E253" s="89" t="s">
        <v>5102</v>
      </c>
      <c r="F253" s="89"/>
      <c r="G253" s="89" t="s">
        <v>1834</v>
      </c>
      <c r="H253" s="91">
        <v>1711</v>
      </c>
      <c r="I253" s="89" t="s">
        <v>4955</v>
      </c>
      <c r="J253" s="92" t="s">
        <v>3954</v>
      </c>
      <c r="K253" s="92"/>
      <c r="L253" s="92" t="s">
        <v>4956</v>
      </c>
      <c r="M253" s="92" t="s">
        <v>4957</v>
      </c>
      <c r="N253" s="93">
        <v>1711</v>
      </c>
      <c r="O253" s="94">
        <v>210000</v>
      </c>
      <c r="P253" s="94">
        <v>12000</v>
      </c>
      <c r="Q253" s="92" t="s">
        <v>3957</v>
      </c>
      <c r="R253" s="92" t="s">
        <v>5103</v>
      </c>
      <c r="S253" s="91">
        <v>17120</v>
      </c>
      <c r="T253" s="91">
        <v>17110</v>
      </c>
    </row>
    <row r="254" spans="1:20" ht="30" customHeight="1" x14ac:dyDescent="0.35">
      <c r="A254" s="88">
        <v>171815</v>
      </c>
      <c r="B254" s="97" t="s">
        <v>5104</v>
      </c>
      <c r="C254" s="89" t="s">
        <v>5105</v>
      </c>
      <c r="D254" s="90" t="s">
        <v>4077</v>
      </c>
      <c r="E254" s="97" t="s">
        <v>5106</v>
      </c>
      <c r="F254" s="89"/>
      <c r="G254" s="89" t="s">
        <v>1837</v>
      </c>
      <c r="H254" s="91">
        <v>1711</v>
      </c>
      <c r="I254" s="89" t="s">
        <v>4955</v>
      </c>
      <c r="J254" s="98" t="s">
        <v>3954</v>
      </c>
      <c r="K254" s="92"/>
      <c r="L254" s="92" t="s">
        <v>4956</v>
      </c>
      <c r="M254" s="92" t="s">
        <v>4957</v>
      </c>
      <c r="N254" s="93">
        <v>1711</v>
      </c>
      <c r="O254" s="94">
        <v>210000</v>
      </c>
      <c r="P254" s="94">
        <v>12000</v>
      </c>
      <c r="Q254" s="92" t="s">
        <v>3957</v>
      </c>
      <c r="R254" s="92" t="s">
        <v>5107</v>
      </c>
      <c r="S254" s="91">
        <v>17120</v>
      </c>
      <c r="T254" s="91">
        <v>17110</v>
      </c>
    </row>
    <row r="255" spans="1:20" ht="30" customHeight="1" x14ac:dyDescent="0.35">
      <c r="A255" s="88">
        <v>171822</v>
      </c>
      <c r="B255" s="89" t="s">
        <v>5108</v>
      </c>
      <c r="C255" s="89" t="s">
        <v>5109</v>
      </c>
      <c r="D255" s="90" t="s">
        <v>4077</v>
      </c>
      <c r="E255" s="89" t="s">
        <v>1839</v>
      </c>
      <c r="F255" s="89"/>
      <c r="G255" s="89" t="s">
        <v>1840</v>
      </c>
      <c r="H255" s="91">
        <v>6100</v>
      </c>
      <c r="I255" s="89" t="s">
        <v>5001</v>
      </c>
      <c r="J255" s="92" t="s">
        <v>883</v>
      </c>
      <c r="K255" s="92"/>
      <c r="L255" s="92" t="s">
        <v>5002</v>
      </c>
      <c r="M255" s="92" t="s">
        <v>5003</v>
      </c>
      <c r="N255" s="93">
        <v>6100</v>
      </c>
      <c r="O255" s="94">
        <v>1000000</v>
      </c>
      <c r="P255" s="94">
        <v>8400</v>
      </c>
      <c r="Q255" s="92" t="s">
        <v>3957</v>
      </c>
      <c r="R255" s="92" t="s">
        <v>5110</v>
      </c>
      <c r="S255" s="91">
        <v>61001</v>
      </c>
      <c r="T255" s="91">
        <v>17160</v>
      </c>
    </row>
    <row r="256" spans="1:20" ht="30" customHeight="1" x14ac:dyDescent="0.35">
      <c r="A256" s="88">
        <v>171833</v>
      </c>
      <c r="B256" s="89" t="s">
        <v>5111</v>
      </c>
      <c r="C256" s="89" t="s">
        <v>5112</v>
      </c>
      <c r="D256" s="90" t="s">
        <v>4077</v>
      </c>
      <c r="E256" s="89" t="s">
        <v>1842</v>
      </c>
      <c r="F256" s="89"/>
      <c r="G256" s="89" t="s">
        <v>1843</v>
      </c>
      <c r="H256" s="91">
        <v>1711</v>
      </c>
      <c r="I256" s="89" t="s">
        <v>4955</v>
      </c>
      <c r="J256" s="92" t="s">
        <v>3954</v>
      </c>
      <c r="K256" s="92"/>
      <c r="L256" s="92" t="s">
        <v>4956</v>
      </c>
      <c r="M256" s="92" t="s">
        <v>4957</v>
      </c>
      <c r="N256" s="93">
        <v>1711</v>
      </c>
      <c r="O256" s="94">
        <v>210000</v>
      </c>
      <c r="P256" s="94">
        <v>12000</v>
      </c>
      <c r="Q256" s="92" t="s">
        <v>3957</v>
      </c>
      <c r="R256" s="92" t="s">
        <v>5113</v>
      </c>
      <c r="S256" s="91">
        <v>17120</v>
      </c>
      <c r="T256" s="91">
        <v>17110</v>
      </c>
    </row>
    <row r="257" spans="1:20" ht="30" customHeight="1" x14ac:dyDescent="0.35">
      <c r="A257" s="88">
        <v>171844</v>
      </c>
      <c r="B257" s="89" t="s">
        <v>5114</v>
      </c>
      <c r="C257" s="89" t="s">
        <v>5115</v>
      </c>
      <c r="D257" s="90" t="s">
        <v>4077</v>
      </c>
      <c r="E257" s="89" t="s">
        <v>1845</v>
      </c>
      <c r="F257" s="89"/>
      <c r="G257" s="89" t="s">
        <v>1846</v>
      </c>
      <c r="H257" s="91">
        <v>1711</v>
      </c>
      <c r="I257" s="89" t="s">
        <v>4955</v>
      </c>
      <c r="J257" s="92" t="s">
        <v>3954</v>
      </c>
      <c r="K257" s="92"/>
      <c r="L257" s="92" t="s">
        <v>4956</v>
      </c>
      <c r="M257" s="92" t="s">
        <v>4957</v>
      </c>
      <c r="N257" s="93">
        <v>1711</v>
      </c>
      <c r="O257" s="94">
        <v>210000</v>
      </c>
      <c r="P257" s="94">
        <v>12000</v>
      </c>
      <c r="Q257" s="92" t="s">
        <v>3957</v>
      </c>
      <c r="R257" s="92" t="s">
        <v>5116</v>
      </c>
      <c r="S257" s="91">
        <v>17120</v>
      </c>
      <c r="T257" s="91">
        <v>17110</v>
      </c>
    </row>
    <row r="258" spans="1:20" ht="30" customHeight="1" x14ac:dyDescent="0.35">
      <c r="A258" s="88">
        <v>171851</v>
      </c>
      <c r="B258" s="89" t="s">
        <v>5117</v>
      </c>
      <c r="C258" s="89" t="s">
        <v>5118</v>
      </c>
      <c r="D258" s="90" t="s">
        <v>4077</v>
      </c>
      <c r="E258" s="89" t="s">
        <v>1848</v>
      </c>
      <c r="F258" s="89"/>
      <c r="G258" s="89" t="s">
        <v>1849</v>
      </c>
      <c r="H258" s="91">
        <v>1711</v>
      </c>
      <c r="I258" s="89" t="s">
        <v>4955</v>
      </c>
      <c r="J258" s="92" t="s">
        <v>3954</v>
      </c>
      <c r="K258" s="92"/>
      <c r="L258" s="92" t="s">
        <v>4956</v>
      </c>
      <c r="M258" s="92" t="s">
        <v>4957</v>
      </c>
      <c r="N258" s="93">
        <v>1711</v>
      </c>
      <c r="O258" s="94">
        <v>210000</v>
      </c>
      <c r="P258" s="94">
        <v>12000</v>
      </c>
      <c r="Q258" s="92" t="s">
        <v>3957</v>
      </c>
      <c r="R258" s="92" t="s">
        <v>5119</v>
      </c>
      <c r="S258" s="91">
        <v>17120</v>
      </c>
      <c r="T258" s="91">
        <v>17110</v>
      </c>
    </row>
    <row r="259" spans="1:20" ht="30" customHeight="1" x14ac:dyDescent="0.35">
      <c r="A259" s="88">
        <v>171853</v>
      </c>
      <c r="B259" s="89" t="s">
        <v>5120</v>
      </c>
      <c r="C259" s="89" t="s">
        <v>5121</v>
      </c>
      <c r="D259" s="90" t="s">
        <v>4077</v>
      </c>
      <c r="E259" s="89" t="s">
        <v>1851</v>
      </c>
      <c r="F259" s="89" t="s">
        <v>5122</v>
      </c>
      <c r="G259" s="89" t="s">
        <v>1852</v>
      </c>
      <c r="H259" s="91">
        <v>1711</v>
      </c>
      <c r="I259" s="89" t="s">
        <v>4955</v>
      </c>
      <c r="J259" s="92" t="s">
        <v>3954</v>
      </c>
      <c r="K259" s="92"/>
      <c r="L259" s="92" t="s">
        <v>4956</v>
      </c>
      <c r="M259" s="92" t="s">
        <v>4957</v>
      </c>
      <c r="N259" s="93">
        <v>1711</v>
      </c>
      <c r="O259" s="94">
        <v>210000</v>
      </c>
      <c r="P259" s="94">
        <v>12000</v>
      </c>
      <c r="Q259" s="92" t="s">
        <v>3957</v>
      </c>
      <c r="R259" s="92" t="s">
        <v>5123</v>
      </c>
      <c r="S259" s="91">
        <v>17120</v>
      </c>
      <c r="T259" s="91">
        <v>17110</v>
      </c>
    </row>
    <row r="260" spans="1:20" ht="30" customHeight="1" x14ac:dyDescent="0.35">
      <c r="A260" s="88">
        <v>171873</v>
      </c>
      <c r="B260" s="89" t="s">
        <v>5124</v>
      </c>
      <c r="C260" s="89" t="s">
        <v>5125</v>
      </c>
      <c r="D260" s="90" t="s">
        <v>4077</v>
      </c>
      <c r="E260" s="89" t="s">
        <v>5126</v>
      </c>
      <c r="F260" s="89"/>
      <c r="G260" s="89" t="s">
        <v>1855</v>
      </c>
      <c r="H260" s="91">
        <v>1712</v>
      </c>
      <c r="I260" s="89" t="s">
        <v>5007</v>
      </c>
      <c r="J260" s="92" t="s">
        <v>883</v>
      </c>
      <c r="K260" s="92"/>
      <c r="L260" s="92" t="s">
        <v>4956</v>
      </c>
      <c r="M260" s="92" t="s">
        <v>5008</v>
      </c>
      <c r="N260" s="93">
        <v>1712</v>
      </c>
      <c r="O260" s="94">
        <v>220000</v>
      </c>
      <c r="P260" s="94">
        <v>13000</v>
      </c>
      <c r="Q260" s="92" t="s">
        <v>3957</v>
      </c>
      <c r="R260" s="92" t="s">
        <v>5127</v>
      </c>
      <c r="S260" s="91">
        <v>17137</v>
      </c>
      <c r="T260" s="91">
        <v>17120</v>
      </c>
    </row>
    <row r="261" spans="1:20" ht="30" customHeight="1" x14ac:dyDescent="0.35">
      <c r="A261" s="88">
        <v>171875</v>
      </c>
      <c r="B261" s="89" t="s">
        <v>5128</v>
      </c>
      <c r="C261" s="89" t="s">
        <v>5129</v>
      </c>
      <c r="D261" s="90" t="s">
        <v>4077</v>
      </c>
      <c r="E261" s="89" t="s">
        <v>1857</v>
      </c>
      <c r="F261" s="89"/>
      <c r="G261" s="89" t="s">
        <v>1858</v>
      </c>
      <c r="H261" s="91">
        <v>1711</v>
      </c>
      <c r="I261" s="89" t="s">
        <v>4955</v>
      </c>
      <c r="J261" s="92" t="s">
        <v>3954</v>
      </c>
      <c r="K261" s="92"/>
      <c r="L261" s="92" t="s">
        <v>4956</v>
      </c>
      <c r="M261" s="92" t="s">
        <v>4957</v>
      </c>
      <c r="N261" s="93">
        <v>1711</v>
      </c>
      <c r="O261" s="94">
        <v>210000</v>
      </c>
      <c r="P261" s="94">
        <v>12000</v>
      </c>
      <c r="Q261" s="92" t="s">
        <v>3957</v>
      </c>
      <c r="R261" s="92" t="s">
        <v>5130</v>
      </c>
      <c r="S261" s="91">
        <v>17120</v>
      </c>
      <c r="T261" s="91">
        <v>17110</v>
      </c>
    </row>
    <row r="262" spans="1:20" ht="30" customHeight="1" x14ac:dyDescent="0.35">
      <c r="A262" s="88">
        <v>172321</v>
      </c>
      <c r="B262" s="89" t="s">
        <v>5131</v>
      </c>
      <c r="C262" s="89" t="s">
        <v>5131</v>
      </c>
      <c r="D262" s="90" t="s">
        <v>4077</v>
      </c>
      <c r="E262" s="89" t="s">
        <v>1860</v>
      </c>
      <c r="F262" s="89"/>
      <c r="G262" s="89" t="s">
        <v>1861</v>
      </c>
      <c r="H262" s="91">
        <v>1723</v>
      </c>
      <c r="I262" s="89" t="s">
        <v>5132</v>
      </c>
      <c r="J262" s="92" t="s">
        <v>883</v>
      </c>
      <c r="K262" s="92"/>
      <c r="L262" s="92" t="s">
        <v>5133</v>
      </c>
      <c r="M262" s="92" t="s">
        <v>4971</v>
      </c>
      <c r="N262" s="93">
        <v>1723</v>
      </c>
      <c r="O262" s="94">
        <v>3800</v>
      </c>
      <c r="P262" s="94">
        <v>1000</v>
      </c>
      <c r="Q262" s="92" t="s">
        <v>3957</v>
      </c>
      <c r="R262" s="92" t="s">
        <v>5134</v>
      </c>
      <c r="S262" s="91">
        <v>17170</v>
      </c>
      <c r="T262" s="91">
        <v>17230</v>
      </c>
    </row>
    <row r="263" spans="1:20" ht="30" customHeight="1" x14ac:dyDescent="0.35">
      <c r="A263" s="88">
        <v>172421</v>
      </c>
      <c r="B263" s="89" t="s">
        <v>1862</v>
      </c>
      <c r="C263" s="89" t="s">
        <v>1862</v>
      </c>
      <c r="D263" s="90" t="s">
        <v>4077</v>
      </c>
      <c r="E263" s="89" t="s">
        <v>1863</v>
      </c>
      <c r="F263" s="89"/>
      <c r="G263" s="89" t="s">
        <v>1864</v>
      </c>
      <c r="H263" s="91">
        <v>1724</v>
      </c>
      <c r="I263" s="89" t="s">
        <v>5135</v>
      </c>
      <c r="J263" s="92" t="s">
        <v>883</v>
      </c>
      <c r="K263" s="92"/>
      <c r="L263" s="92" t="s">
        <v>4985</v>
      </c>
      <c r="M263" s="92" t="s">
        <v>5136</v>
      </c>
      <c r="N263" s="93">
        <v>1724</v>
      </c>
      <c r="O263" s="94">
        <v>120000</v>
      </c>
      <c r="P263" s="94">
        <v>10000</v>
      </c>
      <c r="Q263" s="92" t="s">
        <v>3957</v>
      </c>
      <c r="R263" s="92" t="s">
        <v>5137</v>
      </c>
      <c r="S263" s="91">
        <v>17211</v>
      </c>
      <c r="T263" s="89" t="s">
        <v>643</v>
      </c>
    </row>
    <row r="264" spans="1:20" ht="30" customHeight="1" x14ac:dyDescent="0.35">
      <c r="A264" s="88">
        <v>172423</v>
      </c>
      <c r="B264" s="89" t="s">
        <v>5138</v>
      </c>
      <c r="C264" s="89" t="s">
        <v>5139</v>
      </c>
      <c r="D264" s="90" t="s">
        <v>4077</v>
      </c>
      <c r="E264" s="89" t="s">
        <v>1866</v>
      </c>
      <c r="F264" s="89"/>
      <c r="G264" s="89" t="s">
        <v>1867</v>
      </c>
      <c r="H264" s="91">
        <v>1724</v>
      </c>
      <c r="I264" s="89" t="s">
        <v>5135</v>
      </c>
      <c r="J264" s="92" t="s">
        <v>883</v>
      </c>
      <c r="K264" s="92"/>
      <c r="L264" s="92" t="s">
        <v>4985</v>
      </c>
      <c r="M264" s="92" t="s">
        <v>5136</v>
      </c>
      <c r="N264" s="93">
        <v>1724</v>
      </c>
      <c r="O264" s="94">
        <v>120000</v>
      </c>
      <c r="P264" s="94">
        <v>10000</v>
      </c>
      <c r="Q264" s="92" t="s">
        <v>3957</v>
      </c>
      <c r="R264" s="92" t="s">
        <v>5140</v>
      </c>
      <c r="S264" s="91">
        <v>17213</v>
      </c>
      <c r="T264" s="89" t="s">
        <v>643</v>
      </c>
    </row>
    <row r="265" spans="1:20" ht="30" customHeight="1" x14ac:dyDescent="0.35">
      <c r="A265" s="88">
        <v>172424</v>
      </c>
      <c r="B265" s="89" t="s">
        <v>5141</v>
      </c>
      <c r="C265" s="89" t="s">
        <v>5142</v>
      </c>
      <c r="D265" s="90" t="s">
        <v>4077</v>
      </c>
      <c r="E265" s="89" t="s">
        <v>1869</v>
      </c>
      <c r="F265" s="89"/>
      <c r="G265" s="89" t="s">
        <v>1870</v>
      </c>
      <c r="H265" s="91">
        <v>1724</v>
      </c>
      <c r="I265" s="89" t="s">
        <v>5135</v>
      </c>
      <c r="J265" s="92" t="s">
        <v>883</v>
      </c>
      <c r="K265" s="92"/>
      <c r="L265" s="92" t="s">
        <v>4985</v>
      </c>
      <c r="M265" s="92" t="s">
        <v>5136</v>
      </c>
      <c r="N265" s="93">
        <v>1724</v>
      </c>
      <c r="O265" s="94">
        <v>120000</v>
      </c>
      <c r="P265" s="94">
        <v>10000</v>
      </c>
      <c r="Q265" s="92" t="s">
        <v>3957</v>
      </c>
      <c r="R265" s="92" t="s">
        <v>5143</v>
      </c>
      <c r="S265" s="91">
        <v>17214</v>
      </c>
      <c r="T265" s="89" t="s">
        <v>643</v>
      </c>
    </row>
    <row r="266" spans="1:20" ht="30" customHeight="1" x14ac:dyDescent="0.35">
      <c r="A266" s="88">
        <v>173321</v>
      </c>
      <c r="B266" s="89" t="s">
        <v>5144</v>
      </c>
      <c r="C266" s="89" t="s">
        <v>5145</v>
      </c>
      <c r="D266" s="90" t="s">
        <v>3978</v>
      </c>
      <c r="E266" s="89" t="s">
        <v>1872</v>
      </c>
      <c r="F266" s="89"/>
      <c r="G266" s="89" t="s">
        <v>1873</v>
      </c>
      <c r="H266" s="91">
        <v>1733</v>
      </c>
      <c r="I266" s="89" t="s">
        <v>5146</v>
      </c>
      <c r="J266" s="92" t="s">
        <v>883</v>
      </c>
      <c r="K266" s="92"/>
      <c r="L266" s="92" t="s">
        <v>5147</v>
      </c>
      <c r="M266" s="92" t="s">
        <v>5148</v>
      </c>
      <c r="N266" s="93">
        <v>1733</v>
      </c>
      <c r="O266" s="94">
        <v>52000</v>
      </c>
      <c r="P266" s="94">
        <v>1700</v>
      </c>
      <c r="Q266" s="92" t="s">
        <v>3957</v>
      </c>
      <c r="R266" s="92" t="s">
        <v>5149</v>
      </c>
      <c r="S266" s="91">
        <v>17139</v>
      </c>
      <c r="T266" s="91">
        <v>17330</v>
      </c>
    </row>
    <row r="267" spans="1:20" ht="30" customHeight="1" x14ac:dyDescent="0.35">
      <c r="A267" s="88">
        <v>173421</v>
      </c>
      <c r="B267" s="89" t="s">
        <v>5150</v>
      </c>
      <c r="C267" s="89" t="s">
        <v>5151</v>
      </c>
      <c r="D267" s="90" t="s">
        <v>3978</v>
      </c>
      <c r="E267" s="89" t="s">
        <v>1875</v>
      </c>
      <c r="F267" s="89"/>
      <c r="G267" s="89" t="s">
        <v>1876</v>
      </c>
      <c r="H267" s="91">
        <v>1734</v>
      </c>
      <c r="I267" s="89" t="s">
        <v>1874</v>
      </c>
      <c r="J267" s="98" t="s">
        <v>3954</v>
      </c>
      <c r="K267" s="92"/>
      <c r="L267" s="92" t="s">
        <v>4893</v>
      </c>
      <c r="M267" s="92" t="s">
        <v>4894</v>
      </c>
      <c r="N267" s="93">
        <v>1734</v>
      </c>
      <c r="O267" s="94">
        <v>1</v>
      </c>
      <c r="P267" s="94">
        <v>1</v>
      </c>
      <c r="Q267" s="92" t="s">
        <v>3957</v>
      </c>
      <c r="R267" s="92" t="s">
        <v>5152</v>
      </c>
      <c r="S267" s="91">
        <v>17972</v>
      </c>
      <c r="T267" s="89" t="s">
        <v>643</v>
      </c>
    </row>
    <row r="268" spans="1:20" ht="30" customHeight="1" x14ac:dyDescent="0.35">
      <c r="A268" s="88">
        <v>174121</v>
      </c>
      <c r="B268" s="89" t="s">
        <v>5153</v>
      </c>
      <c r="C268" s="89" t="s">
        <v>5154</v>
      </c>
      <c r="D268" s="90" t="s">
        <v>3978</v>
      </c>
      <c r="E268" s="89" t="s">
        <v>1878</v>
      </c>
      <c r="F268" s="89" t="s">
        <v>5155</v>
      </c>
      <c r="G268" s="89" t="s">
        <v>1879</v>
      </c>
      <c r="H268" s="91">
        <v>1741</v>
      </c>
      <c r="I268" s="89" t="s">
        <v>5156</v>
      </c>
      <c r="J268" s="92" t="s">
        <v>5157</v>
      </c>
      <c r="K268" s="92"/>
      <c r="L268" s="92" t="s">
        <v>4455</v>
      </c>
      <c r="M268" s="92" t="s">
        <v>5158</v>
      </c>
      <c r="N268" s="93">
        <v>1741</v>
      </c>
      <c r="O268" s="94">
        <v>360000</v>
      </c>
      <c r="P268" s="94">
        <v>1840</v>
      </c>
      <c r="Q268" s="92" t="s">
        <v>3957</v>
      </c>
      <c r="R268" s="92" t="s">
        <v>5159</v>
      </c>
      <c r="S268" s="91">
        <v>17998</v>
      </c>
      <c r="T268" s="91">
        <v>17412</v>
      </c>
    </row>
    <row r="269" spans="1:20" ht="30" customHeight="1" x14ac:dyDescent="0.35">
      <c r="A269" s="88">
        <v>174122</v>
      </c>
      <c r="B269" s="89" t="s">
        <v>5160</v>
      </c>
      <c r="C269" s="89" t="s">
        <v>5161</v>
      </c>
      <c r="D269" s="90" t="s">
        <v>3978</v>
      </c>
      <c r="E269" s="89" t="s">
        <v>1881</v>
      </c>
      <c r="F269" s="89"/>
      <c r="G269" s="89" t="s">
        <v>1882</v>
      </c>
      <c r="H269" s="91">
        <v>1741</v>
      </c>
      <c r="I269" s="89" t="s">
        <v>5156</v>
      </c>
      <c r="J269" s="92" t="s">
        <v>5157</v>
      </c>
      <c r="K269" s="92"/>
      <c r="L269" s="92" t="s">
        <v>4455</v>
      </c>
      <c r="M269" s="92" t="s">
        <v>5158</v>
      </c>
      <c r="N269" s="93">
        <v>1741</v>
      </c>
      <c r="O269" s="94">
        <v>360000</v>
      </c>
      <c r="P269" s="94">
        <v>1840</v>
      </c>
      <c r="Q269" s="92" t="s">
        <v>3957</v>
      </c>
      <c r="R269" s="92" t="s">
        <v>5162</v>
      </c>
      <c r="S269" s="91">
        <v>17999</v>
      </c>
      <c r="T269" s="91">
        <v>17413</v>
      </c>
    </row>
    <row r="270" spans="1:20" ht="30" customHeight="1" x14ac:dyDescent="0.35">
      <c r="A270" s="88">
        <v>174123</v>
      </c>
      <c r="B270" s="89" t="s">
        <v>5163</v>
      </c>
      <c r="C270" s="89" t="s">
        <v>5164</v>
      </c>
      <c r="D270" s="90" t="s">
        <v>3978</v>
      </c>
      <c r="E270" s="89" t="s">
        <v>1884</v>
      </c>
      <c r="F270" s="89"/>
      <c r="G270" s="89" t="s">
        <v>1885</v>
      </c>
      <c r="H270" s="91">
        <v>1741</v>
      </c>
      <c r="I270" s="89" t="s">
        <v>5156</v>
      </c>
      <c r="J270" s="92" t="s">
        <v>5157</v>
      </c>
      <c r="K270" s="92"/>
      <c r="L270" s="92" t="s">
        <v>4455</v>
      </c>
      <c r="M270" s="92" t="s">
        <v>5158</v>
      </c>
      <c r="N270" s="93">
        <v>1741</v>
      </c>
      <c r="O270" s="94">
        <v>360000</v>
      </c>
      <c r="P270" s="94">
        <v>1840</v>
      </c>
      <c r="Q270" s="92" t="s">
        <v>3957</v>
      </c>
      <c r="R270" s="92" t="s">
        <v>5165</v>
      </c>
      <c r="S270" s="91">
        <v>17710</v>
      </c>
      <c r="T270" s="89" t="s">
        <v>5166</v>
      </c>
    </row>
    <row r="271" spans="1:20" ht="30" customHeight="1" x14ac:dyDescent="0.35">
      <c r="A271" s="88">
        <v>174221</v>
      </c>
      <c r="B271" s="89" t="s">
        <v>5167</v>
      </c>
      <c r="C271" s="89" t="s">
        <v>5168</v>
      </c>
      <c r="D271" s="90" t="s">
        <v>3978</v>
      </c>
      <c r="E271" s="89" t="s">
        <v>1887</v>
      </c>
      <c r="F271" s="89"/>
      <c r="G271" s="89" t="s">
        <v>1888</v>
      </c>
      <c r="H271" s="91">
        <v>1742</v>
      </c>
      <c r="I271" s="89" t="s">
        <v>5169</v>
      </c>
      <c r="J271" s="92" t="s">
        <v>5157</v>
      </c>
      <c r="K271" s="92"/>
      <c r="L271" s="92" t="s">
        <v>4455</v>
      </c>
      <c r="M271" s="92" t="s">
        <v>5170</v>
      </c>
      <c r="N271" s="93">
        <v>1742</v>
      </c>
      <c r="O271" s="94">
        <v>66000</v>
      </c>
      <c r="P271" s="94">
        <v>2000</v>
      </c>
      <c r="Q271" s="92" t="s">
        <v>3957</v>
      </c>
      <c r="R271" s="92" t="s">
        <v>5171</v>
      </c>
      <c r="S271" s="91">
        <v>17720</v>
      </c>
      <c r="T271" s="91">
        <v>17420</v>
      </c>
    </row>
    <row r="272" spans="1:20" ht="30" customHeight="1" x14ac:dyDescent="0.35">
      <c r="A272" s="88">
        <v>174321</v>
      </c>
      <c r="B272" s="89" t="s">
        <v>5172</v>
      </c>
      <c r="C272" s="89" t="s">
        <v>5173</v>
      </c>
      <c r="D272" s="90" t="s">
        <v>3978</v>
      </c>
      <c r="E272" s="89" t="s">
        <v>1890</v>
      </c>
      <c r="F272" s="89"/>
      <c r="G272" s="89" t="s">
        <v>1891</v>
      </c>
      <c r="H272" s="91">
        <v>1743</v>
      </c>
      <c r="I272" s="89" t="s">
        <v>5174</v>
      </c>
      <c r="J272" s="92" t="s">
        <v>5157</v>
      </c>
      <c r="K272" s="92"/>
      <c r="L272" s="92" t="s">
        <v>4455</v>
      </c>
      <c r="M272" s="92" t="s">
        <v>4455</v>
      </c>
      <c r="N272" s="93">
        <v>1743</v>
      </c>
      <c r="O272" s="94">
        <v>50000</v>
      </c>
      <c r="P272" s="94">
        <v>1900</v>
      </c>
      <c r="Q272" s="92" t="s">
        <v>3957</v>
      </c>
      <c r="R272" s="92" t="s">
        <v>5175</v>
      </c>
      <c r="S272" s="91">
        <v>17731</v>
      </c>
      <c r="T272" s="91">
        <v>17431</v>
      </c>
    </row>
    <row r="273" spans="1:20" ht="30" customHeight="1" x14ac:dyDescent="0.35">
      <c r="A273" s="88">
        <v>174322</v>
      </c>
      <c r="B273" s="89" t="s">
        <v>5176</v>
      </c>
      <c r="C273" s="89" t="s">
        <v>5177</v>
      </c>
      <c r="D273" s="90" t="s">
        <v>3978</v>
      </c>
      <c r="E273" s="89" t="s">
        <v>1890</v>
      </c>
      <c r="F273" s="89"/>
      <c r="G273" s="89" t="s">
        <v>1893</v>
      </c>
      <c r="H273" s="91">
        <v>1743</v>
      </c>
      <c r="I273" s="89" t="s">
        <v>5174</v>
      </c>
      <c r="J273" s="92" t="s">
        <v>5157</v>
      </c>
      <c r="K273" s="92"/>
      <c r="L273" s="92" t="s">
        <v>4455</v>
      </c>
      <c r="M273" s="92" t="s">
        <v>4455</v>
      </c>
      <c r="N273" s="93">
        <v>1743</v>
      </c>
      <c r="O273" s="94">
        <v>50000</v>
      </c>
      <c r="P273" s="94">
        <v>1900</v>
      </c>
      <c r="Q273" s="92" t="s">
        <v>3957</v>
      </c>
      <c r="R273" s="92" t="s">
        <v>5178</v>
      </c>
      <c r="S273" s="91">
        <v>17730</v>
      </c>
      <c r="T273" s="91">
        <v>17430</v>
      </c>
    </row>
    <row r="274" spans="1:20" ht="30" customHeight="1" x14ac:dyDescent="0.35">
      <c r="A274" s="88">
        <v>174499</v>
      </c>
      <c r="B274" s="89" t="s">
        <v>5179</v>
      </c>
      <c r="C274" s="89" t="s">
        <v>5179</v>
      </c>
      <c r="D274" s="90" t="s">
        <v>3978</v>
      </c>
      <c r="E274" s="89" t="s">
        <v>1895</v>
      </c>
      <c r="F274" s="89"/>
      <c r="G274" s="89" t="s">
        <v>1896</v>
      </c>
      <c r="H274" s="91">
        <v>1744</v>
      </c>
      <c r="I274" s="89" t="s">
        <v>1894</v>
      </c>
      <c r="J274" s="92" t="s">
        <v>5157</v>
      </c>
      <c r="K274" s="92"/>
      <c r="L274" s="92" t="s">
        <v>4455</v>
      </c>
      <c r="M274" s="92" t="s">
        <v>5158</v>
      </c>
      <c r="N274" s="93">
        <v>1744</v>
      </c>
      <c r="O274" s="94">
        <v>2800</v>
      </c>
      <c r="P274" s="94">
        <v>300</v>
      </c>
      <c r="Q274" s="92" t="s">
        <v>3957</v>
      </c>
      <c r="R274" s="92" t="s">
        <v>5180</v>
      </c>
      <c r="S274" s="91">
        <v>17991</v>
      </c>
      <c r="T274" s="91">
        <v>17440</v>
      </c>
    </row>
    <row r="275" spans="1:20" ht="30" customHeight="1" x14ac:dyDescent="0.35">
      <c r="A275" s="88">
        <v>174521</v>
      </c>
      <c r="B275" s="89" t="s">
        <v>5181</v>
      </c>
      <c r="C275" s="89" t="s">
        <v>5182</v>
      </c>
      <c r="D275" s="90" t="s">
        <v>3978</v>
      </c>
      <c r="E275" s="89" t="s">
        <v>1898</v>
      </c>
      <c r="F275" s="89"/>
      <c r="G275" s="89" t="s">
        <v>1899</v>
      </c>
      <c r="H275" s="91">
        <v>1745</v>
      </c>
      <c r="I275" s="89" t="s">
        <v>5183</v>
      </c>
      <c r="J275" s="92" t="s">
        <v>5157</v>
      </c>
      <c r="K275" s="92"/>
      <c r="L275" s="92" t="s">
        <v>5184</v>
      </c>
      <c r="M275" s="92" t="s">
        <v>5185</v>
      </c>
      <c r="N275" s="93">
        <v>1745</v>
      </c>
      <c r="O275" s="94">
        <v>65</v>
      </c>
      <c r="P275" s="94">
        <v>6</v>
      </c>
      <c r="Q275" s="92" t="s">
        <v>3957</v>
      </c>
      <c r="R275" s="92" t="s">
        <v>5186</v>
      </c>
      <c r="S275" s="91">
        <v>17980</v>
      </c>
      <c r="T275" s="91">
        <v>17960</v>
      </c>
    </row>
    <row r="276" spans="1:20" ht="30" customHeight="1" x14ac:dyDescent="0.35">
      <c r="A276" s="88">
        <v>175121</v>
      </c>
      <c r="B276" s="89" t="s">
        <v>5187</v>
      </c>
      <c r="C276" s="89" t="s">
        <v>5188</v>
      </c>
      <c r="D276" s="90" t="s">
        <v>3978</v>
      </c>
      <c r="E276" s="89" t="s">
        <v>1901</v>
      </c>
      <c r="F276" s="89"/>
      <c r="G276" s="89" t="s">
        <v>1902</v>
      </c>
      <c r="H276" s="91">
        <v>1751</v>
      </c>
      <c r="I276" s="89" t="s">
        <v>5189</v>
      </c>
      <c r="J276" s="92" t="s">
        <v>5190</v>
      </c>
      <c r="K276" s="92"/>
      <c r="L276" s="92" t="s">
        <v>5191</v>
      </c>
      <c r="M276" s="92" t="s">
        <v>5192</v>
      </c>
      <c r="N276" s="93">
        <v>1751</v>
      </c>
      <c r="O276" s="94">
        <v>100</v>
      </c>
      <c r="P276" s="94">
        <v>27</v>
      </c>
      <c r="Q276" s="92" t="s">
        <v>3957</v>
      </c>
      <c r="R276" s="92" t="s">
        <v>5193</v>
      </c>
      <c r="S276" s="91">
        <v>17801</v>
      </c>
      <c r="T276" s="91">
        <v>17510</v>
      </c>
    </row>
    <row r="277" spans="1:20" ht="30" customHeight="1" x14ac:dyDescent="0.35">
      <c r="A277" s="88">
        <v>175221</v>
      </c>
      <c r="B277" s="89" t="s">
        <v>5194</v>
      </c>
      <c r="C277" s="89" t="s">
        <v>5195</v>
      </c>
      <c r="D277" s="90" t="s">
        <v>3978</v>
      </c>
      <c r="E277" s="89" t="s">
        <v>1904</v>
      </c>
      <c r="F277" s="89"/>
      <c r="G277" s="89" t="s">
        <v>1905</v>
      </c>
      <c r="H277" s="91">
        <v>1752</v>
      </c>
      <c r="I277" s="89" t="s">
        <v>5196</v>
      </c>
      <c r="J277" s="92" t="s">
        <v>5190</v>
      </c>
      <c r="K277" s="92"/>
      <c r="L277" s="92" t="s">
        <v>5197</v>
      </c>
      <c r="M277" s="92" t="s">
        <v>5198</v>
      </c>
      <c r="N277" s="93">
        <v>1752</v>
      </c>
      <c r="O277" s="94">
        <v>35</v>
      </c>
      <c r="P277" s="94">
        <v>12</v>
      </c>
      <c r="Q277" s="92" t="s">
        <v>3957</v>
      </c>
      <c r="R277" s="92" t="s">
        <v>5199</v>
      </c>
      <c r="S277" s="91">
        <v>17803</v>
      </c>
      <c r="T277" s="91">
        <v>17520</v>
      </c>
    </row>
    <row r="278" spans="1:20" ht="30" customHeight="1" x14ac:dyDescent="0.35">
      <c r="A278" s="88">
        <v>175300</v>
      </c>
      <c r="B278" s="89" t="s">
        <v>5200</v>
      </c>
      <c r="C278" s="89" t="s">
        <v>5201</v>
      </c>
      <c r="D278" s="90" t="s">
        <v>3978</v>
      </c>
      <c r="E278" s="89" t="s">
        <v>5202</v>
      </c>
      <c r="F278" s="89"/>
      <c r="G278" s="89" t="s">
        <v>909</v>
      </c>
      <c r="H278" s="91">
        <v>1753</v>
      </c>
      <c r="I278" s="89" t="s">
        <v>5203</v>
      </c>
      <c r="J278" s="92" t="s">
        <v>5190</v>
      </c>
      <c r="K278" s="92" t="s">
        <v>5157</v>
      </c>
      <c r="L278" s="92" t="s">
        <v>5204</v>
      </c>
      <c r="M278" s="92" t="s">
        <v>5205</v>
      </c>
      <c r="N278" s="93">
        <v>1753</v>
      </c>
      <c r="O278" s="94">
        <v>30</v>
      </c>
      <c r="P278" s="94">
        <v>14</v>
      </c>
      <c r="Q278" s="92" t="s">
        <v>3957</v>
      </c>
      <c r="R278" s="92" t="s">
        <v>5206</v>
      </c>
      <c r="S278" s="89" t="s">
        <v>3982</v>
      </c>
      <c r="T278" s="89" t="s">
        <v>3982</v>
      </c>
    </row>
    <row r="279" spans="1:20" ht="30" customHeight="1" x14ac:dyDescent="0.35">
      <c r="A279" s="88">
        <v>175321</v>
      </c>
      <c r="B279" s="89" t="s">
        <v>5207</v>
      </c>
      <c r="C279" s="89" t="s">
        <v>5208</v>
      </c>
      <c r="D279" s="90" t="s">
        <v>3978</v>
      </c>
      <c r="E279" s="89" t="s">
        <v>1909</v>
      </c>
      <c r="F279" s="89"/>
      <c r="G279" s="89" t="s">
        <v>1910</v>
      </c>
      <c r="H279" s="91">
        <v>1753</v>
      </c>
      <c r="I279" s="89" t="s">
        <v>5203</v>
      </c>
      <c r="J279" s="92" t="s">
        <v>5190</v>
      </c>
      <c r="K279" s="92"/>
      <c r="L279" s="92" t="s">
        <v>5204</v>
      </c>
      <c r="M279" s="92" t="s">
        <v>5205</v>
      </c>
      <c r="N279" s="93">
        <v>1753</v>
      </c>
      <c r="O279" s="94">
        <v>30</v>
      </c>
      <c r="P279" s="94">
        <v>14</v>
      </c>
      <c r="Q279" s="92" t="s">
        <v>3957</v>
      </c>
      <c r="R279" s="92" t="s">
        <v>5209</v>
      </c>
      <c r="S279" s="91">
        <v>17805</v>
      </c>
      <c r="T279" s="91">
        <v>17531</v>
      </c>
    </row>
    <row r="280" spans="1:20" ht="30" customHeight="1" x14ac:dyDescent="0.35">
      <c r="A280" s="88">
        <v>175421</v>
      </c>
      <c r="B280" s="89" t="s">
        <v>5210</v>
      </c>
      <c r="C280" s="89" t="s">
        <v>5211</v>
      </c>
      <c r="D280" s="90" t="s">
        <v>3978</v>
      </c>
      <c r="E280" s="89" t="s">
        <v>1912</v>
      </c>
      <c r="F280" s="89"/>
      <c r="G280" s="89" t="s">
        <v>1913</v>
      </c>
      <c r="H280" s="91">
        <v>1754</v>
      </c>
      <c r="I280" s="89" t="s">
        <v>5212</v>
      </c>
      <c r="J280" s="92" t="s">
        <v>5190</v>
      </c>
      <c r="K280" s="92"/>
      <c r="L280" s="92" t="s">
        <v>5213</v>
      </c>
      <c r="M280" s="92" t="s">
        <v>5214</v>
      </c>
      <c r="N280" s="93">
        <v>1754</v>
      </c>
      <c r="O280" s="94">
        <v>50</v>
      </c>
      <c r="P280" s="94">
        <v>14</v>
      </c>
      <c r="Q280" s="92" t="s">
        <v>3957</v>
      </c>
      <c r="R280" s="92" t="s">
        <v>5215</v>
      </c>
      <c r="S280" s="91">
        <v>17807</v>
      </c>
      <c r="T280" s="89" t="s">
        <v>643</v>
      </c>
    </row>
    <row r="281" spans="1:20" ht="30" customHeight="1" x14ac:dyDescent="0.35">
      <c r="A281" s="88">
        <v>175422</v>
      </c>
      <c r="B281" s="89" t="s">
        <v>5216</v>
      </c>
      <c r="C281" s="89" t="s">
        <v>5217</v>
      </c>
      <c r="D281" s="90" t="s">
        <v>3978</v>
      </c>
      <c r="E281" s="89" t="s">
        <v>1915</v>
      </c>
      <c r="F281" s="89"/>
      <c r="G281" s="89" t="s">
        <v>1916</v>
      </c>
      <c r="H281" s="91">
        <v>1754</v>
      </c>
      <c r="I281" s="89" t="s">
        <v>5212</v>
      </c>
      <c r="J281" s="92" t="s">
        <v>5190</v>
      </c>
      <c r="K281" s="92"/>
      <c r="L281" s="92" t="s">
        <v>5213</v>
      </c>
      <c r="M281" s="92" t="s">
        <v>5214</v>
      </c>
      <c r="N281" s="93">
        <v>1754</v>
      </c>
      <c r="O281" s="94">
        <v>50</v>
      </c>
      <c r="P281" s="94">
        <v>14</v>
      </c>
      <c r="Q281" s="92" t="s">
        <v>3957</v>
      </c>
      <c r="R281" s="92" t="s">
        <v>5218</v>
      </c>
      <c r="S281" s="91">
        <v>17808</v>
      </c>
      <c r="T281" s="89" t="s">
        <v>643</v>
      </c>
    </row>
    <row r="282" spans="1:20" ht="30" customHeight="1" x14ac:dyDescent="0.35">
      <c r="A282" s="88">
        <v>175521</v>
      </c>
      <c r="B282" s="89" t="s">
        <v>5219</v>
      </c>
      <c r="C282" s="89" t="s">
        <v>5220</v>
      </c>
      <c r="D282" s="90" t="s">
        <v>3978</v>
      </c>
      <c r="E282" s="89" t="s">
        <v>1918</v>
      </c>
      <c r="F282" s="89" t="s">
        <v>5221</v>
      </c>
      <c r="G282" s="89" t="s">
        <v>1919</v>
      </c>
      <c r="H282" s="91">
        <v>1755</v>
      </c>
      <c r="I282" s="89" t="s">
        <v>5222</v>
      </c>
      <c r="J282" s="92" t="s">
        <v>5190</v>
      </c>
      <c r="K282" s="92"/>
      <c r="L282" s="92" t="s">
        <v>5223</v>
      </c>
      <c r="M282" s="92" t="s">
        <v>5224</v>
      </c>
      <c r="N282" s="93">
        <v>1755</v>
      </c>
      <c r="O282" s="94">
        <v>70</v>
      </c>
      <c r="P282" s="94">
        <v>23</v>
      </c>
      <c r="Q282" s="92" t="s">
        <v>3957</v>
      </c>
      <c r="R282" s="92" t="s">
        <v>5225</v>
      </c>
      <c r="S282" s="91">
        <v>17810</v>
      </c>
      <c r="T282" s="91">
        <v>17550</v>
      </c>
    </row>
    <row r="283" spans="1:20" ht="30" customHeight="1" x14ac:dyDescent="0.35">
      <c r="A283" s="88">
        <v>175621</v>
      </c>
      <c r="B283" s="89" t="s">
        <v>5226</v>
      </c>
      <c r="C283" s="89" t="s">
        <v>5227</v>
      </c>
      <c r="D283" s="90" t="s">
        <v>3978</v>
      </c>
      <c r="E283" s="89" t="s">
        <v>1921</v>
      </c>
      <c r="F283" s="89"/>
      <c r="G283" s="89" t="s">
        <v>1922</v>
      </c>
      <c r="H283" s="91">
        <v>1756</v>
      </c>
      <c r="I283" s="89" t="s">
        <v>5228</v>
      </c>
      <c r="J283" s="92" t="s">
        <v>5190</v>
      </c>
      <c r="K283" s="92"/>
      <c r="L283" s="92" t="s">
        <v>5229</v>
      </c>
      <c r="M283" s="92" t="s">
        <v>5230</v>
      </c>
      <c r="N283" s="93">
        <v>1756</v>
      </c>
      <c r="O283" s="94">
        <v>15</v>
      </c>
      <c r="P283" s="94">
        <v>5</v>
      </c>
      <c r="Q283" s="92" t="s">
        <v>3957</v>
      </c>
      <c r="R283" s="92" t="s">
        <v>5231</v>
      </c>
      <c r="S283" s="89" t="s">
        <v>5232</v>
      </c>
      <c r="T283" s="91">
        <v>17560</v>
      </c>
    </row>
    <row r="284" spans="1:20" ht="30" customHeight="1" x14ac:dyDescent="0.35">
      <c r="A284" s="88">
        <v>175622</v>
      </c>
      <c r="B284" s="89" t="s">
        <v>5233</v>
      </c>
      <c r="C284" s="89" t="s">
        <v>5234</v>
      </c>
      <c r="D284" s="90" t="s">
        <v>3978</v>
      </c>
      <c r="E284" s="89" t="s">
        <v>1924</v>
      </c>
      <c r="F284" s="89"/>
      <c r="G284" s="89" t="s">
        <v>1925</v>
      </c>
      <c r="H284" s="91">
        <v>1756</v>
      </c>
      <c r="I284" s="89" t="s">
        <v>5228</v>
      </c>
      <c r="J284" s="92" t="s">
        <v>5190</v>
      </c>
      <c r="K284" s="92"/>
      <c r="L284" s="92" t="s">
        <v>5229</v>
      </c>
      <c r="M284" s="92" t="s">
        <v>5230</v>
      </c>
      <c r="N284" s="93">
        <v>1756</v>
      </c>
      <c r="O284" s="94">
        <v>15</v>
      </c>
      <c r="P284" s="94">
        <v>5</v>
      </c>
      <c r="Q284" s="92" t="s">
        <v>3957</v>
      </c>
      <c r="R284" s="92" t="s">
        <v>5235</v>
      </c>
      <c r="S284" s="91">
        <v>17812</v>
      </c>
      <c r="T284" s="91">
        <v>17561</v>
      </c>
    </row>
    <row r="285" spans="1:20" ht="30" customHeight="1" x14ac:dyDescent="0.35">
      <c r="A285" s="88">
        <v>175721</v>
      </c>
      <c r="B285" s="89" t="s">
        <v>5236</v>
      </c>
      <c r="C285" s="89" t="s">
        <v>5237</v>
      </c>
      <c r="D285" s="90" t="s">
        <v>3978</v>
      </c>
      <c r="E285" s="89" t="s">
        <v>1927</v>
      </c>
      <c r="F285" s="89"/>
      <c r="G285" s="89" t="s">
        <v>1928</v>
      </c>
      <c r="H285" s="91">
        <v>1757</v>
      </c>
      <c r="I285" s="89" t="s">
        <v>5238</v>
      </c>
      <c r="J285" s="92" t="s">
        <v>5190</v>
      </c>
      <c r="K285" s="92"/>
      <c r="L285" s="92" t="s">
        <v>5239</v>
      </c>
      <c r="M285" s="92" t="s">
        <v>5240</v>
      </c>
      <c r="N285" s="93">
        <v>1757</v>
      </c>
      <c r="O285" s="94">
        <v>50</v>
      </c>
      <c r="P285" s="94">
        <v>13</v>
      </c>
      <c r="Q285" s="92" t="s">
        <v>3957</v>
      </c>
      <c r="R285" s="92" t="s">
        <v>5241</v>
      </c>
      <c r="S285" s="91">
        <v>17821</v>
      </c>
      <c r="T285" s="89" t="s">
        <v>5242</v>
      </c>
    </row>
    <row r="286" spans="1:20" ht="30" customHeight="1" x14ac:dyDescent="0.35">
      <c r="A286" s="88">
        <v>175821</v>
      </c>
      <c r="B286" s="89" t="s">
        <v>5243</v>
      </c>
      <c r="C286" s="89" t="s">
        <v>5244</v>
      </c>
      <c r="D286" s="90" t="s">
        <v>3978</v>
      </c>
      <c r="E286" s="89" t="s">
        <v>1930</v>
      </c>
      <c r="F286" s="89"/>
      <c r="G286" s="89" t="s">
        <v>1931</v>
      </c>
      <c r="H286" s="91">
        <v>1758</v>
      </c>
      <c r="I286" s="89" t="s">
        <v>5245</v>
      </c>
      <c r="J286" s="92" t="s">
        <v>5190</v>
      </c>
      <c r="K286" s="92"/>
      <c r="L286" s="92" t="s">
        <v>5246</v>
      </c>
      <c r="M286" s="92" t="s">
        <v>5247</v>
      </c>
      <c r="N286" s="93">
        <v>1758</v>
      </c>
      <c r="O286" s="94">
        <v>11</v>
      </c>
      <c r="P286" s="94">
        <v>5</v>
      </c>
      <c r="Q286" s="92" t="s">
        <v>3957</v>
      </c>
      <c r="R286" s="92" t="s">
        <v>5248</v>
      </c>
      <c r="S286" s="91">
        <v>17832</v>
      </c>
      <c r="T286" s="91">
        <v>17581</v>
      </c>
    </row>
    <row r="287" spans="1:20" ht="30" customHeight="1" x14ac:dyDescent="0.35">
      <c r="A287" s="88">
        <v>176221</v>
      </c>
      <c r="B287" s="89" t="s">
        <v>5249</v>
      </c>
      <c r="C287" s="89" t="s">
        <v>5250</v>
      </c>
      <c r="D287" s="90" t="s">
        <v>3978</v>
      </c>
      <c r="E287" s="89" t="s">
        <v>1933</v>
      </c>
      <c r="F287" s="89" t="s">
        <v>5251</v>
      </c>
      <c r="G287" s="89" t="s">
        <v>1934</v>
      </c>
      <c r="H287" s="91">
        <v>1762</v>
      </c>
      <c r="I287" s="89" t="s">
        <v>5252</v>
      </c>
      <c r="J287" s="92" t="s">
        <v>5253</v>
      </c>
      <c r="K287" s="92"/>
      <c r="L287" s="92" t="s">
        <v>5254</v>
      </c>
      <c r="M287" s="92" t="s">
        <v>5255</v>
      </c>
      <c r="N287" s="93">
        <v>1762</v>
      </c>
      <c r="O287" s="94">
        <v>8</v>
      </c>
      <c r="P287" s="94">
        <v>2</v>
      </c>
      <c r="Q287" s="92" t="s">
        <v>3957</v>
      </c>
      <c r="R287" s="92" t="s">
        <v>5256</v>
      </c>
      <c r="S287" s="91">
        <v>17834</v>
      </c>
      <c r="T287" s="91">
        <v>17620</v>
      </c>
    </row>
    <row r="288" spans="1:20" ht="30" customHeight="1" x14ac:dyDescent="0.35">
      <c r="A288" s="88">
        <v>176321</v>
      </c>
      <c r="B288" s="89" t="s">
        <v>5257</v>
      </c>
      <c r="C288" s="89" t="s">
        <v>5258</v>
      </c>
      <c r="D288" s="90" t="s">
        <v>3978</v>
      </c>
      <c r="E288" s="89" t="s">
        <v>1936</v>
      </c>
      <c r="F288" s="89"/>
      <c r="G288" s="89" t="s">
        <v>1937</v>
      </c>
      <c r="H288" s="91">
        <v>1763</v>
      </c>
      <c r="I288" s="89" t="s">
        <v>5259</v>
      </c>
      <c r="J288" s="92" t="s">
        <v>5190</v>
      </c>
      <c r="K288" s="92"/>
      <c r="L288" s="92" t="s">
        <v>5260</v>
      </c>
      <c r="M288" s="92" t="s">
        <v>5261</v>
      </c>
      <c r="N288" s="93">
        <v>1763</v>
      </c>
      <c r="O288" s="94">
        <v>10</v>
      </c>
      <c r="P288" s="94">
        <v>3</v>
      </c>
      <c r="Q288" s="92" t="s">
        <v>3957</v>
      </c>
      <c r="R288" s="92" t="s">
        <v>5262</v>
      </c>
      <c r="S288" s="91">
        <v>17841</v>
      </c>
      <c r="T288" s="91">
        <v>17630</v>
      </c>
    </row>
    <row r="289" spans="1:20" ht="30" customHeight="1" x14ac:dyDescent="0.35">
      <c r="A289" s="88">
        <v>176322</v>
      </c>
      <c r="B289" s="89" t="s">
        <v>5263</v>
      </c>
      <c r="C289" s="89" t="s">
        <v>5264</v>
      </c>
      <c r="D289" s="90" t="s">
        <v>3978</v>
      </c>
      <c r="E289" s="89" t="s">
        <v>1939</v>
      </c>
      <c r="F289" s="89"/>
      <c r="G289" s="89" t="s">
        <v>1940</v>
      </c>
      <c r="H289" s="91">
        <v>1763</v>
      </c>
      <c r="I289" s="89" t="s">
        <v>5259</v>
      </c>
      <c r="J289" s="92" t="s">
        <v>5190</v>
      </c>
      <c r="K289" s="92"/>
      <c r="L289" s="92" t="s">
        <v>5260</v>
      </c>
      <c r="M289" s="92" t="s">
        <v>5261</v>
      </c>
      <c r="N289" s="93">
        <v>1763</v>
      </c>
      <c r="O289" s="94">
        <v>10</v>
      </c>
      <c r="P289" s="94">
        <v>3</v>
      </c>
      <c r="Q289" s="92" t="s">
        <v>3957</v>
      </c>
      <c r="R289" s="92" t="s">
        <v>5265</v>
      </c>
      <c r="S289" s="91">
        <v>17842</v>
      </c>
      <c r="T289" s="91">
        <v>17631</v>
      </c>
    </row>
    <row r="290" spans="1:20" ht="30" customHeight="1" x14ac:dyDescent="0.35">
      <c r="A290" s="88">
        <v>176521</v>
      </c>
      <c r="B290" s="89" t="s">
        <v>5266</v>
      </c>
      <c r="C290" s="89" t="s">
        <v>5267</v>
      </c>
      <c r="D290" s="90" t="s">
        <v>3978</v>
      </c>
      <c r="E290" s="89" t="s">
        <v>1942</v>
      </c>
      <c r="F290" s="89"/>
      <c r="G290" s="89" t="s">
        <v>1943</v>
      </c>
      <c r="H290" s="91">
        <v>1765</v>
      </c>
      <c r="I290" s="89" t="s">
        <v>5268</v>
      </c>
      <c r="J290" s="92" t="s">
        <v>4058</v>
      </c>
      <c r="K290" s="92"/>
      <c r="L290" s="92" t="s">
        <v>5269</v>
      </c>
      <c r="M290" s="92" t="s">
        <v>5270</v>
      </c>
      <c r="N290" s="93">
        <v>1765</v>
      </c>
      <c r="O290" s="94">
        <v>1</v>
      </c>
      <c r="P290" s="94">
        <v>1</v>
      </c>
      <c r="Q290" s="92" t="s">
        <v>3957</v>
      </c>
      <c r="R290" s="92" t="s">
        <v>5271</v>
      </c>
      <c r="S290" s="91">
        <v>17855</v>
      </c>
      <c r="T290" s="91">
        <v>17650</v>
      </c>
    </row>
    <row r="291" spans="1:20" ht="30" customHeight="1" x14ac:dyDescent="0.35">
      <c r="A291" s="88">
        <v>176621</v>
      </c>
      <c r="B291" s="89" t="s">
        <v>5272</v>
      </c>
      <c r="C291" s="89" t="s">
        <v>5273</v>
      </c>
      <c r="D291" s="90" t="s">
        <v>3978</v>
      </c>
      <c r="E291" s="89" t="s">
        <v>1945</v>
      </c>
      <c r="F291" s="89"/>
      <c r="G291" s="89" t="s">
        <v>1946</v>
      </c>
      <c r="H291" s="91">
        <v>1766</v>
      </c>
      <c r="I291" s="89" t="s">
        <v>5274</v>
      </c>
      <c r="J291" s="92" t="s">
        <v>4058</v>
      </c>
      <c r="K291" s="92"/>
      <c r="L291" s="92" t="s">
        <v>5275</v>
      </c>
      <c r="M291" s="92" t="s">
        <v>5276</v>
      </c>
      <c r="N291" s="93">
        <v>1766</v>
      </c>
      <c r="O291" s="94">
        <v>1</v>
      </c>
      <c r="P291" s="94">
        <v>1</v>
      </c>
      <c r="Q291" s="92" t="s">
        <v>3957</v>
      </c>
      <c r="R291" s="92" t="s">
        <v>5277</v>
      </c>
      <c r="S291" s="91">
        <v>17863</v>
      </c>
      <c r="T291" s="91">
        <v>17660</v>
      </c>
    </row>
    <row r="292" spans="1:20" ht="250" customHeight="1" x14ac:dyDescent="0.35">
      <c r="A292" s="88">
        <v>176721</v>
      </c>
      <c r="B292" s="89" t="s">
        <v>5278</v>
      </c>
      <c r="C292" s="89" t="s">
        <v>5278</v>
      </c>
      <c r="D292" s="90" t="s">
        <v>3978</v>
      </c>
      <c r="E292" s="89" t="s">
        <v>1948</v>
      </c>
      <c r="F292" s="89"/>
      <c r="G292" s="89" t="s">
        <v>1949</v>
      </c>
      <c r="H292" s="91">
        <v>1767</v>
      </c>
      <c r="I292" s="89" t="s">
        <v>5279</v>
      </c>
      <c r="J292" s="92" t="s">
        <v>4058</v>
      </c>
      <c r="K292" s="92"/>
      <c r="L292" s="92" t="s">
        <v>4455</v>
      </c>
      <c r="M292" s="92" t="s">
        <v>4455</v>
      </c>
      <c r="N292" s="93">
        <v>1767</v>
      </c>
      <c r="O292" s="94">
        <v>1</v>
      </c>
      <c r="P292" s="94">
        <v>1</v>
      </c>
      <c r="Q292" s="92" t="s">
        <v>3957</v>
      </c>
      <c r="R292" s="92" t="s">
        <v>5280</v>
      </c>
      <c r="S292" s="91">
        <v>17852</v>
      </c>
      <c r="T292" s="91">
        <v>17670</v>
      </c>
    </row>
    <row r="293" spans="1:20" ht="30" customHeight="1" x14ac:dyDescent="0.35">
      <c r="A293" s="88">
        <v>176722</v>
      </c>
      <c r="B293" s="89" t="s">
        <v>5281</v>
      </c>
      <c r="C293" s="89" t="s">
        <v>5282</v>
      </c>
      <c r="D293" s="90" t="s">
        <v>3978</v>
      </c>
      <c r="E293" s="89" t="s">
        <v>1951</v>
      </c>
      <c r="F293" s="89"/>
      <c r="G293" s="89" t="s">
        <v>1952</v>
      </c>
      <c r="H293" s="91">
        <v>1767</v>
      </c>
      <c r="I293" s="89" t="s">
        <v>5279</v>
      </c>
      <c r="J293" s="92" t="s">
        <v>4058</v>
      </c>
      <c r="K293" s="92"/>
      <c r="L293" s="92" t="s">
        <v>4455</v>
      </c>
      <c r="M293" s="92" t="s">
        <v>4455</v>
      </c>
      <c r="N293" s="93">
        <v>1767</v>
      </c>
      <c r="O293" s="94">
        <v>1</v>
      </c>
      <c r="P293" s="94">
        <v>1</v>
      </c>
      <c r="Q293" s="92" t="s">
        <v>3957</v>
      </c>
      <c r="R293" s="92" t="s">
        <v>5283</v>
      </c>
      <c r="S293" s="91">
        <v>17856</v>
      </c>
      <c r="T293" s="91">
        <v>17671</v>
      </c>
    </row>
    <row r="294" spans="1:20" ht="30" customHeight="1" x14ac:dyDescent="0.35">
      <c r="A294" s="88">
        <v>176821</v>
      </c>
      <c r="B294" s="89" t="s">
        <v>5284</v>
      </c>
      <c r="C294" s="89" t="s">
        <v>5285</v>
      </c>
      <c r="D294" s="90" t="s">
        <v>3978</v>
      </c>
      <c r="E294" s="89" t="s">
        <v>1954</v>
      </c>
      <c r="F294" s="89"/>
      <c r="G294" s="89" t="s">
        <v>1955</v>
      </c>
      <c r="H294" s="91">
        <v>1768</v>
      </c>
      <c r="I294" s="89" t="s">
        <v>5286</v>
      </c>
      <c r="J294" s="92" t="s">
        <v>4058</v>
      </c>
      <c r="K294" s="92"/>
      <c r="L294" s="92" t="s">
        <v>5287</v>
      </c>
      <c r="M294" s="92" t="s">
        <v>5288</v>
      </c>
      <c r="N294" s="93">
        <v>1768</v>
      </c>
      <c r="O294" s="94">
        <v>1</v>
      </c>
      <c r="P294" s="94">
        <v>1</v>
      </c>
      <c r="Q294" s="92" t="s">
        <v>3957</v>
      </c>
      <c r="R294" s="92" t="s">
        <v>5289</v>
      </c>
      <c r="S294" s="91">
        <v>17851</v>
      </c>
      <c r="T294" s="91">
        <v>17680</v>
      </c>
    </row>
    <row r="295" spans="1:20" ht="30" customHeight="1" x14ac:dyDescent="0.35">
      <c r="A295" s="88">
        <v>177121</v>
      </c>
      <c r="B295" s="89" t="s">
        <v>5290</v>
      </c>
      <c r="C295" s="89" t="s">
        <v>5291</v>
      </c>
      <c r="D295" s="90" t="s">
        <v>3978</v>
      </c>
      <c r="E295" s="89" t="s">
        <v>1957</v>
      </c>
      <c r="F295" s="89"/>
      <c r="G295" s="89" t="s">
        <v>1958</v>
      </c>
      <c r="H295" s="91">
        <v>1771</v>
      </c>
      <c r="I295" s="89" t="s">
        <v>5292</v>
      </c>
      <c r="J295" s="92" t="s">
        <v>5253</v>
      </c>
      <c r="K295" s="92"/>
      <c r="L295" s="92" t="s">
        <v>5293</v>
      </c>
      <c r="M295" s="92" t="s">
        <v>5294</v>
      </c>
      <c r="N295" s="93">
        <v>1771</v>
      </c>
      <c r="O295" s="94">
        <v>6</v>
      </c>
      <c r="P295" s="94">
        <v>2</v>
      </c>
      <c r="Q295" s="92" t="s">
        <v>3957</v>
      </c>
      <c r="R295" s="92" t="s">
        <v>5295</v>
      </c>
      <c r="S295" s="91">
        <v>17859</v>
      </c>
      <c r="T295" s="91">
        <v>17710</v>
      </c>
    </row>
    <row r="296" spans="1:20" ht="30" customHeight="1" x14ac:dyDescent="0.35">
      <c r="A296" s="88">
        <v>177122</v>
      </c>
      <c r="B296" s="89" t="s">
        <v>5296</v>
      </c>
      <c r="C296" s="89" t="s">
        <v>5297</v>
      </c>
      <c r="D296" s="90" t="s">
        <v>3978</v>
      </c>
      <c r="E296" s="89" t="s">
        <v>1960</v>
      </c>
      <c r="F296" s="89"/>
      <c r="G296" s="89" t="s">
        <v>1961</v>
      </c>
      <c r="H296" s="91">
        <v>1771</v>
      </c>
      <c r="I296" s="89" t="s">
        <v>5292</v>
      </c>
      <c r="J296" s="92" t="s">
        <v>5253</v>
      </c>
      <c r="K296" s="92"/>
      <c r="L296" s="92" t="s">
        <v>5293</v>
      </c>
      <c r="M296" s="92" t="s">
        <v>5294</v>
      </c>
      <c r="N296" s="93">
        <v>1771</v>
      </c>
      <c r="O296" s="94">
        <v>6</v>
      </c>
      <c r="P296" s="94">
        <v>2</v>
      </c>
      <c r="Q296" s="92" t="s">
        <v>3957</v>
      </c>
      <c r="R296" s="92" t="s">
        <v>5298</v>
      </c>
      <c r="S296" s="91">
        <v>17865</v>
      </c>
      <c r="T296" s="91">
        <v>17711</v>
      </c>
    </row>
    <row r="297" spans="1:20" ht="30" customHeight="1" x14ac:dyDescent="0.35">
      <c r="A297" s="88">
        <v>177223</v>
      </c>
      <c r="B297" s="89" t="s">
        <v>5299</v>
      </c>
      <c r="C297" s="89" t="s">
        <v>5300</v>
      </c>
      <c r="D297" s="90" t="s">
        <v>3978</v>
      </c>
      <c r="E297" s="89" t="s">
        <v>1963</v>
      </c>
      <c r="F297" s="89"/>
      <c r="G297" s="89" t="s">
        <v>1964</v>
      </c>
      <c r="H297" s="91">
        <v>1772</v>
      </c>
      <c r="I297" s="89" t="s">
        <v>5301</v>
      </c>
      <c r="J297" s="92" t="s">
        <v>4058</v>
      </c>
      <c r="K297" s="92"/>
      <c r="L297" s="92" t="s">
        <v>5302</v>
      </c>
      <c r="M297" s="92" t="s">
        <v>5303</v>
      </c>
      <c r="N297" s="93">
        <v>1772</v>
      </c>
      <c r="O297" s="94">
        <v>1</v>
      </c>
      <c r="P297" s="94">
        <v>1</v>
      </c>
      <c r="Q297" s="92" t="s">
        <v>3957</v>
      </c>
      <c r="R297" s="92" t="s">
        <v>5304</v>
      </c>
      <c r="S297" s="91">
        <v>17858</v>
      </c>
      <c r="T297" s="89" t="s">
        <v>5305</v>
      </c>
    </row>
    <row r="298" spans="1:20" ht="30" customHeight="1" x14ac:dyDescent="0.35">
      <c r="A298" s="88">
        <v>177421</v>
      </c>
      <c r="B298" s="89" t="s">
        <v>5306</v>
      </c>
      <c r="C298" s="89" t="s">
        <v>5307</v>
      </c>
      <c r="D298" s="90" t="s">
        <v>3978</v>
      </c>
      <c r="E298" s="89" t="s">
        <v>1966</v>
      </c>
      <c r="F298" s="89" t="s">
        <v>5308</v>
      </c>
      <c r="G298" s="89" t="s">
        <v>1967</v>
      </c>
      <c r="H298" s="91">
        <v>1774</v>
      </c>
      <c r="I298" s="89" t="s">
        <v>1965</v>
      </c>
      <c r="J298" s="92" t="s">
        <v>4058</v>
      </c>
      <c r="K298" s="92"/>
      <c r="L298" s="92" t="s">
        <v>5309</v>
      </c>
      <c r="M298" s="92" t="s">
        <v>5310</v>
      </c>
      <c r="N298" s="93">
        <v>1774</v>
      </c>
      <c r="O298" s="94">
        <v>1</v>
      </c>
      <c r="P298" s="94">
        <v>1</v>
      </c>
      <c r="Q298" s="92" t="s">
        <v>3957</v>
      </c>
      <c r="R298" s="92" t="s">
        <v>5311</v>
      </c>
      <c r="S298" s="91">
        <v>17893</v>
      </c>
      <c r="T298" s="91">
        <v>17740</v>
      </c>
    </row>
    <row r="299" spans="1:20" ht="30" customHeight="1" x14ac:dyDescent="0.35">
      <c r="A299" s="88">
        <v>177521</v>
      </c>
      <c r="B299" s="89" t="s">
        <v>5312</v>
      </c>
      <c r="C299" s="89" t="s">
        <v>5313</v>
      </c>
      <c r="D299" s="90" t="s">
        <v>3978</v>
      </c>
      <c r="E299" s="89" t="s">
        <v>1969</v>
      </c>
      <c r="F299" s="89" t="s">
        <v>5314</v>
      </c>
      <c r="G299" s="89" t="s">
        <v>1970</v>
      </c>
      <c r="H299" s="91">
        <v>1775</v>
      </c>
      <c r="I299" s="89" t="s">
        <v>5315</v>
      </c>
      <c r="J299" s="92" t="s">
        <v>4058</v>
      </c>
      <c r="K299" s="92"/>
      <c r="L299" s="92" t="s">
        <v>5316</v>
      </c>
      <c r="M299" s="92" t="s">
        <v>5317</v>
      </c>
      <c r="N299" s="93">
        <v>1775</v>
      </c>
      <c r="O299" s="94">
        <v>1</v>
      </c>
      <c r="P299" s="94">
        <v>1</v>
      </c>
      <c r="Q299" s="92" t="s">
        <v>3957</v>
      </c>
      <c r="R299" s="92" t="s">
        <v>5318</v>
      </c>
      <c r="S299" s="91">
        <v>17894</v>
      </c>
      <c r="T299" s="91">
        <v>17750</v>
      </c>
    </row>
    <row r="300" spans="1:20" ht="30" customHeight="1" x14ac:dyDescent="0.35">
      <c r="A300" s="88">
        <v>177621</v>
      </c>
      <c r="B300" s="89" t="s">
        <v>5319</v>
      </c>
      <c r="C300" s="89" t="s">
        <v>5320</v>
      </c>
      <c r="D300" s="90" t="s">
        <v>3978</v>
      </c>
      <c r="E300" s="89" t="s">
        <v>1972</v>
      </c>
      <c r="F300" s="89" t="s">
        <v>5314</v>
      </c>
      <c r="G300" s="89" t="s">
        <v>1973</v>
      </c>
      <c r="H300" s="91">
        <v>1776</v>
      </c>
      <c r="I300" s="89" t="s">
        <v>5321</v>
      </c>
      <c r="J300" s="92" t="s">
        <v>4058</v>
      </c>
      <c r="K300" s="92"/>
      <c r="L300" s="92" t="s">
        <v>5322</v>
      </c>
      <c r="M300" s="92" t="s">
        <v>5323</v>
      </c>
      <c r="N300" s="93">
        <v>1776</v>
      </c>
      <c r="O300" s="94">
        <v>1</v>
      </c>
      <c r="P300" s="94">
        <v>1</v>
      </c>
      <c r="Q300" s="92" t="s">
        <v>3957</v>
      </c>
      <c r="R300" s="92" t="s">
        <v>5324</v>
      </c>
      <c r="S300" s="91">
        <v>17878</v>
      </c>
      <c r="T300" s="91">
        <v>17760</v>
      </c>
    </row>
    <row r="301" spans="1:20" ht="30" customHeight="1" x14ac:dyDescent="0.35">
      <c r="A301" s="88">
        <v>177622</v>
      </c>
      <c r="B301" s="89" t="s">
        <v>5325</v>
      </c>
      <c r="C301" s="89" t="s">
        <v>5326</v>
      </c>
      <c r="D301" s="90" t="s">
        <v>3978</v>
      </c>
      <c r="E301" s="89" t="s">
        <v>1975</v>
      </c>
      <c r="F301" s="89" t="s">
        <v>5327</v>
      </c>
      <c r="G301" s="89" t="s">
        <v>1976</v>
      </c>
      <c r="H301" s="91">
        <v>1776</v>
      </c>
      <c r="I301" s="89" t="s">
        <v>5321</v>
      </c>
      <c r="J301" s="92" t="s">
        <v>4058</v>
      </c>
      <c r="K301" s="92"/>
      <c r="L301" s="92" t="s">
        <v>5322</v>
      </c>
      <c r="M301" s="92" t="s">
        <v>5323</v>
      </c>
      <c r="N301" s="93">
        <v>1776</v>
      </c>
      <c r="O301" s="94">
        <v>1</v>
      </c>
      <c r="P301" s="94">
        <v>1</v>
      </c>
      <c r="Q301" s="92" t="s">
        <v>3957</v>
      </c>
      <c r="R301" s="92" t="s">
        <v>5328</v>
      </c>
      <c r="S301" s="91">
        <v>17879</v>
      </c>
      <c r="T301" s="91">
        <v>17760</v>
      </c>
    </row>
    <row r="302" spans="1:20" ht="30" customHeight="1" x14ac:dyDescent="0.35">
      <c r="A302" s="88">
        <v>177710</v>
      </c>
      <c r="B302" s="89" t="s">
        <v>5329</v>
      </c>
      <c r="C302" s="89" t="s">
        <v>5330</v>
      </c>
      <c r="D302" s="90" t="s">
        <v>3978</v>
      </c>
      <c r="E302" s="89" t="s">
        <v>5331</v>
      </c>
      <c r="F302" s="89"/>
      <c r="G302" s="89" t="s">
        <v>1979</v>
      </c>
      <c r="H302" s="91">
        <v>1777</v>
      </c>
      <c r="I302" s="89" t="s">
        <v>5332</v>
      </c>
      <c r="J302" s="92" t="s">
        <v>5190</v>
      </c>
      <c r="K302" s="92"/>
      <c r="L302" s="92" t="s">
        <v>5333</v>
      </c>
      <c r="M302" s="92" t="s">
        <v>5334</v>
      </c>
      <c r="N302" s="93">
        <v>1777</v>
      </c>
      <c r="O302" s="94">
        <v>10</v>
      </c>
      <c r="P302" s="94">
        <v>5</v>
      </c>
      <c r="Q302" s="92" t="s">
        <v>3957</v>
      </c>
      <c r="R302" s="92" t="s">
        <v>5335</v>
      </c>
      <c r="S302" s="91">
        <v>17771</v>
      </c>
      <c r="T302" s="89" t="s">
        <v>643</v>
      </c>
    </row>
    <row r="303" spans="1:20" ht="30" customHeight="1" x14ac:dyDescent="0.35">
      <c r="A303" s="88">
        <v>178121</v>
      </c>
      <c r="B303" s="89" t="s">
        <v>5336</v>
      </c>
      <c r="C303" s="89" t="s">
        <v>5337</v>
      </c>
      <c r="D303" s="90" t="s">
        <v>3978</v>
      </c>
      <c r="E303" s="89" t="s">
        <v>5338</v>
      </c>
      <c r="F303" s="89" t="s">
        <v>5339</v>
      </c>
      <c r="G303" s="89" t="s">
        <v>1982</v>
      </c>
      <c r="H303" s="91">
        <v>1781</v>
      </c>
      <c r="I303" s="89" t="s">
        <v>5340</v>
      </c>
      <c r="J303" s="92" t="s">
        <v>5190</v>
      </c>
      <c r="K303" s="92"/>
      <c r="L303" s="92" t="s">
        <v>5341</v>
      </c>
      <c r="M303" s="92" t="s">
        <v>5342</v>
      </c>
      <c r="N303" s="93">
        <v>1781</v>
      </c>
      <c r="O303" s="94">
        <v>12</v>
      </c>
      <c r="P303" s="94">
        <v>4</v>
      </c>
      <c r="Q303" s="92" t="s">
        <v>3957</v>
      </c>
      <c r="R303" s="92" t="s">
        <v>5343</v>
      </c>
      <c r="S303" s="91">
        <v>17883</v>
      </c>
      <c r="T303" s="91">
        <v>17810</v>
      </c>
    </row>
    <row r="304" spans="1:20" ht="30" customHeight="1" x14ac:dyDescent="0.35">
      <c r="A304" s="88">
        <v>178299</v>
      </c>
      <c r="B304" s="89" t="s">
        <v>5344</v>
      </c>
      <c r="C304" s="89" t="s">
        <v>5345</v>
      </c>
      <c r="D304" s="90" t="s">
        <v>3978</v>
      </c>
      <c r="E304" s="89" t="s">
        <v>1984</v>
      </c>
      <c r="F304" s="89"/>
      <c r="G304" s="89" t="s">
        <v>1985</v>
      </c>
      <c r="H304" s="91">
        <v>1782</v>
      </c>
      <c r="I304" s="89" t="s">
        <v>1983</v>
      </c>
      <c r="J304" s="92" t="s">
        <v>5190</v>
      </c>
      <c r="K304" s="92"/>
      <c r="L304" s="92" t="s">
        <v>5346</v>
      </c>
      <c r="M304" s="92" t="s">
        <v>5347</v>
      </c>
      <c r="N304" s="93">
        <v>1782</v>
      </c>
      <c r="O304" s="94">
        <v>5</v>
      </c>
      <c r="P304" s="94">
        <v>1</v>
      </c>
      <c r="Q304" s="92" t="s">
        <v>3957</v>
      </c>
      <c r="R304" s="92" t="s">
        <v>5348</v>
      </c>
      <c r="S304" s="89" t="s">
        <v>5349</v>
      </c>
      <c r="T304" s="89" t="s">
        <v>5350</v>
      </c>
    </row>
    <row r="305" spans="1:20" ht="30" customHeight="1" x14ac:dyDescent="0.35">
      <c r="A305" s="88">
        <v>178322</v>
      </c>
      <c r="B305" s="89" t="s">
        <v>5351</v>
      </c>
      <c r="C305" s="89" t="s">
        <v>5352</v>
      </c>
      <c r="D305" s="90" t="s">
        <v>3978</v>
      </c>
      <c r="E305" s="89" t="s">
        <v>1987</v>
      </c>
      <c r="F305" s="89"/>
      <c r="G305" s="89" t="s">
        <v>1988</v>
      </c>
      <c r="H305" s="91">
        <v>1783</v>
      </c>
      <c r="I305" s="89" t="s">
        <v>5353</v>
      </c>
      <c r="J305" s="92" t="s">
        <v>4058</v>
      </c>
      <c r="K305" s="92"/>
      <c r="L305" s="92" t="s">
        <v>5354</v>
      </c>
      <c r="M305" s="92" t="s">
        <v>5355</v>
      </c>
      <c r="N305" s="93">
        <v>1783</v>
      </c>
      <c r="O305" s="94">
        <v>16</v>
      </c>
      <c r="P305" s="94">
        <v>3</v>
      </c>
      <c r="Q305" s="92" t="s">
        <v>3957</v>
      </c>
      <c r="R305" s="92" t="s">
        <v>5356</v>
      </c>
      <c r="S305" s="91">
        <v>17885</v>
      </c>
      <c r="T305" s="91">
        <v>17830</v>
      </c>
    </row>
    <row r="306" spans="1:20" ht="30" customHeight="1" x14ac:dyDescent="0.35">
      <c r="A306" s="88">
        <v>178960</v>
      </c>
      <c r="B306" s="89" t="s">
        <v>5357</v>
      </c>
      <c r="C306" s="89" t="s">
        <v>5358</v>
      </c>
      <c r="D306" s="90" t="s">
        <v>3978</v>
      </c>
      <c r="E306" s="89" t="s">
        <v>5359</v>
      </c>
      <c r="F306" s="89"/>
      <c r="G306" s="89" t="s">
        <v>909</v>
      </c>
      <c r="H306" s="91">
        <v>1775</v>
      </c>
      <c r="I306" s="89" t="s">
        <v>5315</v>
      </c>
      <c r="J306" s="92" t="s">
        <v>4058</v>
      </c>
      <c r="K306" s="92"/>
      <c r="L306" s="92" t="s">
        <v>5316</v>
      </c>
      <c r="M306" s="92" t="s">
        <v>5317</v>
      </c>
      <c r="N306" s="93">
        <v>1775</v>
      </c>
      <c r="O306" s="94">
        <v>1</v>
      </c>
      <c r="P306" s="94">
        <v>1</v>
      </c>
      <c r="Q306" s="92" t="s">
        <v>3957</v>
      </c>
      <c r="R306" s="92" t="s">
        <v>5360</v>
      </c>
      <c r="S306" s="89" t="s">
        <v>3982</v>
      </c>
      <c r="T306" s="89" t="s">
        <v>3982</v>
      </c>
    </row>
    <row r="307" spans="1:20" ht="30" customHeight="1" x14ac:dyDescent="0.35">
      <c r="A307" s="88">
        <v>179001</v>
      </c>
      <c r="B307" s="89" t="s">
        <v>5361</v>
      </c>
      <c r="C307" s="89" t="s">
        <v>5362</v>
      </c>
      <c r="D307" s="90" t="s">
        <v>3978</v>
      </c>
      <c r="E307" s="89" t="s">
        <v>1992</v>
      </c>
      <c r="F307" s="89"/>
      <c r="G307" s="89" t="s">
        <v>1993</v>
      </c>
      <c r="H307" s="91">
        <v>1736</v>
      </c>
      <c r="I307" s="89" t="s">
        <v>5363</v>
      </c>
      <c r="J307" s="92" t="s">
        <v>5157</v>
      </c>
      <c r="K307" s="92"/>
      <c r="L307" s="92" t="s">
        <v>5364</v>
      </c>
      <c r="M307" s="92" t="s">
        <v>5365</v>
      </c>
      <c r="N307" s="93">
        <v>1790</v>
      </c>
      <c r="O307" s="94">
        <v>250</v>
      </c>
      <c r="P307" s="94">
        <v>1</v>
      </c>
      <c r="Q307" s="92" t="s">
        <v>3957</v>
      </c>
      <c r="R307" s="92" t="s">
        <v>5366</v>
      </c>
      <c r="S307" s="89" t="s">
        <v>5367</v>
      </c>
      <c r="T307" s="89" t="s">
        <v>643</v>
      </c>
    </row>
    <row r="308" spans="1:20" ht="30" customHeight="1" x14ac:dyDescent="0.35">
      <c r="A308" s="88">
        <v>179019</v>
      </c>
      <c r="B308" s="89" t="s">
        <v>5368</v>
      </c>
      <c r="C308" s="89" t="s">
        <v>5369</v>
      </c>
      <c r="D308" s="90" t="s">
        <v>3978</v>
      </c>
      <c r="E308" s="89" t="s">
        <v>1995</v>
      </c>
      <c r="F308" s="89"/>
      <c r="G308" s="89" t="s">
        <v>1996</v>
      </c>
      <c r="H308" s="91">
        <v>1736</v>
      </c>
      <c r="I308" s="89" t="s">
        <v>5363</v>
      </c>
      <c r="J308" s="92" t="s">
        <v>5157</v>
      </c>
      <c r="K308" s="92"/>
      <c r="L308" s="92" t="s">
        <v>5364</v>
      </c>
      <c r="M308" s="92" t="s">
        <v>5365</v>
      </c>
      <c r="N308" s="93">
        <v>1790</v>
      </c>
      <c r="O308" s="94">
        <v>250</v>
      </c>
      <c r="P308" s="94">
        <v>1</v>
      </c>
      <c r="Q308" s="92" t="s">
        <v>3957</v>
      </c>
      <c r="R308" s="92" t="s">
        <v>5370</v>
      </c>
      <c r="S308" s="91">
        <v>17816</v>
      </c>
      <c r="T308" s="89" t="s">
        <v>643</v>
      </c>
    </row>
    <row r="309" spans="1:20" ht="30" customHeight="1" x14ac:dyDescent="0.35">
      <c r="A309" s="88">
        <v>179021</v>
      </c>
      <c r="B309" s="89" t="s">
        <v>5371</v>
      </c>
      <c r="C309" s="89" t="s">
        <v>5372</v>
      </c>
      <c r="D309" s="90" t="s">
        <v>3978</v>
      </c>
      <c r="E309" s="89" t="s">
        <v>1998</v>
      </c>
      <c r="F309" s="89"/>
      <c r="G309" s="89" t="s">
        <v>1999</v>
      </c>
      <c r="H309" s="91">
        <v>1736</v>
      </c>
      <c r="I309" s="89" t="s">
        <v>5363</v>
      </c>
      <c r="J309" s="92" t="s">
        <v>5157</v>
      </c>
      <c r="K309" s="92"/>
      <c r="L309" s="92" t="s">
        <v>5364</v>
      </c>
      <c r="M309" s="92" t="s">
        <v>5365</v>
      </c>
      <c r="N309" s="93">
        <v>1790</v>
      </c>
      <c r="O309" s="94">
        <v>250</v>
      </c>
      <c r="P309" s="94">
        <v>1</v>
      </c>
      <c r="Q309" s="92" t="s">
        <v>3957</v>
      </c>
      <c r="R309" s="92" t="s">
        <v>5373</v>
      </c>
      <c r="S309" s="91">
        <v>17952</v>
      </c>
      <c r="T309" s="89" t="s">
        <v>643</v>
      </c>
    </row>
    <row r="310" spans="1:20" ht="30" customHeight="1" x14ac:dyDescent="0.35">
      <c r="A310" s="88">
        <v>179022</v>
      </c>
      <c r="B310" s="89" t="s">
        <v>5374</v>
      </c>
      <c r="C310" s="89" t="s">
        <v>5375</v>
      </c>
      <c r="D310" s="90" t="s">
        <v>3978</v>
      </c>
      <c r="E310" s="89" t="s">
        <v>2001</v>
      </c>
      <c r="F310" s="89"/>
      <c r="G310" s="89" t="s">
        <v>2002</v>
      </c>
      <c r="H310" s="91">
        <v>1790</v>
      </c>
      <c r="I310" s="89" t="s">
        <v>5376</v>
      </c>
      <c r="J310" s="92" t="s">
        <v>5157</v>
      </c>
      <c r="K310" s="92"/>
      <c r="L310" s="92" t="s">
        <v>5377</v>
      </c>
      <c r="M310" s="92" t="s">
        <v>5365</v>
      </c>
      <c r="N310" s="93">
        <v>1790</v>
      </c>
      <c r="O310" s="94">
        <v>250</v>
      </c>
      <c r="P310" s="94">
        <v>1</v>
      </c>
      <c r="Q310" s="92" t="s">
        <v>3957</v>
      </c>
      <c r="R310" s="92" t="s">
        <v>5378</v>
      </c>
      <c r="S310" s="91">
        <v>17908</v>
      </c>
      <c r="T310" s="89" t="s">
        <v>643</v>
      </c>
    </row>
    <row r="311" spans="1:20" ht="30" customHeight="1" x14ac:dyDescent="0.35">
      <c r="A311" s="88">
        <v>179023</v>
      </c>
      <c r="B311" s="89" t="s">
        <v>5379</v>
      </c>
      <c r="C311" s="89" t="s">
        <v>5380</v>
      </c>
      <c r="D311" s="90" t="s">
        <v>3978</v>
      </c>
      <c r="E311" s="89" t="s">
        <v>2004</v>
      </c>
      <c r="F311" s="89" t="s">
        <v>5381</v>
      </c>
      <c r="G311" s="89" t="s">
        <v>2005</v>
      </c>
      <c r="H311" s="91">
        <v>1790</v>
      </c>
      <c r="I311" s="89" t="s">
        <v>5376</v>
      </c>
      <c r="J311" s="92" t="s">
        <v>5157</v>
      </c>
      <c r="K311" s="92"/>
      <c r="L311" s="92" t="s">
        <v>5364</v>
      </c>
      <c r="M311" s="92" t="s">
        <v>5365</v>
      </c>
      <c r="N311" s="93">
        <v>1790</v>
      </c>
      <c r="O311" s="94">
        <v>250</v>
      </c>
      <c r="P311" s="94">
        <v>1</v>
      </c>
      <c r="Q311" s="92" t="s">
        <v>3957</v>
      </c>
      <c r="R311" s="92" t="s">
        <v>5382</v>
      </c>
      <c r="S311" s="91">
        <v>17976</v>
      </c>
      <c r="T311" s="89" t="s">
        <v>643</v>
      </c>
    </row>
    <row r="312" spans="1:20" ht="30" customHeight="1" x14ac:dyDescent="0.35">
      <c r="A312" s="88">
        <v>179024</v>
      </c>
      <c r="B312" s="89" t="s">
        <v>5383</v>
      </c>
      <c r="C312" s="89" t="s">
        <v>5384</v>
      </c>
      <c r="D312" s="90" t="s">
        <v>3978</v>
      </c>
      <c r="E312" s="89" t="s">
        <v>2007</v>
      </c>
      <c r="F312" s="89"/>
      <c r="G312" s="89" t="s">
        <v>2008</v>
      </c>
      <c r="H312" s="91">
        <v>1736</v>
      </c>
      <c r="I312" s="89" t="s">
        <v>5363</v>
      </c>
      <c r="J312" s="92" t="s">
        <v>5157</v>
      </c>
      <c r="K312" s="92"/>
      <c r="L312" s="92" t="s">
        <v>5364</v>
      </c>
      <c r="M312" s="92" t="s">
        <v>5365</v>
      </c>
      <c r="N312" s="93">
        <v>1790</v>
      </c>
      <c r="O312" s="94">
        <v>250</v>
      </c>
      <c r="P312" s="94">
        <v>1</v>
      </c>
      <c r="Q312" s="92" t="s">
        <v>3957</v>
      </c>
      <c r="R312" s="92" t="s">
        <v>5385</v>
      </c>
      <c r="S312" s="91">
        <v>17949</v>
      </c>
      <c r="T312" s="89" t="s">
        <v>643</v>
      </c>
    </row>
    <row r="313" spans="1:20" ht="30" customHeight="1" x14ac:dyDescent="0.35">
      <c r="A313" s="88">
        <v>179025</v>
      </c>
      <c r="B313" s="89" t="s">
        <v>5386</v>
      </c>
      <c r="C313" s="89" t="s">
        <v>5387</v>
      </c>
      <c r="D313" s="90" t="s">
        <v>3978</v>
      </c>
      <c r="E313" s="89" t="s">
        <v>2010</v>
      </c>
      <c r="F313" s="89"/>
      <c r="G313" s="89" t="s">
        <v>2011</v>
      </c>
      <c r="H313" s="91">
        <v>1790</v>
      </c>
      <c r="I313" s="89" t="s">
        <v>5376</v>
      </c>
      <c r="J313" s="92" t="s">
        <v>5157</v>
      </c>
      <c r="K313" s="92"/>
      <c r="L313" s="92" t="s">
        <v>5364</v>
      </c>
      <c r="M313" s="92" t="s">
        <v>5365</v>
      </c>
      <c r="N313" s="93">
        <v>1790</v>
      </c>
      <c r="O313" s="94">
        <v>250</v>
      </c>
      <c r="P313" s="94">
        <v>1</v>
      </c>
      <c r="Q313" s="92" t="s">
        <v>3957</v>
      </c>
      <c r="R313" s="92" t="s">
        <v>5388</v>
      </c>
      <c r="S313" s="91">
        <v>17954</v>
      </c>
      <c r="T313" s="89" t="s">
        <v>643</v>
      </c>
    </row>
    <row r="314" spans="1:20" ht="30" customHeight="1" x14ac:dyDescent="0.35">
      <c r="A314" s="88">
        <v>179026</v>
      </c>
      <c r="B314" s="89" t="s">
        <v>5389</v>
      </c>
      <c r="C314" s="89" t="s">
        <v>5389</v>
      </c>
      <c r="D314" s="90" t="s">
        <v>3978</v>
      </c>
      <c r="E314" s="89" t="s">
        <v>2013</v>
      </c>
      <c r="F314" s="89" t="s">
        <v>5390</v>
      </c>
      <c r="G314" s="89" t="s">
        <v>2014</v>
      </c>
      <c r="H314" s="91">
        <v>1736</v>
      </c>
      <c r="I314" s="89" t="s">
        <v>5363</v>
      </c>
      <c r="J314" s="92" t="s">
        <v>5157</v>
      </c>
      <c r="K314" s="92"/>
      <c r="L314" s="92" t="s">
        <v>5364</v>
      </c>
      <c r="M314" s="92" t="s">
        <v>5365</v>
      </c>
      <c r="N314" s="93">
        <v>1790</v>
      </c>
      <c r="O314" s="94">
        <v>250</v>
      </c>
      <c r="P314" s="94">
        <v>1</v>
      </c>
      <c r="Q314" s="92" t="s">
        <v>3957</v>
      </c>
      <c r="R314" s="92" t="s">
        <v>5391</v>
      </c>
      <c r="S314" s="91">
        <v>17965</v>
      </c>
      <c r="T314" s="89" t="s">
        <v>643</v>
      </c>
    </row>
    <row r="315" spans="1:20" ht="30" customHeight="1" x14ac:dyDescent="0.35">
      <c r="A315" s="88">
        <v>179027</v>
      </c>
      <c r="B315" s="89" t="s">
        <v>5392</v>
      </c>
      <c r="C315" s="89" t="s">
        <v>5393</v>
      </c>
      <c r="D315" s="90" t="s">
        <v>3978</v>
      </c>
      <c r="E315" s="89" t="s">
        <v>2016</v>
      </c>
      <c r="F315" s="89"/>
      <c r="G315" s="89" t="s">
        <v>2017</v>
      </c>
      <c r="H315" s="91">
        <v>1734</v>
      </c>
      <c r="I315" s="89" t="s">
        <v>1874</v>
      </c>
      <c r="J315" s="98" t="s">
        <v>3954</v>
      </c>
      <c r="K315" s="92"/>
      <c r="L315" s="92" t="s">
        <v>4893</v>
      </c>
      <c r="M315" s="92" t="s">
        <v>4894</v>
      </c>
      <c r="N315" s="93">
        <v>1734</v>
      </c>
      <c r="O315" s="94">
        <v>1</v>
      </c>
      <c r="P315" s="94">
        <v>1</v>
      </c>
      <c r="Q315" s="92" t="s">
        <v>3957</v>
      </c>
      <c r="R315" s="92"/>
      <c r="S315" s="91"/>
      <c r="T315" s="89"/>
    </row>
    <row r="316" spans="1:20" ht="30" customHeight="1" x14ac:dyDescent="0.35">
      <c r="A316" s="88">
        <v>179028</v>
      </c>
      <c r="B316" s="89" t="s">
        <v>5394</v>
      </c>
      <c r="C316" s="89" t="s">
        <v>5395</v>
      </c>
      <c r="D316" s="90" t="s">
        <v>3978</v>
      </c>
      <c r="E316" s="89" t="s">
        <v>2019</v>
      </c>
      <c r="F316" s="89"/>
      <c r="G316" s="89" t="s">
        <v>2020</v>
      </c>
      <c r="H316" s="91">
        <v>1790</v>
      </c>
      <c r="I316" s="89" t="s">
        <v>5376</v>
      </c>
      <c r="J316" s="92" t="s">
        <v>5157</v>
      </c>
      <c r="K316" s="92"/>
      <c r="L316" s="92" t="s">
        <v>5364</v>
      </c>
      <c r="M316" s="92" t="s">
        <v>5365</v>
      </c>
      <c r="N316" s="93">
        <v>1790</v>
      </c>
      <c r="O316" s="94">
        <v>250</v>
      </c>
      <c r="P316" s="94">
        <v>1</v>
      </c>
      <c r="Q316" s="92" t="s">
        <v>3957</v>
      </c>
      <c r="R316" s="92" t="s">
        <v>5396</v>
      </c>
      <c r="S316" s="91">
        <v>17720</v>
      </c>
      <c r="T316" s="91">
        <v>17420</v>
      </c>
    </row>
    <row r="317" spans="1:20" ht="55.5" customHeight="1" x14ac:dyDescent="0.35">
      <c r="A317" s="88">
        <v>179029</v>
      </c>
      <c r="B317" s="89" t="s">
        <v>5397</v>
      </c>
      <c r="C317" s="89" t="s">
        <v>5398</v>
      </c>
      <c r="D317" s="90" t="s">
        <v>3978</v>
      </c>
      <c r="E317" s="89" t="s">
        <v>2022</v>
      </c>
      <c r="F317" s="89"/>
      <c r="G317" s="89" t="s">
        <v>2023</v>
      </c>
      <c r="H317" s="91">
        <v>1790</v>
      </c>
      <c r="I317" s="89" t="s">
        <v>5376</v>
      </c>
      <c r="J317" s="92" t="s">
        <v>5157</v>
      </c>
      <c r="K317" s="92"/>
      <c r="L317" s="92" t="s">
        <v>5364</v>
      </c>
      <c r="M317" s="92" t="s">
        <v>5365</v>
      </c>
      <c r="N317" s="93">
        <v>1790</v>
      </c>
      <c r="O317" s="94">
        <v>250</v>
      </c>
      <c r="P317" s="94">
        <v>1</v>
      </c>
      <c r="Q317" s="92" t="s">
        <v>3957</v>
      </c>
      <c r="R317" s="92" t="s">
        <v>5399</v>
      </c>
      <c r="S317" s="91">
        <v>17988</v>
      </c>
      <c r="T317" s="89" t="s">
        <v>643</v>
      </c>
    </row>
    <row r="318" spans="1:20" ht="30" customHeight="1" x14ac:dyDescent="0.35">
      <c r="A318" s="88">
        <v>179050</v>
      </c>
      <c r="B318" s="89" t="s">
        <v>5400</v>
      </c>
      <c r="C318" s="89" t="s">
        <v>5400</v>
      </c>
      <c r="D318" s="90" t="s">
        <v>3978</v>
      </c>
      <c r="E318" s="89" t="s">
        <v>2025</v>
      </c>
      <c r="F318" s="89"/>
      <c r="G318" s="89" t="s">
        <v>2026</v>
      </c>
      <c r="H318" s="91">
        <v>1725</v>
      </c>
      <c r="I318" s="89" t="s">
        <v>5401</v>
      </c>
      <c r="J318" s="92" t="s">
        <v>4058</v>
      </c>
      <c r="K318" s="92"/>
      <c r="L318" s="92" t="s">
        <v>5402</v>
      </c>
      <c r="M318" s="92" t="s">
        <v>5403</v>
      </c>
      <c r="N318" s="93">
        <v>1725</v>
      </c>
      <c r="O318" s="94">
        <v>1</v>
      </c>
      <c r="P318" s="94">
        <v>1</v>
      </c>
      <c r="Q318" s="92" t="s">
        <v>3957</v>
      </c>
      <c r="R318" s="92" t="s">
        <v>5404</v>
      </c>
      <c r="S318" s="91">
        <v>17905</v>
      </c>
      <c r="T318" s="91">
        <v>17955</v>
      </c>
    </row>
    <row r="319" spans="1:20" ht="30" customHeight="1" x14ac:dyDescent="0.35">
      <c r="A319" s="88">
        <v>179219</v>
      </c>
      <c r="B319" s="89" t="s">
        <v>5405</v>
      </c>
      <c r="C319" s="89" t="s">
        <v>5406</v>
      </c>
      <c r="D319" s="90" t="s">
        <v>3978</v>
      </c>
      <c r="E319" s="89" t="s">
        <v>2028</v>
      </c>
      <c r="F319" s="89"/>
      <c r="G319" s="89" t="s">
        <v>2029</v>
      </c>
      <c r="H319" s="91">
        <v>1734</v>
      </c>
      <c r="I319" s="89" t="s">
        <v>1874</v>
      </c>
      <c r="J319" s="92" t="s">
        <v>3954</v>
      </c>
      <c r="K319" s="92"/>
      <c r="L319" s="92" t="s">
        <v>4893</v>
      </c>
      <c r="M319" s="92" t="s">
        <v>4894</v>
      </c>
      <c r="N319" s="93">
        <v>1734</v>
      </c>
      <c r="O319" s="94">
        <v>1</v>
      </c>
      <c r="P319" s="94">
        <v>1</v>
      </c>
      <c r="Q319" s="92" t="s">
        <v>3957</v>
      </c>
      <c r="R319" s="92" t="s">
        <v>5407</v>
      </c>
      <c r="S319" s="91">
        <v>17963</v>
      </c>
      <c r="T319" s="89" t="s">
        <v>643</v>
      </c>
    </row>
    <row r="320" spans="1:20" ht="30" customHeight="1" x14ac:dyDescent="0.35">
      <c r="A320" s="88">
        <v>179221</v>
      </c>
      <c r="B320" s="89" t="s">
        <v>5408</v>
      </c>
      <c r="C320" s="89" t="s">
        <v>5409</v>
      </c>
      <c r="D320" s="90" t="s">
        <v>3978</v>
      </c>
      <c r="E320" s="89" t="s">
        <v>2031</v>
      </c>
      <c r="F320" s="89"/>
      <c r="G320" s="89" t="s">
        <v>2032</v>
      </c>
      <c r="H320" s="91">
        <v>1792</v>
      </c>
      <c r="I320" s="89" t="s">
        <v>5410</v>
      </c>
      <c r="J320" s="92" t="s">
        <v>4058</v>
      </c>
      <c r="K320" s="92"/>
      <c r="L320" s="92" t="s">
        <v>5411</v>
      </c>
      <c r="M320" s="92" t="s">
        <v>5412</v>
      </c>
      <c r="N320" s="93">
        <v>1792</v>
      </c>
      <c r="O320" s="94">
        <v>1</v>
      </c>
      <c r="P320" s="94">
        <v>1</v>
      </c>
      <c r="Q320" s="92" t="s">
        <v>3957</v>
      </c>
      <c r="R320" s="92" t="s">
        <v>5413</v>
      </c>
      <c r="S320" s="91">
        <v>17911</v>
      </c>
      <c r="T320" s="91">
        <v>17926</v>
      </c>
    </row>
    <row r="321" spans="1:20" ht="30" customHeight="1" x14ac:dyDescent="0.35">
      <c r="A321" s="88">
        <v>179371</v>
      </c>
      <c r="B321" s="89" t="s">
        <v>5414</v>
      </c>
      <c r="C321" s="89" t="s">
        <v>5415</v>
      </c>
      <c r="D321" s="90" t="s">
        <v>3978</v>
      </c>
      <c r="E321" s="89" t="s">
        <v>2034</v>
      </c>
      <c r="F321" s="89" t="s">
        <v>5416</v>
      </c>
      <c r="G321" s="89" t="s">
        <v>2035</v>
      </c>
      <c r="H321" s="91">
        <v>1736</v>
      </c>
      <c r="I321" s="89" t="s">
        <v>5363</v>
      </c>
      <c r="J321" s="92" t="s">
        <v>4058</v>
      </c>
      <c r="K321" s="92"/>
      <c r="L321" s="92" t="s">
        <v>5417</v>
      </c>
      <c r="M321" s="92" t="s">
        <v>5418</v>
      </c>
      <c r="N321" s="93">
        <v>1799</v>
      </c>
      <c r="O321" s="94">
        <v>1</v>
      </c>
      <c r="P321" s="94">
        <v>1</v>
      </c>
      <c r="Q321" s="92" t="s">
        <v>3957</v>
      </c>
      <c r="R321" s="92" t="s">
        <v>5419</v>
      </c>
      <c r="S321" s="89" t="s">
        <v>5420</v>
      </c>
      <c r="T321" s="89" t="s">
        <v>643</v>
      </c>
    </row>
    <row r="322" spans="1:20" ht="30" customHeight="1" x14ac:dyDescent="0.35">
      <c r="A322" s="88">
        <v>179475</v>
      </c>
      <c r="B322" s="89" t="s">
        <v>5421</v>
      </c>
      <c r="C322" s="89" t="s">
        <v>5422</v>
      </c>
      <c r="D322" s="90" t="s">
        <v>3978</v>
      </c>
      <c r="E322" s="89" t="s">
        <v>2037</v>
      </c>
      <c r="F322" s="89"/>
      <c r="G322" s="89" t="s">
        <v>2038</v>
      </c>
      <c r="H322" s="91">
        <v>1750</v>
      </c>
      <c r="I322" s="89" t="s">
        <v>5423</v>
      </c>
      <c r="J322" s="92" t="s">
        <v>5190</v>
      </c>
      <c r="K322" s="92"/>
      <c r="L322" s="92" t="s">
        <v>5424</v>
      </c>
      <c r="M322" s="92" t="s">
        <v>5425</v>
      </c>
      <c r="N322" s="93">
        <v>1750</v>
      </c>
      <c r="O322" s="94">
        <v>90</v>
      </c>
      <c r="P322" s="94">
        <v>20</v>
      </c>
      <c r="Q322" s="92" t="s">
        <v>3957</v>
      </c>
      <c r="R322" s="92" t="s">
        <v>5426</v>
      </c>
      <c r="S322" s="91">
        <v>17814</v>
      </c>
      <c r="T322" s="89" t="s">
        <v>5427</v>
      </c>
    </row>
    <row r="323" spans="1:20" ht="30" customHeight="1" x14ac:dyDescent="0.35">
      <c r="A323" s="88">
        <v>179476</v>
      </c>
      <c r="B323" s="89" t="s">
        <v>5428</v>
      </c>
      <c r="C323" s="89" t="s">
        <v>5428</v>
      </c>
      <c r="D323" s="90" t="s">
        <v>3978</v>
      </c>
      <c r="E323" s="89" t="s">
        <v>2040</v>
      </c>
      <c r="F323" s="89"/>
      <c r="G323" s="89" t="s">
        <v>2041</v>
      </c>
      <c r="H323" s="91">
        <v>1758</v>
      </c>
      <c r="I323" s="89" t="s">
        <v>5245</v>
      </c>
      <c r="J323" s="92" t="s">
        <v>5190</v>
      </c>
      <c r="K323" s="92"/>
      <c r="L323" s="92" t="s">
        <v>5246</v>
      </c>
      <c r="M323" s="92" t="s">
        <v>5247</v>
      </c>
      <c r="N323" s="93">
        <v>1758</v>
      </c>
      <c r="O323" s="94">
        <v>11</v>
      </c>
      <c r="P323" s="94">
        <v>5</v>
      </c>
      <c r="Q323" s="92" t="s">
        <v>3957</v>
      </c>
      <c r="R323" s="92" t="s">
        <v>5429</v>
      </c>
      <c r="S323" s="89" t="s">
        <v>5430</v>
      </c>
      <c r="T323" s="89" t="s">
        <v>5431</v>
      </c>
    </row>
    <row r="324" spans="1:20" ht="30" customHeight="1" x14ac:dyDescent="0.35">
      <c r="A324" s="88">
        <v>179477</v>
      </c>
      <c r="B324" s="89" t="s">
        <v>5432</v>
      </c>
      <c r="C324" s="89" t="s">
        <v>5433</v>
      </c>
      <c r="D324" s="90" t="s">
        <v>3978</v>
      </c>
      <c r="E324" s="89" t="s">
        <v>5434</v>
      </c>
      <c r="F324" s="89" t="s">
        <v>5435</v>
      </c>
      <c r="G324" s="89" t="s">
        <v>2044</v>
      </c>
      <c r="H324" s="91">
        <v>1761</v>
      </c>
      <c r="I324" s="89" t="s">
        <v>2042</v>
      </c>
      <c r="J324" s="92" t="s">
        <v>5190</v>
      </c>
      <c r="K324" s="92"/>
      <c r="L324" s="92" t="s">
        <v>5436</v>
      </c>
      <c r="M324" s="92" t="s">
        <v>5437</v>
      </c>
      <c r="N324" s="93">
        <v>1761</v>
      </c>
      <c r="O324" s="94">
        <v>16</v>
      </c>
      <c r="P324" s="94">
        <v>5</v>
      </c>
      <c r="Q324" s="92" t="s">
        <v>3957</v>
      </c>
      <c r="R324" s="92" t="s">
        <v>5438</v>
      </c>
      <c r="S324" s="91">
        <v>17884</v>
      </c>
      <c r="T324" s="91">
        <v>17610</v>
      </c>
    </row>
    <row r="325" spans="1:20" ht="30" customHeight="1" x14ac:dyDescent="0.35">
      <c r="A325" s="88">
        <v>179481</v>
      </c>
      <c r="B325" s="89" t="s">
        <v>5439</v>
      </c>
      <c r="C325" s="89" t="s">
        <v>5440</v>
      </c>
      <c r="D325" s="90" t="s">
        <v>3978</v>
      </c>
      <c r="E325" s="89" t="s">
        <v>2046</v>
      </c>
      <c r="F325" s="89" t="s">
        <v>5441</v>
      </c>
      <c r="G325" s="89" t="s">
        <v>2047</v>
      </c>
      <c r="H325" s="91">
        <v>1793</v>
      </c>
      <c r="I325" s="89" t="s">
        <v>5442</v>
      </c>
      <c r="J325" s="92" t="s">
        <v>4058</v>
      </c>
      <c r="K325" s="92"/>
      <c r="L325" s="92" t="s">
        <v>4455</v>
      </c>
      <c r="M325" s="92" t="s">
        <v>4455</v>
      </c>
      <c r="N325" s="93">
        <v>1793</v>
      </c>
      <c r="O325" s="94">
        <v>1</v>
      </c>
      <c r="P325" s="94">
        <v>1</v>
      </c>
      <c r="Q325" s="92" t="s">
        <v>3957</v>
      </c>
      <c r="R325" s="92" t="s">
        <v>5443</v>
      </c>
      <c r="S325" s="91">
        <v>17914</v>
      </c>
      <c r="T325" s="91">
        <v>17937</v>
      </c>
    </row>
    <row r="326" spans="1:20" ht="30" customHeight="1" x14ac:dyDescent="0.35">
      <c r="A326" s="88">
        <v>179511</v>
      </c>
      <c r="B326" s="89" t="s">
        <v>5444</v>
      </c>
      <c r="C326" s="89" t="s">
        <v>5445</v>
      </c>
      <c r="D326" s="90" t="s">
        <v>3978</v>
      </c>
      <c r="E326" s="89" t="s">
        <v>2049</v>
      </c>
      <c r="F326" s="89"/>
      <c r="G326" s="89" t="s">
        <v>2050</v>
      </c>
      <c r="H326" s="91">
        <v>1795</v>
      </c>
      <c r="I326" s="89" t="s">
        <v>5446</v>
      </c>
      <c r="J326" s="92" t="s">
        <v>883</v>
      </c>
      <c r="K326" s="92"/>
      <c r="L326" s="92" t="s">
        <v>5447</v>
      </c>
      <c r="M326" s="92" t="s">
        <v>5448</v>
      </c>
      <c r="N326" s="93">
        <v>1795</v>
      </c>
      <c r="O326" s="94">
        <v>1</v>
      </c>
      <c r="P326" s="94">
        <v>1</v>
      </c>
      <c r="Q326" s="92" t="s">
        <v>3957</v>
      </c>
      <c r="R326" s="92" t="s">
        <v>5449</v>
      </c>
      <c r="S326" s="91">
        <v>17981</v>
      </c>
      <c r="T326" s="91">
        <v>17951</v>
      </c>
    </row>
    <row r="327" spans="1:20" ht="30" customHeight="1" x14ac:dyDescent="0.35">
      <c r="A327" s="88">
        <v>179530</v>
      </c>
      <c r="B327" s="89" t="s">
        <v>5450</v>
      </c>
      <c r="C327" s="89" t="s">
        <v>5451</v>
      </c>
      <c r="D327" s="90" t="s">
        <v>4077</v>
      </c>
      <c r="E327" s="89" t="s">
        <v>5452</v>
      </c>
      <c r="F327" s="89"/>
      <c r="G327" s="89" t="s">
        <v>909</v>
      </c>
      <c r="H327" s="91">
        <v>1726</v>
      </c>
      <c r="I327" s="89" t="s">
        <v>2051</v>
      </c>
      <c r="J327" s="92" t="s">
        <v>883</v>
      </c>
      <c r="K327" s="92"/>
      <c r="L327" s="92" t="s">
        <v>4455</v>
      </c>
      <c r="M327" s="92" t="s">
        <v>4455</v>
      </c>
      <c r="N327" s="93">
        <v>1726</v>
      </c>
      <c r="O327" s="94">
        <v>1</v>
      </c>
      <c r="P327" s="94">
        <v>1</v>
      </c>
      <c r="Q327" s="92" t="s">
        <v>3957</v>
      </c>
      <c r="R327" s="92" t="s">
        <v>5453</v>
      </c>
      <c r="S327" s="89" t="s">
        <v>3982</v>
      </c>
      <c r="T327" s="91">
        <v>17953</v>
      </c>
    </row>
    <row r="328" spans="1:20" ht="30" customHeight="1" x14ac:dyDescent="0.35">
      <c r="A328" s="88">
        <v>179621</v>
      </c>
      <c r="B328" s="89" t="s">
        <v>5454</v>
      </c>
      <c r="C328" s="89" t="s">
        <v>5455</v>
      </c>
      <c r="D328" s="90" t="s">
        <v>3978</v>
      </c>
      <c r="E328" s="89" t="s">
        <v>2054</v>
      </c>
      <c r="F328" s="89" t="s">
        <v>5456</v>
      </c>
      <c r="G328" s="89" t="s">
        <v>2055</v>
      </c>
      <c r="H328" s="91">
        <v>1796</v>
      </c>
      <c r="I328" s="89" t="s">
        <v>5457</v>
      </c>
      <c r="J328" s="92" t="s">
        <v>4058</v>
      </c>
      <c r="K328" s="92"/>
      <c r="L328" s="92" t="s">
        <v>5458</v>
      </c>
      <c r="M328" s="92" t="s">
        <v>5459</v>
      </c>
      <c r="N328" s="93">
        <v>1796</v>
      </c>
      <c r="O328" s="94">
        <v>880000</v>
      </c>
      <c r="P328" s="94">
        <v>52000</v>
      </c>
      <c r="Q328" s="92" t="s">
        <v>3957</v>
      </c>
      <c r="R328" s="92" t="s">
        <v>5460</v>
      </c>
      <c r="S328" s="91">
        <v>17995</v>
      </c>
      <c r="T328" s="91">
        <v>17963</v>
      </c>
    </row>
    <row r="329" spans="1:20" ht="30" customHeight="1" x14ac:dyDescent="0.35">
      <c r="A329" s="88">
        <v>179723</v>
      </c>
      <c r="B329" s="89" t="s">
        <v>5461</v>
      </c>
      <c r="C329" s="89" t="s">
        <v>5462</v>
      </c>
      <c r="D329" s="90" t="s">
        <v>3978</v>
      </c>
      <c r="E329" s="89" t="s">
        <v>2057</v>
      </c>
      <c r="F329" s="89" t="s">
        <v>5463</v>
      </c>
      <c r="G329" s="89" t="s">
        <v>2058</v>
      </c>
      <c r="H329" s="91">
        <v>1797</v>
      </c>
      <c r="I329" s="89" t="s">
        <v>5464</v>
      </c>
      <c r="J329" s="92" t="s">
        <v>883</v>
      </c>
      <c r="K329" s="92"/>
      <c r="L329" s="92" t="s">
        <v>5465</v>
      </c>
      <c r="M329" s="92" t="s">
        <v>5466</v>
      </c>
      <c r="N329" s="93">
        <v>1797</v>
      </c>
      <c r="O329" s="94">
        <v>8</v>
      </c>
      <c r="P329" s="94">
        <v>5</v>
      </c>
      <c r="Q329" s="92" t="s">
        <v>3957</v>
      </c>
      <c r="R329" s="92" t="s">
        <v>5467</v>
      </c>
      <c r="S329" s="91">
        <v>17881</v>
      </c>
      <c r="T329" s="89" t="s">
        <v>643</v>
      </c>
    </row>
    <row r="330" spans="1:20" ht="30" customHeight="1" x14ac:dyDescent="0.35">
      <c r="A330" s="88">
        <v>179724</v>
      </c>
      <c r="B330" s="89" t="s">
        <v>5468</v>
      </c>
      <c r="C330" s="89" t="s">
        <v>5469</v>
      </c>
      <c r="D330" s="90" t="s">
        <v>3978</v>
      </c>
      <c r="E330" s="89" t="s">
        <v>2060</v>
      </c>
      <c r="F330" s="89" t="s">
        <v>5463</v>
      </c>
      <c r="G330" s="89" t="s">
        <v>2061</v>
      </c>
      <c r="H330" s="91">
        <v>1797</v>
      </c>
      <c r="I330" s="89" t="s">
        <v>5464</v>
      </c>
      <c r="J330" s="92" t="s">
        <v>883</v>
      </c>
      <c r="K330" s="92"/>
      <c r="L330" s="92" t="s">
        <v>5465</v>
      </c>
      <c r="M330" s="92" t="s">
        <v>5466</v>
      </c>
      <c r="N330" s="93">
        <v>1797</v>
      </c>
      <c r="O330" s="94">
        <v>8</v>
      </c>
      <c r="P330" s="94">
        <v>5</v>
      </c>
      <c r="Q330" s="92" t="s">
        <v>3957</v>
      </c>
      <c r="R330" s="92" t="s">
        <v>5470</v>
      </c>
      <c r="S330" s="91">
        <v>17882</v>
      </c>
      <c r="T330" s="89" t="s">
        <v>643</v>
      </c>
    </row>
    <row r="331" spans="1:20" ht="30" customHeight="1" x14ac:dyDescent="0.35">
      <c r="A331" s="88">
        <v>179821</v>
      </c>
      <c r="B331" s="89" t="s">
        <v>5471</v>
      </c>
      <c r="C331" s="89" t="s">
        <v>5472</v>
      </c>
      <c r="D331" s="90" t="s">
        <v>3978</v>
      </c>
      <c r="E331" s="89" t="s">
        <v>2063</v>
      </c>
      <c r="F331" s="89"/>
      <c r="G331" s="89" t="s">
        <v>2064</v>
      </c>
      <c r="H331" s="91">
        <v>1798</v>
      </c>
      <c r="I331" s="89" t="s">
        <v>5473</v>
      </c>
      <c r="J331" s="92" t="s">
        <v>5190</v>
      </c>
      <c r="K331" s="92"/>
      <c r="L331" s="92" t="s">
        <v>5474</v>
      </c>
      <c r="M331" s="92" t="s">
        <v>5475</v>
      </c>
      <c r="N331" s="93">
        <v>1798</v>
      </c>
      <c r="O331" s="94">
        <v>1</v>
      </c>
      <c r="P331" s="94">
        <v>1</v>
      </c>
      <c r="Q331" s="92" t="s">
        <v>3957</v>
      </c>
      <c r="R331" s="92" t="s">
        <v>5476</v>
      </c>
      <c r="S331" s="91">
        <v>17891</v>
      </c>
      <c r="T331" s="91">
        <v>17981</v>
      </c>
    </row>
    <row r="332" spans="1:20" ht="30" customHeight="1" x14ac:dyDescent="0.35">
      <c r="A332" s="88">
        <v>179921</v>
      </c>
      <c r="B332" s="89" t="s">
        <v>5477</v>
      </c>
      <c r="C332" s="89" t="s">
        <v>5478</v>
      </c>
      <c r="D332" s="90" t="s">
        <v>3978</v>
      </c>
      <c r="E332" s="89" t="s">
        <v>5479</v>
      </c>
      <c r="F332" s="89" t="s">
        <v>5480</v>
      </c>
      <c r="G332" s="89" t="s">
        <v>2067</v>
      </c>
      <c r="H332" s="91">
        <v>1799</v>
      </c>
      <c r="I332" s="89" t="s">
        <v>5481</v>
      </c>
      <c r="J332" s="92" t="s">
        <v>4058</v>
      </c>
      <c r="K332" s="92"/>
      <c r="L332" s="92" t="s">
        <v>5417</v>
      </c>
      <c r="M332" s="92" t="s">
        <v>5418</v>
      </c>
      <c r="N332" s="93">
        <v>1799</v>
      </c>
      <c r="O332" s="94">
        <v>1</v>
      </c>
      <c r="P332" s="94">
        <v>1</v>
      </c>
      <c r="Q332" s="92" t="s">
        <v>3957</v>
      </c>
      <c r="R332" s="92" t="s">
        <v>5482</v>
      </c>
      <c r="S332" s="91">
        <v>17950</v>
      </c>
      <c r="T332" s="91">
        <v>17991</v>
      </c>
    </row>
    <row r="333" spans="1:20" ht="30" customHeight="1" x14ac:dyDescent="0.35">
      <c r="A333" s="88">
        <v>179922</v>
      </c>
      <c r="B333" s="89" t="s">
        <v>5483</v>
      </c>
      <c r="C333" s="89" t="s">
        <v>5484</v>
      </c>
      <c r="D333" s="90" t="s">
        <v>3978</v>
      </c>
      <c r="E333" s="89" t="s">
        <v>5485</v>
      </c>
      <c r="F333" s="89" t="s">
        <v>5486</v>
      </c>
      <c r="G333" s="89" t="s">
        <v>2070</v>
      </c>
      <c r="H333" s="91">
        <v>1799</v>
      </c>
      <c r="I333" s="89" t="s">
        <v>5481</v>
      </c>
      <c r="J333" s="92" t="s">
        <v>4058</v>
      </c>
      <c r="K333" s="92"/>
      <c r="L333" s="92" t="s">
        <v>5417</v>
      </c>
      <c r="M333" s="92" t="s">
        <v>5418</v>
      </c>
      <c r="N333" s="93">
        <v>1799</v>
      </c>
      <c r="O333" s="94">
        <v>1</v>
      </c>
      <c r="P333" s="94">
        <v>1</v>
      </c>
      <c r="Q333" s="92" t="s">
        <v>3957</v>
      </c>
      <c r="R333" s="92" t="s">
        <v>5487</v>
      </c>
      <c r="S333" s="91">
        <v>17951</v>
      </c>
      <c r="T333" s="91">
        <v>17991</v>
      </c>
    </row>
    <row r="334" spans="1:20" ht="30" customHeight="1" x14ac:dyDescent="0.35">
      <c r="A334" s="88">
        <v>179923</v>
      </c>
      <c r="B334" s="89" t="s">
        <v>5488</v>
      </c>
      <c r="C334" s="89" t="s">
        <v>5488</v>
      </c>
      <c r="D334" s="90" t="s">
        <v>3978</v>
      </c>
      <c r="E334" s="89" t="s">
        <v>5489</v>
      </c>
      <c r="F334" s="89" t="s">
        <v>5490</v>
      </c>
      <c r="G334" s="89" t="s">
        <v>2073</v>
      </c>
      <c r="H334" s="91">
        <v>1799</v>
      </c>
      <c r="I334" s="89" t="s">
        <v>5481</v>
      </c>
      <c r="J334" s="92" t="s">
        <v>4058</v>
      </c>
      <c r="K334" s="92"/>
      <c r="L334" s="92" t="s">
        <v>5417</v>
      </c>
      <c r="M334" s="92" t="s">
        <v>5418</v>
      </c>
      <c r="N334" s="93">
        <v>1799</v>
      </c>
      <c r="O334" s="94">
        <v>1</v>
      </c>
      <c r="P334" s="94">
        <v>1</v>
      </c>
      <c r="Q334" s="92" t="s">
        <v>3957</v>
      </c>
      <c r="R334" s="92" t="s">
        <v>5491</v>
      </c>
      <c r="S334" s="91">
        <v>17994</v>
      </c>
      <c r="T334" s="91">
        <v>17992</v>
      </c>
    </row>
    <row r="335" spans="1:20" ht="30" customHeight="1" x14ac:dyDescent="0.35">
      <c r="A335" s="88">
        <v>211111</v>
      </c>
      <c r="B335" s="89" t="s">
        <v>5492</v>
      </c>
      <c r="C335" s="89" t="s">
        <v>5493</v>
      </c>
      <c r="D335" s="90" t="s">
        <v>4077</v>
      </c>
      <c r="E335" s="89" t="s">
        <v>2075</v>
      </c>
      <c r="F335" s="89"/>
      <c r="G335" s="89" t="s">
        <v>2076</v>
      </c>
      <c r="H335" s="91">
        <v>2111</v>
      </c>
      <c r="I335" s="89" t="s">
        <v>4537</v>
      </c>
      <c r="J335" s="92" t="s">
        <v>4058</v>
      </c>
      <c r="K335" s="92"/>
      <c r="L335" s="92" t="s">
        <v>4538</v>
      </c>
      <c r="M335" s="92" t="s">
        <v>4539</v>
      </c>
      <c r="N335" s="93">
        <v>2111</v>
      </c>
      <c r="O335" s="94">
        <v>200000</v>
      </c>
      <c r="P335" s="94">
        <v>28000</v>
      </c>
      <c r="Q335" s="92" t="s">
        <v>3957</v>
      </c>
      <c r="R335" s="92" t="s">
        <v>5494</v>
      </c>
      <c r="S335" s="91">
        <v>21110</v>
      </c>
      <c r="T335" s="89" t="s">
        <v>5495</v>
      </c>
    </row>
    <row r="336" spans="1:20" ht="30" customHeight="1" x14ac:dyDescent="0.35">
      <c r="A336" s="88">
        <v>211116</v>
      </c>
      <c r="B336" s="89" t="s">
        <v>5496</v>
      </c>
      <c r="C336" s="89" t="s">
        <v>5497</v>
      </c>
      <c r="D336" s="90" t="s">
        <v>4077</v>
      </c>
      <c r="E336" s="89" t="s">
        <v>2078</v>
      </c>
      <c r="F336" s="89"/>
      <c r="G336" s="89" t="s">
        <v>2079</v>
      </c>
      <c r="H336" s="91">
        <v>2115</v>
      </c>
      <c r="I336" s="89" t="s">
        <v>5498</v>
      </c>
      <c r="J336" s="92" t="s">
        <v>883</v>
      </c>
      <c r="K336" s="92"/>
      <c r="L336" s="92" t="s">
        <v>5499</v>
      </c>
      <c r="M336" s="92" t="s">
        <v>5500</v>
      </c>
      <c r="N336" s="93">
        <v>2115</v>
      </c>
      <c r="O336" s="94">
        <v>252000</v>
      </c>
      <c r="P336" s="94">
        <v>69000</v>
      </c>
      <c r="Q336" s="92" t="s">
        <v>3957</v>
      </c>
      <c r="R336" s="92" t="s">
        <v>5501</v>
      </c>
      <c r="S336" s="89" t="s">
        <v>643</v>
      </c>
      <c r="T336" s="89" t="s">
        <v>643</v>
      </c>
    </row>
    <row r="337" spans="1:20" ht="30" customHeight="1" x14ac:dyDescent="0.35">
      <c r="A337" s="88">
        <v>211147</v>
      </c>
      <c r="B337" s="89" t="s">
        <v>5502</v>
      </c>
      <c r="C337" s="89" t="s">
        <v>5503</v>
      </c>
      <c r="D337" s="90" t="s">
        <v>4077</v>
      </c>
      <c r="E337" s="89" t="s">
        <v>2081</v>
      </c>
      <c r="F337" s="89"/>
      <c r="G337" s="89" t="s">
        <v>2082</v>
      </c>
      <c r="H337" s="91">
        <v>2112</v>
      </c>
      <c r="I337" s="89" t="s">
        <v>5504</v>
      </c>
      <c r="J337" s="92" t="s">
        <v>883</v>
      </c>
      <c r="K337" s="92"/>
      <c r="L337" s="92" t="s">
        <v>5505</v>
      </c>
      <c r="M337" s="92" t="s">
        <v>5506</v>
      </c>
      <c r="N337" s="93">
        <v>2112</v>
      </c>
      <c r="O337" s="94">
        <v>120000</v>
      </c>
      <c r="P337" s="94">
        <v>9900</v>
      </c>
      <c r="Q337" s="92" t="s">
        <v>3957</v>
      </c>
      <c r="R337" s="92" t="s">
        <v>5507</v>
      </c>
      <c r="S337" s="89" t="s">
        <v>643</v>
      </c>
      <c r="T337" s="91">
        <v>21154</v>
      </c>
    </row>
    <row r="338" spans="1:20" ht="30" customHeight="1" x14ac:dyDescent="0.35">
      <c r="A338" s="92">
        <v>211150</v>
      </c>
      <c r="B338" s="89" t="s">
        <v>5508</v>
      </c>
      <c r="C338" s="89" t="s">
        <v>5509</v>
      </c>
      <c r="D338" s="90" t="s">
        <v>4077</v>
      </c>
      <c r="E338" s="89" t="s">
        <v>2084</v>
      </c>
      <c r="F338" s="89"/>
      <c r="G338" s="89" t="s">
        <v>909</v>
      </c>
      <c r="H338" s="89">
        <v>2111</v>
      </c>
      <c r="I338" s="89" t="s">
        <v>4537</v>
      </c>
      <c r="J338" s="92" t="s">
        <v>883</v>
      </c>
      <c r="K338" s="92"/>
      <c r="L338" s="30">
        <v>392</v>
      </c>
      <c r="M338" s="30" t="s">
        <v>4264</v>
      </c>
      <c r="N338" s="31">
        <v>2111</v>
      </c>
      <c r="O338" s="31">
        <v>200000</v>
      </c>
      <c r="P338" s="31">
        <v>28000</v>
      </c>
      <c r="Q338" s="92" t="s">
        <v>3957</v>
      </c>
      <c r="R338" s="92" t="s">
        <v>5510</v>
      </c>
      <c r="S338" s="92" t="s">
        <v>3982</v>
      </c>
      <c r="T338" s="92" t="s">
        <v>3982</v>
      </c>
    </row>
    <row r="339" spans="1:20" ht="30" customHeight="1" x14ac:dyDescent="0.35">
      <c r="A339" s="88">
        <v>211152</v>
      </c>
      <c r="B339" s="89" t="s">
        <v>5511</v>
      </c>
      <c r="C339" s="89" t="s">
        <v>5512</v>
      </c>
      <c r="D339" s="90" t="s">
        <v>4077</v>
      </c>
      <c r="E339" s="89" t="s">
        <v>2086</v>
      </c>
      <c r="F339" s="89"/>
      <c r="G339" s="89" t="s">
        <v>2087</v>
      </c>
      <c r="H339" s="91">
        <v>2112</v>
      </c>
      <c r="I339" s="89" t="s">
        <v>5504</v>
      </c>
      <c r="J339" s="92" t="s">
        <v>883</v>
      </c>
      <c r="K339" s="92"/>
      <c r="L339" s="92" t="s">
        <v>5505</v>
      </c>
      <c r="M339" s="92" t="s">
        <v>5506</v>
      </c>
      <c r="N339" s="93">
        <v>2112</v>
      </c>
      <c r="O339" s="94">
        <v>120000</v>
      </c>
      <c r="P339" s="94">
        <v>9900</v>
      </c>
      <c r="Q339" s="92" t="s">
        <v>3957</v>
      </c>
      <c r="R339" s="92" t="s">
        <v>5513</v>
      </c>
      <c r="S339" s="89" t="s">
        <v>643</v>
      </c>
      <c r="T339" s="89" t="s">
        <v>5514</v>
      </c>
    </row>
    <row r="340" spans="1:20" ht="30" customHeight="1" x14ac:dyDescent="0.35">
      <c r="A340" s="88">
        <v>211153</v>
      </c>
      <c r="B340" s="89" t="s">
        <v>5515</v>
      </c>
      <c r="C340" s="89" t="s">
        <v>5516</v>
      </c>
      <c r="D340" s="90" t="s">
        <v>4077</v>
      </c>
      <c r="E340" s="89" t="s">
        <v>2089</v>
      </c>
      <c r="F340" s="89"/>
      <c r="G340" s="89" t="s">
        <v>2090</v>
      </c>
      <c r="H340" s="91">
        <v>2112</v>
      </c>
      <c r="I340" s="89" t="s">
        <v>5504</v>
      </c>
      <c r="J340" s="92" t="s">
        <v>883</v>
      </c>
      <c r="K340" s="92"/>
      <c r="L340" s="92" t="s">
        <v>5505</v>
      </c>
      <c r="M340" s="92" t="s">
        <v>5506</v>
      </c>
      <c r="N340" s="93">
        <v>2112</v>
      </c>
      <c r="O340" s="94">
        <v>120000</v>
      </c>
      <c r="P340" s="94">
        <v>9900</v>
      </c>
      <c r="Q340" s="92" t="s">
        <v>3957</v>
      </c>
      <c r="R340" s="92" t="s">
        <v>5517</v>
      </c>
      <c r="S340" s="89" t="s">
        <v>643</v>
      </c>
      <c r="T340" s="91">
        <v>21106</v>
      </c>
    </row>
    <row r="341" spans="1:20" ht="30" customHeight="1" x14ac:dyDescent="0.35">
      <c r="A341" s="88">
        <v>211154</v>
      </c>
      <c r="B341" s="89" t="s">
        <v>5518</v>
      </c>
      <c r="C341" s="89" t="s">
        <v>5519</v>
      </c>
      <c r="D341" s="90" t="s">
        <v>4077</v>
      </c>
      <c r="E341" s="89" t="s">
        <v>2092</v>
      </c>
      <c r="F341" s="89" t="s">
        <v>5520</v>
      </c>
      <c r="G341" s="89" t="s">
        <v>2093</v>
      </c>
      <c r="H341" s="91">
        <v>2112</v>
      </c>
      <c r="I341" s="89" t="s">
        <v>5504</v>
      </c>
      <c r="J341" s="92" t="s">
        <v>883</v>
      </c>
      <c r="K341" s="92"/>
      <c r="L341" s="92" t="s">
        <v>5505</v>
      </c>
      <c r="M341" s="92" t="s">
        <v>5506</v>
      </c>
      <c r="N341" s="93">
        <v>2112</v>
      </c>
      <c r="O341" s="94">
        <v>120000</v>
      </c>
      <c r="P341" s="94">
        <v>9900</v>
      </c>
      <c r="Q341" s="92" t="s">
        <v>3957</v>
      </c>
      <c r="R341" s="92" t="s">
        <v>5521</v>
      </c>
      <c r="S341" s="89" t="s">
        <v>643</v>
      </c>
      <c r="T341" s="91">
        <v>21106</v>
      </c>
    </row>
    <row r="342" spans="1:20" ht="30" customHeight="1" x14ac:dyDescent="0.35">
      <c r="A342" s="88">
        <v>211157</v>
      </c>
      <c r="B342" s="89" t="s">
        <v>5522</v>
      </c>
      <c r="C342" s="89" t="s">
        <v>5523</v>
      </c>
      <c r="D342" s="90" t="s">
        <v>4077</v>
      </c>
      <c r="E342" s="89" t="s">
        <v>2095</v>
      </c>
      <c r="F342" s="89" t="s">
        <v>5524</v>
      </c>
      <c r="G342" s="89" t="s">
        <v>2096</v>
      </c>
      <c r="H342" s="91">
        <v>2116</v>
      </c>
      <c r="I342" s="89" t="s">
        <v>5525</v>
      </c>
      <c r="J342" s="92" t="s">
        <v>883</v>
      </c>
      <c r="K342" s="92"/>
      <c r="L342" s="92" t="s">
        <v>5526</v>
      </c>
      <c r="M342" s="92" t="s">
        <v>5527</v>
      </c>
      <c r="N342" s="93">
        <v>2116</v>
      </c>
      <c r="O342" s="94">
        <v>280000</v>
      </c>
      <c r="P342" s="94">
        <v>14000</v>
      </c>
      <c r="Q342" s="92" t="s">
        <v>3957</v>
      </c>
      <c r="R342" s="92" t="s">
        <v>5528</v>
      </c>
      <c r="S342" s="89" t="s">
        <v>643</v>
      </c>
      <c r="T342" s="89" t="s">
        <v>5529</v>
      </c>
    </row>
    <row r="343" spans="1:20" ht="30" customHeight="1" x14ac:dyDescent="0.35">
      <c r="A343" s="88">
        <v>211159</v>
      </c>
      <c r="B343" s="89" t="s">
        <v>5530</v>
      </c>
      <c r="C343" s="89" t="s">
        <v>5531</v>
      </c>
      <c r="D343" s="90" t="s">
        <v>4077</v>
      </c>
      <c r="E343" s="89" t="s">
        <v>5532</v>
      </c>
      <c r="F343" s="89"/>
      <c r="G343" s="89" t="s">
        <v>2099</v>
      </c>
      <c r="H343" s="91">
        <v>2113</v>
      </c>
      <c r="I343" s="89" t="s">
        <v>5533</v>
      </c>
      <c r="J343" s="92" t="s">
        <v>883</v>
      </c>
      <c r="K343" s="92"/>
      <c r="L343" s="92" t="s">
        <v>5534</v>
      </c>
      <c r="M343" s="92" t="s">
        <v>4996</v>
      </c>
      <c r="N343" s="93">
        <v>2113</v>
      </c>
      <c r="O343" s="94">
        <v>100000</v>
      </c>
      <c r="P343" s="94">
        <v>17000</v>
      </c>
      <c r="Q343" s="92" t="s">
        <v>3957</v>
      </c>
      <c r="R343" s="92" t="s">
        <v>5535</v>
      </c>
      <c r="S343" s="89" t="s">
        <v>643</v>
      </c>
      <c r="T343" s="91">
        <v>21103</v>
      </c>
    </row>
    <row r="344" spans="1:20" ht="30" customHeight="1" x14ac:dyDescent="0.35">
      <c r="A344" s="88">
        <v>211161</v>
      </c>
      <c r="B344" s="89" t="s">
        <v>5536</v>
      </c>
      <c r="C344" s="89" t="s">
        <v>5537</v>
      </c>
      <c r="D344" s="90" t="s">
        <v>4077</v>
      </c>
      <c r="E344" s="89" t="s">
        <v>2101</v>
      </c>
      <c r="F344" s="89"/>
      <c r="G344" s="89" t="s">
        <v>2102</v>
      </c>
      <c r="H344" s="91">
        <v>4423</v>
      </c>
      <c r="I344" s="89" t="s">
        <v>5538</v>
      </c>
      <c r="J344" s="92" t="s">
        <v>883</v>
      </c>
      <c r="K344" s="92" t="s">
        <v>5539</v>
      </c>
      <c r="L344" s="92" t="s">
        <v>5540</v>
      </c>
      <c r="M344" s="92" t="s">
        <v>5541</v>
      </c>
      <c r="N344" s="93">
        <v>4423</v>
      </c>
      <c r="O344" s="94">
        <v>190000</v>
      </c>
      <c r="P344" s="94">
        <v>1900</v>
      </c>
      <c r="Q344" s="92" t="s">
        <v>3957</v>
      </c>
      <c r="R344" s="92" t="s">
        <v>5542</v>
      </c>
      <c r="S344" s="89" t="s">
        <v>643</v>
      </c>
      <c r="T344" s="91">
        <v>44130</v>
      </c>
    </row>
    <row r="345" spans="1:20" ht="30" customHeight="1" x14ac:dyDescent="0.35">
      <c r="A345" s="92">
        <v>211172</v>
      </c>
      <c r="B345" s="89" t="s">
        <v>5543</v>
      </c>
      <c r="C345" s="89" t="s">
        <v>5544</v>
      </c>
      <c r="D345" s="90" t="s">
        <v>4077</v>
      </c>
      <c r="E345" s="89" t="s">
        <v>5545</v>
      </c>
      <c r="F345" s="89"/>
      <c r="G345" s="89" t="s">
        <v>909</v>
      </c>
      <c r="H345" s="89">
        <v>3111</v>
      </c>
      <c r="I345" s="89" t="s">
        <v>5546</v>
      </c>
      <c r="J345" s="92" t="s">
        <v>883</v>
      </c>
      <c r="K345" s="92"/>
      <c r="L345" s="30">
        <v>331.35</v>
      </c>
      <c r="M345" s="30" t="s">
        <v>5547</v>
      </c>
      <c r="N345" s="31">
        <v>3111</v>
      </c>
      <c r="O345" s="31">
        <v>230000</v>
      </c>
      <c r="P345" s="31">
        <v>31000</v>
      </c>
      <c r="Q345" s="92" t="s">
        <v>3957</v>
      </c>
      <c r="R345" s="92" t="s">
        <v>5548</v>
      </c>
      <c r="S345" s="92" t="s">
        <v>3982</v>
      </c>
      <c r="T345" s="92" t="s">
        <v>3982</v>
      </c>
    </row>
    <row r="346" spans="1:20" ht="30" customHeight="1" x14ac:dyDescent="0.35">
      <c r="A346" s="88">
        <v>211173</v>
      </c>
      <c r="B346" s="89" t="s">
        <v>5549</v>
      </c>
      <c r="C346" s="89" t="s">
        <v>5550</v>
      </c>
      <c r="D346" s="90" t="s">
        <v>4077</v>
      </c>
      <c r="E346" s="89" t="s">
        <v>5551</v>
      </c>
      <c r="F346" s="89"/>
      <c r="G346" s="89" t="s">
        <v>5552</v>
      </c>
      <c r="H346" s="91">
        <v>2111</v>
      </c>
      <c r="I346" s="89" t="s">
        <v>4537</v>
      </c>
      <c r="J346" s="92" t="s">
        <v>4058</v>
      </c>
      <c r="K346" s="92"/>
      <c r="L346" s="92" t="s">
        <v>4538</v>
      </c>
      <c r="M346" s="92" t="s">
        <v>4539</v>
      </c>
      <c r="N346" s="93">
        <v>2111</v>
      </c>
      <c r="O346" s="94">
        <v>200000</v>
      </c>
      <c r="P346" s="94">
        <v>28000</v>
      </c>
      <c r="Q346" s="92" t="s">
        <v>3957</v>
      </c>
      <c r="R346" s="92" t="s">
        <v>5553</v>
      </c>
      <c r="S346" s="91">
        <v>21110</v>
      </c>
      <c r="T346" s="91">
        <v>21105</v>
      </c>
    </row>
    <row r="347" spans="1:20" ht="30" customHeight="1" x14ac:dyDescent="0.35">
      <c r="A347" s="88">
        <v>211175</v>
      </c>
      <c r="B347" s="89" t="s">
        <v>5554</v>
      </c>
      <c r="C347" s="89" t="s">
        <v>5555</v>
      </c>
      <c r="D347" s="90" t="s">
        <v>4077</v>
      </c>
      <c r="E347" s="89" t="s">
        <v>5556</v>
      </c>
      <c r="F347" s="89"/>
      <c r="G347" s="89" t="s">
        <v>5557</v>
      </c>
      <c r="H347" s="91">
        <v>2111</v>
      </c>
      <c r="I347" s="89" t="s">
        <v>4537</v>
      </c>
      <c r="J347" s="92" t="s">
        <v>4058</v>
      </c>
      <c r="K347" s="92"/>
      <c r="L347" s="92" t="s">
        <v>4538</v>
      </c>
      <c r="M347" s="92" t="s">
        <v>4539</v>
      </c>
      <c r="N347" s="93">
        <v>2111</v>
      </c>
      <c r="O347" s="94">
        <v>200000</v>
      </c>
      <c r="P347" s="94">
        <v>28000</v>
      </c>
      <c r="Q347" s="92" t="s">
        <v>3957</v>
      </c>
      <c r="R347" s="92" t="s">
        <v>5558</v>
      </c>
      <c r="S347" s="91">
        <v>21110</v>
      </c>
      <c r="T347" s="89" t="s">
        <v>643</v>
      </c>
    </row>
    <row r="348" spans="1:20" ht="30" customHeight="1" x14ac:dyDescent="0.35">
      <c r="A348" s="88">
        <v>211177</v>
      </c>
      <c r="B348" s="89" t="s">
        <v>5559</v>
      </c>
      <c r="C348" s="89" t="s">
        <v>5560</v>
      </c>
      <c r="D348" s="90" t="s">
        <v>4077</v>
      </c>
      <c r="E348" s="89" t="s">
        <v>5561</v>
      </c>
      <c r="F348" s="89"/>
      <c r="G348" s="89" t="s">
        <v>5562</v>
      </c>
      <c r="H348" s="91">
        <v>2112</v>
      </c>
      <c r="I348" s="89" t="s">
        <v>5504</v>
      </c>
      <c r="J348" s="92" t="s">
        <v>883</v>
      </c>
      <c r="K348" s="92"/>
      <c r="L348" s="92" t="s">
        <v>5505</v>
      </c>
      <c r="M348" s="92" t="s">
        <v>5506</v>
      </c>
      <c r="N348" s="93">
        <v>2112</v>
      </c>
      <c r="O348" s="94">
        <v>120000</v>
      </c>
      <c r="P348" s="94">
        <v>9900</v>
      </c>
      <c r="Q348" s="92" t="s">
        <v>3957</v>
      </c>
      <c r="R348" s="92" t="s">
        <v>5563</v>
      </c>
      <c r="S348" s="89" t="s">
        <v>643</v>
      </c>
      <c r="T348" s="89" t="s">
        <v>643</v>
      </c>
    </row>
    <row r="349" spans="1:20" ht="30" customHeight="1" x14ac:dyDescent="0.35">
      <c r="A349" s="88">
        <v>211179</v>
      </c>
      <c r="B349" s="89" t="s">
        <v>5564</v>
      </c>
      <c r="C349" s="89" t="s">
        <v>5565</v>
      </c>
      <c r="D349" s="90" t="s">
        <v>4077</v>
      </c>
      <c r="E349" s="89" t="s">
        <v>2106</v>
      </c>
      <c r="F349" s="89"/>
      <c r="G349" s="89" t="s">
        <v>2107</v>
      </c>
      <c r="H349" s="91">
        <v>2111</v>
      </c>
      <c r="I349" s="89" t="s">
        <v>4537</v>
      </c>
      <c r="J349" s="92" t="s">
        <v>4058</v>
      </c>
      <c r="K349" s="92"/>
      <c r="L349" s="92" t="s">
        <v>4538</v>
      </c>
      <c r="M349" s="92" t="s">
        <v>4539</v>
      </c>
      <c r="N349" s="93">
        <v>2111</v>
      </c>
      <c r="O349" s="94">
        <v>200000</v>
      </c>
      <c r="P349" s="94">
        <v>28000</v>
      </c>
      <c r="Q349" s="92" t="s">
        <v>3957</v>
      </c>
      <c r="R349" s="92" t="s">
        <v>5566</v>
      </c>
      <c r="S349" s="91">
        <v>21110</v>
      </c>
      <c r="T349" s="91">
        <v>21105</v>
      </c>
    </row>
    <row r="350" spans="1:20" ht="30" customHeight="1" x14ac:dyDescent="0.35">
      <c r="A350" s="88">
        <v>211183</v>
      </c>
      <c r="B350" s="89" t="s">
        <v>5567</v>
      </c>
      <c r="C350" s="89" t="s">
        <v>5568</v>
      </c>
      <c r="D350" s="90" t="s">
        <v>4077</v>
      </c>
      <c r="E350" s="89" t="s">
        <v>2109</v>
      </c>
      <c r="F350" s="89"/>
      <c r="G350" s="89" t="s">
        <v>2110</v>
      </c>
      <c r="H350" s="91">
        <v>2114</v>
      </c>
      <c r="I350" s="89" t="s">
        <v>5569</v>
      </c>
      <c r="J350" s="92" t="s">
        <v>883</v>
      </c>
      <c r="K350" s="92"/>
      <c r="L350" s="92" t="s">
        <v>5570</v>
      </c>
      <c r="M350" s="92" t="s">
        <v>5571</v>
      </c>
      <c r="N350" s="93">
        <v>2114</v>
      </c>
      <c r="O350" s="94">
        <v>56000</v>
      </c>
      <c r="P350" s="94">
        <v>6000</v>
      </c>
      <c r="Q350" s="92" t="s">
        <v>3957</v>
      </c>
      <c r="R350" s="92" t="s">
        <v>5572</v>
      </c>
      <c r="S350" s="91">
        <v>21140</v>
      </c>
      <c r="T350" s="91">
        <v>21101</v>
      </c>
    </row>
    <row r="351" spans="1:20" ht="30" customHeight="1" x14ac:dyDescent="0.35">
      <c r="A351" s="88">
        <v>211193</v>
      </c>
      <c r="B351" s="89" t="s">
        <v>5573</v>
      </c>
      <c r="C351" s="89" t="s">
        <v>5574</v>
      </c>
      <c r="D351" s="90" t="s">
        <v>3978</v>
      </c>
      <c r="E351" s="89" t="s">
        <v>5575</v>
      </c>
      <c r="F351" s="89"/>
      <c r="G351" s="89" t="s">
        <v>2113</v>
      </c>
      <c r="H351" s="91">
        <v>2118</v>
      </c>
      <c r="I351" s="89" t="s">
        <v>5576</v>
      </c>
      <c r="J351" s="92" t="s">
        <v>883</v>
      </c>
      <c r="K351" s="92"/>
      <c r="L351" s="92" t="s">
        <v>5577</v>
      </c>
      <c r="M351" s="92" t="s">
        <v>5578</v>
      </c>
      <c r="N351" s="93">
        <v>2118</v>
      </c>
      <c r="O351" s="94">
        <v>2</v>
      </c>
      <c r="P351" s="94">
        <v>1</v>
      </c>
      <c r="Q351" s="92" t="s">
        <v>3957</v>
      </c>
      <c r="R351" s="92" t="s">
        <v>5579</v>
      </c>
      <c r="S351" s="91">
        <v>21141</v>
      </c>
      <c r="T351" s="89" t="s">
        <v>5580</v>
      </c>
    </row>
    <row r="352" spans="1:20" ht="30" customHeight="1" x14ac:dyDescent="0.35">
      <c r="A352" s="88">
        <v>211251</v>
      </c>
      <c r="B352" s="89" t="s">
        <v>5581</v>
      </c>
      <c r="C352" s="89" t="s">
        <v>5582</v>
      </c>
      <c r="D352" s="90" t="s">
        <v>4077</v>
      </c>
      <c r="E352" s="89" t="s">
        <v>2115</v>
      </c>
      <c r="F352" s="89"/>
      <c r="G352" s="89" t="s">
        <v>2116</v>
      </c>
      <c r="H352" s="91">
        <v>2116</v>
      </c>
      <c r="I352" s="89" t="s">
        <v>5525</v>
      </c>
      <c r="J352" s="92" t="s">
        <v>883</v>
      </c>
      <c r="K352" s="92"/>
      <c r="L352" s="92" t="s">
        <v>5526</v>
      </c>
      <c r="M352" s="92" t="s">
        <v>5527</v>
      </c>
      <c r="N352" s="93">
        <v>2116</v>
      </c>
      <c r="O352" s="94">
        <v>280000</v>
      </c>
      <c r="P352" s="94">
        <v>14000</v>
      </c>
      <c r="Q352" s="92" t="s">
        <v>3957</v>
      </c>
      <c r="R352" s="92" t="s">
        <v>5583</v>
      </c>
      <c r="S352" s="89" t="s">
        <v>643</v>
      </c>
      <c r="T352" s="91">
        <v>21127</v>
      </c>
    </row>
    <row r="353" spans="1:20" ht="30" customHeight="1" x14ac:dyDescent="0.35">
      <c r="A353" s="88">
        <v>211252</v>
      </c>
      <c r="B353" s="89" t="s">
        <v>5584</v>
      </c>
      <c r="C353" s="89" t="s">
        <v>5585</v>
      </c>
      <c r="D353" s="90" t="s">
        <v>4077</v>
      </c>
      <c r="E353" s="89" t="s">
        <v>2118</v>
      </c>
      <c r="F353" s="89"/>
      <c r="G353" s="89" t="s">
        <v>2119</v>
      </c>
      <c r="H353" s="91">
        <v>2116</v>
      </c>
      <c r="I353" s="89" t="s">
        <v>5525</v>
      </c>
      <c r="J353" s="92" t="s">
        <v>883</v>
      </c>
      <c r="K353" s="92"/>
      <c r="L353" s="92" t="s">
        <v>5526</v>
      </c>
      <c r="M353" s="92" t="s">
        <v>5527</v>
      </c>
      <c r="N353" s="93">
        <v>2116</v>
      </c>
      <c r="O353" s="94">
        <v>280000</v>
      </c>
      <c r="P353" s="94">
        <v>14000</v>
      </c>
      <c r="Q353" s="92" t="s">
        <v>3957</v>
      </c>
      <c r="R353" s="92" t="s">
        <v>5586</v>
      </c>
      <c r="S353" s="89" t="s">
        <v>643</v>
      </c>
      <c r="T353" s="89" t="s">
        <v>643</v>
      </c>
    </row>
    <row r="354" spans="1:20" ht="30" customHeight="1" x14ac:dyDescent="0.35">
      <c r="A354" s="88">
        <v>211253</v>
      </c>
      <c r="B354" s="89" t="s">
        <v>5587</v>
      </c>
      <c r="C354" s="89" t="s">
        <v>5588</v>
      </c>
      <c r="D354" s="90" t="s">
        <v>4077</v>
      </c>
      <c r="E354" s="89" t="s">
        <v>2121</v>
      </c>
      <c r="F354" s="89"/>
      <c r="G354" s="89" t="s">
        <v>2122</v>
      </c>
      <c r="H354" s="91">
        <v>2116</v>
      </c>
      <c r="I354" s="89" t="s">
        <v>5525</v>
      </c>
      <c r="J354" s="92" t="s">
        <v>883</v>
      </c>
      <c r="K354" s="92"/>
      <c r="L354" s="92" t="s">
        <v>5526</v>
      </c>
      <c r="M354" s="92" t="s">
        <v>5527</v>
      </c>
      <c r="N354" s="93">
        <v>2116</v>
      </c>
      <c r="O354" s="94">
        <v>280000</v>
      </c>
      <c r="P354" s="94">
        <v>14000</v>
      </c>
      <c r="Q354" s="92" t="s">
        <v>3957</v>
      </c>
      <c r="R354" s="92" t="s">
        <v>5589</v>
      </c>
      <c r="S354" s="89" t="s">
        <v>643</v>
      </c>
      <c r="T354" s="89" t="s">
        <v>643</v>
      </c>
    </row>
    <row r="355" spans="1:20" ht="30" customHeight="1" x14ac:dyDescent="0.35">
      <c r="A355" s="88">
        <v>211254</v>
      </c>
      <c r="B355" s="89" t="s">
        <v>5590</v>
      </c>
      <c r="C355" s="89" t="s">
        <v>5591</v>
      </c>
      <c r="D355" s="90" t="s">
        <v>4077</v>
      </c>
      <c r="E355" s="89" t="s">
        <v>2124</v>
      </c>
      <c r="F355" s="89"/>
      <c r="G355" s="89" t="s">
        <v>2125</v>
      </c>
      <c r="H355" s="91">
        <v>2116</v>
      </c>
      <c r="I355" s="89" t="s">
        <v>5525</v>
      </c>
      <c r="J355" s="92" t="s">
        <v>883</v>
      </c>
      <c r="K355" s="92"/>
      <c r="L355" s="92" t="s">
        <v>5526</v>
      </c>
      <c r="M355" s="92" t="s">
        <v>5527</v>
      </c>
      <c r="N355" s="93">
        <v>2116</v>
      </c>
      <c r="O355" s="94">
        <v>280000</v>
      </c>
      <c r="P355" s="94">
        <v>14000</v>
      </c>
      <c r="Q355" s="92" t="s">
        <v>3957</v>
      </c>
      <c r="R355" s="92" t="s">
        <v>5592</v>
      </c>
      <c r="S355" s="89" t="s">
        <v>643</v>
      </c>
      <c r="T355" s="89" t="s">
        <v>643</v>
      </c>
    </row>
    <row r="356" spans="1:20" ht="30" customHeight="1" x14ac:dyDescent="0.35">
      <c r="A356" s="88">
        <v>211256</v>
      </c>
      <c r="B356" s="89" t="s">
        <v>5593</v>
      </c>
      <c r="C356" s="89" t="s">
        <v>5594</v>
      </c>
      <c r="D356" s="90" t="s">
        <v>4077</v>
      </c>
      <c r="E356" s="89" t="s">
        <v>2127</v>
      </c>
      <c r="F356" s="89"/>
      <c r="G356" s="89" t="s">
        <v>2128</v>
      </c>
      <c r="H356" s="91">
        <v>2116</v>
      </c>
      <c r="I356" s="89" t="s">
        <v>5525</v>
      </c>
      <c r="J356" s="92" t="s">
        <v>883</v>
      </c>
      <c r="K356" s="92"/>
      <c r="L356" s="92" t="s">
        <v>5526</v>
      </c>
      <c r="M356" s="92" t="s">
        <v>5527</v>
      </c>
      <c r="N356" s="93">
        <v>2116</v>
      </c>
      <c r="O356" s="94">
        <v>280000</v>
      </c>
      <c r="P356" s="94">
        <v>14000</v>
      </c>
      <c r="Q356" s="92" t="s">
        <v>3957</v>
      </c>
      <c r="R356" s="92" t="s">
        <v>5595</v>
      </c>
      <c r="S356" s="89" t="s">
        <v>643</v>
      </c>
      <c r="T356" s="89" t="s">
        <v>643</v>
      </c>
    </row>
    <row r="357" spans="1:20" ht="30" customHeight="1" x14ac:dyDescent="0.35">
      <c r="A357" s="88">
        <v>211271</v>
      </c>
      <c r="B357" s="89" t="s">
        <v>5596</v>
      </c>
      <c r="C357" s="89" t="s">
        <v>5597</v>
      </c>
      <c r="D357" s="90" t="s">
        <v>4077</v>
      </c>
      <c r="E357" s="89" t="s">
        <v>2130</v>
      </c>
      <c r="F357" s="89"/>
      <c r="G357" s="89" t="s">
        <v>2131</v>
      </c>
      <c r="H357" s="91">
        <v>2116</v>
      </c>
      <c r="I357" s="89" t="s">
        <v>5525</v>
      </c>
      <c r="J357" s="92" t="s">
        <v>883</v>
      </c>
      <c r="K357" s="92"/>
      <c r="L357" s="92" t="s">
        <v>5526</v>
      </c>
      <c r="M357" s="92" t="s">
        <v>5527</v>
      </c>
      <c r="N357" s="93">
        <v>2116</v>
      </c>
      <c r="O357" s="94">
        <v>280000</v>
      </c>
      <c r="P357" s="94">
        <v>14000</v>
      </c>
      <c r="Q357" s="92" t="s">
        <v>3957</v>
      </c>
      <c r="R357" s="92" t="s">
        <v>5598</v>
      </c>
      <c r="S357" s="89" t="s">
        <v>643</v>
      </c>
      <c r="T357" s="89" t="s">
        <v>643</v>
      </c>
    </row>
    <row r="358" spans="1:20" ht="30" customHeight="1" x14ac:dyDescent="0.35">
      <c r="A358" s="88">
        <v>211601</v>
      </c>
      <c r="B358" s="89" t="s">
        <v>5599</v>
      </c>
      <c r="C358" s="89" t="s">
        <v>5600</v>
      </c>
      <c r="D358" s="90" t="s">
        <v>4077</v>
      </c>
      <c r="E358" s="89" t="s">
        <v>2133</v>
      </c>
      <c r="F358" s="89"/>
      <c r="G358" s="89" t="s">
        <v>2134</v>
      </c>
      <c r="H358" s="91">
        <v>2116</v>
      </c>
      <c r="I358" s="89" t="s">
        <v>5525</v>
      </c>
      <c r="J358" s="92" t="s">
        <v>883</v>
      </c>
      <c r="K358" s="92"/>
      <c r="L358" s="92" t="s">
        <v>5526</v>
      </c>
      <c r="M358" s="92" t="s">
        <v>5527</v>
      </c>
      <c r="N358" s="93">
        <v>2116</v>
      </c>
      <c r="O358" s="94">
        <v>280000</v>
      </c>
      <c r="P358" s="94">
        <v>14000</v>
      </c>
      <c r="Q358" s="92" t="s">
        <v>3957</v>
      </c>
      <c r="R358" s="92" t="s">
        <v>5601</v>
      </c>
      <c r="S358" s="89" t="s">
        <v>643</v>
      </c>
      <c r="T358" s="91">
        <v>21196</v>
      </c>
    </row>
    <row r="359" spans="1:20" ht="67" customHeight="1" x14ac:dyDescent="0.35">
      <c r="A359" s="88">
        <v>212212</v>
      </c>
      <c r="B359" s="89" t="s">
        <v>5602</v>
      </c>
      <c r="C359" s="89" t="s">
        <v>5603</v>
      </c>
      <c r="D359" s="90" t="s">
        <v>4077</v>
      </c>
      <c r="E359" s="89" t="s">
        <v>2136</v>
      </c>
      <c r="F359" s="89"/>
      <c r="G359" s="89" t="s">
        <v>2137</v>
      </c>
      <c r="H359" s="91">
        <v>2121</v>
      </c>
      <c r="I359" s="89" t="s">
        <v>5604</v>
      </c>
      <c r="J359" s="92" t="s">
        <v>4058</v>
      </c>
      <c r="K359" s="92"/>
      <c r="L359" s="92" t="s">
        <v>5605</v>
      </c>
      <c r="M359" s="92" t="s">
        <v>5606</v>
      </c>
      <c r="N359" s="93">
        <v>2121</v>
      </c>
      <c r="O359" s="94">
        <v>79000</v>
      </c>
      <c r="P359" s="94">
        <v>8000</v>
      </c>
      <c r="Q359" s="92" t="s">
        <v>3957</v>
      </c>
      <c r="R359" s="92" t="s">
        <v>5607</v>
      </c>
      <c r="S359" s="89" t="s">
        <v>643</v>
      </c>
      <c r="T359" s="91">
        <v>21230</v>
      </c>
    </row>
    <row r="360" spans="1:20" ht="30" customHeight="1" x14ac:dyDescent="0.35">
      <c r="A360" s="88">
        <v>212213</v>
      </c>
      <c r="B360" s="89" t="s">
        <v>5608</v>
      </c>
      <c r="C360" s="89" t="s">
        <v>5609</v>
      </c>
      <c r="D360" s="90" t="s">
        <v>4077</v>
      </c>
      <c r="E360" s="89" t="s">
        <v>5610</v>
      </c>
      <c r="F360" s="89"/>
      <c r="G360" s="89" t="s">
        <v>2140</v>
      </c>
      <c r="H360" s="91">
        <v>2121</v>
      </c>
      <c r="I360" s="89" t="s">
        <v>5604</v>
      </c>
      <c r="J360" s="92" t="s">
        <v>4058</v>
      </c>
      <c r="K360" s="92"/>
      <c r="L360" s="92" t="s">
        <v>5605</v>
      </c>
      <c r="M360" s="92" t="s">
        <v>5606</v>
      </c>
      <c r="N360" s="93">
        <v>2121</v>
      </c>
      <c r="O360" s="94">
        <v>79000</v>
      </c>
      <c r="P360" s="94">
        <v>8000</v>
      </c>
      <c r="Q360" s="92" t="s">
        <v>3957</v>
      </c>
      <c r="R360" s="92" t="s">
        <v>5611</v>
      </c>
      <c r="S360" s="89" t="s">
        <v>643</v>
      </c>
      <c r="T360" s="89" t="s">
        <v>5612</v>
      </c>
    </row>
    <row r="361" spans="1:20" ht="30" customHeight="1" x14ac:dyDescent="0.35">
      <c r="A361" s="88">
        <v>212215</v>
      </c>
      <c r="B361" s="89" t="s">
        <v>5613</v>
      </c>
      <c r="C361" s="89" t="s">
        <v>5614</v>
      </c>
      <c r="D361" s="90" t="s">
        <v>4077</v>
      </c>
      <c r="E361" s="89" t="s">
        <v>2142</v>
      </c>
      <c r="F361" s="89"/>
      <c r="G361" s="89" t="s">
        <v>2143</v>
      </c>
      <c r="H361" s="91">
        <v>2121</v>
      </c>
      <c r="I361" s="89" t="s">
        <v>5604</v>
      </c>
      <c r="J361" s="92" t="s">
        <v>4058</v>
      </c>
      <c r="K361" s="92"/>
      <c r="L361" s="92" t="s">
        <v>5605</v>
      </c>
      <c r="M361" s="92" t="s">
        <v>5606</v>
      </c>
      <c r="N361" s="93">
        <v>2121</v>
      </c>
      <c r="O361" s="94">
        <v>79000</v>
      </c>
      <c r="P361" s="94">
        <v>8000</v>
      </c>
      <c r="Q361" s="92" t="s">
        <v>3957</v>
      </c>
      <c r="R361" s="92" t="s">
        <v>5615</v>
      </c>
      <c r="S361" s="89" t="s">
        <v>643</v>
      </c>
      <c r="T361" s="89" t="s">
        <v>5612</v>
      </c>
    </row>
    <row r="362" spans="1:20" ht="30" customHeight="1" x14ac:dyDescent="0.35">
      <c r="A362" s="88">
        <v>212216</v>
      </c>
      <c r="B362" s="89" t="s">
        <v>5616</v>
      </c>
      <c r="C362" s="89" t="s">
        <v>5617</v>
      </c>
      <c r="D362" s="90" t="s">
        <v>4077</v>
      </c>
      <c r="E362" s="89" t="s">
        <v>2145</v>
      </c>
      <c r="F362" s="89"/>
      <c r="G362" s="89" t="s">
        <v>2146</v>
      </c>
      <c r="H362" s="91">
        <v>2121</v>
      </c>
      <c r="I362" s="89" t="s">
        <v>5604</v>
      </c>
      <c r="J362" s="92" t="s">
        <v>4058</v>
      </c>
      <c r="K362" s="92"/>
      <c r="L362" s="92" t="s">
        <v>5605</v>
      </c>
      <c r="M362" s="92" t="s">
        <v>5606</v>
      </c>
      <c r="N362" s="93">
        <v>2121</v>
      </c>
      <c r="O362" s="94">
        <v>79000</v>
      </c>
      <c r="P362" s="94">
        <v>8000</v>
      </c>
      <c r="Q362" s="92" t="s">
        <v>3957</v>
      </c>
      <c r="R362" s="92" t="s">
        <v>5618</v>
      </c>
      <c r="S362" s="89" t="s">
        <v>643</v>
      </c>
      <c r="T362" s="89" t="s">
        <v>5612</v>
      </c>
    </row>
    <row r="363" spans="1:20" ht="30" customHeight="1" x14ac:dyDescent="0.35">
      <c r="A363" s="88">
        <v>212217</v>
      </c>
      <c r="B363" s="89" t="s">
        <v>5619</v>
      </c>
      <c r="C363" s="89" t="s">
        <v>5620</v>
      </c>
      <c r="D363" s="90" t="s">
        <v>4077</v>
      </c>
      <c r="E363" s="89" t="s">
        <v>2148</v>
      </c>
      <c r="F363" s="89"/>
      <c r="G363" s="89" t="s">
        <v>2149</v>
      </c>
      <c r="H363" s="91">
        <v>2123</v>
      </c>
      <c r="I363" s="89" t="s">
        <v>5621</v>
      </c>
      <c r="J363" s="92" t="s">
        <v>883</v>
      </c>
      <c r="K363" s="92"/>
      <c r="L363" s="92" t="s">
        <v>5622</v>
      </c>
      <c r="M363" s="92" t="s">
        <v>5623</v>
      </c>
      <c r="N363" s="93">
        <v>2123</v>
      </c>
      <c r="O363" s="94">
        <v>34000</v>
      </c>
      <c r="P363" s="94">
        <v>7600</v>
      </c>
      <c r="Q363" s="92" t="s">
        <v>3957</v>
      </c>
      <c r="R363" s="92" t="s">
        <v>5624</v>
      </c>
      <c r="S363" s="89" t="s">
        <v>643</v>
      </c>
      <c r="T363" s="91">
        <v>21220</v>
      </c>
    </row>
    <row r="364" spans="1:20" ht="30" customHeight="1" x14ac:dyDescent="0.35">
      <c r="A364" s="88">
        <v>212219</v>
      </c>
      <c r="B364" s="89" t="s">
        <v>5625</v>
      </c>
      <c r="C364" s="89" t="s">
        <v>5626</v>
      </c>
      <c r="D364" s="90" t="s">
        <v>4077</v>
      </c>
      <c r="E364" s="89" t="s">
        <v>5627</v>
      </c>
      <c r="F364" s="89"/>
      <c r="G364" s="89" t="s">
        <v>2152</v>
      </c>
      <c r="H364" s="91">
        <v>2123</v>
      </c>
      <c r="I364" s="89" t="s">
        <v>5621</v>
      </c>
      <c r="J364" s="92" t="s">
        <v>883</v>
      </c>
      <c r="K364" s="92"/>
      <c r="L364" s="92" t="s">
        <v>5622</v>
      </c>
      <c r="M364" s="92" t="s">
        <v>5623</v>
      </c>
      <c r="N364" s="93">
        <v>2123</v>
      </c>
      <c r="O364" s="94">
        <v>34000</v>
      </c>
      <c r="P364" s="94">
        <v>7600</v>
      </c>
      <c r="Q364" s="92" t="s">
        <v>3957</v>
      </c>
      <c r="R364" s="92" t="s">
        <v>5628</v>
      </c>
      <c r="S364" s="89" t="s">
        <v>643</v>
      </c>
      <c r="T364" s="91">
        <v>21220</v>
      </c>
    </row>
    <row r="365" spans="1:20" ht="30" customHeight="1" x14ac:dyDescent="0.35">
      <c r="A365" s="88">
        <v>212220</v>
      </c>
      <c r="B365" s="89" t="s">
        <v>5629</v>
      </c>
      <c r="C365" s="89" t="s">
        <v>5630</v>
      </c>
      <c r="D365" s="90" t="s">
        <v>4077</v>
      </c>
      <c r="E365" s="89" t="s">
        <v>2154</v>
      </c>
      <c r="F365" s="89"/>
      <c r="G365" s="89" t="s">
        <v>2155</v>
      </c>
      <c r="H365" s="91">
        <v>2123</v>
      </c>
      <c r="I365" s="89" t="s">
        <v>5621</v>
      </c>
      <c r="J365" s="92" t="s">
        <v>883</v>
      </c>
      <c r="K365" s="92"/>
      <c r="L365" s="92" t="s">
        <v>5622</v>
      </c>
      <c r="M365" s="92" t="s">
        <v>5623</v>
      </c>
      <c r="N365" s="93">
        <v>2123</v>
      </c>
      <c r="O365" s="94">
        <v>34000</v>
      </c>
      <c r="P365" s="94">
        <v>7600</v>
      </c>
      <c r="Q365" s="92" t="s">
        <v>3957</v>
      </c>
      <c r="R365" s="92" t="s">
        <v>5631</v>
      </c>
      <c r="S365" s="89" t="s">
        <v>643</v>
      </c>
      <c r="T365" s="91">
        <v>21220</v>
      </c>
    </row>
    <row r="366" spans="1:20" ht="30" customHeight="1" x14ac:dyDescent="0.35">
      <c r="A366" s="88">
        <v>212252</v>
      </c>
      <c r="B366" s="89" t="s">
        <v>5632</v>
      </c>
      <c r="C366" s="89" t="s">
        <v>5633</v>
      </c>
      <c r="D366" s="90" t="s">
        <v>4077</v>
      </c>
      <c r="E366" s="89" t="s">
        <v>2157</v>
      </c>
      <c r="F366" s="89" t="s">
        <v>5634</v>
      </c>
      <c r="G366" s="89" t="s">
        <v>2158</v>
      </c>
      <c r="H366" s="91">
        <v>2123</v>
      </c>
      <c r="I366" s="89" t="s">
        <v>5621</v>
      </c>
      <c r="J366" s="92" t="s">
        <v>883</v>
      </c>
      <c r="K366" s="92"/>
      <c r="L366" s="92" t="s">
        <v>5622</v>
      </c>
      <c r="M366" s="92" t="s">
        <v>5623</v>
      </c>
      <c r="N366" s="93">
        <v>2123</v>
      </c>
      <c r="O366" s="94">
        <v>34000</v>
      </c>
      <c r="P366" s="94">
        <v>7600</v>
      </c>
      <c r="Q366" s="92" t="s">
        <v>3957</v>
      </c>
      <c r="R366" s="92" t="s">
        <v>5635</v>
      </c>
      <c r="S366" s="89" t="s">
        <v>643</v>
      </c>
      <c r="T366" s="89" t="s">
        <v>643</v>
      </c>
    </row>
    <row r="367" spans="1:20" ht="30" customHeight="1" x14ac:dyDescent="0.35">
      <c r="A367" s="88">
        <v>213332</v>
      </c>
      <c r="B367" s="89" t="s">
        <v>5636</v>
      </c>
      <c r="C367" s="89" t="s">
        <v>5637</v>
      </c>
      <c r="D367" s="90" t="s">
        <v>4077</v>
      </c>
      <c r="E367" s="89" t="s">
        <v>2160</v>
      </c>
      <c r="F367" s="89"/>
      <c r="G367" s="89" t="s">
        <v>2161</v>
      </c>
      <c r="H367" s="91">
        <v>1552</v>
      </c>
      <c r="I367" s="89" t="s">
        <v>5638</v>
      </c>
      <c r="J367" s="92" t="s">
        <v>4904</v>
      </c>
      <c r="K367" s="92"/>
      <c r="L367" s="92" t="s">
        <v>5639</v>
      </c>
      <c r="M367" s="92" t="s">
        <v>5640</v>
      </c>
      <c r="N367" s="93">
        <v>1552</v>
      </c>
      <c r="O367" s="94">
        <v>19000</v>
      </c>
      <c r="P367" s="94">
        <v>4600</v>
      </c>
      <c r="Q367" s="92" t="s">
        <v>3957</v>
      </c>
      <c r="R367" s="92" t="s">
        <v>5641</v>
      </c>
      <c r="S367" s="89" t="s">
        <v>643</v>
      </c>
      <c r="T367" s="91">
        <v>15521</v>
      </c>
    </row>
    <row r="368" spans="1:20" ht="30" customHeight="1" x14ac:dyDescent="0.35">
      <c r="A368" s="88">
        <v>213363</v>
      </c>
      <c r="B368" s="89" t="s">
        <v>5642</v>
      </c>
      <c r="C368" s="89" t="s">
        <v>5643</v>
      </c>
      <c r="D368" s="90" t="s">
        <v>4077</v>
      </c>
      <c r="E368" s="89" t="s">
        <v>5644</v>
      </c>
      <c r="F368" s="89"/>
      <c r="G368" s="89" t="s">
        <v>2164</v>
      </c>
      <c r="H368" s="91">
        <v>2133</v>
      </c>
      <c r="I368" s="89" t="s">
        <v>5645</v>
      </c>
      <c r="J368" s="92" t="s">
        <v>4058</v>
      </c>
      <c r="K368" s="92"/>
      <c r="L368" s="92" t="s">
        <v>5646</v>
      </c>
      <c r="M368" s="92" t="s">
        <v>5647</v>
      </c>
      <c r="N368" s="93">
        <v>2133</v>
      </c>
      <c r="O368" s="94">
        <v>200000</v>
      </c>
      <c r="P368" s="94">
        <v>7900</v>
      </c>
      <c r="Q368" s="92" t="s">
        <v>3957</v>
      </c>
      <c r="R368" s="92" t="s">
        <v>5648</v>
      </c>
      <c r="S368" s="91">
        <v>21330</v>
      </c>
      <c r="T368" s="89" t="s">
        <v>5649</v>
      </c>
    </row>
    <row r="369" spans="1:20" ht="30" customHeight="1" x14ac:dyDescent="0.35">
      <c r="A369" s="88">
        <v>213436</v>
      </c>
      <c r="B369" s="89" t="s">
        <v>5650</v>
      </c>
      <c r="C369" s="89" t="s">
        <v>5651</v>
      </c>
      <c r="D369" s="90" t="s">
        <v>3978</v>
      </c>
      <c r="E369" s="89" t="s">
        <v>2166</v>
      </c>
      <c r="F369" s="89"/>
      <c r="G369" s="89" t="s">
        <v>2167</v>
      </c>
      <c r="H369" s="91">
        <v>2132</v>
      </c>
      <c r="I369" s="89" t="s">
        <v>2165</v>
      </c>
      <c r="J369" s="92" t="s">
        <v>883</v>
      </c>
      <c r="K369" s="92"/>
      <c r="L369" s="92" t="s">
        <v>5652</v>
      </c>
      <c r="M369" s="92" t="s">
        <v>5653</v>
      </c>
      <c r="N369" s="93">
        <v>2132</v>
      </c>
      <c r="O369" s="94">
        <v>1</v>
      </c>
      <c r="P369" s="94">
        <v>1</v>
      </c>
      <c r="Q369" s="92" t="s">
        <v>3957</v>
      </c>
      <c r="R369" s="92" t="s">
        <v>5654</v>
      </c>
      <c r="S369" s="91">
        <v>21320</v>
      </c>
      <c r="T369" s="91">
        <v>21320</v>
      </c>
    </row>
    <row r="370" spans="1:20" ht="30" customHeight="1" x14ac:dyDescent="0.35">
      <c r="A370" s="88">
        <v>213499</v>
      </c>
      <c r="B370" s="89" t="s">
        <v>5655</v>
      </c>
      <c r="C370" s="89" t="s">
        <v>5656</v>
      </c>
      <c r="D370" s="90" t="s">
        <v>4077</v>
      </c>
      <c r="E370" s="89" t="s">
        <v>2169</v>
      </c>
      <c r="F370" s="89"/>
      <c r="G370" s="89" t="s">
        <v>2170</v>
      </c>
      <c r="H370" s="91">
        <v>2134</v>
      </c>
      <c r="I370" s="89" t="s">
        <v>2168</v>
      </c>
      <c r="J370" s="92" t="s">
        <v>883</v>
      </c>
      <c r="K370" s="92"/>
      <c r="L370" s="92" t="s">
        <v>5657</v>
      </c>
      <c r="M370" s="92" t="s">
        <v>5623</v>
      </c>
      <c r="N370" s="93">
        <v>2134</v>
      </c>
      <c r="O370" s="94">
        <v>130000</v>
      </c>
      <c r="P370" s="94">
        <v>11000</v>
      </c>
      <c r="Q370" s="92" t="s">
        <v>3957</v>
      </c>
      <c r="R370" s="92" t="s">
        <v>5658</v>
      </c>
      <c r="S370" s="91">
        <v>21335</v>
      </c>
      <c r="T370" s="89" t="s">
        <v>5659</v>
      </c>
    </row>
    <row r="371" spans="1:20" ht="55.5" customHeight="1" x14ac:dyDescent="0.35">
      <c r="A371" s="88">
        <v>213700</v>
      </c>
      <c r="B371" s="89" t="s">
        <v>5660</v>
      </c>
      <c r="C371" s="89" t="s">
        <v>5661</v>
      </c>
      <c r="D371" s="90" t="s">
        <v>4077</v>
      </c>
      <c r="E371" s="89" t="s">
        <v>2172</v>
      </c>
      <c r="F371" s="89"/>
      <c r="G371" s="89" t="s">
        <v>909</v>
      </c>
      <c r="H371" s="91">
        <v>2134</v>
      </c>
      <c r="I371" s="89" t="s">
        <v>2168</v>
      </c>
      <c r="J371" s="92" t="s">
        <v>883</v>
      </c>
      <c r="K371" s="92"/>
      <c r="L371" s="92" t="s">
        <v>5657</v>
      </c>
      <c r="M371" s="92" t="s">
        <v>5623</v>
      </c>
      <c r="N371" s="93">
        <v>2134</v>
      </c>
      <c r="O371" s="94">
        <v>130000</v>
      </c>
      <c r="P371" s="94">
        <v>11000</v>
      </c>
      <c r="Q371" s="92" t="s">
        <v>3957</v>
      </c>
      <c r="R371" s="92" t="s">
        <v>5662</v>
      </c>
      <c r="S371" s="89" t="s">
        <v>3982</v>
      </c>
      <c r="T371" s="91">
        <v>21370</v>
      </c>
    </row>
    <row r="372" spans="1:20" ht="30" customHeight="1" x14ac:dyDescent="0.35">
      <c r="A372" s="88">
        <v>214070</v>
      </c>
      <c r="B372" s="89" t="s">
        <v>5663</v>
      </c>
      <c r="C372" s="89"/>
      <c r="D372" s="90" t="s">
        <v>4077</v>
      </c>
      <c r="E372" s="89" t="s">
        <v>5664</v>
      </c>
      <c r="F372" s="89"/>
      <c r="G372" s="89" t="s">
        <v>909</v>
      </c>
      <c r="H372" s="91">
        <v>2143</v>
      </c>
      <c r="I372" s="89" t="s">
        <v>5665</v>
      </c>
      <c r="J372" s="92" t="s">
        <v>883</v>
      </c>
      <c r="K372" s="92"/>
      <c r="L372" s="92"/>
      <c r="M372" s="92"/>
      <c r="N372" s="93"/>
      <c r="O372" s="94"/>
      <c r="P372" s="94"/>
      <c r="Q372" s="92"/>
      <c r="R372" s="92"/>
      <c r="S372" s="89"/>
      <c r="T372" s="91"/>
    </row>
    <row r="373" spans="1:20" ht="30" customHeight="1" x14ac:dyDescent="0.35">
      <c r="A373" s="88">
        <v>214090</v>
      </c>
      <c r="B373" s="89" t="s">
        <v>5666</v>
      </c>
      <c r="C373" s="89"/>
      <c r="D373" s="90" t="s">
        <v>4077</v>
      </c>
      <c r="E373" s="89" t="s">
        <v>2176</v>
      </c>
      <c r="F373" s="89"/>
      <c r="G373" s="89" t="s">
        <v>909</v>
      </c>
      <c r="H373" s="91">
        <v>2144</v>
      </c>
      <c r="I373" s="89" t="s">
        <v>5667</v>
      </c>
      <c r="J373" s="92" t="s">
        <v>883</v>
      </c>
      <c r="K373" s="92"/>
      <c r="L373" s="92"/>
      <c r="M373" s="92"/>
      <c r="N373" s="93"/>
      <c r="O373" s="94"/>
      <c r="P373" s="94"/>
      <c r="Q373" s="92"/>
      <c r="R373" s="92"/>
      <c r="S373" s="89"/>
      <c r="T373" s="91"/>
    </row>
    <row r="374" spans="1:20" ht="30" customHeight="1" x14ac:dyDescent="0.35">
      <c r="A374" s="88">
        <v>214400</v>
      </c>
      <c r="B374" s="89" t="s">
        <v>5668</v>
      </c>
      <c r="C374" s="89"/>
      <c r="D374" s="90" t="s">
        <v>3978</v>
      </c>
      <c r="E374" s="89" t="s">
        <v>2178</v>
      </c>
      <c r="F374" s="89"/>
      <c r="G374" s="89" t="s">
        <v>909</v>
      </c>
      <c r="H374" s="91">
        <v>2185</v>
      </c>
      <c r="I374" s="89" t="s">
        <v>5669</v>
      </c>
      <c r="J374" s="92" t="s">
        <v>883</v>
      </c>
      <c r="K374" s="92"/>
      <c r="L374" s="92"/>
      <c r="M374" s="92"/>
      <c r="N374" s="93"/>
      <c r="O374" s="94"/>
      <c r="P374" s="94"/>
      <c r="Q374" s="92"/>
      <c r="R374" s="92"/>
      <c r="S374" s="89"/>
      <c r="T374" s="91"/>
    </row>
    <row r="375" spans="1:20" ht="30" customHeight="1" x14ac:dyDescent="0.35">
      <c r="A375" s="88">
        <v>214410</v>
      </c>
      <c r="B375" s="89" t="s">
        <v>5670</v>
      </c>
      <c r="C375" s="89"/>
      <c r="D375" s="90" t="s">
        <v>3978</v>
      </c>
      <c r="E375" s="89" t="s">
        <v>5671</v>
      </c>
      <c r="F375" s="89"/>
      <c r="G375" s="89" t="s">
        <v>909</v>
      </c>
      <c r="H375" s="91">
        <v>2147</v>
      </c>
      <c r="I375" s="89" t="s">
        <v>2179</v>
      </c>
      <c r="J375" s="92" t="s">
        <v>883</v>
      </c>
      <c r="K375" s="92"/>
      <c r="L375" s="92"/>
      <c r="M375" s="92"/>
      <c r="N375" s="93"/>
      <c r="O375" s="94"/>
      <c r="P375" s="94"/>
      <c r="Q375" s="92"/>
      <c r="R375" s="92"/>
      <c r="S375" s="89"/>
      <c r="T375" s="91"/>
    </row>
    <row r="376" spans="1:20" ht="30" customHeight="1" x14ac:dyDescent="0.35">
      <c r="A376" s="88">
        <v>214422</v>
      </c>
      <c r="B376" s="89" t="s">
        <v>5672</v>
      </c>
      <c r="C376" s="89" t="s">
        <v>5673</v>
      </c>
      <c r="D376" s="90" t="s">
        <v>3978</v>
      </c>
      <c r="E376" s="89" t="s">
        <v>5674</v>
      </c>
      <c r="F376" s="89"/>
      <c r="G376" s="89" t="s">
        <v>2183</v>
      </c>
      <c r="H376" s="91">
        <v>2145</v>
      </c>
      <c r="I376" s="89" t="s">
        <v>5675</v>
      </c>
      <c r="J376" s="92" t="s">
        <v>883</v>
      </c>
      <c r="K376" s="92"/>
      <c r="L376" s="92" t="s">
        <v>5676</v>
      </c>
      <c r="M376" s="92" t="s">
        <v>5677</v>
      </c>
      <c r="N376" s="93">
        <v>2145</v>
      </c>
      <c r="O376" s="94">
        <v>23</v>
      </c>
      <c r="P376" s="94">
        <v>1</v>
      </c>
      <c r="Q376" s="92" t="s">
        <v>3957</v>
      </c>
      <c r="R376" s="92" t="s">
        <v>5678</v>
      </c>
      <c r="S376" s="91">
        <v>14955</v>
      </c>
      <c r="T376" s="89" t="s">
        <v>5679</v>
      </c>
    </row>
    <row r="377" spans="1:20" ht="30" customHeight="1" x14ac:dyDescent="0.35">
      <c r="A377" s="88">
        <v>214425</v>
      </c>
      <c r="B377" s="89" t="s">
        <v>5680</v>
      </c>
      <c r="C377" s="89" t="s">
        <v>5681</v>
      </c>
      <c r="D377" s="90" t="s">
        <v>4077</v>
      </c>
      <c r="E377" s="89" t="s">
        <v>2185</v>
      </c>
      <c r="F377" s="89"/>
      <c r="G377" s="89" t="s">
        <v>2186</v>
      </c>
      <c r="H377" s="91">
        <v>2141</v>
      </c>
      <c r="I377" s="89" t="s">
        <v>2184</v>
      </c>
      <c r="J377" s="92" t="s">
        <v>4058</v>
      </c>
      <c r="K377" s="92"/>
      <c r="L377" s="92" t="s">
        <v>5682</v>
      </c>
      <c r="M377" s="92" t="s">
        <v>5683</v>
      </c>
      <c r="N377" s="93">
        <v>2141</v>
      </c>
      <c r="O377" s="94">
        <v>210000</v>
      </c>
      <c r="P377" s="94">
        <v>10000</v>
      </c>
      <c r="Q377" s="92" t="s">
        <v>3957</v>
      </c>
      <c r="R377" s="92" t="s">
        <v>5684</v>
      </c>
      <c r="S377" s="91">
        <v>21410</v>
      </c>
      <c r="T377" s="89" t="s">
        <v>5685</v>
      </c>
    </row>
    <row r="378" spans="1:20" ht="30" customHeight="1" x14ac:dyDescent="0.35">
      <c r="A378" s="88">
        <v>214426</v>
      </c>
      <c r="B378" s="89" t="s">
        <v>5686</v>
      </c>
      <c r="C378" s="89" t="s">
        <v>5687</v>
      </c>
      <c r="D378" s="90" t="s">
        <v>4077</v>
      </c>
      <c r="E378" s="89" t="s">
        <v>5688</v>
      </c>
      <c r="F378" s="89" t="s">
        <v>5689</v>
      </c>
      <c r="G378" s="89" t="s">
        <v>2189</v>
      </c>
      <c r="H378" s="91">
        <v>4425</v>
      </c>
      <c r="I378" s="89" t="s">
        <v>5690</v>
      </c>
      <c r="J378" s="92" t="s">
        <v>883</v>
      </c>
      <c r="K378" s="92"/>
      <c r="L378" s="92" t="s">
        <v>5691</v>
      </c>
      <c r="M378" s="92" t="s">
        <v>5692</v>
      </c>
      <c r="N378" s="93">
        <v>4425</v>
      </c>
      <c r="O378" s="94">
        <v>59000</v>
      </c>
      <c r="P378" s="94">
        <v>7700</v>
      </c>
      <c r="Q378" s="92" t="s">
        <v>3957</v>
      </c>
      <c r="R378" s="92" t="s">
        <v>5693</v>
      </c>
      <c r="S378" s="91">
        <v>44263</v>
      </c>
      <c r="T378" s="89" t="s">
        <v>643</v>
      </c>
    </row>
    <row r="379" spans="1:20" ht="30" customHeight="1" x14ac:dyDescent="0.35">
      <c r="A379" s="88">
        <v>214428</v>
      </c>
      <c r="B379" s="89" t="s">
        <v>5694</v>
      </c>
      <c r="C379" s="89" t="s">
        <v>5695</v>
      </c>
      <c r="D379" s="90" t="s">
        <v>3978</v>
      </c>
      <c r="E379" s="97" t="s">
        <v>2191</v>
      </c>
      <c r="F379" s="89" t="s">
        <v>5696</v>
      </c>
      <c r="G379" s="89" t="s">
        <v>2192</v>
      </c>
      <c r="H379" s="91">
        <v>4422</v>
      </c>
      <c r="I379" s="89" t="s">
        <v>4876</v>
      </c>
      <c r="J379" s="92" t="s">
        <v>883</v>
      </c>
      <c r="K379" s="92" t="s">
        <v>5539</v>
      </c>
      <c r="L379" s="92" t="s">
        <v>4877</v>
      </c>
      <c r="M379" s="92" t="s">
        <v>4878</v>
      </c>
      <c r="N379" s="93">
        <v>4422</v>
      </c>
      <c r="O379" s="94">
        <v>400000</v>
      </c>
      <c r="P379" s="94">
        <v>5500</v>
      </c>
      <c r="Q379" s="92" t="s">
        <v>3957</v>
      </c>
      <c r="R379" s="92" t="s">
        <v>5697</v>
      </c>
      <c r="S379" s="91">
        <v>44262</v>
      </c>
      <c r="T379" s="89" t="s">
        <v>643</v>
      </c>
    </row>
    <row r="380" spans="1:20" ht="30" customHeight="1" x14ac:dyDescent="0.35">
      <c r="A380" s="88">
        <v>214429</v>
      </c>
      <c r="B380" s="89" t="s">
        <v>5698</v>
      </c>
      <c r="C380" s="89" t="s">
        <v>5699</v>
      </c>
      <c r="D380" s="90" t="s">
        <v>4077</v>
      </c>
      <c r="E380" s="89" t="s">
        <v>2194</v>
      </c>
      <c r="F380" s="89"/>
      <c r="G380" s="89" t="s">
        <v>2195</v>
      </c>
      <c r="H380" s="91">
        <v>2141</v>
      </c>
      <c r="I380" s="89" t="s">
        <v>2184</v>
      </c>
      <c r="J380" s="92" t="s">
        <v>4058</v>
      </c>
      <c r="K380" s="92"/>
      <c r="L380" s="92" t="s">
        <v>5682</v>
      </c>
      <c r="M380" s="92" t="s">
        <v>5683</v>
      </c>
      <c r="N380" s="93">
        <v>2141</v>
      </c>
      <c r="O380" s="94">
        <v>210000</v>
      </c>
      <c r="P380" s="94">
        <v>10000</v>
      </c>
      <c r="Q380" s="92" t="s">
        <v>3957</v>
      </c>
      <c r="R380" s="92" t="s">
        <v>5700</v>
      </c>
      <c r="S380" s="89" t="s">
        <v>643</v>
      </c>
      <c r="T380" s="89" t="s">
        <v>643</v>
      </c>
    </row>
    <row r="381" spans="1:20" ht="30" customHeight="1" x14ac:dyDescent="0.35">
      <c r="A381" s="88">
        <v>214467</v>
      </c>
      <c r="B381" s="89" t="s">
        <v>5701</v>
      </c>
      <c r="C381" s="89" t="s">
        <v>5702</v>
      </c>
      <c r="D381" s="90" t="s">
        <v>4077</v>
      </c>
      <c r="E381" s="89" t="s">
        <v>2197</v>
      </c>
      <c r="F381" s="89"/>
      <c r="G381" s="89" t="s">
        <v>2198</v>
      </c>
      <c r="H381" s="91">
        <v>2141</v>
      </c>
      <c r="I381" s="89" t="s">
        <v>2184</v>
      </c>
      <c r="J381" s="92" t="s">
        <v>4058</v>
      </c>
      <c r="K381" s="92"/>
      <c r="L381" s="92" t="s">
        <v>5682</v>
      </c>
      <c r="M381" s="92" t="s">
        <v>5683</v>
      </c>
      <c r="N381" s="93">
        <v>2141</v>
      </c>
      <c r="O381" s="94">
        <v>210000</v>
      </c>
      <c r="P381" s="94">
        <v>10000</v>
      </c>
      <c r="Q381" s="92" t="s">
        <v>3957</v>
      </c>
      <c r="R381" s="92" t="s">
        <v>5703</v>
      </c>
      <c r="S381" s="91">
        <v>21410</v>
      </c>
      <c r="T381" s="91">
        <v>21430</v>
      </c>
    </row>
    <row r="382" spans="1:20" ht="30" customHeight="1" x14ac:dyDescent="0.35">
      <c r="A382" s="88">
        <v>214469</v>
      </c>
      <c r="B382" s="89" t="s">
        <v>5704</v>
      </c>
      <c r="C382" s="89" t="s">
        <v>5705</v>
      </c>
      <c r="D382" s="90" t="s">
        <v>3978</v>
      </c>
      <c r="E382" s="89" t="s">
        <v>2200</v>
      </c>
      <c r="F382" s="89"/>
      <c r="G382" s="89" t="s">
        <v>2201</v>
      </c>
      <c r="H382" s="91">
        <v>2146</v>
      </c>
      <c r="I382" s="89" t="s">
        <v>5706</v>
      </c>
      <c r="J382" s="92" t="s">
        <v>4058</v>
      </c>
      <c r="K382" s="92"/>
      <c r="L382" s="92" t="s">
        <v>5707</v>
      </c>
      <c r="M382" s="92" t="s">
        <v>5708</v>
      </c>
      <c r="N382" s="93">
        <v>2146</v>
      </c>
      <c r="O382" s="94">
        <v>1</v>
      </c>
      <c r="P382" s="94">
        <v>1</v>
      </c>
      <c r="Q382" s="92" t="s">
        <v>3957</v>
      </c>
      <c r="R382" s="92" t="s">
        <v>5709</v>
      </c>
      <c r="S382" s="89" t="s">
        <v>643</v>
      </c>
      <c r="T382" s="89" t="s">
        <v>643</v>
      </c>
    </row>
    <row r="383" spans="1:20" ht="30" customHeight="1" x14ac:dyDescent="0.35">
      <c r="A383" s="88">
        <v>215552</v>
      </c>
      <c r="B383" s="89" t="s">
        <v>5710</v>
      </c>
      <c r="C383" s="89" t="s">
        <v>5711</v>
      </c>
      <c r="D383" s="90" t="s">
        <v>4077</v>
      </c>
      <c r="E383" s="89" t="s">
        <v>5712</v>
      </c>
      <c r="F383" s="89"/>
      <c r="G383" s="89" t="s">
        <v>2204</v>
      </c>
      <c r="H383" s="91">
        <v>2151</v>
      </c>
      <c r="I383" s="89" t="s">
        <v>5713</v>
      </c>
      <c r="J383" s="92" t="s">
        <v>4058</v>
      </c>
      <c r="K383" s="92"/>
      <c r="L383" s="92" t="s">
        <v>5646</v>
      </c>
      <c r="M383" s="92" t="s">
        <v>5714</v>
      </c>
      <c r="N383" s="93">
        <v>2151</v>
      </c>
      <c r="O383" s="94">
        <v>38000</v>
      </c>
      <c r="P383" s="94">
        <v>9900</v>
      </c>
      <c r="Q383" s="92" t="s">
        <v>3957</v>
      </c>
      <c r="R383" s="92" t="s">
        <v>5715</v>
      </c>
      <c r="S383" s="89" t="s">
        <v>643</v>
      </c>
      <c r="T383" s="91">
        <v>21560</v>
      </c>
    </row>
    <row r="384" spans="1:20" ht="30" customHeight="1" x14ac:dyDescent="0.35">
      <c r="A384" s="88">
        <v>215553</v>
      </c>
      <c r="B384" s="89" t="s">
        <v>5716</v>
      </c>
      <c r="C384" s="89" t="s">
        <v>5717</v>
      </c>
      <c r="D384" s="90" t="s">
        <v>4077</v>
      </c>
      <c r="E384" s="89" t="s">
        <v>5718</v>
      </c>
      <c r="F384" s="89"/>
      <c r="G384" s="89" t="s">
        <v>2207</v>
      </c>
      <c r="H384" s="91">
        <v>2152</v>
      </c>
      <c r="I384" s="89" t="s">
        <v>5719</v>
      </c>
      <c r="J384" s="92" t="s">
        <v>883</v>
      </c>
      <c r="K384" s="92"/>
      <c r="L384" s="92" t="s">
        <v>5720</v>
      </c>
      <c r="M384" s="92" t="s">
        <v>4950</v>
      </c>
      <c r="N384" s="93">
        <v>2152</v>
      </c>
      <c r="O384" s="94">
        <v>35000</v>
      </c>
      <c r="P384" s="94">
        <v>8700</v>
      </c>
      <c r="Q384" s="92" t="s">
        <v>3957</v>
      </c>
      <c r="R384" s="92" t="s">
        <v>5721</v>
      </c>
      <c r="S384" s="91">
        <v>21510</v>
      </c>
      <c r="T384" s="89" t="s">
        <v>643</v>
      </c>
    </row>
    <row r="385" spans="1:20" ht="30" customHeight="1" x14ac:dyDescent="0.35">
      <c r="A385" s="88">
        <v>215554</v>
      </c>
      <c r="B385" s="89" t="s">
        <v>5722</v>
      </c>
      <c r="C385" s="89" t="s">
        <v>5723</v>
      </c>
      <c r="D385" s="90" t="s">
        <v>4077</v>
      </c>
      <c r="E385" s="89" t="s">
        <v>2209</v>
      </c>
      <c r="F385" s="89"/>
      <c r="G385" s="89" t="s">
        <v>2210</v>
      </c>
      <c r="H385" s="91">
        <v>2152</v>
      </c>
      <c r="I385" s="89" t="s">
        <v>5719</v>
      </c>
      <c r="J385" s="92" t="s">
        <v>883</v>
      </c>
      <c r="K385" s="92"/>
      <c r="L385" s="92" t="s">
        <v>5720</v>
      </c>
      <c r="M385" s="92" t="s">
        <v>4950</v>
      </c>
      <c r="N385" s="93">
        <v>2152</v>
      </c>
      <c r="O385" s="94">
        <v>35000</v>
      </c>
      <c r="P385" s="94">
        <v>8700</v>
      </c>
      <c r="Q385" s="92" t="s">
        <v>3957</v>
      </c>
      <c r="R385" s="92" t="s">
        <v>5724</v>
      </c>
      <c r="S385" s="91">
        <v>21510</v>
      </c>
      <c r="T385" s="91">
        <v>21510</v>
      </c>
    </row>
    <row r="386" spans="1:20" ht="30" customHeight="1" x14ac:dyDescent="0.35">
      <c r="A386" s="88">
        <v>215555</v>
      </c>
      <c r="B386" s="89" t="s">
        <v>5725</v>
      </c>
      <c r="C386" s="89" t="s">
        <v>5726</v>
      </c>
      <c r="D386" s="90" t="s">
        <v>4077</v>
      </c>
      <c r="E386" s="89" t="s">
        <v>2212</v>
      </c>
      <c r="F386" s="89"/>
      <c r="G386" s="89" t="s">
        <v>2213</v>
      </c>
      <c r="H386" s="91">
        <v>2152</v>
      </c>
      <c r="I386" s="89" t="s">
        <v>5719</v>
      </c>
      <c r="J386" s="92" t="s">
        <v>883</v>
      </c>
      <c r="K386" s="92"/>
      <c r="L386" s="92" t="s">
        <v>5720</v>
      </c>
      <c r="M386" s="92" t="s">
        <v>4950</v>
      </c>
      <c r="N386" s="93">
        <v>2152</v>
      </c>
      <c r="O386" s="94">
        <v>35000</v>
      </c>
      <c r="P386" s="94">
        <v>8700</v>
      </c>
      <c r="Q386" s="92" t="s">
        <v>3957</v>
      </c>
      <c r="R386" s="92" t="s">
        <v>5727</v>
      </c>
      <c r="S386" s="91">
        <v>21510</v>
      </c>
      <c r="T386" s="89" t="s">
        <v>643</v>
      </c>
    </row>
    <row r="387" spans="1:20" ht="30" customHeight="1" x14ac:dyDescent="0.35">
      <c r="A387" s="88">
        <v>215582</v>
      </c>
      <c r="B387" s="89" t="s">
        <v>5728</v>
      </c>
      <c r="C387" s="89" t="s">
        <v>5729</v>
      </c>
      <c r="D387" s="90" t="s">
        <v>4077</v>
      </c>
      <c r="E387" s="89" t="s">
        <v>2215</v>
      </c>
      <c r="F387" s="89"/>
      <c r="G387" s="89" t="s">
        <v>2216</v>
      </c>
      <c r="H387" s="91">
        <v>2153</v>
      </c>
      <c r="I387" s="89" t="s">
        <v>5730</v>
      </c>
      <c r="J387" s="92" t="s">
        <v>883</v>
      </c>
      <c r="K387" s="92"/>
      <c r="L387" s="92" t="s">
        <v>5605</v>
      </c>
      <c r="M387" s="92" t="s">
        <v>5731</v>
      </c>
      <c r="N387" s="93">
        <v>2153</v>
      </c>
      <c r="O387" s="94">
        <v>16000</v>
      </c>
      <c r="P387" s="94">
        <v>5600</v>
      </c>
      <c r="Q387" s="92" t="s">
        <v>3957</v>
      </c>
      <c r="R387" s="92" t="s">
        <v>5732</v>
      </c>
      <c r="S387" s="91">
        <v>21540</v>
      </c>
      <c r="T387" s="91">
        <v>21650</v>
      </c>
    </row>
    <row r="388" spans="1:20" ht="30" customHeight="1" x14ac:dyDescent="0.35">
      <c r="A388" s="88">
        <v>216642</v>
      </c>
      <c r="B388" s="89" t="s">
        <v>5733</v>
      </c>
      <c r="C388" s="89" t="s">
        <v>5734</v>
      </c>
      <c r="D388" s="90" t="s">
        <v>4077</v>
      </c>
      <c r="E388" s="89" t="s">
        <v>5735</v>
      </c>
      <c r="F388" s="89"/>
      <c r="G388" s="89" t="s">
        <v>2219</v>
      </c>
      <c r="H388" s="91">
        <v>2162</v>
      </c>
      <c r="I388" s="89" t="s">
        <v>5736</v>
      </c>
      <c r="J388" s="92" t="s">
        <v>883</v>
      </c>
      <c r="K388" s="92"/>
      <c r="L388" s="92" t="s">
        <v>5737</v>
      </c>
      <c r="M388" s="92" t="s">
        <v>5738</v>
      </c>
      <c r="N388" s="93">
        <v>2162</v>
      </c>
      <c r="O388" s="94">
        <v>83000</v>
      </c>
      <c r="P388" s="94">
        <v>5800</v>
      </c>
      <c r="Q388" s="92" t="s">
        <v>3957</v>
      </c>
      <c r="R388" s="92" t="s">
        <v>5739</v>
      </c>
      <c r="S388" s="89" t="s">
        <v>5740</v>
      </c>
      <c r="T388" s="89" t="s">
        <v>5741</v>
      </c>
    </row>
    <row r="389" spans="1:20" ht="30" customHeight="1" x14ac:dyDescent="0.35">
      <c r="A389" s="88">
        <v>217200</v>
      </c>
      <c r="B389" s="89" t="s">
        <v>5742</v>
      </c>
      <c r="C389" s="89"/>
      <c r="D389" s="90" t="s">
        <v>3978</v>
      </c>
      <c r="E389" s="89" t="s">
        <v>2221</v>
      </c>
      <c r="F389" s="89"/>
      <c r="G389" s="89" t="s">
        <v>909</v>
      </c>
      <c r="H389" s="91">
        <v>2173</v>
      </c>
      <c r="I389" s="89" t="s">
        <v>5743</v>
      </c>
      <c r="J389" s="92" t="s">
        <v>4058</v>
      </c>
      <c r="K389" s="92"/>
      <c r="L389" s="92"/>
      <c r="M389" s="92"/>
      <c r="N389" s="93"/>
      <c r="O389" s="94"/>
      <c r="P389" s="94"/>
      <c r="Q389" s="92"/>
      <c r="R389" s="92"/>
      <c r="S389" s="89"/>
      <c r="T389" s="89"/>
    </row>
    <row r="390" spans="1:20" ht="30" customHeight="1" x14ac:dyDescent="0.35">
      <c r="A390" s="88">
        <v>217712</v>
      </c>
      <c r="B390" s="89" t="s">
        <v>5744</v>
      </c>
      <c r="C390" s="89" t="s">
        <v>5745</v>
      </c>
      <c r="D390" s="90" t="s">
        <v>4077</v>
      </c>
      <c r="E390" s="89" t="s">
        <v>2223</v>
      </c>
      <c r="F390" s="89"/>
      <c r="G390" s="89" t="s">
        <v>2224</v>
      </c>
      <c r="H390" s="91">
        <v>2171</v>
      </c>
      <c r="I390" s="89" t="s">
        <v>5746</v>
      </c>
      <c r="J390" s="92" t="s">
        <v>883</v>
      </c>
      <c r="K390" s="92"/>
      <c r="L390" s="92" t="s">
        <v>5747</v>
      </c>
      <c r="M390" s="92" t="s">
        <v>4680</v>
      </c>
      <c r="N390" s="93">
        <v>2171</v>
      </c>
      <c r="O390" s="94">
        <v>72000</v>
      </c>
      <c r="P390" s="94">
        <v>7200</v>
      </c>
      <c r="Q390" s="92" t="s">
        <v>3957</v>
      </c>
      <c r="R390" s="92" t="s">
        <v>5748</v>
      </c>
      <c r="S390" s="89" t="s">
        <v>643</v>
      </c>
      <c r="T390" s="89" t="s">
        <v>643</v>
      </c>
    </row>
    <row r="391" spans="1:20" ht="30" customHeight="1" x14ac:dyDescent="0.35">
      <c r="A391" s="88">
        <v>217713</v>
      </c>
      <c r="B391" s="89" t="s">
        <v>5749</v>
      </c>
      <c r="C391" s="89" t="s">
        <v>5750</v>
      </c>
      <c r="D391" s="90" t="s">
        <v>4077</v>
      </c>
      <c r="E391" s="89" t="s">
        <v>2226</v>
      </c>
      <c r="F391" s="89"/>
      <c r="G391" s="89" t="s">
        <v>2227</v>
      </c>
      <c r="H391" s="91">
        <v>2171</v>
      </c>
      <c r="I391" s="89" t="s">
        <v>5746</v>
      </c>
      <c r="J391" s="92" t="s">
        <v>883</v>
      </c>
      <c r="K391" s="92"/>
      <c r="L391" s="92" t="s">
        <v>5747</v>
      </c>
      <c r="M391" s="92" t="s">
        <v>4680</v>
      </c>
      <c r="N391" s="93">
        <v>2171</v>
      </c>
      <c r="O391" s="94">
        <v>72000</v>
      </c>
      <c r="P391" s="94">
        <v>7200</v>
      </c>
      <c r="Q391" s="92" t="s">
        <v>3957</v>
      </c>
      <c r="R391" s="92" t="s">
        <v>5751</v>
      </c>
      <c r="S391" s="89" t="s">
        <v>643</v>
      </c>
      <c r="T391" s="91">
        <v>21710</v>
      </c>
    </row>
    <row r="392" spans="1:20" ht="30" customHeight="1" x14ac:dyDescent="0.35">
      <c r="A392" s="88">
        <v>217722</v>
      </c>
      <c r="B392" s="89" t="s">
        <v>5752</v>
      </c>
      <c r="C392" s="89" t="s">
        <v>5753</v>
      </c>
      <c r="D392" s="90" t="s">
        <v>4077</v>
      </c>
      <c r="E392" s="89" t="s">
        <v>2229</v>
      </c>
      <c r="F392" s="89"/>
      <c r="G392" s="89" t="s">
        <v>2230</v>
      </c>
      <c r="H392" s="91">
        <v>2171</v>
      </c>
      <c r="I392" s="89" t="s">
        <v>5746</v>
      </c>
      <c r="J392" s="92" t="s">
        <v>883</v>
      </c>
      <c r="K392" s="92"/>
      <c r="L392" s="92" t="s">
        <v>5747</v>
      </c>
      <c r="M392" s="92" t="s">
        <v>4680</v>
      </c>
      <c r="N392" s="93">
        <v>2171</v>
      </c>
      <c r="O392" s="94">
        <v>72000</v>
      </c>
      <c r="P392" s="94">
        <v>7200</v>
      </c>
      <c r="Q392" s="92" t="s">
        <v>3957</v>
      </c>
      <c r="R392" s="92" t="s">
        <v>5754</v>
      </c>
      <c r="S392" s="89" t="s">
        <v>643</v>
      </c>
      <c r="T392" s="89" t="s">
        <v>643</v>
      </c>
    </row>
    <row r="393" spans="1:20" ht="30" customHeight="1" x14ac:dyDescent="0.35">
      <c r="A393" s="88">
        <v>217735</v>
      </c>
      <c r="B393" s="89" t="s">
        <v>5755</v>
      </c>
      <c r="C393" s="89" t="s">
        <v>5756</v>
      </c>
      <c r="D393" s="90" t="s">
        <v>4077</v>
      </c>
      <c r="E393" s="89" t="s">
        <v>2232</v>
      </c>
      <c r="F393" s="89"/>
      <c r="G393" s="89" t="s">
        <v>2233</v>
      </c>
      <c r="H393" s="91">
        <v>2172</v>
      </c>
      <c r="I393" s="89" t="s">
        <v>5757</v>
      </c>
      <c r="J393" s="92" t="s">
        <v>883</v>
      </c>
      <c r="K393" s="92"/>
      <c r="L393" s="92" t="s">
        <v>5747</v>
      </c>
      <c r="M393" s="92" t="s">
        <v>5758</v>
      </c>
      <c r="N393" s="93">
        <v>2172</v>
      </c>
      <c r="O393" s="94">
        <v>146000</v>
      </c>
      <c r="P393" s="94">
        <v>8100</v>
      </c>
      <c r="Q393" s="92" t="s">
        <v>3957</v>
      </c>
      <c r="R393" s="92" t="s">
        <v>5759</v>
      </c>
      <c r="S393" s="91">
        <v>21712</v>
      </c>
      <c r="T393" s="89" t="s">
        <v>643</v>
      </c>
    </row>
    <row r="394" spans="1:20" ht="30" customHeight="1" x14ac:dyDescent="0.35">
      <c r="A394" s="88">
        <v>217736</v>
      </c>
      <c r="B394" s="89" t="s">
        <v>5760</v>
      </c>
      <c r="C394" s="89" t="s">
        <v>5761</v>
      </c>
      <c r="D394" s="90" t="s">
        <v>4077</v>
      </c>
      <c r="E394" s="89" t="s">
        <v>2235</v>
      </c>
      <c r="F394" s="89"/>
      <c r="G394" s="89" t="s">
        <v>2236</v>
      </c>
      <c r="H394" s="91">
        <v>2172</v>
      </c>
      <c r="I394" s="89" t="s">
        <v>5757</v>
      </c>
      <c r="J394" s="92" t="s">
        <v>883</v>
      </c>
      <c r="K394" s="92"/>
      <c r="L394" s="92" t="s">
        <v>5747</v>
      </c>
      <c r="M394" s="92" t="s">
        <v>5758</v>
      </c>
      <c r="N394" s="93">
        <v>2172</v>
      </c>
      <c r="O394" s="94">
        <v>146000</v>
      </c>
      <c r="P394" s="94">
        <v>8100</v>
      </c>
      <c r="Q394" s="92" t="s">
        <v>3957</v>
      </c>
      <c r="R394" s="92" t="s">
        <v>5762</v>
      </c>
      <c r="S394" s="89" t="s">
        <v>643</v>
      </c>
      <c r="T394" s="89" t="s">
        <v>643</v>
      </c>
    </row>
    <row r="395" spans="1:20" ht="30" customHeight="1" x14ac:dyDescent="0.35">
      <c r="A395" s="88">
        <v>217742</v>
      </c>
      <c r="B395" s="89" t="s">
        <v>5763</v>
      </c>
      <c r="C395" s="89" t="s">
        <v>5764</v>
      </c>
      <c r="D395" s="90" t="s">
        <v>4077</v>
      </c>
      <c r="E395" s="89" t="s">
        <v>2238</v>
      </c>
      <c r="F395" s="89"/>
      <c r="G395" s="89" t="s">
        <v>2239</v>
      </c>
      <c r="H395" s="91">
        <v>2171</v>
      </c>
      <c r="I395" s="89" t="s">
        <v>5746</v>
      </c>
      <c r="J395" s="92" t="s">
        <v>883</v>
      </c>
      <c r="K395" s="92"/>
      <c r="L395" s="92" t="s">
        <v>5747</v>
      </c>
      <c r="M395" s="92" t="s">
        <v>4680</v>
      </c>
      <c r="N395" s="93">
        <v>2171</v>
      </c>
      <c r="O395" s="94">
        <v>72000</v>
      </c>
      <c r="P395" s="94">
        <v>7200</v>
      </c>
      <c r="Q395" s="92" t="s">
        <v>3957</v>
      </c>
      <c r="R395" s="92" t="s">
        <v>5765</v>
      </c>
      <c r="S395" s="89" t="s">
        <v>643</v>
      </c>
      <c r="T395" s="89" t="s">
        <v>5766</v>
      </c>
    </row>
    <row r="396" spans="1:20" ht="30" customHeight="1" x14ac:dyDescent="0.35">
      <c r="A396" s="88">
        <v>217752</v>
      </c>
      <c r="B396" s="89" t="s">
        <v>5767</v>
      </c>
      <c r="C396" s="89" t="s">
        <v>5768</v>
      </c>
      <c r="D396" s="90" t="s">
        <v>4077</v>
      </c>
      <c r="E396" s="89" t="s">
        <v>2241</v>
      </c>
      <c r="F396" s="89"/>
      <c r="G396" s="89" t="s">
        <v>2242</v>
      </c>
      <c r="H396" s="91">
        <v>2171</v>
      </c>
      <c r="I396" s="89" t="s">
        <v>5746</v>
      </c>
      <c r="J396" s="92" t="s">
        <v>883</v>
      </c>
      <c r="K396" s="92"/>
      <c r="L396" s="92" t="s">
        <v>5747</v>
      </c>
      <c r="M396" s="92" t="s">
        <v>4680</v>
      </c>
      <c r="N396" s="93">
        <v>2171</v>
      </c>
      <c r="O396" s="94">
        <v>72000</v>
      </c>
      <c r="P396" s="94">
        <v>7200</v>
      </c>
      <c r="Q396" s="92" t="s">
        <v>3957</v>
      </c>
      <c r="R396" s="92" t="s">
        <v>5769</v>
      </c>
      <c r="S396" s="89" t="s">
        <v>643</v>
      </c>
      <c r="T396" s="89" t="s">
        <v>643</v>
      </c>
    </row>
    <row r="397" spans="1:20" ht="30" customHeight="1" x14ac:dyDescent="0.35">
      <c r="A397" s="88">
        <v>217762</v>
      </c>
      <c r="B397" s="89" t="s">
        <v>5770</v>
      </c>
      <c r="C397" s="89" t="s">
        <v>5771</v>
      </c>
      <c r="D397" s="90" t="s">
        <v>4077</v>
      </c>
      <c r="E397" s="89" t="s">
        <v>2244</v>
      </c>
      <c r="F397" s="89"/>
      <c r="G397" s="89" t="s">
        <v>2245</v>
      </c>
      <c r="H397" s="91">
        <v>2171</v>
      </c>
      <c r="I397" s="89" t="s">
        <v>5746</v>
      </c>
      <c r="J397" s="92" t="s">
        <v>883</v>
      </c>
      <c r="K397" s="92"/>
      <c r="L397" s="92" t="s">
        <v>5747</v>
      </c>
      <c r="M397" s="92" t="s">
        <v>4680</v>
      </c>
      <c r="N397" s="93">
        <v>2171</v>
      </c>
      <c r="O397" s="94">
        <v>72000</v>
      </c>
      <c r="P397" s="94">
        <v>7200</v>
      </c>
      <c r="Q397" s="92" t="s">
        <v>3957</v>
      </c>
      <c r="R397" s="92" t="s">
        <v>5772</v>
      </c>
      <c r="S397" s="89" t="s">
        <v>643</v>
      </c>
      <c r="T397" s="89" t="s">
        <v>643</v>
      </c>
    </row>
    <row r="398" spans="1:20" ht="30" customHeight="1" x14ac:dyDescent="0.35">
      <c r="A398" s="88">
        <v>217812</v>
      </c>
      <c r="B398" s="89" t="s">
        <v>5773</v>
      </c>
      <c r="C398" s="89" t="s">
        <v>5774</v>
      </c>
      <c r="D398" s="90" t="s">
        <v>4077</v>
      </c>
      <c r="E398" s="89" t="s">
        <v>2247</v>
      </c>
      <c r="F398" s="89"/>
      <c r="G398" s="89" t="s">
        <v>2248</v>
      </c>
      <c r="H398" s="91">
        <v>2172</v>
      </c>
      <c r="I398" s="89" t="s">
        <v>5757</v>
      </c>
      <c r="J398" s="92" t="s">
        <v>883</v>
      </c>
      <c r="K398" s="92"/>
      <c r="L398" s="92" t="s">
        <v>5747</v>
      </c>
      <c r="M398" s="92" t="s">
        <v>5758</v>
      </c>
      <c r="N398" s="93">
        <v>2172</v>
      </c>
      <c r="O398" s="94">
        <v>146000</v>
      </c>
      <c r="P398" s="94">
        <v>8100</v>
      </c>
      <c r="Q398" s="92" t="s">
        <v>3957</v>
      </c>
      <c r="R398" s="92" t="s">
        <v>5775</v>
      </c>
      <c r="S398" s="89" t="s">
        <v>643</v>
      </c>
      <c r="T398" s="89" t="s">
        <v>643</v>
      </c>
    </row>
    <row r="399" spans="1:20" ht="30" customHeight="1" x14ac:dyDescent="0.35">
      <c r="A399" s="88">
        <v>218122</v>
      </c>
      <c r="B399" s="89" t="s">
        <v>5776</v>
      </c>
      <c r="C399" s="89" t="s">
        <v>5777</v>
      </c>
      <c r="D399" s="90" t="s">
        <v>4077</v>
      </c>
      <c r="E399" s="89" t="s">
        <v>5778</v>
      </c>
      <c r="F399" s="89"/>
      <c r="G399" s="89" t="s">
        <v>2251</v>
      </c>
      <c r="H399" s="91">
        <v>2181</v>
      </c>
      <c r="I399" s="89" t="s">
        <v>5779</v>
      </c>
      <c r="J399" s="92" t="s">
        <v>883</v>
      </c>
      <c r="K399" s="92"/>
      <c r="L399" s="92" t="s">
        <v>5646</v>
      </c>
      <c r="M399" s="92" t="s">
        <v>5780</v>
      </c>
      <c r="N399" s="93">
        <v>2181</v>
      </c>
      <c r="O399" s="94">
        <v>160000</v>
      </c>
      <c r="P399" s="94">
        <v>6100</v>
      </c>
      <c r="Q399" s="92" t="s">
        <v>3957</v>
      </c>
      <c r="R399" s="92" t="s">
        <v>5781</v>
      </c>
      <c r="S399" s="91">
        <v>21882</v>
      </c>
      <c r="T399" s="89" t="s">
        <v>643</v>
      </c>
    </row>
    <row r="400" spans="1:20" ht="30" customHeight="1" x14ac:dyDescent="0.35">
      <c r="A400" s="88">
        <v>218123</v>
      </c>
      <c r="B400" s="89" t="s">
        <v>5782</v>
      </c>
      <c r="C400" s="89" t="s">
        <v>5783</v>
      </c>
      <c r="D400" s="90" t="s">
        <v>4077</v>
      </c>
      <c r="E400" s="89" t="s">
        <v>2253</v>
      </c>
      <c r="F400" s="89"/>
      <c r="G400" s="89" t="s">
        <v>909</v>
      </c>
      <c r="H400" s="91">
        <v>2181</v>
      </c>
      <c r="I400" s="89" t="s">
        <v>5779</v>
      </c>
      <c r="J400" s="92" t="s">
        <v>883</v>
      </c>
      <c r="K400" s="92"/>
      <c r="L400" s="92" t="s">
        <v>5646</v>
      </c>
      <c r="M400" s="92" t="s">
        <v>5780</v>
      </c>
      <c r="N400" s="93">
        <v>2181</v>
      </c>
      <c r="O400" s="94">
        <v>160000</v>
      </c>
      <c r="P400" s="94">
        <v>6100</v>
      </c>
      <c r="Q400" s="92" t="s">
        <v>3957</v>
      </c>
      <c r="R400" s="92" t="s">
        <v>5784</v>
      </c>
      <c r="S400" s="91">
        <v>21885</v>
      </c>
      <c r="T400" s="91">
        <v>21860</v>
      </c>
    </row>
    <row r="401" spans="1:20" ht="30" customHeight="1" x14ac:dyDescent="0.35">
      <c r="A401" s="88">
        <v>218299</v>
      </c>
      <c r="B401" s="89" t="s">
        <v>5785</v>
      </c>
      <c r="C401" s="89" t="s">
        <v>5786</v>
      </c>
      <c r="D401" s="90" t="s">
        <v>4077</v>
      </c>
      <c r="E401" s="89" t="s">
        <v>2255</v>
      </c>
      <c r="F401" s="89"/>
      <c r="G401" s="89" t="s">
        <v>2256</v>
      </c>
      <c r="H401" s="91">
        <v>2182</v>
      </c>
      <c r="I401" s="89" t="s">
        <v>5787</v>
      </c>
      <c r="J401" s="92" t="s">
        <v>883</v>
      </c>
      <c r="K401" s="92"/>
      <c r="L401" s="92" t="s">
        <v>5646</v>
      </c>
      <c r="M401" s="92" t="s">
        <v>5788</v>
      </c>
      <c r="N401" s="93">
        <v>2182</v>
      </c>
      <c r="O401" s="94">
        <v>100000</v>
      </c>
      <c r="P401" s="94">
        <v>5000</v>
      </c>
      <c r="Q401" s="92" t="s">
        <v>3957</v>
      </c>
      <c r="R401" s="92" t="s">
        <v>5789</v>
      </c>
      <c r="S401" s="91">
        <v>21885</v>
      </c>
      <c r="T401" s="89" t="s">
        <v>643</v>
      </c>
    </row>
    <row r="402" spans="1:20" ht="30" customHeight="1" x14ac:dyDescent="0.35">
      <c r="A402" s="88">
        <v>218610</v>
      </c>
      <c r="B402" s="89" t="s">
        <v>5790</v>
      </c>
      <c r="C402" s="89"/>
      <c r="D402" s="90" t="s">
        <v>3978</v>
      </c>
      <c r="E402" s="89" t="s">
        <v>2258</v>
      </c>
      <c r="F402" s="89"/>
      <c r="G402" s="89" t="s">
        <v>909</v>
      </c>
      <c r="H402" s="91">
        <v>2185</v>
      </c>
      <c r="I402" s="89" t="s">
        <v>5669</v>
      </c>
      <c r="J402" s="92" t="s">
        <v>883</v>
      </c>
      <c r="K402" s="92"/>
      <c r="L402" s="92"/>
      <c r="M402" s="92"/>
      <c r="N402" s="93"/>
      <c r="O402" s="94"/>
      <c r="P402" s="94"/>
      <c r="Q402" s="92"/>
      <c r="R402" s="92"/>
      <c r="S402" s="89"/>
      <c r="T402" s="89"/>
    </row>
    <row r="403" spans="1:20" ht="30" customHeight="1" x14ac:dyDescent="0.35">
      <c r="A403" s="88">
        <v>218712</v>
      </c>
      <c r="B403" s="89" t="s">
        <v>5791</v>
      </c>
      <c r="C403" s="89" t="s">
        <v>5792</v>
      </c>
      <c r="D403" s="90" t="s">
        <v>4077</v>
      </c>
      <c r="E403" s="89" t="s">
        <v>2260</v>
      </c>
      <c r="F403" s="89"/>
      <c r="G403" s="89" t="s">
        <v>2261</v>
      </c>
      <c r="H403" s="91">
        <v>2181</v>
      </c>
      <c r="I403" s="89" t="s">
        <v>5779</v>
      </c>
      <c r="J403" s="92" t="s">
        <v>883</v>
      </c>
      <c r="K403" s="92"/>
      <c r="L403" s="92" t="s">
        <v>5646</v>
      </c>
      <c r="M403" s="92" t="s">
        <v>5780</v>
      </c>
      <c r="N403" s="93">
        <v>2181</v>
      </c>
      <c r="O403" s="94">
        <v>160000</v>
      </c>
      <c r="P403" s="94">
        <v>6100</v>
      </c>
      <c r="Q403" s="92" t="s">
        <v>3957</v>
      </c>
      <c r="R403" s="92" t="s">
        <v>5793</v>
      </c>
      <c r="S403" s="91">
        <v>21885</v>
      </c>
      <c r="T403" s="89" t="s">
        <v>643</v>
      </c>
    </row>
    <row r="404" spans="1:20" ht="30" customHeight="1" x14ac:dyDescent="0.35">
      <c r="A404" s="88">
        <v>218827</v>
      </c>
      <c r="B404" s="89" t="s">
        <v>5794</v>
      </c>
      <c r="C404" s="89" t="s">
        <v>5795</v>
      </c>
      <c r="D404" s="90" t="s">
        <v>4077</v>
      </c>
      <c r="E404" s="89" t="s">
        <v>2263</v>
      </c>
      <c r="F404" s="89"/>
      <c r="G404" s="89" t="s">
        <v>2264</v>
      </c>
      <c r="H404" s="91">
        <v>2191</v>
      </c>
      <c r="I404" s="89" t="s">
        <v>5796</v>
      </c>
      <c r="J404" s="92" t="s">
        <v>883</v>
      </c>
      <c r="K404" s="92"/>
      <c r="L404" s="92" t="s">
        <v>5797</v>
      </c>
      <c r="M404" s="92" t="s">
        <v>5798</v>
      </c>
      <c r="N404" s="93">
        <v>2191</v>
      </c>
      <c r="O404" s="94">
        <v>98000</v>
      </c>
      <c r="P404" s="94">
        <v>4700</v>
      </c>
      <c r="Q404" s="92" t="s">
        <v>3957</v>
      </c>
      <c r="R404" s="92" t="s">
        <v>5799</v>
      </c>
      <c r="S404" s="91">
        <v>21925</v>
      </c>
      <c r="T404" s="89" t="s">
        <v>643</v>
      </c>
    </row>
    <row r="405" spans="1:20" ht="30" customHeight="1" x14ac:dyDescent="0.35">
      <c r="A405" s="88">
        <v>218842</v>
      </c>
      <c r="B405" s="89" t="s">
        <v>5800</v>
      </c>
      <c r="C405" s="89" t="s">
        <v>5801</v>
      </c>
      <c r="D405" s="90" t="s">
        <v>4077</v>
      </c>
      <c r="E405" s="89" t="s">
        <v>2266</v>
      </c>
      <c r="F405" s="89"/>
      <c r="G405" s="89" t="s">
        <v>2267</v>
      </c>
      <c r="H405" s="91">
        <v>2183</v>
      </c>
      <c r="I405" s="89" t="s">
        <v>5802</v>
      </c>
      <c r="J405" s="92" t="s">
        <v>883</v>
      </c>
      <c r="K405" s="92"/>
      <c r="L405" s="92" t="s">
        <v>5646</v>
      </c>
      <c r="M405" s="92" t="s">
        <v>5803</v>
      </c>
      <c r="N405" s="93">
        <v>2183</v>
      </c>
      <c r="O405" s="94">
        <v>35000</v>
      </c>
      <c r="P405" s="94">
        <v>6000</v>
      </c>
      <c r="Q405" s="92" t="s">
        <v>3957</v>
      </c>
      <c r="R405" s="92" t="s">
        <v>5804</v>
      </c>
      <c r="S405" s="91">
        <v>21840</v>
      </c>
      <c r="T405" s="91">
        <v>21840</v>
      </c>
    </row>
    <row r="406" spans="1:20" ht="30" customHeight="1" x14ac:dyDescent="0.35">
      <c r="A406" s="88">
        <v>218852</v>
      </c>
      <c r="B406" s="89" t="s">
        <v>5805</v>
      </c>
      <c r="C406" s="89" t="s">
        <v>5806</v>
      </c>
      <c r="D406" s="90" t="s">
        <v>4077</v>
      </c>
      <c r="E406" s="89" t="s">
        <v>5807</v>
      </c>
      <c r="F406" s="89"/>
      <c r="G406" s="89" t="s">
        <v>2270</v>
      </c>
      <c r="H406" s="91">
        <v>2184</v>
      </c>
      <c r="I406" s="89" t="s">
        <v>4554</v>
      </c>
      <c r="J406" s="92" t="s">
        <v>883</v>
      </c>
      <c r="K406" s="92"/>
      <c r="L406" s="92" t="s">
        <v>4555</v>
      </c>
      <c r="M406" s="92" t="s">
        <v>4556</v>
      </c>
      <c r="N406" s="93">
        <v>2184</v>
      </c>
      <c r="O406" s="94">
        <v>57000</v>
      </c>
      <c r="P406" s="94">
        <v>12000</v>
      </c>
      <c r="Q406" s="92" t="s">
        <v>3957</v>
      </c>
      <c r="R406" s="92" t="s">
        <v>5808</v>
      </c>
      <c r="S406" s="91">
        <v>21881</v>
      </c>
      <c r="T406" s="91">
        <v>21175</v>
      </c>
    </row>
    <row r="407" spans="1:20" ht="30" customHeight="1" x14ac:dyDescent="0.35">
      <c r="A407" s="88">
        <v>218868</v>
      </c>
      <c r="B407" s="89" t="s">
        <v>5809</v>
      </c>
      <c r="C407" s="89" t="s">
        <v>5810</v>
      </c>
      <c r="D407" s="90" t="s">
        <v>4077</v>
      </c>
      <c r="E407" s="89" t="s">
        <v>2272</v>
      </c>
      <c r="F407" s="89"/>
      <c r="G407" s="89" t="s">
        <v>2273</v>
      </c>
      <c r="H407" s="91">
        <v>2171</v>
      </c>
      <c r="I407" s="89" t="s">
        <v>5746</v>
      </c>
      <c r="J407" s="92" t="s">
        <v>883</v>
      </c>
      <c r="K407" s="92"/>
      <c r="L407" s="92" t="s">
        <v>5747</v>
      </c>
      <c r="M407" s="92" t="s">
        <v>4680</v>
      </c>
      <c r="N407" s="93">
        <v>2171</v>
      </c>
      <c r="O407" s="94">
        <v>72000</v>
      </c>
      <c r="P407" s="94">
        <v>7200</v>
      </c>
      <c r="Q407" s="92" t="s">
        <v>3957</v>
      </c>
      <c r="R407" s="92" t="s">
        <v>5811</v>
      </c>
      <c r="S407" s="89" t="s">
        <v>643</v>
      </c>
      <c r="T407" s="89" t="s">
        <v>643</v>
      </c>
    </row>
    <row r="408" spans="1:20" ht="30" customHeight="1" x14ac:dyDescent="0.35">
      <c r="A408" s="88">
        <v>219943</v>
      </c>
      <c r="B408" s="97" t="s">
        <v>5812</v>
      </c>
      <c r="C408" s="89" t="s">
        <v>5813</v>
      </c>
      <c r="D408" s="90" t="s">
        <v>4077</v>
      </c>
      <c r="E408" s="89" t="s">
        <v>2275</v>
      </c>
      <c r="F408" s="89"/>
      <c r="G408" s="89" t="s">
        <v>2276</v>
      </c>
      <c r="H408" s="91">
        <v>2191</v>
      </c>
      <c r="I408" s="89" t="s">
        <v>5796</v>
      </c>
      <c r="J408" s="92" t="s">
        <v>883</v>
      </c>
      <c r="K408" s="92"/>
      <c r="L408" s="92" t="s">
        <v>5797</v>
      </c>
      <c r="M408" s="92" t="s">
        <v>5798</v>
      </c>
      <c r="N408" s="93">
        <v>2191</v>
      </c>
      <c r="O408" s="94">
        <v>98000</v>
      </c>
      <c r="P408" s="94">
        <v>4700</v>
      </c>
      <c r="Q408" s="92" t="s">
        <v>3957</v>
      </c>
      <c r="R408" s="92" t="s">
        <v>5814</v>
      </c>
      <c r="S408" s="91">
        <v>21925</v>
      </c>
      <c r="T408" s="91">
        <v>21910</v>
      </c>
    </row>
    <row r="409" spans="1:20" ht="30" customHeight="1" x14ac:dyDescent="0.35">
      <c r="A409" s="88">
        <v>219944</v>
      </c>
      <c r="B409" s="89" t="s">
        <v>5815</v>
      </c>
      <c r="C409" s="89" t="s">
        <v>5816</v>
      </c>
      <c r="D409" s="90" t="s">
        <v>4077</v>
      </c>
      <c r="E409" s="89" t="s">
        <v>5817</v>
      </c>
      <c r="F409" s="89"/>
      <c r="G409" s="89" t="s">
        <v>2279</v>
      </c>
      <c r="H409" s="91">
        <v>2191</v>
      </c>
      <c r="I409" s="89" t="s">
        <v>5796</v>
      </c>
      <c r="J409" s="92" t="s">
        <v>883</v>
      </c>
      <c r="K409" s="92"/>
      <c r="L409" s="92" t="s">
        <v>5797</v>
      </c>
      <c r="M409" s="92" t="s">
        <v>5798</v>
      </c>
      <c r="N409" s="93">
        <v>2191</v>
      </c>
      <c r="O409" s="94">
        <v>98000</v>
      </c>
      <c r="P409" s="94">
        <v>4700</v>
      </c>
      <c r="Q409" s="92" t="s">
        <v>3957</v>
      </c>
      <c r="R409" s="92" t="s">
        <v>5818</v>
      </c>
      <c r="S409" s="91">
        <v>21925</v>
      </c>
      <c r="T409" s="89" t="s">
        <v>5819</v>
      </c>
    </row>
    <row r="410" spans="1:20" ht="30" customHeight="1" x14ac:dyDescent="0.35">
      <c r="A410" s="88">
        <v>219945</v>
      </c>
      <c r="B410" s="89" t="s">
        <v>5820</v>
      </c>
      <c r="C410" s="89" t="s">
        <v>5821</v>
      </c>
      <c r="D410" s="90" t="s">
        <v>4077</v>
      </c>
      <c r="E410" s="89" t="s">
        <v>2281</v>
      </c>
      <c r="F410" s="89"/>
      <c r="G410" s="89" t="s">
        <v>2282</v>
      </c>
      <c r="H410" s="91">
        <v>2191</v>
      </c>
      <c r="I410" s="89" t="s">
        <v>5796</v>
      </c>
      <c r="J410" s="92" t="s">
        <v>883</v>
      </c>
      <c r="K410" s="92"/>
      <c r="L410" s="92" t="s">
        <v>5797</v>
      </c>
      <c r="M410" s="92" t="s">
        <v>5798</v>
      </c>
      <c r="N410" s="93">
        <v>2191</v>
      </c>
      <c r="O410" s="94">
        <v>98000</v>
      </c>
      <c r="P410" s="94">
        <v>4700</v>
      </c>
      <c r="Q410" s="92" t="s">
        <v>3957</v>
      </c>
      <c r="R410" s="92" t="s">
        <v>5822</v>
      </c>
      <c r="S410" s="91">
        <v>21925</v>
      </c>
      <c r="T410" s="89" t="s">
        <v>643</v>
      </c>
    </row>
    <row r="411" spans="1:20" ht="30" customHeight="1" x14ac:dyDescent="0.35">
      <c r="A411" s="88">
        <v>219946</v>
      </c>
      <c r="B411" s="89" t="s">
        <v>5823</v>
      </c>
      <c r="C411" s="89" t="s">
        <v>5824</v>
      </c>
      <c r="D411" s="90" t="s">
        <v>4077</v>
      </c>
      <c r="E411" s="89" t="s">
        <v>2284</v>
      </c>
      <c r="F411" s="89"/>
      <c r="G411" s="89" t="s">
        <v>2285</v>
      </c>
      <c r="H411" s="91">
        <v>4421</v>
      </c>
      <c r="I411" s="89" t="s">
        <v>5825</v>
      </c>
      <c r="J411" s="92" t="s">
        <v>883</v>
      </c>
      <c r="K411" s="92" t="s">
        <v>5539</v>
      </c>
      <c r="L411" s="92" t="s">
        <v>5826</v>
      </c>
      <c r="M411" s="92" t="s">
        <v>5827</v>
      </c>
      <c r="N411" s="93">
        <v>4421</v>
      </c>
      <c r="O411" s="94">
        <v>1500000</v>
      </c>
      <c r="P411" s="94">
        <v>18000</v>
      </c>
      <c r="Q411" s="92" t="s">
        <v>3957</v>
      </c>
      <c r="R411" s="92" t="s">
        <v>5828</v>
      </c>
      <c r="S411" s="91">
        <v>44220</v>
      </c>
      <c r="T411" s="91">
        <v>44110</v>
      </c>
    </row>
    <row r="412" spans="1:20" ht="30" customHeight="1" x14ac:dyDescent="0.35">
      <c r="A412" s="88">
        <v>219947</v>
      </c>
      <c r="B412" s="89" t="s">
        <v>5829</v>
      </c>
      <c r="C412" s="89" t="s">
        <v>5830</v>
      </c>
      <c r="D412" s="90" t="s">
        <v>3978</v>
      </c>
      <c r="E412" s="89" t="s">
        <v>2287</v>
      </c>
      <c r="F412" s="89" t="s">
        <v>5831</v>
      </c>
      <c r="G412" s="89" t="s">
        <v>2288</v>
      </c>
      <c r="H412" s="91">
        <v>4422</v>
      </c>
      <c r="I412" s="89" t="s">
        <v>4876</v>
      </c>
      <c r="J412" s="92" t="s">
        <v>883</v>
      </c>
      <c r="K412" s="92" t="s">
        <v>5539</v>
      </c>
      <c r="L412" s="92" t="s">
        <v>4877</v>
      </c>
      <c r="M412" s="92" t="s">
        <v>4878</v>
      </c>
      <c r="N412" s="93">
        <v>4422</v>
      </c>
      <c r="O412" s="94">
        <v>400000</v>
      </c>
      <c r="P412" s="94">
        <v>5500</v>
      </c>
      <c r="Q412" s="92" t="s">
        <v>3957</v>
      </c>
      <c r="R412" s="92" t="s">
        <v>5832</v>
      </c>
      <c r="S412" s="91">
        <v>44222</v>
      </c>
      <c r="T412" s="91">
        <v>44135</v>
      </c>
    </row>
    <row r="413" spans="1:20" ht="30" customHeight="1" x14ac:dyDescent="0.35">
      <c r="A413" s="88">
        <v>221221</v>
      </c>
      <c r="B413" s="89" t="s">
        <v>5833</v>
      </c>
      <c r="C413" s="89" t="s">
        <v>5834</v>
      </c>
      <c r="D413" s="90" t="s">
        <v>4077</v>
      </c>
      <c r="E413" s="89" t="s">
        <v>2290</v>
      </c>
      <c r="F413" s="89"/>
      <c r="G413" s="89" t="s">
        <v>2291</v>
      </c>
      <c r="H413" s="91">
        <v>2211</v>
      </c>
      <c r="I413" s="89" t="s">
        <v>5835</v>
      </c>
      <c r="J413" s="92" t="s">
        <v>883</v>
      </c>
      <c r="K413" s="92"/>
      <c r="L413" s="92" t="s">
        <v>5836</v>
      </c>
      <c r="M413" s="92" t="s">
        <v>5837</v>
      </c>
      <c r="N413" s="93">
        <v>2211</v>
      </c>
      <c r="O413" s="94">
        <v>486000</v>
      </c>
      <c r="P413" s="94">
        <v>7700</v>
      </c>
      <c r="Q413" s="92" t="s">
        <v>3957</v>
      </c>
      <c r="R413" s="92" t="s">
        <v>5838</v>
      </c>
      <c r="S413" s="91">
        <v>22125</v>
      </c>
      <c r="T413" s="89" t="s">
        <v>5839</v>
      </c>
    </row>
    <row r="414" spans="1:20" ht="30" customHeight="1" x14ac:dyDescent="0.35">
      <c r="A414" s="88">
        <v>221222</v>
      </c>
      <c r="B414" s="89" t="s">
        <v>5840</v>
      </c>
      <c r="C414" s="89" t="s">
        <v>5841</v>
      </c>
      <c r="D414" s="90" t="s">
        <v>4077</v>
      </c>
      <c r="E414" s="89" t="s">
        <v>2293</v>
      </c>
      <c r="F414" s="89"/>
      <c r="G414" s="89" t="s">
        <v>2294</v>
      </c>
      <c r="H414" s="91">
        <v>2211</v>
      </c>
      <c r="I414" s="89" t="s">
        <v>5835</v>
      </c>
      <c r="J414" s="92" t="s">
        <v>883</v>
      </c>
      <c r="K414" s="92"/>
      <c r="L414" s="92" t="s">
        <v>5836</v>
      </c>
      <c r="M414" s="92" t="s">
        <v>5837</v>
      </c>
      <c r="N414" s="93">
        <v>2211</v>
      </c>
      <c r="O414" s="94">
        <v>486000</v>
      </c>
      <c r="P414" s="94">
        <v>7700</v>
      </c>
      <c r="Q414" s="92" t="s">
        <v>3957</v>
      </c>
      <c r="R414" s="92" t="s">
        <v>5842</v>
      </c>
      <c r="S414" s="91">
        <v>22110</v>
      </c>
      <c r="T414" s="91">
        <v>22110</v>
      </c>
    </row>
    <row r="415" spans="1:20" ht="30" customHeight="1" x14ac:dyDescent="0.35">
      <c r="A415" s="88">
        <v>222222</v>
      </c>
      <c r="B415" s="89" t="s">
        <v>5843</v>
      </c>
      <c r="C415" s="89" t="s">
        <v>5844</v>
      </c>
      <c r="D415" s="90" t="s">
        <v>4077</v>
      </c>
      <c r="E415" s="89" t="s">
        <v>2296</v>
      </c>
      <c r="F415" s="89"/>
      <c r="G415" s="89" t="s">
        <v>2297</v>
      </c>
      <c r="H415" s="91">
        <v>2221</v>
      </c>
      <c r="I415" s="89" t="s">
        <v>5845</v>
      </c>
      <c r="J415" s="92" t="s">
        <v>883</v>
      </c>
      <c r="K415" s="92"/>
      <c r="L415" s="92" t="s">
        <v>5846</v>
      </c>
      <c r="M415" s="92" t="s">
        <v>5847</v>
      </c>
      <c r="N415" s="93">
        <v>2221</v>
      </c>
      <c r="O415" s="94">
        <v>137000</v>
      </c>
      <c r="P415" s="94">
        <v>7400</v>
      </c>
      <c r="Q415" s="92" t="s">
        <v>3957</v>
      </c>
      <c r="R415" s="92" t="s">
        <v>5848</v>
      </c>
      <c r="S415" s="91">
        <v>22210</v>
      </c>
      <c r="T415" s="91">
        <v>22210</v>
      </c>
    </row>
    <row r="416" spans="1:20" ht="30" customHeight="1" x14ac:dyDescent="0.35">
      <c r="A416" s="88">
        <v>226226</v>
      </c>
      <c r="B416" s="89" t="s">
        <v>5849</v>
      </c>
      <c r="C416" s="89" t="s">
        <v>5850</v>
      </c>
      <c r="D416" s="90" t="s">
        <v>4077</v>
      </c>
      <c r="E416" s="89" t="s">
        <v>2299</v>
      </c>
      <c r="F416" s="89"/>
      <c r="G416" s="89" t="s">
        <v>2300</v>
      </c>
      <c r="H416" s="91">
        <v>2261</v>
      </c>
      <c r="I416" s="89" t="s">
        <v>5851</v>
      </c>
      <c r="J416" s="92" t="s">
        <v>883</v>
      </c>
      <c r="K416" s="92"/>
      <c r="L416" s="92" t="s">
        <v>5852</v>
      </c>
      <c r="M416" s="92" t="s">
        <v>5853</v>
      </c>
      <c r="N416" s="93">
        <v>2261</v>
      </c>
      <c r="O416" s="94">
        <v>110000</v>
      </c>
      <c r="P416" s="94">
        <v>3900</v>
      </c>
      <c r="Q416" s="92" t="s">
        <v>3957</v>
      </c>
      <c r="R416" s="92" t="s">
        <v>5854</v>
      </c>
      <c r="S416" s="91">
        <v>22616</v>
      </c>
      <c r="T416" s="91">
        <v>22660</v>
      </c>
    </row>
    <row r="417" spans="1:20" ht="30" customHeight="1" x14ac:dyDescent="0.35">
      <c r="A417" s="88">
        <v>227227</v>
      </c>
      <c r="B417" s="89" t="s">
        <v>5855</v>
      </c>
      <c r="C417" s="89" t="s">
        <v>5856</v>
      </c>
      <c r="D417" s="90" t="s">
        <v>4077</v>
      </c>
      <c r="E417" s="89" t="s">
        <v>2302</v>
      </c>
      <c r="F417" s="89"/>
      <c r="G417" s="89" t="s">
        <v>2303</v>
      </c>
      <c r="H417" s="91">
        <v>2271</v>
      </c>
      <c r="I417" s="89" t="s">
        <v>5857</v>
      </c>
      <c r="J417" s="92" t="s">
        <v>883</v>
      </c>
      <c r="K417" s="92"/>
      <c r="L417" s="92" t="s">
        <v>5858</v>
      </c>
      <c r="M417" s="92" t="s">
        <v>5859</v>
      </c>
      <c r="N417" s="93">
        <v>2271</v>
      </c>
      <c r="O417" s="94">
        <v>34000</v>
      </c>
      <c r="P417" s="94">
        <v>25100</v>
      </c>
      <c r="Q417" s="92" t="s">
        <v>3957</v>
      </c>
      <c r="R417" s="92" t="s">
        <v>5860</v>
      </c>
      <c r="S417" s="89" t="s">
        <v>643</v>
      </c>
      <c r="T417" s="89" t="s">
        <v>643</v>
      </c>
    </row>
    <row r="418" spans="1:20" ht="30" customHeight="1" x14ac:dyDescent="0.35">
      <c r="A418" s="88">
        <v>227228</v>
      </c>
      <c r="B418" s="89" t="s">
        <v>5861</v>
      </c>
      <c r="C418" s="89" t="s">
        <v>5862</v>
      </c>
      <c r="D418" s="90" t="s">
        <v>4077</v>
      </c>
      <c r="E418" s="89" t="s">
        <v>2305</v>
      </c>
      <c r="F418" s="89"/>
      <c r="G418" s="89" t="s">
        <v>2306</v>
      </c>
      <c r="H418" s="91">
        <v>2271</v>
      </c>
      <c r="I418" s="89" t="s">
        <v>5857</v>
      </c>
      <c r="J418" s="92" t="s">
        <v>883</v>
      </c>
      <c r="K418" s="92"/>
      <c r="L418" s="92" t="s">
        <v>5858</v>
      </c>
      <c r="M418" s="92" t="s">
        <v>5859</v>
      </c>
      <c r="N418" s="93">
        <v>2271</v>
      </c>
      <c r="O418" s="94">
        <v>34000</v>
      </c>
      <c r="P418" s="94">
        <v>25100</v>
      </c>
      <c r="Q418" s="92" t="s">
        <v>3957</v>
      </c>
      <c r="R418" s="92" t="s">
        <v>5863</v>
      </c>
      <c r="S418" s="89" t="s">
        <v>643</v>
      </c>
      <c r="T418" s="89" t="s">
        <v>643</v>
      </c>
    </row>
    <row r="419" spans="1:20" ht="30" customHeight="1" x14ac:dyDescent="0.35">
      <c r="A419" s="88">
        <v>228228</v>
      </c>
      <c r="B419" s="89" t="s">
        <v>5864</v>
      </c>
      <c r="C419" s="89" t="s">
        <v>5865</v>
      </c>
      <c r="D419" s="90" t="s">
        <v>4077</v>
      </c>
      <c r="E419" s="89" t="s">
        <v>2308</v>
      </c>
      <c r="F419" s="89"/>
      <c r="G419" s="89" t="s">
        <v>2309</v>
      </c>
      <c r="H419" s="91">
        <v>2281</v>
      </c>
      <c r="I419" s="89" t="s">
        <v>5866</v>
      </c>
      <c r="J419" s="92" t="s">
        <v>883</v>
      </c>
      <c r="K419" s="92"/>
      <c r="L419" s="92" t="s">
        <v>5867</v>
      </c>
      <c r="M419" s="92" t="s">
        <v>5868</v>
      </c>
      <c r="N419" s="93">
        <v>2281</v>
      </c>
      <c r="O419" s="94">
        <v>54000</v>
      </c>
      <c r="P419" s="94">
        <v>6300</v>
      </c>
      <c r="Q419" s="92" t="s">
        <v>3957</v>
      </c>
      <c r="R419" s="92" t="s">
        <v>5869</v>
      </c>
      <c r="S419" s="91">
        <v>22845</v>
      </c>
      <c r="T419" s="89" t="s">
        <v>643</v>
      </c>
    </row>
    <row r="420" spans="1:20" ht="30" customHeight="1" x14ac:dyDescent="0.35">
      <c r="A420" s="88">
        <v>229982</v>
      </c>
      <c r="B420" s="89" t="s">
        <v>5870</v>
      </c>
      <c r="C420" s="89" t="s">
        <v>5871</v>
      </c>
      <c r="D420" s="90" t="s">
        <v>3978</v>
      </c>
      <c r="E420" s="89" t="s">
        <v>2311</v>
      </c>
      <c r="F420" s="89" t="s">
        <v>5872</v>
      </c>
      <c r="G420" s="89" t="s">
        <v>2312</v>
      </c>
      <c r="H420" s="91">
        <v>2291</v>
      </c>
      <c r="I420" s="89" t="s">
        <v>5873</v>
      </c>
      <c r="J420" s="92" t="s">
        <v>883</v>
      </c>
      <c r="K420" s="92"/>
      <c r="L420" s="92" t="s">
        <v>5874</v>
      </c>
      <c r="M420" s="92" t="s">
        <v>5875</v>
      </c>
      <c r="N420" s="93">
        <v>2291</v>
      </c>
      <c r="O420" s="94">
        <v>1</v>
      </c>
      <c r="P420" s="94">
        <v>1</v>
      </c>
      <c r="Q420" s="92" t="s">
        <v>3957</v>
      </c>
      <c r="R420" s="92" t="s">
        <v>5876</v>
      </c>
      <c r="S420" s="91">
        <v>22910</v>
      </c>
      <c r="T420" s="91">
        <v>22910</v>
      </c>
    </row>
    <row r="421" spans="1:20" ht="30" customHeight="1" x14ac:dyDescent="0.35">
      <c r="A421" s="88">
        <v>229984</v>
      </c>
      <c r="B421" s="89" t="s">
        <v>5877</v>
      </c>
      <c r="C421" s="89" t="s">
        <v>5878</v>
      </c>
      <c r="D421" s="90" t="s">
        <v>3978</v>
      </c>
      <c r="E421" s="89" t="s">
        <v>2314</v>
      </c>
      <c r="F421" s="89" t="s">
        <v>5872</v>
      </c>
      <c r="G421" s="89" t="s">
        <v>2315</v>
      </c>
      <c r="H421" s="91">
        <v>2291</v>
      </c>
      <c r="I421" s="89" t="s">
        <v>5873</v>
      </c>
      <c r="J421" s="92" t="s">
        <v>883</v>
      </c>
      <c r="K421" s="92"/>
      <c r="L421" s="92" t="s">
        <v>5874</v>
      </c>
      <c r="M421" s="92" t="s">
        <v>5875</v>
      </c>
      <c r="N421" s="93">
        <v>2291</v>
      </c>
      <c r="O421" s="94">
        <v>1</v>
      </c>
      <c r="P421" s="94">
        <v>1</v>
      </c>
      <c r="Q421" s="92" t="s">
        <v>3957</v>
      </c>
      <c r="R421" s="92" t="s">
        <v>5879</v>
      </c>
      <c r="S421" s="91">
        <v>22920</v>
      </c>
      <c r="T421" s="91">
        <v>22920</v>
      </c>
    </row>
    <row r="422" spans="1:20" ht="30" customHeight="1" x14ac:dyDescent="0.35">
      <c r="A422" s="88">
        <v>229986</v>
      </c>
      <c r="B422" s="89" t="s">
        <v>5880</v>
      </c>
      <c r="C422" s="89" t="s">
        <v>5881</v>
      </c>
      <c r="D422" s="90" t="s">
        <v>3978</v>
      </c>
      <c r="E422" s="89" t="s">
        <v>2317</v>
      </c>
      <c r="F422" s="89" t="s">
        <v>5882</v>
      </c>
      <c r="G422" s="89" t="s">
        <v>2318</v>
      </c>
      <c r="H422" s="91">
        <v>8921</v>
      </c>
      <c r="I422" s="89" t="s">
        <v>5883</v>
      </c>
      <c r="J422" s="92" t="s">
        <v>4058</v>
      </c>
      <c r="K422" s="92"/>
      <c r="L422" s="92" t="s">
        <v>5884</v>
      </c>
      <c r="M422" s="92" t="s">
        <v>5885</v>
      </c>
      <c r="N422" s="93">
        <v>8921</v>
      </c>
      <c r="O422" s="94">
        <v>1</v>
      </c>
      <c r="P422" s="94">
        <v>1</v>
      </c>
      <c r="Q422" s="92" t="s">
        <v>3957</v>
      </c>
      <c r="R422" s="92" t="s">
        <v>5886</v>
      </c>
      <c r="S422" s="91">
        <v>89132</v>
      </c>
      <c r="T422" s="91">
        <v>89030</v>
      </c>
    </row>
    <row r="423" spans="1:20" ht="30" customHeight="1" x14ac:dyDescent="0.35">
      <c r="A423" s="88">
        <v>229987</v>
      </c>
      <c r="B423" s="89" t="s">
        <v>5887</v>
      </c>
      <c r="C423" s="89" t="s">
        <v>5888</v>
      </c>
      <c r="D423" s="90" t="s">
        <v>3978</v>
      </c>
      <c r="E423" s="89" t="s">
        <v>2320</v>
      </c>
      <c r="F423" s="89" t="s">
        <v>5872</v>
      </c>
      <c r="G423" s="89" t="s">
        <v>2321</v>
      </c>
      <c r="H423" s="91">
        <v>2291</v>
      </c>
      <c r="I423" s="89" t="s">
        <v>5873</v>
      </c>
      <c r="J423" s="92" t="s">
        <v>883</v>
      </c>
      <c r="K423" s="92"/>
      <c r="L423" s="92" t="s">
        <v>5874</v>
      </c>
      <c r="M423" s="92" t="s">
        <v>5875</v>
      </c>
      <c r="N423" s="93">
        <v>2291</v>
      </c>
      <c r="O423" s="94">
        <v>1</v>
      </c>
      <c r="P423" s="94">
        <v>1</v>
      </c>
      <c r="Q423" s="92" t="s">
        <v>3957</v>
      </c>
      <c r="R423" s="92" t="s">
        <v>5889</v>
      </c>
      <c r="S423" s="91">
        <v>22930</v>
      </c>
      <c r="T423" s="91">
        <v>22930</v>
      </c>
    </row>
    <row r="424" spans="1:20" ht="30" customHeight="1" x14ac:dyDescent="0.35">
      <c r="A424" s="88">
        <v>310630</v>
      </c>
      <c r="B424" s="89" t="s">
        <v>5890</v>
      </c>
      <c r="C424" s="89"/>
      <c r="D424" s="90" t="s">
        <v>4077</v>
      </c>
      <c r="E424" s="89" t="s">
        <v>2323</v>
      </c>
      <c r="F424" s="89"/>
      <c r="G424" s="89" t="s">
        <v>909</v>
      </c>
      <c r="H424" s="91">
        <v>3101</v>
      </c>
      <c r="I424" s="89" t="s">
        <v>5891</v>
      </c>
      <c r="J424" s="92" t="s">
        <v>883</v>
      </c>
      <c r="K424" s="92"/>
      <c r="L424" s="92"/>
      <c r="M424" s="92"/>
      <c r="N424" s="93"/>
      <c r="O424" s="94"/>
      <c r="P424" s="94"/>
      <c r="Q424" s="92"/>
      <c r="R424" s="92"/>
      <c r="S424" s="91"/>
      <c r="T424" s="91"/>
    </row>
    <row r="425" spans="1:20" ht="30" customHeight="1" x14ac:dyDescent="0.35">
      <c r="A425" s="88">
        <v>310911</v>
      </c>
      <c r="B425" s="89" t="s">
        <v>5892</v>
      </c>
      <c r="C425" s="89" t="s">
        <v>5893</v>
      </c>
      <c r="D425" s="90" t="s">
        <v>4077</v>
      </c>
      <c r="E425" s="89" t="s">
        <v>2325</v>
      </c>
      <c r="F425" s="89"/>
      <c r="G425" s="89" t="s">
        <v>2326</v>
      </c>
      <c r="H425" s="91">
        <v>3101</v>
      </c>
      <c r="I425" s="89" t="s">
        <v>5891</v>
      </c>
      <c r="J425" s="92" t="s">
        <v>883</v>
      </c>
      <c r="K425" s="92"/>
      <c r="L425" s="92" t="s">
        <v>5894</v>
      </c>
      <c r="M425" s="92" t="s">
        <v>5895</v>
      </c>
      <c r="N425" s="93">
        <v>3101</v>
      </c>
      <c r="O425" s="94">
        <v>290000</v>
      </c>
      <c r="P425" s="94">
        <v>22000</v>
      </c>
      <c r="Q425" s="92" t="s">
        <v>3957</v>
      </c>
      <c r="R425" s="92" t="s">
        <v>5896</v>
      </c>
      <c r="S425" s="91">
        <v>31040</v>
      </c>
      <c r="T425" s="91">
        <v>31019</v>
      </c>
    </row>
    <row r="426" spans="1:20" ht="30" customHeight="1" x14ac:dyDescent="0.35">
      <c r="A426" s="88">
        <v>310912</v>
      </c>
      <c r="B426" s="89" t="s">
        <v>5897</v>
      </c>
      <c r="C426" s="89" t="s">
        <v>5898</v>
      </c>
      <c r="D426" s="90" t="s">
        <v>4077</v>
      </c>
      <c r="E426" s="89" t="s">
        <v>2328</v>
      </c>
      <c r="F426" s="89"/>
      <c r="G426" s="89" t="s">
        <v>2329</v>
      </c>
      <c r="H426" s="91">
        <v>3101</v>
      </c>
      <c r="I426" s="89" t="s">
        <v>5891</v>
      </c>
      <c r="J426" s="92" t="s">
        <v>883</v>
      </c>
      <c r="K426" s="92"/>
      <c r="L426" s="92" t="s">
        <v>5894</v>
      </c>
      <c r="M426" s="92" t="s">
        <v>5895</v>
      </c>
      <c r="N426" s="93">
        <v>3101</v>
      </c>
      <c r="O426" s="94">
        <v>290000</v>
      </c>
      <c r="P426" s="94">
        <v>22000</v>
      </c>
      <c r="Q426" s="92" t="s">
        <v>3957</v>
      </c>
      <c r="R426" s="92" t="s">
        <v>5899</v>
      </c>
      <c r="S426" s="89" t="s">
        <v>643</v>
      </c>
      <c r="T426" s="91">
        <v>31027</v>
      </c>
    </row>
    <row r="427" spans="1:20" ht="30" customHeight="1" x14ac:dyDescent="0.35">
      <c r="A427" s="88">
        <v>310913</v>
      </c>
      <c r="B427" s="89" t="s">
        <v>5900</v>
      </c>
      <c r="C427" s="89" t="s">
        <v>5901</v>
      </c>
      <c r="D427" s="90" t="s">
        <v>4077</v>
      </c>
      <c r="E427" s="89" t="s">
        <v>2331</v>
      </c>
      <c r="F427" s="89" t="s">
        <v>5122</v>
      </c>
      <c r="G427" s="89" t="s">
        <v>2332</v>
      </c>
      <c r="H427" s="91">
        <v>3101</v>
      </c>
      <c r="I427" s="89" t="s">
        <v>5891</v>
      </c>
      <c r="J427" s="92" t="s">
        <v>883</v>
      </c>
      <c r="K427" s="92"/>
      <c r="L427" s="92" t="s">
        <v>5894</v>
      </c>
      <c r="M427" s="92" t="s">
        <v>5895</v>
      </c>
      <c r="N427" s="93">
        <v>3101</v>
      </c>
      <c r="O427" s="94">
        <v>290000</v>
      </c>
      <c r="P427" s="94">
        <v>22000</v>
      </c>
      <c r="Q427" s="92" t="s">
        <v>3957</v>
      </c>
      <c r="R427" s="92" t="s">
        <v>5902</v>
      </c>
      <c r="S427" s="91">
        <v>31071</v>
      </c>
      <c r="T427" s="91">
        <v>31011</v>
      </c>
    </row>
    <row r="428" spans="1:20" ht="30" customHeight="1" x14ac:dyDescent="0.35">
      <c r="A428" s="88">
        <v>310914</v>
      </c>
      <c r="B428" s="89" t="s">
        <v>5903</v>
      </c>
      <c r="C428" s="89" t="s">
        <v>5904</v>
      </c>
      <c r="D428" s="90" t="s">
        <v>4077</v>
      </c>
      <c r="E428" s="89" t="s">
        <v>2334</v>
      </c>
      <c r="F428" s="89"/>
      <c r="G428" s="89" t="s">
        <v>2335</v>
      </c>
      <c r="H428" s="91">
        <v>3101</v>
      </c>
      <c r="I428" s="89" t="s">
        <v>5891</v>
      </c>
      <c r="J428" s="92" t="s">
        <v>883</v>
      </c>
      <c r="K428" s="92"/>
      <c r="L428" s="92" t="s">
        <v>5894</v>
      </c>
      <c r="M428" s="92" t="s">
        <v>5895</v>
      </c>
      <c r="N428" s="93">
        <v>3101</v>
      </c>
      <c r="O428" s="94">
        <v>290000</v>
      </c>
      <c r="P428" s="94">
        <v>22000</v>
      </c>
      <c r="Q428" s="92" t="s">
        <v>3957</v>
      </c>
      <c r="R428" s="92" t="s">
        <v>5905</v>
      </c>
      <c r="S428" s="91">
        <v>31071</v>
      </c>
      <c r="T428" s="89" t="s">
        <v>643</v>
      </c>
    </row>
    <row r="429" spans="1:20" ht="30" customHeight="1" x14ac:dyDescent="0.35">
      <c r="A429" s="88">
        <v>310915</v>
      </c>
      <c r="B429" s="89" t="s">
        <v>5906</v>
      </c>
      <c r="C429" s="89" t="s">
        <v>5907</v>
      </c>
      <c r="D429" s="90" t="s">
        <v>4077</v>
      </c>
      <c r="E429" s="89" t="s">
        <v>2337</v>
      </c>
      <c r="F429" s="89"/>
      <c r="G429" s="89" t="s">
        <v>2338</v>
      </c>
      <c r="H429" s="91">
        <v>3101</v>
      </c>
      <c r="I429" s="89" t="s">
        <v>5891</v>
      </c>
      <c r="J429" s="92" t="s">
        <v>883</v>
      </c>
      <c r="K429" s="92"/>
      <c r="L429" s="92" t="s">
        <v>5894</v>
      </c>
      <c r="M429" s="92" t="s">
        <v>5895</v>
      </c>
      <c r="N429" s="93">
        <v>3101</v>
      </c>
      <c r="O429" s="94">
        <v>290000</v>
      </c>
      <c r="P429" s="94">
        <v>22000</v>
      </c>
      <c r="Q429" s="92" t="s">
        <v>3957</v>
      </c>
      <c r="R429" s="92" t="s">
        <v>5908</v>
      </c>
      <c r="S429" s="91">
        <v>31010</v>
      </c>
      <c r="T429" s="91">
        <v>31013</v>
      </c>
    </row>
    <row r="430" spans="1:20" ht="30" customHeight="1" x14ac:dyDescent="0.35">
      <c r="A430" s="88">
        <v>310916</v>
      </c>
      <c r="B430" s="89" t="s">
        <v>5909</v>
      </c>
      <c r="C430" s="89" t="s">
        <v>5910</v>
      </c>
      <c r="D430" s="90" t="s">
        <v>4077</v>
      </c>
      <c r="E430" s="89" t="s">
        <v>2340</v>
      </c>
      <c r="F430" s="89"/>
      <c r="G430" s="89" t="s">
        <v>2341</v>
      </c>
      <c r="H430" s="91">
        <v>3101</v>
      </c>
      <c r="I430" s="89" t="s">
        <v>5891</v>
      </c>
      <c r="J430" s="92" t="s">
        <v>883</v>
      </c>
      <c r="K430" s="92"/>
      <c r="L430" s="92" t="s">
        <v>5894</v>
      </c>
      <c r="M430" s="92" t="s">
        <v>5895</v>
      </c>
      <c r="N430" s="93">
        <v>3101</v>
      </c>
      <c r="O430" s="94">
        <v>290000</v>
      </c>
      <c r="P430" s="94">
        <v>22000</v>
      </c>
      <c r="Q430" s="92" t="s">
        <v>3957</v>
      </c>
      <c r="R430" s="92" t="s">
        <v>5911</v>
      </c>
      <c r="S430" s="89" t="s">
        <v>643</v>
      </c>
      <c r="T430" s="89" t="s">
        <v>643</v>
      </c>
    </row>
    <row r="431" spans="1:20" ht="30" customHeight="1" x14ac:dyDescent="0.35">
      <c r="A431" s="88">
        <v>310917</v>
      </c>
      <c r="B431" s="89" t="s">
        <v>5912</v>
      </c>
      <c r="C431" s="89" t="s">
        <v>5913</v>
      </c>
      <c r="D431" s="90" t="s">
        <v>4077</v>
      </c>
      <c r="E431" s="89" t="s">
        <v>2343</v>
      </c>
      <c r="F431" s="89"/>
      <c r="G431" s="89" t="s">
        <v>2344</v>
      </c>
      <c r="H431" s="91">
        <v>3101</v>
      </c>
      <c r="I431" s="89" t="s">
        <v>5891</v>
      </c>
      <c r="J431" s="92" t="s">
        <v>883</v>
      </c>
      <c r="K431" s="92"/>
      <c r="L431" s="92" t="s">
        <v>5894</v>
      </c>
      <c r="M431" s="92" t="s">
        <v>5895</v>
      </c>
      <c r="N431" s="93">
        <v>3101</v>
      </c>
      <c r="O431" s="94">
        <v>290000</v>
      </c>
      <c r="P431" s="94">
        <v>22000</v>
      </c>
      <c r="Q431" s="92" t="s">
        <v>3957</v>
      </c>
      <c r="R431" s="92" t="s">
        <v>5914</v>
      </c>
      <c r="S431" s="91">
        <v>31030</v>
      </c>
      <c r="T431" s="89" t="s">
        <v>643</v>
      </c>
    </row>
    <row r="432" spans="1:20" ht="30" customHeight="1" x14ac:dyDescent="0.35">
      <c r="A432" s="88">
        <v>310919</v>
      </c>
      <c r="B432" s="89" t="s">
        <v>5915</v>
      </c>
      <c r="C432" s="89" t="s">
        <v>5916</v>
      </c>
      <c r="D432" s="90" t="s">
        <v>4077</v>
      </c>
      <c r="E432" s="89" t="s">
        <v>2346</v>
      </c>
      <c r="F432" s="89"/>
      <c r="G432" s="89" t="s">
        <v>2347</v>
      </c>
      <c r="H432" s="91">
        <v>3101</v>
      </c>
      <c r="I432" s="89" t="s">
        <v>5891</v>
      </c>
      <c r="J432" s="92" t="s">
        <v>883</v>
      </c>
      <c r="K432" s="92"/>
      <c r="L432" s="92" t="s">
        <v>5894</v>
      </c>
      <c r="M432" s="92" t="s">
        <v>5895</v>
      </c>
      <c r="N432" s="93">
        <v>3101</v>
      </c>
      <c r="O432" s="94">
        <v>290000</v>
      </c>
      <c r="P432" s="94">
        <v>22000</v>
      </c>
      <c r="Q432" s="92" t="s">
        <v>3957</v>
      </c>
      <c r="R432" s="92" t="s">
        <v>5917</v>
      </c>
      <c r="S432" s="89" t="s">
        <v>643</v>
      </c>
      <c r="T432" s="89" t="s">
        <v>643</v>
      </c>
    </row>
    <row r="433" spans="1:20" ht="30" customHeight="1" x14ac:dyDescent="0.35">
      <c r="A433" s="88">
        <v>310921</v>
      </c>
      <c r="B433" s="89" t="s">
        <v>5918</v>
      </c>
      <c r="C433" s="89" t="s">
        <v>5919</v>
      </c>
      <c r="D433" s="90" t="s">
        <v>4077</v>
      </c>
      <c r="E433" s="89" t="s">
        <v>2349</v>
      </c>
      <c r="F433" s="89"/>
      <c r="G433" s="89" t="s">
        <v>2350</v>
      </c>
      <c r="H433" s="91">
        <v>3102</v>
      </c>
      <c r="I433" s="89" t="s">
        <v>5920</v>
      </c>
      <c r="J433" s="92" t="s">
        <v>4058</v>
      </c>
      <c r="K433" s="92"/>
      <c r="L433" s="92" t="s">
        <v>5921</v>
      </c>
      <c r="M433" s="92" t="s">
        <v>5922</v>
      </c>
      <c r="N433" s="93">
        <v>3102</v>
      </c>
      <c r="O433" s="94">
        <v>200000</v>
      </c>
      <c r="P433" s="94">
        <v>33000</v>
      </c>
      <c r="Q433" s="92" t="s">
        <v>3957</v>
      </c>
      <c r="R433" s="92" t="s">
        <v>5923</v>
      </c>
      <c r="S433" s="91">
        <v>31060</v>
      </c>
      <c r="T433" s="91">
        <v>31031</v>
      </c>
    </row>
    <row r="434" spans="1:20" ht="30" customHeight="1" x14ac:dyDescent="0.35">
      <c r="A434" s="88">
        <v>310922</v>
      </c>
      <c r="B434" s="89" t="s">
        <v>5924</v>
      </c>
      <c r="C434" s="89" t="s">
        <v>5925</v>
      </c>
      <c r="D434" s="90" t="s">
        <v>4077</v>
      </c>
      <c r="E434" s="89" t="s">
        <v>2352</v>
      </c>
      <c r="F434" s="89"/>
      <c r="G434" s="89" t="s">
        <v>2353</v>
      </c>
      <c r="H434" s="91">
        <v>3101</v>
      </c>
      <c r="I434" s="89" t="s">
        <v>5891</v>
      </c>
      <c r="J434" s="92" t="s">
        <v>883</v>
      </c>
      <c r="K434" s="92"/>
      <c r="L434" s="92" t="s">
        <v>5894</v>
      </c>
      <c r="M434" s="92" t="s">
        <v>5895</v>
      </c>
      <c r="N434" s="93">
        <v>3101</v>
      </c>
      <c r="O434" s="94">
        <v>290000</v>
      </c>
      <c r="P434" s="94">
        <v>22000</v>
      </c>
      <c r="Q434" s="92" t="s">
        <v>3957</v>
      </c>
      <c r="R434" s="92" t="s">
        <v>5926</v>
      </c>
      <c r="S434" s="91">
        <v>31050</v>
      </c>
      <c r="T434" s="89" t="s">
        <v>643</v>
      </c>
    </row>
    <row r="435" spans="1:20" ht="30" customHeight="1" x14ac:dyDescent="0.35">
      <c r="A435" s="88">
        <v>310923</v>
      </c>
      <c r="B435" s="89" t="s">
        <v>5927</v>
      </c>
      <c r="C435" s="89" t="s">
        <v>5928</v>
      </c>
      <c r="D435" s="90" t="s">
        <v>4077</v>
      </c>
      <c r="E435" s="89" t="s">
        <v>2355</v>
      </c>
      <c r="F435" s="89"/>
      <c r="G435" s="89" t="s">
        <v>2356</v>
      </c>
      <c r="H435" s="91">
        <v>3101</v>
      </c>
      <c r="I435" s="89" t="s">
        <v>5891</v>
      </c>
      <c r="J435" s="92" t="s">
        <v>883</v>
      </c>
      <c r="K435" s="92"/>
      <c r="L435" s="92" t="s">
        <v>5894</v>
      </c>
      <c r="M435" s="92" t="s">
        <v>5895</v>
      </c>
      <c r="N435" s="93">
        <v>3101</v>
      </c>
      <c r="O435" s="94">
        <v>290000</v>
      </c>
      <c r="P435" s="94">
        <v>22000</v>
      </c>
      <c r="Q435" s="92" t="s">
        <v>3957</v>
      </c>
      <c r="R435" s="92" t="s">
        <v>5929</v>
      </c>
      <c r="S435" s="89" t="s">
        <v>643</v>
      </c>
      <c r="T435" s="89" t="s">
        <v>643</v>
      </c>
    </row>
    <row r="436" spans="1:20" ht="30" customHeight="1" x14ac:dyDescent="0.35">
      <c r="A436" s="88">
        <v>310924</v>
      </c>
      <c r="B436" s="89" t="s">
        <v>5930</v>
      </c>
      <c r="C436" s="89" t="s">
        <v>5931</v>
      </c>
      <c r="D436" s="90" t="s">
        <v>4077</v>
      </c>
      <c r="E436" s="89" t="s">
        <v>2358</v>
      </c>
      <c r="F436" s="89"/>
      <c r="G436" s="89" t="s">
        <v>2359</v>
      </c>
      <c r="H436" s="91">
        <v>3101</v>
      </c>
      <c r="I436" s="89" t="s">
        <v>5891</v>
      </c>
      <c r="J436" s="92" t="s">
        <v>883</v>
      </c>
      <c r="K436" s="92"/>
      <c r="L436" s="92" t="s">
        <v>5894</v>
      </c>
      <c r="M436" s="92" t="s">
        <v>5895</v>
      </c>
      <c r="N436" s="93">
        <v>3101</v>
      </c>
      <c r="O436" s="94">
        <v>290000</v>
      </c>
      <c r="P436" s="94">
        <v>22000</v>
      </c>
      <c r="Q436" s="92" t="s">
        <v>3957</v>
      </c>
      <c r="R436" s="92" t="s">
        <v>5932</v>
      </c>
      <c r="S436" s="89" t="s">
        <v>643</v>
      </c>
      <c r="T436" s="89" t="s">
        <v>643</v>
      </c>
    </row>
    <row r="437" spans="1:20" ht="30" customHeight="1" x14ac:dyDescent="0.35">
      <c r="A437" s="88">
        <v>310925</v>
      </c>
      <c r="B437" s="89" t="s">
        <v>5933</v>
      </c>
      <c r="C437" s="89" t="s">
        <v>5934</v>
      </c>
      <c r="D437" s="90" t="s">
        <v>4077</v>
      </c>
      <c r="E437" s="89" t="s">
        <v>2361</v>
      </c>
      <c r="F437" s="89"/>
      <c r="G437" s="89" t="s">
        <v>2362</v>
      </c>
      <c r="H437" s="91">
        <v>3101</v>
      </c>
      <c r="I437" s="89" t="s">
        <v>5891</v>
      </c>
      <c r="J437" s="92" t="s">
        <v>883</v>
      </c>
      <c r="K437" s="92"/>
      <c r="L437" s="92" t="s">
        <v>5894</v>
      </c>
      <c r="M437" s="92" t="s">
        <v>5895</v>
      </c>
      <c r="N437" s="93">
        <v>3101</v>
      </c>
      <c r="O437" s="94">
        <v>290000</v>
      </c>
      <c r="P437" s="94">
        <v>22000</v>
      </c>
      <c r="Q437" s="92" t="s">
        <v>3957</v>
      </c>
      <c r="R437" s="92" t="s">
        <v>5935</v>
      </c>
      <c r="S437" s="89" t="s">
        <v>643</v>
      </c>
      <c r="T437" s="89" t="s">
        <v>643</v>
      </c>
    </row>
    <row r="438" spans="1:20" ht="30" customHeight="1" x14ac:dyDescent="0.35">
      <c r="A438" s="88">
        <v>310926</v>
      </c>
      <c r="B438" s="89" t="s">
        <v>5936</v>
      </c>
      <c r="C438" s="89" t="s">
        <v>5937</v>
      </c>
      <c r="D438" s="90" t="s">
        <v>4077</v>
      </c>
      <c r="E438" s="89" t="s">
        <v>2364</v>
      </c>
      <c r="F438" s="89"/>
      <c r="G438" s="89" t="s">
        <v>2365</v>
      </c>
      <c r="H438" s="91">
        <v>3101</v>
      </c>
      <c r="I438" s="89" t="s">
        <v>5891</v>
      </c>
      <c r="J438" s="92" t="s">
        <v>883</v>
      </c>
      <c r="K438" s="92"/>
      <c r="L438" s="92" t="s">
        <v>5894</v>
      </c>
      <c r="M438" s="92" t="s">
        <v>5895</v>
      </c>
      <c r="N438" s="93">
        <v>3101</v>
      </c>
      <c r="O438" s="94">
        <v>290000</v>
      </c>
      <c r="P438" s="94">
        <v>22000</v>
      </c>
      <c r="Q438" s="92" t="s">
        <v>3957</v>
      </c>
      <c r="R438" s="92" t="s">
        <v>5938</v>
      </c>
      <c r="S438" s="89" t="s">
        <v>643</v>
      </c>
      <c r="T438" s="89" t="s">
        <v>643</v>
      </c>
    </row>
    <row r="439" spans="1:20" ht="30" customHeight="1" x14ac:dyDescent="0.35">
      <c r="A439" s="88">
        <v>310927</v>
      </c>
      <c r="B439" s="89" t="s">
        <v>5939</v>
      </c>
      <c r="C439" s="89" t="s">
        <v>5940</v>
      </c>
      <c r="D439" s="90" t="s">
        <v>4077</v>
      </c>
      <c r="E439" s="89" t="s">
        <v>2367</v>
      </c>
      <c r="F439" s="89"/>
      <c r="G439" s="89" t="s">
        <v>2368</v>
      </c>
      <c r="H439" s="91">
        <v>3101</v>
      </c>
      <c r="I439" s="89" t="s">
        <v>5891</v>
      </c>
      <c r="J439" s="92" t="s">
        <v>883</v>
      </c>
      <c r="K439" s="92"/>
      <c r="L439" s="92" t="s">
        <v>5894</v>
      </c>
      <c r="M439" s="92" t="s">
        <v>5895</v>
      </c>
      <c r="N439" s="93">
        <v>3101</v>
      </c>
      <c r="O439" s="94">
        <v>290000</v>
      </c>
      <c r="P439" s="94">
        <v>22000</v>
      </c>
      <c r="Q439" s="92" t="s">
        <v>3957</v>
      </c>
      <c r="R439" s="92" t="s">
        <v>5941</v>
      </c>
      <c r="S439" s="89" t="s">
        <v>643</v>
      </c>
      <c r="T439" s="89" t="s">
        <v>643</v>
      </c>
    </row>
    <row r="440" spans="1:20" ht="30" customHeight="1" x14ac:dyDescent="0.35">
      <c r="A440" s="88">
        <v>310928</v>
      </c>
      <c r="B440" s="89" t="s">
        <v>5942</v>
      </c>
      <c r="C440" s="89" t="s">
        <v>5943</v>
      </c>
      <c r="D440" s="90" t="s">
        <v>4077</v>
      </c>
      <c r="E440" s="89" t="s">
        <v>2370</v>
      </c>
      <c r="F440" s="89"/>
      <c r="G440" s="89" t="s">
        <v>2371</v>
      </c>
      <c r="H440" s="91">
        <v>3101</v>
      </c>
      <c r="I440" s="89" t="s">
        <v>5891</v>
      </c>
      <c r="J440" s="92" t="s">
        <v>883</v>
      </c>
      <c r="K440" s="92"/>
      <c r="L440" s="92" t="s">
        <v>5894</v>
      </c>
      <c r="M440" s="92" t="s">
        <v>5895</v>
      </c>
      <c r="N440" s="93">
        <v>3101</v>
      </c>
      <c r="O440" s="94">
        <v>290000</v>
      </c>
      <c r="P440" s="94">
        <v>22000</v>
      </c>
      <c r="Q440" s="92" t="s">
        <v>3957</v>
      </c>
      <c r="R440" s="92" t="s">
        <v>5944</v>
      </c>
      <c r="S440" s="89" t="s">
        <v>643</v>
      </c>
      <c r="T440" s="89" t="s">
        <v>643</v>
      </c>
    </row>
    <row r="441" spans="1:20" ht="30" customHeight="1" x14ac:dyDescent="0.35">
      <c r="A441" s="88">
        <v>310929</v>
      </c>
      <c r="B441" s="89" t="s">
        <v>5945</v>
      </c>
      <c r="C441" s="89" t="s">
        <v>5946</v>
      </c>
      <c r="D441" s="90" t="s">
        <v>4077</v>
      </c>
      <c r="E441" s="89" t="s">
        <v>2373</v>
      </c>
      <c r="F441" s="89"/>
      <c r="G441" s="89" t="s">
        <v>2374</v>
      </c>
      <c r="H441" s="91">
        <v>3101</v>
      </c>
      <c r="I441" s="89" t="s">
        <v>5891</v>
      </c>
      <c r="J441" s="92" t="s">
        <v>883</v>
      </c>
      <c r="K441" s="92"/>
      <c r="L441" s="92" t="s">
        <v>5894</v>
      </c>
      <c r="M441" s="92" t="s">
        <v>5895</v>
      </c>
      <c r="N441" s="93">
        <v>3101</v>
      </c>
      <c r="O441" s="94">
        <v>290000</v>
      </c>
      <c r="P441" s="94">
        <v>22000</v>
      </c>
      <c r="Q441" s="92" t="s">
        <v>3957</v>
      </c>
      <c r="R441" s="92" t="s">
        <v>5947</v>
      </c>
      <c r="S441" s="89" t="s">
        <v>643</v>
      </c>
      <c r="T441" s="89" t="s">
        <v>643</v>
      </c>
    </row>
    <row r="442" spans="1:20" ht="30" customHeight="1" x14ac:dyDescent="0.35">
      <c r="A442" s="88">
        <v>310931</v>
      </c>
      <c r="B442" s="89" t="s">
        <v>5948</v>
      </c>
      <c r="C442" s="89" t="s">
        <v>5949</v>
      </c>
      <c r="D442" s="90" t="s">
        <v>4077</v>
      </c>
      <c r="E442" s="89" t="s">
        <v>2376</v>
      </c>
      <c r="F442" s="89"/>
      <c r="G442" s="89" t="s">
        <v>2377</v>
      </c>
      <c r="H442" s="91">
        <v>3101</v>
      </c>
      <c r="I442" s="89" t="s">
        <v>5891</v>
      </c>
      <c r="J442" s="92" t="s">
        <v>883</v>
      </c>
      <c r="K442" s="92"/>
      <c r="L442" s="92" t="s">
        <v>5894</v>
      </c>
      <c r="M442" s="92" t="s">
        <v>5895</v>
      </c>
      <c r="N442" s="93">
        <v>3101</v>
      </c>
      <c r="O442" s="94">
        <v>290000</v>
      </c>
      <c r="P442" s="94">
        <v>22000</v>
      </c>
      <c r="Q442" s="92" t="s">
        <v>3957</v>
      </c>
      <c r="R442" s="92" t="s">
        <v>5950</v>
      </c>
      <c r="S442" s="89" t="s">
        <v>643</v>
      </c>
      <c r="T442" s="89" t="s">
        <v>643</v>
      </c>
    </row>
    <row r="443" spans="1:20" ht="30" customHeight="1" x14ac:dyDescent="0.35">
      <c r="A443" s="88">
        <v>310932</v>
      </c>
      <c r="B443" s="89" t="s">
        <v>5951</v>
      </c>
      <c r="C443" s="89" t="s">
        <v>5952</v>
      </c>
      <c r="D443" s="90" t="s">
        <v>4077</v>
      </c>
      <c r="E443" s="89" t="s">
        <v>2379</v>
      </c>
      <c r="F443" s="89"/>
      <c r="G443" s="89" t="s">
        <v>2380</v>
      </c>
      <c r="H443" s="91">
        <v>3101</v>
      </c>
      <c r="I443" s="89" t="s">
        <v>5891</v>
      </c>
      <c r="J443" s="92" t="s">
        <v>883</v>
      </c>
      <c r="K443" s="92"/>
      <c r="L443" s="92" t="s">
        <v>5894</v>
      </c>
      <c r="M443" s="92" t="s">
        <v>5895</v>
      </c>
      <c r="N443" s="93">
        <v>3101</v>
      </c>
      <c r="O443" s="94">
        <v>290000</v>
      </c>
      <c r="P443" s="94">
        <v>22000</v>
      </c>
      <c r="Q443" s="92" t="s">
        <v>3957</v>
      </c>
      <c r="R443" s="92" t="s">
        <v>5953</v>
      </c>
      <c r="S443" s="89" t="s">
        <v>643</v>
      </c>
      <c r="T443" s="89" t="s">
        <v>643</v>
      </c>
    </row>
    <row r="444" spans="1:20" ht="30" customHeight="1" x14ac:dyDescent="0.35">
      <c r="A444" s="88">
        <v>310933</v>
      </c>
      <c r="B444" s="89" t="s">
        <v>5954</v>
      </c>
      <c r="C444" s="89" t="s">
        <v>5955</v>
      </c>
      <c r="D444" s="90" t="s">
        <v>4077</v>
      </c>
      <c r="E444" s="89" t="s">
        <v>2382</v>
      </c>
      <c r="F444" s="89"/>
      <c r="G444" s="89" t="s">
        <v>2383</v>
      </c>
      <c r="H444" s="91">
        <v>3101</v>
      </c>
      <c r="I444" s="89" t="s">
        <v>5891</v>
      </c>
      <c r="J444" s="92" t="s">
        <v>883</v>
      </c>
      <c r="K444" s="92"/>
      <c r="L444" s="92" t="s">
        <v>5894</v>
      </c>
      <c r="M444" s="92" t="s">
        <v>5895</v>
      </c>
      <c r="N444" s="93">
        <v>3101</v>
      </c>
      <c r="O444" s="94">
        <v>290000</v>
      </c>
      <c r="P444" s="94">
        <v>22000</v>
      </c>
      <c r="Q444" s="92" t="s">
        <v>3957</v>
      </c>
      <c r="R444" s="92" t="s">
        <v>5956</v>
      </c>
      <c r="S444" s="89" t="s">
        <v>643</v>
      </c>
      <c r="T444" s="89" t="s">
        <v>5957</v>
      </c>
    </row>
    <row r="445" spans="1:20" ht="30" customHeight="1" x14ac:dyDescent="0.35">
      <c r="A445" s="88">
        <v>310943</v>
      </c>
      <c r="B445" s="89" t="s">
        <v>5958</v>
      </c>
      <c r="C445" s="89" t="s">
        <v>5959</v>
      </c>
      <c r="D445" s="90" t="s">
        <v>4077</v>
      </c>
      <c r="E445" s="89" t="s">
        <v>2385</v>
      </c>
      <c r="F445" s="89"/>
      <c r="G445" s="89" t="s">
        <v>2386</v>
      </c>
      <c r="H445" s="91">
        <v>3101</v>
      </c>
      <c r="I445" s="89" t="s">
        <v>5891</v>
      </c>
      <c r="J445" s="92" t="s">
        <v>883</v>
      </c>
      <c r="K445" s="92"/>
      <c r="L445" s="92" t="s">
        <v>5894</v>
      </c>
      <c r="M445" s="92" t="s">
        <v>5895</v>
      </c>
      <c r="N445" s="93">
        <v>3101</v>
      </c>
      <c r="O445" s="94">
        <v>290000</v>
      </c>
      <c r="P445" s="94">
        <v>22000</v>
      </c>
      <c r="Q445" s="92" t="s">
        <v>3957</v>
      </c>
      <c r="R445" s="92" t="s">
        <v>5960</v>
      </c>
      <c r="S445" s="91">
        <v>31030</v>
      </c>
      <c r="T445" s="89" t="s">
        <v>643</v>
      </c>
    </row>
    <row r="446" spans="1:20" ht="30" customHeight="1" x14ac:dyDescent="0.35">
      <c r="A446" s="88">
        <v>311114</v>
      </c>
      <c r="B446" s="89" t="s">
        <v>5961</v>
      </c>
      <c r="C446" s="89" t="s">
        <v>5962</v>
      </c>
      <c r="D446" s="90" t="s">
        <v>4077</v>
      </c>
      <c r="E446" s="89" t="s">
        <v>2388</v>
      </c>
      <c r="F446" s="89"/>
      <c r="G446" s="89" t="s">
        <v>2389</v>
      </c>
      <c r="H446" s="91">
        <v>3111</v>
      </c>
      <c r="I446" s="89" t="s">
        <v>5546</v>
      </c>
      <c r="J446" s="92" t="s">
        <v>883</v>
      </c>
      <c r="K446" s="92"/>
      <c r="L446" s="92" t="s">
        <v>5963</v>
      </c>
      <c r="M446" s="92" t="s">
        <v>5964</v>
      </c>
      <c r="N446" s="93">
        <v>3111</v>
      </c>
      <c r="O446" s="94">
        <v>230000</v>
      </c>
      <c r="P446" s="94">
        <v>31000</v>
      </c>
      <c r="Q446" s="92" t="s">
        <v>3957</v>
      </c>
      <c r="R446" s="92" t="s">
        <v>5965</v>
      </c>
      <c r="S446" s="91">
        <v>31110</v>
      </c>
      <c r="T446" s="91">
        <v>31110</v>
      </c>
    </row>
    <row r="447" spans="1:20" ht="30" customHeight="1" x14ac:dyDescent="0.35">
      <c r="A447" s="88">
        <v>311115</v>
      </c>
      <c r="B447" s="89" t="s">
        <v>5966</v>
      </c>
      <c r="C447" s="89" t="s">
        <v>5967</v>
      </c>
      <c r="D447" s="90" t="s">
        <v>4077</v>
      </c>
      <c r="E447" s="89" t="s">
        <v>2391</v>
      </c>
      <c r="F447" s="89"/>
      <c r="G447" s="89" t="s">
        <v>2392</v>
      </c>
      <c r="H447" s="91">
        <v>3111</v>
      </c>
      <c r="I447" s="89" t="s">
        <v>5546</v>
      </c>
      <c r="J447" s="92" t="s">
        <v>883</v>
      </c>
      <c r="K447" s="92"/>
      <c r="L447" s="92" t="s">
        <v>5963</v>
      </c>
      <c r="M447" s="92" t="s">
        <v>5964</v>
      </c>
      <c r="N447" s="93">
        <v>3111</v>
      </c>
      <c r="O447" s="94">
        <v>230000</v>
      </c>
      <c r="P447" s="94">
        <v>31000</v>
      </c>
      <c r="Q447" s="92" t="s">
        <v>3957</v>
      </c>
      <c r="R447" s="92" t="s">
        <v>5968</v>
      </c>
      <c r="S447" s="91">
        <v>31110</v>
      </c>
      <c r="T447" s="91">
        <v>31110</v>
      </c>
    </row>
    <row r="448" spans="1:20" ht="30" customHeight="1" x14ac:dyDescent="0.35">
      <c r="A448" s="88">
        <v>311171</v>
      </c>
      <c r="B448" s="89" t="s">
        <v>5969</v>
      </c>
      <c r="C448" s="89" t="s">
        <v>5970</v>
      </c>
      <c r="D448" s="90" t="s">
        <v>4077</v>
      </c>
      <c r="E448" s="89" t="s">
        <v>2394</v>
      </c>
      <c r="F448" s="89"/>
      <c r="G448" s="89" t="s">
        <v>2395</v>
      </c>
      <c r="H448" s="91">
        <v>3111</v>
      </c>
      <c r="I448" s="89" t="s">
        <v>5546</v>
      </c>
      <c r="J448" s="92" t="s">
        <v>883</v>
      </c>
      <c r="K448" s="92"/>
      <c r="L448" s="92" t="s">
        <v>5963</v>
      </c>
      <c r="M448" s="92" t="s">
        <v>5964</v>
      </c>
      <c r="N448" s="93">
        <v>3111</v>
      </c>
      <c r="O448" s="94">
        <v>230000</v>
      </c>
      <c r="P448" s="94">
        <v>31000</v>
      </c>
      <c r="Q448" s="92" t="s">
        <v>3957</v>
      </c>
      <c r="R448" s="92" t="s">
        <v>5971</v>
      </c>
      <c r="S448" s="91">
        <v>31110</v>
      </c>
      <c r="T448" s="91">
        <v>31125</v>
      </c>
    </row>
    <row r="449" spans="1:20" ht="67" customHeight="1" x14ac:dyDescent="0.35">
      <c r="A449" s="88">
        <v>311173</v>
      </c>
      <c r="B449" s="89" t="s">
        <v>5972</v>
      </c>
      <c r="C449" s="89" t="s">
        <v>5973</v>
      </c>
      <c r="D449" s="90" t="s">
        <v>4077</v>
      </c>
      <c r="E449" s="89" t="s">
        <v>2397</v>
      </c>
      <c r="F449" s="89"/>
      <c r="G449" s="89" t="s">
        <v>2398</v>
      </c>
      <c r="H449" s="91">
        <v>3111</v>
      </c>
      <c r="I449" s="89" t="s">
        <v>5546</v>
      </c>
      <c r="J449" s="92" t="s">
        <v>883</v>
      </c>
      <c r="K449" s="92"/>
      <c r="L449" s="92" t="s">
        <v>5963</v>
      </c>
      <c r="M449" s="92" t="s">
        <v>5964</v>
      </c>
      <c r="N449" s="93">
        <v>3111</v>
      </c>
      <c r="O449" s="94">
        <v>230000</v>
      </c>
      <c r="P449" s="94">
        <v>31000</v>
      </c>
      <c r="Q449" s="92" t="s">
        <v>3957</v>
      </c>
      <c r="R449" s="92" t="s">
        <v>5974</v>
      </c>
      <c r="S449" s="91">
        <v>31110</v>
      </c>
      <c r="T449" s="91">
        <v>31125</v>
      </c>
    </row>
    <row r="450" spans="1:20" ht="30" customHeight="1" x14ac:dyDescent="0.35">
      <c r="A450" s="88">
        <v>311174</v>
      </c>
      <c r="B450" s="89" t="s">
        <v>5975</v>
      </c>
      <c r="C450" s="89" t="s">
        <v>5976</v>
      </c>
      <c r="D450" s="90" t="s">
        <v>4077</v>
      </c>
      <c r="E450" s="89" t="s">
        <v>2400</v>
      </c>
      <c r="F450" s="89"/>
      <c r="G450" s="89" t="s">
        <v>2401</v>
      </c>
      <c r="H450" s="91">
        <v>3111</v>
      </c>
      <c r="I450" s="89" t="s">
        <v>5546</v>
      </c>
      <c r="J450" s="92" t="s">
        <v>883</v>
      </c>
      <c r="K450" s="92"/>
      <c r="L450" s="92" t="s">
        <v>5963</v>
      </c>
      <c r="M450" s="92" t="s">
        <v>5964</v>
      </c>
      <c r="N450" s="93">
        <v>3111</v>
      </c>
      <c r="O450" s="94">
        <v>230000</v>
      </c>
      <c r="P450" s="94">
        <v>31000</v>
      </c>
      <c r="Q450" s="92" t="s">
        <v>3957</v>
      </c>
      <c r="R450" s="92" t="s">
        <v>5977</v>
      </c>
      <c r="S450" s="91">
        <v>31110</v>
      </c>
      <c r="T450" s="91">
        <v>31125</v>
      </c>
    </row>
    <row r="451" spans="1:20" ht="30" customHeight="1" x14ac:dyDescent="0.35">
      <c r="A451" s="88">
        <v>312472</v>
      </c>
      <c r="B451" s="89" t="s">
        <v>5978</v>
      </c>
      <c r="C451" s="89" t="s">
        <v>5979</v>
      </c>
      <c r="D451" s="90" t="s">
        <v>4077</v>
      </c>
      <c r="E451" s="89" t="s">
        <v>2403</v>
      </c>
      <c r="F451" s="89"/>
      <c r="G451" s="89" t="s">
        <v>2404</v>
      </c>
      <c r="H451" s="91">
        <v>3121</v>
      </c>
      <c r="I451" s="89" t="s">
        <v>5980</v>
      </c>
      <c r="J451" s="92" t="s">
        <v>883</v>
      </c>
      <c r="K451" s="92"/>
      <c r="L451" s="92" t="s">
        <v>5981</v>
      </c>
      <c r="M451" s="92" t="s">
        <v>5982</v>
      </c>
      <c r="N451" s="93">
        <v>3121</v>
      </c>
      <c r="O451" s="94">
        <v>220000</v>
      </c>
      <c r="P451" s="94">
        <v>19000</v>
      </c>
      <c r="Q451" s="92" t="s">
        <v>3957</v>
      </c>
      <c r="R451" s="92" t="s">
        <v>5983</v>
      </c>
      <c r="S451" s="91">
        <v>31210</v>
      </c>
      <c r="T451" s="89" t="s">
        <v>5984</v>
      </c>
    </row>
    <row r="452" spans="1:20" ht="30" customHeight="1" x14ac:dyDescent="0.35">
      <c r="A452" s="88">
        <v>312476</v>
      </c>
      <c r="B452" s="89" t="s">
        <v>5985</v>
      </c>
      <c r="C452" s="89" t="s">
        <v>5986</v>
      </c>
      <c r="D452" s="90" t="s">
        <v>4077</v>
      </c>
      <c r="E452" s="89" t="s">
        <v>2406</v>
      </c>
      <c r="F452" s="89"/>
      <c r="G452" s="89" t="s">
        <v>2407</v>
      </c>
      <c r="H452" s="91">
        <v>3121</v>
      </c>
      <c r="I452" s="89" t="s">
        <v>5980</v>
      </c>
      <c r="J452" s="92" t="s">
        <v>883</v>
      </c>
      <c r="K452" s="92"/>
      <c r="L452" s="92" t="s">
        <v>5981</v>
      </c>
      <c r="M452" s="92" t="s">
        <v>5982</v>
      </c>
      <c r="N452" s="93">
        <v>3121</v>
      </c>
      <c r="O452" s="94">
        <v>220000</v>
      </c>
      <c r="P452" s="94">
        <v>19000</v>
      </c>
      <c r="Q452" s="92" t="s">
        <v>3957</v>
      </c>
      <c r="R452" s="92" t="s">
        <v>5987</v>
      </c>
      <c r="S452" s="91">
        <v>31210</v>
      </c>
      <c r="T452" s="89" t="s">
        <v>5988</v>
      </c>
    </row>
    <row r="453" spans="1:20" ht="30" customHeight="1" x14ac:dyDescent="0.35">
      <c r="A453" s="88">
        <v>312477</v>
      </c>
      <c r="B453" s="89" t="s">
        <v>5989</v>
      </c>
      <c r="C453" s="89" t="s">
        <v>5990</v>
      </c>
      <c r="D453" s="90" t="s">
        <v>4077</v>
      </c>
      <c r="E453" s="89" t="s">
        <v>2409</v>
      </c>
      <c r="F453" s="89"/>
      <c r="G453" s="89" t="s">
        <v>2410</v>
      </c>
      <c r="H453" s="91">
        <v>3121</v>
      </c>
      <c r="I453" s="89" t="s">
        <v>5980</v>
      </c>
      <c r="J453" s="92" t="s">
        <v>883</v>
      </c>
      <c r="K453" s="92"/>
      <c r="L453" s="92" t="s">
        <v>5981</v>
      </c>
      <c r="M453" s="92" t="s">
        <v>5982</v>
      </c>
      <c r="N453" s="93">
        <v>3121</v>
      </c>
      <c r="O453" s="94">
        <v>220000</v>
      </c>
      <c r="P453" s="94">
        <v>19000</v>
      </c>
      <c r="Q453" s="92" t="s">
        <v>3957</v>
      </c>
      <c r="R453" s="92" t="s">
        <v>5991</v>
      </c>
      <c r="S453" s="91">
        <v>31210</v>
      </c>
      <c r="T453" s="89" t="s">
        <v>5988</v>
      </c>
    </row>
    <row r="454" spans="1:20" ht="30" customHeight="1" x14ac:dyDescent="0.35">
      <c r="A454" s="88">
        <v>312941</v>
      </c>
      <c r="B454" s="89" t="s">
        <v>5992</v>
      </c>
      <c r="C454" s="89" t="s">
        <v>5993</v>
      </c>
      <c r="D454" s="90" t="s">
        <v>4077</v>
      </c>
      <c r="E454" s="89" t="s">
        <v>2412</v>
      </c>
      <c r="F454" s="89"/>
      <c r="G454" s="89" t="s">
        <v>2413</v>
      </c>
      <c r="H454" s="91">
        <v>3121</v>
      </c>
      <c r="I454" s="89" t="s">
        <v>5980</v>
      </c>
      <c r="J454" s="92" t="s">
        <v>883</v>
      </c>
      <c r="K454" s="92"/>
      <c r="L454" s="92" t="s">
        <v>5981</v>
      </c>
      <c r="M454" s="92" t="s">
        <v>5982</v>
      </c>
      <c r="N454" s="93">
        <v>3121</v>
      </c>
      <c r="O454" s="94">
        <v>220000</v>
      </c>
      <c r="P454" s="94">
        <v>19000</v>
      </c>
      <c r="Q454" s="92" t="s">
        <v>3957</v>
      </c>
      <c r="R454" s="92" t="s">
        <v>5994</v>
      </c>
      <c r="S454" s="91">
        <v>31210</v>
      </c>
      <c r="T454" s="91">
        <v>31225</v>
      </c>
    </row>
    <row r="455" spans="1:20" ht="30" customHeight="1" x14ac:dyDescent="0.35">
      <c r="A455" s="88">
        <v>315222</v>
      </c>
      <c r="B455" s="89" t="s">
        <v>5995</v>
      </c>
      <c r="C455" s="89" t="s">
        <v>5996</v>
      </c>
      <c r="D455" s="90" t="s">
        <v>4077</v>
      </c>
      <c r="E455" s="89" t="s">
        <v>2415</v>
      </c>
      <c r="F455" s="89"/>
      <c r="G455" s="89" t="s">
        <v>2416</v>
      </c>
      <c r="H455" s="91">
        <v>3151</v>
      </c>
      <c r="I455" s="89" t="s">
        <v>5997</v>
      </c>
      <c r="J455" s="92" t="s">
        <v>883</v>
      </c>
      <c r="K455" s="92"/>
      <c r="L455" s="92" t="s">
        <v>5998</v>
      </c>
      <c r="M455" s="92" t="s">
        <v>5999</v>
      </c>
      <c r="N455" s="93">
        <v>3151</v>
      </c>
      <c r="O455" s="94">
        <v>140000</v>
      </c>
      <c r="P455" s="94">
        <v>9000</v>
      </c>
      <c r="Q455" s="92" t="s">
        <v>3957</v>
      </c>
      <c r="R455" s="92" t="s">
        <v>6000</v>
      </c>
      <c r="S455" s="91">
        <v>31510</v>
      </c>
      <c r="T455" s="89" t="s">
        <v>643</v>
      </c>
    </row>
    <row r="456" spans="1:20" ht="30" customHeight="1" x14ac:dyDescent="0.35">
      <c r="A456" s="88">
        <v>315236</v>
      </c>
      <c r="B456" s="89" t="s">
        <v>6001</v>
      </c>
      <c r="C456" s="89" t="s">
        <v>6002</v>
      </c>
      <c r="D456" s="90" t="s">
        <v>4077</v>
      </c>
      <c r="E456" s="89" t="s">
        <v>2418</v>
      </c>
      <c r="F456" s="89"/>
      <c r="G456" s="89" t="s">
        <v>2419</v>
      </c>
      <c r="H456" s="91">
        <v>3151</v>
      </c>
      <c r="I456" s="89" t="s">
        <v>5997</v>
      </c>
      <c r="J456" s="92" t="s">
        <v>883</v>
      </c>
      <c r="K456" s="92"/>
      <c r="L456" s="92" t="s">
        <v>5998</v>
      </c>
      <c r="M456" s="92" t="s">
        <v>5999</v>
      </c>
      <c r="N456" s="93">
        <v>3151</v>
      </c>
      <c r="O456" s="94">
        <v>140000</v>
      </c>
      <c r="P456" s="94">
        <v>9000</v>
      </c>
      <c r="Q456" s="92" t="s">
        <v>3957</v>
      </c>
      <c r="R456" s="92" t="s">
        <v>6003</v>
      </c>
      <c r="S456" s="91">
        <v>31510</v>
      </c>
      <c r="T456" s="89" t="s">
        <v>643</v>
      </c>
    </row>
    <row r="457" spans="1:20" ht="30" customHeight="1" x14ac:dyDescent="0.35">
      <c r="A457" s="88">
        <v>315237</v>
      </c>
      <c r="B457" s="89" t="s">
        <v>6004</v>
      </c>
      <c r="C457" s="89" t="s">
        <v>6005</v>
      </c>
      <c r="D457" s="90" t="s">
        <v>4077</v>
      </c>
      <c r="E457" s="89" t="s">
        <v>2421</v>
      </c>
      <c r="F457" s="89"/>
      <c r="G457" s="89" t="s">
        <v>2422</v>
      </c>
      <c r="H457" s="91">
        <v>3151</v>
      </c>
      <c r="I457" s="89" t="s">
        <v>5997</v>
      </c>
      <c r="J457" s="92" t="s">
        <v>883</v>
      </c>
      <c r="K457" s="92"/>
      <c r="L457" s="92" t="s">
        <v>5998</v>
      </c>
      <c r="M457" s="92" t="s">
        <v>5999</v>
      </c>
      <c r="N457" s="93">
        <v>3151</v>
      </c>
      <c r="O457" s="94">
        <v>140000</v>
      </c>
      <c r="P457" s="94">
        <v>9000</v>
      </c>
      <c r="Q457" s="92" t="s">
        <v>3957</v>
      </c>
      <c r="R457" s="92" t="s">
        <v>6006</v>
      </c>
      <c r="S457" s="91">
        <v>31510</v>
      </c>
      <c r="T457" s="89" t="s">
        <v>643</v>
      </c>
    </row>
    <row r="458" spans="1:20" ht="30" customHeight="1" x14ac:dyDescent="0.35">
      <c r="A458" s="88">
        <v>315944</v>
      </c>
      <c r="B458" s="89" t="s">
        <v>6007</v>
      </c>
      <c r="C458" s="89" t="s">
        <v>6008</v>
      </c>
      <c r="D458" s="90" t="s">
        <v>4077</v>
      </c>
      <c r="E458" s="89" t="s">
        <v>2424</v>
      </c>
      <c r="F458" s="89"/>
      <c r="G458" s="89" t="s">
        <v>2425</v>
      </c>
      <c r="H458" s="91">
        <v>3151</v>
      </c>
      <c r="I458" s="89" t="s">
        <v>5997</v>
      </c>
      <c r="J458" s="92" t="s">
        <v>883</v>
      </c>
      <c r="K458" s="92"/>
      <c r="L458" s="92" t="s">
        <v>5998</v>
      </c>
      <c r="M458" s="92" t="s">
        <v>5999</v>
      </c>
      <c r="N458" s="93">
        <v>3151</v>
      </c>
      <c r="O458" s="94">
        <v>140000</v>
      </c>
      <c r="P458" s="94">
        <v>9000</v>
      </c>
      <c r="Q458" s="92" t="s">
        <v>3957</v>
      </c>
      <c r="R458" s="92" t="s">
        <v>6009</v>
      </c>
      <c r="S458" s="91">
        <v>31510</v>
      </c>
      <c r="T458" s="89" t="s">
        <v>643</v>
      </c>
    </row>
    <row r="459" spans="1:20" ht="30" customHeight="1" x14ac:dyDescent="0.35">
      <c r="A459" s="88">
        <v>316333</v>
      </c>
      <c r="B459" s="89" t="s">
        <v>6010</v>
      </c>
      <c r="C459" s="89" t="s">
        <v>6011</v>
      </c>
      <c r="D459" s="90" t="s">
        <v>4077</v>
      </c>
      <c r="E459" s="89" t="s">
        <v>2427</v>
      </c>
      <c r="F459" s="89"/>
      <c r="G459" s="89" t="s">
        <v>2428</v>
      </c>
      <c r="H459" s="91">
        <v>3161</v>
      </c>
      <c r="I459" s="89" t="s">
        <v>6012</v>
      </c>
      <c r="J459" s="92" t="s">
        <v>883</v>
      </c>
      <c r="K459" s="92"/>
      <c r="L459" s="92" t="s">
        <v>6013</v>
      </c>
      <c r="M459" s="92" t="s">
        <v>6014</v>
      </c>
      <c r="N459" s="93">
        <v>3161</v>
      </c>
      <c r="O459" s="94">
        <v>53000</v>
      </c>
      <c r="P459" s="94">
        <v>4500</v>
      </c>
      <c r="Q459" s="92" t="s">
        <v>3957</v>
      </c>
      <c r="R459" s="92" t="s">
        <v>6015</v>
      </c>
      <c r="S459" s="91">
        <v>31620</v>
      </c>
      <c r="T459" s="91">
        <v>31610</v>
      </c>
    </row>
    <row r="460" spans="1:20" ht="30" customHeight="1" x14ac:dyDescent="0.35">
      <c r="A460" s="88">
        <v>317311</v>
      </c>
      <c r="B460" s="89" t="s">
        <v>6016</v>
      </c>
      <c r="C460" s="89" t="s">
        <v>6017</v>
      </c>
      <c r="D460" s="90" t="s">
        <v>4077</v>
      </c>
      <c r="E460" s="89" t="s">
        <v>2430</v>
      </c>
      <c r="F460" s="89"/>
      <c r="G460" s="89" t="s">
        <v>2431</v>
      </c>
      <c r="H460" s="91">
        <v>3171</v>
      </c>
      <c r="I460" s="89" t="s">
        <v>6018</v>
      </c>
      <c r="J460" s="92" t="s">
        <v>883</v>
      </c>
      <c r="K460" s="92"/>
      <c r="L460" s="92" t="s">
        <v>6019</v>
      </c>
      <c r="M460" s="92" t="s">
        <v>6020</v>
      </c>
      <c r="N460" s="93">
        <v>3171</v>
      </c>
      <c r="O460" s="94">
        <v>300000</v>
      </c>
      <c r="P460" s="94">
        <v>9900</v>
      </c>
      <c r="Q460" s="92" t="s">
        <v>3957</v>
      </c>
      <c r="R460" s="92" t="s">
        <v>6021</v>
      </c>
      <c r="S460" s="89" t="s">
        <v>643</v>
      </c>
      <c r="T460" s="89" t="s">
        <v>6022</v>
      </c>
    </row>
    <row r="461" spans="1:20" ht="30" customHeight="1" x14ac:dyDescent="0.35">
      <c r="A461" s="88">
        <v>317315</v>
      </c>
      <c r="B461" s="89" t="s">
        <v>6023</v>
      </c>
      <c r="C461" s="89" t="s">
        <v>6024</v>
      </c>
      <c r="D461" s="90" t="s">
        <v>4077</v>
      </c>
      <c r="E461" s="89" t="s">
        <v>2433</v>
      </c>
      <c r="F461" s="89"/>
      <c r="G461" s="89" t="s">
        <v>2434</v>
      </c>
      <c r="H461" s="91">
        <v>3171</v>
      </c>
      <c r="I461" s="89" t="s">
        <v>6018</v>
      </c>
      <c r="J461" s="92" t="s">
        <v>883</v>
      </c>
      <c r="K461" s="92"/>
      <c r="L461" s="92" t="s">
        <v>6019</v>
      </c>
      <c r="M461" s="92" t="s">
        <v>6020</v>
      </c>
      <c r="N461" s="93">
        <v>3171</v>
      </c>
      <c r="O461" s="94">
        <v>300000</v>
      </c>
      <c r="P461" s="94">
        <v>9900</v>
      </c>
      <c r="Q461" s="92" t="s">
        <v>3957</v>
      </c>
      <c r="R461" s="92" t="s">
        <v>6025</v>
      </c>
      <c r="S461" s="91">
        <v>31740</v>
      </c>
      <c r="T461" s="89" t="s">
        <v>6022</v>
      </c>
    </row>
    <row r="462" spans="1:20" ht="30" customHeight="1" x14ac:dyDescent="0.35">
      <c r="A462" s="88">
        <v>317316</v>
      </c>
      <c r="B462" s="89" t="s">
        <v>6026</v>
      </c>
      <c r="C462" s="89" t="s">
        <v>6027</v>
      </c>
      <c r="D462" s="90" t="s">
        <v>4077</v>
      </c>
      <c r="E462" s="89" t="s">
        <v>2436</v>
      </c>
      <c r="F462" s="89"/>
      <c r="G462" s="89" t="s">
        <v>2437</v>
      </c>
      <c r="H462" s="91">
        <v>3171</v>
      </c>
      <c r="I462" s="89" t="s">
        <v>6018</v>
      </c>
      <c r="J462" s="92" t="s">
        <v>883</v>
      </c>
      <c r="K462" s="92"/>
      <c r="L462" s="92" t="s">
        <v>6019</v>
      </c>
      <c r="M462" s="92" t="s">
        <v>6020</v>
      </c>
      <c r="N462" s="93">
        <v>3171</v>
      </c>
      <c r="O462" s="94">
        <v>300000</v>
      </c>
      <c r="P462" s="94">
        <v>9900</v>
      </c>
      <c r="Q462" s="92" t="s">
        <v>3957</v>
      </c>
      <c r="R462" s="92" t="s">
        <v>6028</v>
      </c>
      <c r="S462" s="91">
        <v>31740</v>
      </c>
      <c r="T462" s="89" t="s">
        <v>6022</v>
      </c>
    </row>
    <row r="463" spans="1:20" ht="30" customHeight="1" x14ac:dyDescent="0.35">
      <c r="A463" s="88">
        <v>317932</v>
      </c>
      <c r="B463" s="89" t="s">
        <v>6029</v>
      </c>
      <c r="C463" s="89" t="s">
        <v>6030</v>
      </c>
      <c r="D463" s="90" t="s">
        <v>4077</v>
      </c>
      <c r="E463" s="89" t="s">
        <v>2439</v>
      </c>
      <c r="F463" s="89"/>
      <c r="G463" s="89" t="s">
        <v>2440</v>
      </c>
      <c r="H463" s="91">
        <v>3171</v>
      </c>
      <c r="I463" s="89" t="s">
        <v>6018</v>
      </c>
      <c r="J463" s="92" t="s">
        <v>883</v>
      </c>
      <c r="K463" s="92"/>
      <c r="L463" s="92" t="s">
        <v>6019</v>
      </c>
      <c r="M463" s="92" t="s">
        <v>6020</v>
      </c>
      <c r="N463" s="93">
        <v>3171</v>
      </c>
      <c r="O463" s="94">
        <v>300000</v>
      </c>
      <c r="P463" s="94">
        <v>9900</v>
      </c>
      <c r="Q463" s="92" t="s">
        <v>3957</v>
      </c>
      <c r="R463" s="92" t="s">
        <v>6031</v>
      </c>
      <c r="S463" s="89" t="s">
        <v>643</v>
      </c>
      <c r="T463" s="89" t="s">
        <v>643</v>
      </c>
    </row>
    <row r="464" spans="1:20" ht="30" customHeight="1" x14ac:dyDescent="0.35">
      <c r="A464" s="88">
        <v>318612</v>
      </c>
      <c r="B464" s="89" t="s">
        <v>6032</v>
      </c>
      <c r="C464" s="89" t="s">
        <v>6033</v>
      </c>
      <c r="D464" s="90" t="s">
        <v>4077</v>
      </c>
      <c r="E464" s="89" t="s">
        <v>2442</v>
      </c>
      <c r="F464" s="89"/>
      <c r="G464" s="89" t="s">
        <v>2443</v>
      </c>
      <c r="H464" s="91">
        <v>3181</v>
      </c>
      <c r="I464" s="89" t="s">
        <v>6034</v>
      </c>
      <c r="J464" s="92" t="s">
        <v>883</v>
      </c>
      <c r="K464" s="92"/>
      <c r="L464" s="92" t="s">
        <v>6035</v>
      </c>
      <c r="M464" s="92" t="s">
        <v>6036</v>
      </c>
      <c r="N464" s="93">
        <v>3181</v>
      </c>
      <c r="O464" s="94">
        <v>190000</v>
      </c>
      <c r="P464" s="94">
        <v>5600</v>
      </c>
      <c r="Q464" s="92" t="s">
        <v>3957</v>
      </c>
      <c r="R464" s="92" t="s">
        <v>6037</v>
      </c>
      <c r="S464" s="91">
        <v>31820</v>
      </c>
      <c r="T464" s="91">
        <v>31810</v>
      </c>
    </row>
    <row r="465" spans="1:20" ht="30" customHeight="1" x14ac:dyDescent="0.35">
      <c r="A465" s="88">
        <v>318614</v>
      </c>
      <c r="B465" s="89" t="s">
        <v>6038</v>
      </c>
      <c r="C465" s="89" t="s">
        <v>6039</v>
      </c>
      <c r="D465" s="90" t="s">
        <v>4077</v>
      </c>
      <c r="E465" s="89" t="s">
        <v>2445</v>
      </c>
      <c r="F465" s="89"/>
      <c r="G465" s="89" t="s">
        <v>2446</v>
      </c>
      <c r="H465" s="91">
        <v>3181</v>
      </c>
      <c r="I465" s="89" t="s">
        <v>6034</v>
      </c>
      <c r="J465" s="92" t="s">
        <v>883</v>
      </c>
      <c r="K465" s="92"/>
      <c r="L465" s="92" t="s">
        <v>6035</v>
      </c>
      <c r="M465" s="92" t="s">
        <v>6036</v>
      </c>
      <c r="N465" s="93">
        <v>3181</v>
      </c>
      <c r="O465" s="94">
        <v>190000</v>
      </c>
      <c r="P465" s="94">
        <v>5600</v>
      </c>
      <c r="Q465" s="92" t="s">
        <v>3957</v>
      </c>
      <c r="R465" s="92" t="s">
        <v>6040</v>
      </c>
      <c r="S465" s="91">
        <v>31820</v>
      </c>
      <c r="T465" s="91">
        <v>31810</v>
      </c>
    </row>
    <row r="466" spans="1:20" ht="30" customHeight="1" x14ac:dyDescent="0.35">
      <c r="A466" s="88">
        <v>318615</v>
      </c>
      <c r="B466" s="89" t="s">
        <v>6041</v>
      </c>
      <c r="C466" s="89" t="s">
        <v>6042</v>
      </c>
      <c r="D466" s="90" t="s">
        <v>4077</v>
      </c>
      <c r="E466" s="89" t="s">
        <v>2448</v>
      </c>
      <c r="F466" s="89"/>
      <c r="G466" s="89" t="s">
        <v>2449</v>
      </c>
      <c r="H466" s="91">
        <v>3181</v>
      </c>
      <c r="I466" s="89" t="s">
        <v>6034</v>
      </c>
      <c r="J466" s="92" t="s">
        <v>883</v>
      </c>
      <c r="K466" s="92"/>
      <c r="L466" s="92" t="s">
        <v>6035</v>
      </c>
      <c r="M466" s="92" t="s">
        <v>6036</v>
      </c>
      <c r="N466" s="93">
        <v>3181</v>
      </c>
      <c r="O466" s="94">
        <v>190000</v>
      </c>
      <c r="P466" s="94">
        <v>5600</v>
      </c>
      <c r="Q466" s="92" t="s">
        <v>3957</v>
      </c>
      <c r="R466" s="92" t="s">
        <v>6043</v>
      </c>
      <c r="S466" s="91">
        <v>31820</v>
      </c>
      <c r="T466" s="91">
        <v>31810</v>
      </c>
    </row>
    <row r="467" spans="1:20" ht="30" customHeight="1" x14ac:dyDescent="0.35">
      <c r="A467" s="88">
        <v>318632</v>
      </c>
      <c r="B467" s="89" t="s">
        <v>6044</v>
      </c>
      <c r="C467" s="89" t="s">
        <v>6045</v>
      </c>
      <c r="D467" s="90" t="s">
        <v>4077</v>
      </c>
      <c r="E467" s="89" t="s">
        <v>2451</v>
      </c>
      <c r="F467" s="89"/>
      <c r="G467" s="89" t="s">
        <v>2452</v>
      </c>
      <c r="H467" s="91">
        <v>3181</v>
      </c>
      <c r="I467" s="89" t="s">
        <v>6034</v>
      </c>
      <c r="J467" s="92" t="s">
        <v>883</v>
      </c>
      <c r="K467" s="92"/>
      <c r="L467" s="92" t="s">
        <v>6035</v>
      </c>
      <c r="M467" s="92" t="s">
        <v>6036</v>
      </c>
      <c r="N467" s="93">
        <v>3181</v>
      </c>
      <c r="O467" s="94">
        <v>190000</v>
      </c>
      <c r="P467" s="94">
        <v>5600</v>
      </c>
      <c r="Q467" s="92" t="s">
        <v>3957</v>
      </c>
      <c r="R467" s="92" t="s">
        <v>6046</v>
      </c>
      <c r="S467" s="91">
        <v>31820</v>
      </c>
      <c r="T467" s="91">
        <v>31815</v>
      </c>
    </row>
    <row r="468" spans="1:20" ht="30" customHeight="1" x14ac:dyDescent="0.35">
      <c r="A468" s="88">
        <v>319150</v>
      </c>
      <c r="B468" s="89" t="s">
        <v>6047</v>
      </c>
      <c r="C468" s="89" t="s">
        <v>6048</v>
      </c>
      <c r="D468" s="90" t="s">
        <v>4077</v>
      </c>
      <c r="E468" s="89" t="s">
        <v>2454</v>
      </c>
      <c r="F468" s="89"/>
      <c r="G468" s="89" t="s">
        <v>909</v>
      </c>
      <c r="H468" s="91">
        <v>3191</v>
      </c>
      <c r="I468" s="89" t="s">
        <v>6049</v>
      </c>
      <c r="J468" s="92" t="s">
        <v>883</v>
      </c>
      <c r="K468" s="92"/>
      <c r="L468" s="92" t="s">
        <v>6050</v>
      </c>
      <c r="M468" s="92" t="s">
        <v>6051</v>
      </c>
      <c r="N468" s="93">
        <v>3191</v>
      </c>
      <c r="O468" s="94">
        <v>170000</v>
      </c>
      <c r="P468" s="94">
        <v>10000</v>
      </c>
      <c r="Q468" s="92" t="s">
        <v>3957</v>
      </c>
      <c r="R468" s="92" t="s">
        <v>6048</v>
      </c>
      <c r="S468" s="89" t="s">
        <v>3982</v>
      </c>
      <c r="T468" s="91">
        <v>31915</v>
      </c>
    </row>
    <row r="469" spans="1:20" ht="30" customHeight="1" x14ac:dyDescent="0.35">
      <c r="A469" s="88">
        <v>319441</v>
      </c>
      <c r="B469" s="89" t="s">
        <v>6052</v>
      </c>
      <c r="C469" s="89" t="s">
        <v>6053</v>
      </c>
      <c r="D469" s="90" t="s">
        <v>4077</v>
      </c>
      <c r="E469" s="89" t="s">
        <v>2456</v>
      </c>
      <c r="F469" s="89"/>
      <c r="G469" s="89" t="s">
        <v>2457</v>
      </c>
      <c r="H469" s="91">
        <v>3111</v>
      </c>
      <c r="I469" s="89" t="s">
        <v>5546</v>
      </c>
      <c r="J469" s="92" t="s">
        <v>883</v>
      </c>
      <c r="K469" s="92"/>
      <c r="L469" s="92" t="s">
        <v>5963</v>
      </c>
      <c r="M469" s="92" t="s">
        <v>5964</v>
      </c>
      <c r="N469" s="93">
        <v>3111</v>
      </c>
      <c r="O469" s="94">
        <v>230000</v>
      </c>
      <c r="P469" s="94">
        <v>31000</v>
      </c>
      <c r="Q469" s="92" t="s">
        <v>3957</v>
      </c>
      <c r="R469" s="92" t="s">
        <v>6054</v>
      </c>
      <c r="S469" s="91">
        <v>31110</v>
      </c>
      <c r="T469" s="91">
        <v>31120</v>
      </c>
    </row>
    <row r="470" spans="1:20" ht="30" customHeight="1" x14ac:dyDescent="0.35">
      <c r="A470" s="88">
        <v>319442</v>
      </c>
      <c r="B470" s="89" t="s">
        <v>6055</v>
      </c>
      <c r="C470" s="89" t="s">
        <v>6056</v>
      </c>
      <c r="D470" s="90" t="s">
        <v>4077</v>
      </c>
      <c r="E470" s="89" t="s">
        <v>2459</v>
      </c>
      <c r="F470" s="89"/>
      <c r="G470" s="89" t="s">
        <v>2460</v>
      </c>
      <c r="H470" s="91">
        <v>3101</v>
      </c>
      <c r="I470" s="89" t="s">
        <v>5891</v>
      </c>
      <c r="J470" s="92" t="s">
        <v>883</v>
      </c>
      <c r="K470" s="92"/>
      <c r="L470" s="92" t="s">
        <v>5894</v>
      </c>
      <c r="M470" s="92" t="s">
        <v>5895</v>
      </c>
      <c r="N470" s="93">
        <v>3101</v>
      </c>
      <c r="O470" s="94">
        <v>290000</v>
      </c>
      <c r="P470" s="94">
        <v>22000</v>
      </c>
      <c r="Q470" s="92" t="s">
        <v>3957</v>
      </c>
      <c r="R470" s="92" t="s">
        <v>6057</v>
      </c>
      <c r="S470" s="89" t="s">
        <v>643</v>
      </c>
      <c r="T470" s="89" t="s">
        <v>643</v>
      </c>
    </row>
    <row r="471" spans="1:20" ht="30" customHeight="1" x14ac:dyDescent="0.35">
      <c r="A471" s="88">
        <v>319443</v>
      </c>
      <c r="B471" s="89" t="s">
        <v>6058</v>
      </c>
      <c r="C471" s="89" t="s">
        <v>6059</v>
      </c>
      <c r="D471" s="90" t="s">
        <v>4077</v>
      </c>
      <c r="E471" s="89" t="s">
        <v>2462</v>
      </c>
      <c r="F471" s="89"/>
      <c r="G471" s="89" t="s">
        <v>2463</v>
      </c>
      <c r="H471" s="91">
        <v>3181</v>
      </c>
      <c r="I471" s="89" t="s">
        <v>6034</v>
      </c>
      <c r="J471" s="92" t="s">
        <v>883</v>
      </c>
      <c r="K471" s="92"/>
      <c r="L471" s="92" t="s">
        <v>6035</v>
      </c>
      <c r="M471" s="92" t="s">
        <v>6036</v>
      </c>
      <c r="N471" s="93">
        <v>3181</v>
      </c>
      <c r="O471" s="94">
        <v>190000</v>
      </c>
      <c r="P471" s="94">
        <v>5600</v>
      </c>
      <c r="Q471" s="92" t="s">
        <v>3957</v>
      </c>
      <c r="R471" s="92" t="s">
        <v>6060</v>
      </c>
      <c r="S471" s="91">
        <v>31820</v>
      </c>
      <c r="T471" s="89" t="s">
        <v>643</v>
      </c>
    </row>
    <row r="472" spans="1:20" ht="30" customHeight="1" x14ac:dyDescent="0.35">
      <c r="A472" s="88">
        <v>319946</v>
      </c>
      <c r="B472" s="89" t="s">
        <v>6061</v>
      </c>
      <c r="C472" s="89" t="s">
        <v>6062</v>
      </c>
      <c r="D472" s="90" t="s">
        <v>4077</v>
      </c>
      <c r="E472" s="89" t="s">
        <v>2465</v>
      </c>
      <c r="F472" s="89"/>
      <c r="G472" s="89" t="s">
        <v>2466</v>
      </c>
      <c r="H472" s="91">
        <v>3191</v>
      </c>
      <c r="I472" s="89" t="s">
        <v>6049</v>
      </c>
      <c r="J472" s="92" t="s">
        <v>883</v>
      </c>
      <c r="K472" s="92"/>
      <c r="L472" s="92" t="s">
        <v>6050</v>
      </c>
      <c r="M472" s="92" t="s">
        <v>6051</v>
      </c>
      <c r="N472" s="93">
        <v>3191</v>
      </c>
      <c r="O472" s="94">
        <v>170000</v>
      </c>
      <c r="P472" s="94">
        <v>10000</v>
      </c>
      <c r="Q472" s="92" t="s">
        <v>3957</v>
      </c>
      <c r="R472" s="92" t="s">
        <v>6063</v>
      </c>
      <c r="S472" s="91">
        <v>31920</v>
      </c>
      <c r="T472" s="91">
        <v>31915</v>
      </c>
    </row>
    <row r="473" spans="1:20" ht="30" customHeight="1" x14ac:dyDescent="0.35">
      <c r="A473" s="88">
        <v>319951</v>
      </c>
      <c r="B473" s="89" t="s">
        <v>6064</v>
      </c>
      <c r="C473" s="89" t="s">
        <v>6065</v>
      </c>
      <c r="D473" s="90" t="s">
        <v>4077</v>
      </c>
      <c r="E473" s="89" t="s">
        <v>2468</v>
      </c>
      <c r="F473" s="89" t="s">
        <v>6066</v>
      </c>
      <c r="G473" s="89" t="s">
        <v>2469</v>
      </c>
      <c r="H473" s="91">
        <v>3151</v>
      </c>
      <c r="I473" s="89" t="s">
        <v>5997</v>
      </c>
      <c r="J473" s="92" t="s">
        <v>883</v>
      </c>
      <c r="K473" s="92"/>
      <c r="L473" s="92" t="s">
        <v>5998</v>
      </c>
      <c r="M473" s="92" t="s">
        <v>5999</v>
      </c>
      <c r="N473" s="93">
        <v>3151</v>
      </c>
      <c r="O473" s="94">
        <v>140000</v>
      </c>
      <c r="P473" s="94">
        <v>9000</v>
      </c>
      <c r="Q473" s="92" t="s">
        <v>3957</v>
      </c>
      <c r="R473" s="92" t="s">
        <v>6067</v>
      </c>
      <c r="S473" s="91">
        <v>31510</v>
      </c>
      <c r="T473" s="89" t="s">
        <v>643</v>
      </c>
    </row>
    <row r="474" spans="1:20" ht="30" customHeight="1" x14ac:dyDescent="0.35">
      <c r="A474" s="88">
        <v>319995</v>
      </c>
      <c r="B474" s="89" t="s">
        <v>6068</v>
      </c>
      <c r="C474" s="89" t="s">
        <v>6069</v>
      </c>
      <c r="D474" s="90" t="s">
        <v>4077</v>
      </c>
      <c r="E474" s="89" t="s">
        <v>2471</v>
      </c>
      <c r="F474" s="89" t="s">
        <v>6066</v>
      </c>
      <c r="G474" s="89" t="s">
        <v>2472</v>
      </c>
      <c r="H474" s="91">
        <v>4414</v>
      </c>
      <c r="I474" s="89" t="s">
        <v>6070</v>
      </c>
      <c r="J474" s="92" t="s">
        <v>883</v>
      </c>
      <c r="K474" s="92"/>
      <c r="L474" s="92" t="s">
        <v>6071</v>
      </c>
      <c r="M474" s="92" t="s">
        <v>6072</v>
      </c>
      <c r="N474" s="93">
        <v>4414</v>
      </c>
      <c r="O474" s="94">
        <v>1900000</v>
      </c>
      <c r="P474" s="94">
        <v>310000</v>
      </c>
      <c r="Q474" s="92" t="s">
        <v>3957</v>
      </c>
      <c r="R474" s="92" t="s">
        <v>6073</v>
      </c>
      <c r="S474" s="91">
        <v>44130</v>
      </c>
      <c r="T474" s="89" t="s">
        <v>643</v>
      </c>
    </row>
    <row r="475" spans="1:20" ht="30" customHeight="1" x14ac:dyDescent="0.35">
      <c r="A475" s="88">
        <v>321123</v>
      </c>
      <c r="B475" s="89" t="s">
        <v>6074</v>
      </c>
      <c r="C475" s="89" t="s">
        <v>6075</v>
      </c>
      <c r="D475" s="90" t="s">
        <v>4077</v>
      </c>
      <c r="E475" s="89" t="s">
        <v>2474</v>
      </c>
      <c r="F475" s="89"/>
      <c r="G475" s="89" t="s">
        <v>2475</v>
      </c>
      <c r="H475" s="91">
        <v>3211</v>
      </c>
      <c r="I475" s="89" t="s">
        <v>6076</v>
      </c>
      <c r="J475" s="92" t="s">
        <v>883</v>
      </c>
      <c r="K475" s="92"/>
      <c r="L475" s="92" t="s">
        <v>5894</v>
      </c>
      <c r="M475" s="92" t="s">
        <v>6077</v>
      </c>
      <c r="N475" s="93">
        <v>3211</v>
      </c>
      <c r="O475" s="94">
        <v>140000</v>
      </c>
      <c r="P475" s="94">
        <v>10000</v>
      </c>
      <c r="Q475" s="92" t="s">
        <v>3957</v>
      </c>
      <c r="R475" s="92" t="s">
        <v>6078</v>
      </c>
      <c r="S475" s="91">
        <v>32110</v>
      </c>
      <c r="T475" s="91">
        <v>32110</v>
      </c>
    </row>
    <row r="476" spans="1:20" ht="30" customHeight="1" x14ac:dyDescent="0.35">
      <c r="A476" s="88">
        <v>371475</v>
      </c>
      <c r="B476" s="89" t="s">
        <v>6079</v>
      </c>
      <c r="C476" s="89" t="s">
        <v>6080</v>
      </c>
      <c r="D476" s="90" t="s">
        <v>3978</v>
      </c>
      <c r="E476" s="89" t="s">
        <v>2479</v>
      </c>
      <c r="F476" s="89"/>
      <c r="G476" s="89" t="s">
        <v>2480</v>
      </c>
      <c r="H476" s="91">
        <v>3712</v>
      </c>
      <c r="I476" s="89" t="s">
        <v>6081</v>
      </c>
      <c r="J476" s="92" t="s">
        <v>4058</v>
      </c>
      <c r="K476" s="92"/>
      <c r="L476" s="92" t="s">
        <v>6082</v>
      </c>
      <c r="M476" s="92" t="s">
        <v>6083</v>
      </c>
      <c r="N476" s="93">
        <v>3712</v>
      </c>
      <c r="O476" s="94">
        <v>1</v>
      </c>
      <c r="P476" s="94">
        <v>1</v>
      </c>
      <c r="Q476" s="92" t="s">
        <v>3957</v>
      </c>
      <c r="R476" s="92" t="s">
        <v>6084</v>
      </c>
      <c r="S476" s="91">
        <v>37120</v>
      </c>
      <c r="T476" s="91">
        <v>37112</v>
      </c>
    </row>
    <row r="477" spans="1:20" ht="30" customHeight="1" x14ac:dyDescent="0.35">
      <c r="A477" s="88">
        <v>371484</v>
      </c>
      <c r="B477" s="89" t="s">
        <v>6085</v>
      </c>
      <c r="C477" s="89" t="s">
        <v>6086</v>
      </c>
      <c r="D477" s="90" t="s">
        <v>3978</v>
      </c>
      <c r="E477" s="89" t="s">
        <v>2482</v>
      </c>
      <c r="F477" s="89"/>
      <c r="G477" s="89" t="s">
        <v>2483</v>
      </c>
      <c r="H477" s="91">
        <v>3712</v>
      </c>
      <c r="I477" s="89" t="s">
        <v>6081</v>
      </c>
      <c r="J477" s="92" t="s">
        <v>4058</v>
      </c>
      <c r="K477" s="92"/>
      <c r="L477" s="92" t="s">
        <v>6082</v>
      </c>
      <c r="M477" s="92" t="s">
        <v>6083</v>
      </c>
      <c r="N477" s="93">
        <v>3712</v>
      </c>
      <c r="O477" s="94">
        <v>1</v>
      </c>
      <c r="P477" s="94">
        <v>1</v>
      </c>
      <c r="Q477" s="92" t="s">
        <v>3957</v>
      </c>
      <c r="R477" s="92" t="s">
        <v>6087</v>
      </c>
      <c r="S477" s="91">
        <v>37120</v>
      </c>
      <c r="T477" s="89" t="s">
        <v>643</v>
      </c>
    </row>
    <row r="478" spans="1:20" ht="30" customHeight="1" x14ac:dyDescent="0.35">
      <c r="A478" s="88">
        <v>371485</v>
      </c>
      <c r="B478" s="89" t="s">
        <v>6088</v>
      </c>
      <c r="C478" s="89" t="s">
        <v>6089</v>
      </c>
      <c r="D478" s="90" t="s">
        <v>3978</v>
      </c>
      <c r="E478" s="89" t="s">
        <v>6090</v>
      </c>
      <c r="F478" s="89"/>
      <c r="G478" s="89" t="s">
        <v>2486</v>
      </c>
      <c r="H478" s="91">
        <v>3712</v>
      </c>
      <c r="I478" s="89" t="s">
        <v>6081</v>
      </c>
      <c r="J478" s="92" t="s">
        <v>4058</v>
      </c>
      <c r="K478" s="92"/>
      <c r="L478" s="92" t="s">
        <v>6082</v>
      </c>
      <c r="M478" s="92" t="s">
        <v>6083</v>
      </c>
      <c r="N478" s="93">
        <v>3712</v>
      </c>
      <c r="O478" s="94">
        <v>1</v>
      </c>
      <c r="P478" s="94">
        <v>1</v>
      </c>
      <c r="Q478" s="92" t="s">
        <v>3957</v>
      </c>
      <c r="R478" s="92" t="s">
        <v>6091</v>
      </c>
      <c r="S478" s="91">
        <v>37120</v>
      </c>
      <c r="T478" s="89" t="s">
        <v>643</v>
      </c>
    </row>
    <row r="479" spans="1:20" ht="30" customHeight="1" x14ac:dyDescent="0.35">
      <c r="A479" s="88">
        <v>371486</v>
      </c>
      <c r="B479" s="89" t="s">
        <v>6092</v>
      </c>
      <c r="C479" s="89" t="s">
        <v>6093</v>
      </c>
      <c r="D479" s="90" t="s">
        <v>3978</v>
      </c>
      <c r="E479" s="89" t="s">
        <v>6094</v>
      </c>
      <c r="F479" s="89"/>
      <c r="G479" s="89" t="s">
        <v>2489</v>
      </c>
      <c r="H479" s="91">
        <v>3712</v>
      </c>
      <c r="I479" s="89" t="s">
        <v>6081</v>
      </c>
      <c r="J479" s="92" t="s">
        <v>4058</v>
      </c>
      <c r="K479" s="92"/>
      <c r="L479" s="92" t="s">
        <v>6082</v>
      </c>
      <c r="M479" s="92" t="s">
        <v>6083</v>
      </c>
      <c r="N479" s="93">
        <v>3712</v>
      </c>
      <c r="O479" s="94">
        <v>1</v>
      </c>
      <c r="P479" s="94">
        <v>1</v>
      </c>
      <c r="Q479" s="92" t="s">
        <v>3957</v>
      </c>
      <c r="R479" s="92" t="s">
        <v>6095</v>
      </c>
      <c r="S479" s="91">
        <v>37120</v>
      </c>
      <c r="T479" s="89" t="s">
        <v>643</v>
      </c>
    </row>
    <row r="480" spans="1:20" ht="30" customHeight="1" x14ac:dyDescent="0.35">
      <c r="A480" s="88">
        <v>371923</v>
      </c>
      <c r="B480" s="89" t="s">
        <v>6096</v>
      </c>
      <c r="C480" s="89" t="s">
        <v>6097</v>
      </c>
      <c r="D480" s="90" t="s">
        <v>3978</v>
      </c>
      <c r="E480" s="89" t="s">
        <v>6098</v>
      </c>
      <c r="F480" s="89"/>
      <c r="G480" s="89" t="s">
        <v>2492</v>
      </c>
      <c r="H480" s="91">
        <v>3713</v>
      </c>
      <c r="I480" s="89" t="s">
        <v>6099</v>
      </c>
      <c r="J480" s="92" t="s">
        <v>4058</v>
      </c>
      <c r="K480" s="92"/>
      <c r="L480" s="92" t="s">
        <v>6100</v>
      </c>
      <c r="M480" s="92" t="s">
        <v>6101</v>
      </c>
      <c r="N480" s="93">
        <v>3713</v>
      </c>
      <c r="O480" s="94">
        <v>1</v>
      </c>
      <c r="P480" s="94">
        <v>1</v>
      </c>
      <c r="Q480" s="92" t="s">
        <v>3957</v>
      </c>
      <c r="R480" s="92" t="s">
        <v>6102</v>
      </c>
      <c r="S480" s="89" t="s">
        <v>643</v>
      </c>
      <c r="T480" s="89" t="s">
        <v>643</v>
      </c>
    </row>
    <row r="481" spans="1:20" ht="30" customHeight="1" x14ac:dyDescent="0.35">
      <c r="A481" s="88">
        <v>390125</v>
      </c>
      <c r="B481" s="89" t="s">
        <v>6103</v>
      </c>
      <c r="C481" s="89" t="s">
        <v>6104</v>
      </c>
      <c r="D481" s="90" t="s">
        <v>3978</v>
      </c>
      <c r="E481" s="89" t="s">
        <v>2494</v>
      </c>
      <c r="F481" s="89"/>
      <c r="G481" s="89" t="s">
        <v>2495</v>
      </c>
      <c r="H481" s="91">
        <v>3901</v>
      </c>
      <c r="I481" s="89" t="s">
        <v>6105</v>
      </c>
      <c r="J481" s="92" t="s">
        <v>4058</v>
      </c>
      <c r="K481" s="92"/>
      <c r="L481" s="92" t="s">
        <v>6082</v>
      </c>
      <c r="M481" s="92" t="s">
        <v>6106</v>
      </c>
      <c r="N481" s="93">
        <v>3901</v>
      </c>
      <c r="O481" s="94">
        <v>1</v>
      </c>
      <c r="P481" s="94">
        <v>1</v>
      </c>
      <c r="Q481" s="92" t="s">
        <v>3957</v>
      </c>
      <c r="R481" s="92" t="s">
        <v>6107</v>
      </c>
      <c r="S481" s="91">
        <v>39014</v>
      </c>
      <c r="T481" s="89" t="s">
        <v>643</v>
      </c>
    </row>
    <row r="482" spans="1:20" ht="30" customHeight="1" x14ac:dyDescent="0.35">
      <c r="A482" s="88">
        <v>390127</v>
      </c>
      <c r="B482" s="89" t="s">
        <v>6108</v>
      </c>
      <c r="C482" s="89" t="s">
        <v>6109</v>
      </c>
      <c r="D482" s="90" t="s">
        <v>3978</v>
      </c>
      <c r="E482" s="89" t="s">
        <v>2497</v>
      </c>
      <c r="F482" s="89"/>
      <c r="G482" s="89" t="s">
        <v>2498</v>
      </c>
      <c r="H482" s="91">
        <v>3903</v>
      </c>
      <c r="I482" s="89" t="s">
        <v>6110</v>
      </c>
      <c r="J482" s="92" t="s">
        <v>4058</v>
      </c>
      <c r="K482" s="92"/>
      <c r="L482" s="92" t="s">
        <v>6111</v>
      </c>
      <c r="M482" s="92" t="s">
        <v>6112</v>
      </c>
      <c r="N482" s="93">
        <v>3903</v>
      </c>
      <c r="O482" s="94">
        <v>1</v>
      </c>
      <c r="P482" s="94">
        <v>1</v>
      </c>
      <c r="Q482" s="92" t="s">
        <v>3957</v>
      </c>
      <c r="R482" s="92" t="s">
        <v>6113</v>
      </c>
      <c r="S482" s="89" t="s">
        <v>643</v>
      </c>
      <c r="T482" s="89" t="s">
        <v>643</v>
      </c>
    </row>
    <row r="483" spans="1:20" ht="30" customHeight="1" x14ac:dyDescent="0.35">
      <c r="A483" s="88">
        <v>390128</v>
      </c>
      <c r="B483" s="89" t="s">
        <v>6114</v>
      </c>
      <c r="C483" s="89" t="s">
        <v>6115</v>
      </c>
      <c r="D483" s="90" t="s">
        <v>3978</v>
      </c>
      <c r="E483" s="89" t="s">
        <v>2500</v>
      </c>
      <c r="F483" s="89"/>
      <c r="G483" s="89" t="s">
        <v>2501</v>
      </c>
      <c r="H483" s="91">
        <v>3903</v>
      </c>
      <c r="I483" s="89" t="s">
        <v>6110</v>
      </c>
      <c r="J483" s="92" t="s">
        <v>4058</v>
      </c>
      <c r="K483" s="92"/>
      <c r="L483" s="92" t="s">
        <v>6111</v>
      </c>
      <c r="M483" s="92" t="s">
        <v>6112</v>
      </c>
      <c r="N483" s="93">
        <v>3903</v>
      </c>
      <c r="O483" s="94">
        <v>1</v>
      </c>
      <c r="P483" s="94">
        <v>1</v>
      </c>
      <c r="Q483" s="92" t="s">
        <v>3957</v>
      </c>
      <c r="R483" s="92" t="s">
        <v>6116</v>
      </c>
      <c r="S483" s="89" t="s">
        <v>643</v>
      </c>
      <c r="T483" s="89" t="s">
        <v>643</v>
      </c>
    </row>
    <row r="484" spans="1:20" ht="30" customHeight="1" x14ac:dyDescent="0.35">
      <c r="A484" s="88">
        <v>390129</v>
      </c>
      <c r="B484" s="89" t="s">
        <v>6117</v>
      </c>
      <c r="C484" s="89" t="s">
        <v>6118</v>
      </c>
      <c r="D484" s="90" t="s">
        <v>3978</v>
      </c>
      <c r="E484" s="89" t="s">
        <v>2503</v>
      </c>
      <c r="F484" s="89"/>
      <c r="G484" s="89" t="s">
        <v>2504</v>
      </c>
      <c r="H484" s="91">
        <v>3901</v>
      </c>
      <c r="I484" s="89" t="s">
        <v>6105</v>
      </c>
      <c r="J484" s="92" t="s">
        <v>4058</v>
      </c>
      <c r="K484" s="92"/>
      <c r="L484" s="92" t="s">
        <v>6082</v>
      </c>
      <c r="M484" s="92" t="s">
        <v>6106</v>
      </c>
      <c r="N484" s="93">
        <v>3901</v>
      </c>
      <c r="O484" s="94">
        <v>1</v>
      </c>
      <c r="P484" s="94">
        <v>1</v>
      </c>
      <c r="Q484" s="92" t="s">
        <v>3957</v>
      </c>
      <c r="R484" s="92" t="s">
        <v>6119</v>
      </c>
      <c r="S484" s="89" t="s">
        <v>643</v>
      </c>
      <c r="T484" s="89" t="s">
        <v>643</v>
      </c>
    </row>
    <row r="485" spans="1:20" ht="30" customHeight="1" x14ac:dyDescent="0.35">
      <c r="A485" s="88">
        <v>390157</v>
      </c>
      <c r="B485" s="89" t="s">
        <v>6120</v>
      </c>
      <c r="C485" s="89" t="s">
        <v>6121</v>
      </c>
      <c r="D485" s="90" t="s">
        <v>3978</v>
      </c>
      <c r="E485" s="89" t="s">
        <v>2508</v>
      </c>
      <c r="F485" s="89"/>
      <c r="G485" s="89" t="s">
        <v>2509</v>
      </c>
      <c r="H485" s="91">
        <v>3901</v>
      </c>
      <c r="I485" s="89" t="s">
        <v>6105</v>
      </c>
      <c r="J485" s="92" t="s">
        <v>4058</v>
      </c>
      <c r="K485" s="92"/>
      <c r="L485" s="92" t="s">
        <v>6082</v>
      </c>
      <c r="M485" s="92" t="s">
        <v>6106</v>
      </c>
      <c r="N485" s="93">
        <v>3901</v>
      </c>
      <c r="O485" s="94">
        <v>1</v>
      </c>
      <c r="P485" s="94">
        <v>1</v>
      </c>
      <c r="Q485" s="92" t="s">
        <v>3957</v>
      </c>
      <c r="R485" s="92" t="s">
        <v>6122</v>
      </c>
      <c r="S485" s="89" t="s">
        <v>643</v>
      </c>
      <c r="T485" s="89" t="s">
        <v>643</v>
      </c>
    </row>
    <row r="486" spans="1:20" ht="30" customHeight="1" x14ac:dyDescent="0.35">
      <c r="A486" s="88">
        <v>390171</v>
      </c>
      <c r="B486" s="89" t="s">
        <v>6123</v>
      </c>
      <c r="C486" s="89" t="s">
        <v>6124</v>
      </c>
      <c r="D486" s="90" t="s">
        <v>3978</v>
      </c>
      <c r="E486" s="89" t="s">
        <v>2511</v>
      </c>
      <c r="F486" s="89" t="s">
        <v>6066</v>
      </c>
      <c r="G486" s="89" t="s">
        <v>2512</v>
      </c>
      <c r="H486" s="91">
        <v>3901</v>
      </c>
      <c r="I486" s="89" t="s">
        <v>6105</v>
      </c>
      <c r="J486" s="92" t="s">
        <v>4058</v>
      </c>
      <c r="K486" s="92"/>
      <c r="L486" s="92" t="s">
        <v>6082</v>
      </c>
      <c r="M486" s="92" t="s">
        <v>6106</v>
      </c>
      <c r="N486" s="93">
        <v>3901</v>
      </c>
      <c r="O486" s="94">
        <v>1</v>
      </c>
      <c r="P486" s="94">
        <v>1</v>
      </c>
      <c r="Q486" s="92" t="s">
        <v>3957</v>
      </c>
      <c r="R486" s="92" t="s">
        <v>6125</v>
      </c>
      <c r="S486" s="91">
        <v>39010</v>
      </c>
      <c r="T486" s="91">
        <v>39011</v>
      </c>
    </row>
    <row r="487" spans="1:20" ht="30" customHeight="1" x14ac:dyDescent="0.35">
      <c r="A487" s="88">
        <v>390222</v>
      </c>
      <c r="B487" s="89" t="s">
        <v>6126</v>
      </c>
      <c r="C487" s="89" t="s">
        <v>6127</v>
      </c>
      <c r="D487" s="90" t="s">
        <v>3978</v>
      </c>
      <c r="E487" s="89" t="s">
        <v>2514</v>
      </c>
      <c r="F487" s="89"/>
      <c r="G487" s="89" t="s">
        <v>2515</v>
      </c>
      <c r="H487" s="91">
        <v>3902</v>
      </c>
      <c r="I487" s="89" t="s">
        <v>6128</v>
      </c>
      <c r="J487" s="92" t="s">
        <v>5157</v>
      </c>
      <c r="K487" s="92"/>
      <c r="L487" s="92" t="s">
        <v>4455</v>
      </c>
      <c r="M487" s="92" t="s">
        <v>4455</v>
      </c>
      <c r="N487" s="93">
        <v>3902</v>
      </c>
      <c r="O487" s="94">
        <v>76000</v>
      </c>
      <c r="P487" s="94">
        <v>1300</v>
      </c>
      <c r="Q487" s="92" t="s">
        <v>3957</v>
      </c>
      <c r="R487" s="92" t="s">
        <v>6129</v>
      </c>
      <c r="S487" s="91">
        <v>39069</v>
      </c>
      <c r="T487" s="89" t="s">
        <v>643</v>
      </c>
    </row>
    <row r="488" spans="1:20" ht="30" customHeight="1" x14ac:dyDescent="0.35">
      <c r="A488" s="88">
        <v>390224</v>
      </c>
      <c r="B488" s="89" t="s">
        <v>6130</v>
      </c>
      <c r="C488" s="89" t="s">
        <v>6131</v>
      </c>
      <c r="D488" s="90" t="s">
        <v>3978</v>
      </c>
      <c r="E488" s="89" t="s">
        <v>2517</v>
      </c>
      <c r="F488" s="89"/>
      <c r="G488" s="89" t="s">
        <v>2518</v>
      </c>
      <c r="H488" s="91">
        <v>3901</v>
      </c>
      <c r="I488" s="89" t="s">
        <v>6105</v>
      </c>
      <c r="J488" s="92" t="s">
        <v>4058</v>
      </c>
      <c r="K488" s="92"/>
      <c r="L488" s="92" t="s">
        <v>6082</v>
      </c>
      <c r="M488" s="92" t="s">
        <v>6106</v>
      </c>
      <c r="N488" s="93">
        <v>3901</v>
      </c>
      <c r="O488" s="94">
        <v>1</v>
      </c>
      <c r="P488" s="94">
        <v>1</v>
      </c>
      <c r="Q488" s="92" t="s">
        <v>3957</v>
      </c>
      <c r="R488" s="92" t="s">
        <v>6132</v>
      </c>
      <c r="S488" s="89" t="s">
        <v>643</v>
      </c>
      <c r="T488" s="89" t="s">
        <v>643</v>
      </c>
    </row>
    <row r="489" spans="1:20" ht="30" customHeight="1" x14ac:dyDescent="0.35">
      <c r="A489" s="88">
        <v>390311</v>
      </c>
      <c r="B489" s="89" t="s">
        <v>6133</v>
      </c>
      <c r="C489" s="89" t="s">
        <v>6134</v>
      </c>
      <c r="D489" s="90" t="s">
        <v>3978</v>
      </c>
      <c r="E489" s="89" t="s">
        <v>2520</v>
      </c>
      <c r="F489" s="89"/>
      <c r="G489" s="89" t="s">
        <v>2521</v>
      </c>
      <c r="H489" s="91">
        <v>3901</v>
      </c>
      <c r="I489" s="89" t="s">
        <v>6105</v>
      </c>
      <c r="J489" s="92" t="s">
        <v>4058</v>
      </c>
      <c r="K489" s="92"/>
      <c r="L489" s="92" t="s">
        <v>6082</v>
      </c>
      <c r="M489" s="92" t="s">
        <v>6106</v>
      </c>
      <c r="N489" s="93">
        <v>3901</v>
      </c>
      <c r="O489" s="94">
        <v>1</v>
      </c>
      <c r="P489" s="94">
        <v>1</v>
      </c>
      <c r="Q489" s="92" t="s">
        <v>3957</v>
      </c>
      <c r="R489" s="92" t="s">
        <v>6135</v>
      </c>
      <c r="S489" s="91">
        <v>39034</v>
      </c>
      <c r="T489" s="91">
        <v>39017</v>
      </c>
    </row>
    <row r="490" spans="1:20" ht="30" customHeight="1" x14ac:dyDescent="0.35">
      <c r="A490" s="88">
        <v>390381</v>
      </c>
      <c r="B490" s="89" t="s">
        <v>6136</v>
      </c>
      <c r="C490" s="89" t="s">
        <v>6137</v>
      </c>
      <c r="D490" s="90" t="s">
        <v>3978</v>
      </c>
      <c r="E490" s="89" t="s">
        <v>2523</v>
      </c>
      <c r="F490" s="89"/>
      <c r="G490" s="89" t="s">
        <v>2524</v>
      </c>
      <c r="H490" s="91">
        <v>3901</v>
      </c>
      <c r="I490" s="89" t="s">
        <v>6105</v>
      </c>
      <c r="J490" s="92" t="s">
        <v>4058</v>
      </c>
      <c r="K490" s="92"/>
      <c r="L490" s="92" t="s">
        <v>6082</v>
      </c>
      <c r="M490" s="92" t="s">
        <v>6106</v>
      </c>
      <c r="N490" s="93">
        <v>3901</v>
      </c>
      <c r="O490" s="94">
        <v>1</v>
      </c>
      <c r="P490" s="94">
        <v>1</v>
      </c>
      <c r="Q490" s="92" t="s">
        <v>3957</v>
      </c>
      <c r="R490" s="92" t="s">
        <v>6138</v>
      </c>
      <c r="S490" s="91">
        <v>39034</v>
      </c>
      <c r="T490" s="91">
        <v>39017</v>
      </c>
    </row>
    <row r="491" spans="1:20" ht="30" customHeight="1" x14ac:dyDescent="0.35">
      <c r="A491" s="88">
        <v>390531</v>
      </c>
      <c r="B491" s="89" t="s">
        <v>6139</v>
      </c>
      <c r="C491" s="89" t="s">
        <v>6140</v>
      </c>
      <c r="D491" s="90" t="s">
        <v>3978</v>
      </c>
      <c r="E491" s="89" t="s">
        <v>6141</v>
      </c>
      <c r="F491" s="89"/>
      <c r="G491" s="89" t="s">
        <v>2527</v>
      </c>
      <c r="H491" s="91">
        <v>3901</v>
      </c>
      <c r="I491" s="89" t="s">
        <v>6105</v>
      </c>
      <c r="J491" s="92" t="s">
        <v>4058</v>
      </c>
      <c r="K491" s="92"/>
      <c r="L491" s="92" t="s">
        <v>6082</v>
      </c>
      <c r="M491" s="92" t="s">
        <v>6106</v>
      </c>
      <c r="N491" s="93">
        <v>3901</v>
      </c>
      <c r="O491" s="94">
        <v>1</v>
      </c>
      <c r="P491" s="94">
        <v>1</v>
      </c>
      <c r="Q491" s="92" t="s">
        <v>3957</v>
      </c>
      <c r="R491" s="92" t="s">
        <v>6142</v>
      </c>
      <c r="S491" s="91">
        <v>39040</v>
      </c>
      <c r="T491" s="91">
        <v>14945</v>
      </c>
    </row>
    <row r="492" spans="1:20" ht="30" customHeight="1" x14ac:dyDescent="0.35">
      <c r="A492" s="88">
        <v>390551</v>
      </c>
      <c r="B492" s="89" t="s">
        <v>6143</v>
      </c>
      <c r="C492" s="89" t="s">
        <v>6144</v>
      </c>
      <c r="D492" s="90" t="s">
        <v>3978</v>
      </c>
      <c r="E492" s="89" t="s">
        <v>2529</v>
      </c>
      <c r="F492" s="89"/>
      <c r="G492" s="89" t="s">
        <v>2530</v>
      </c>
      <c r="H492" s="91">
        <v>3901</v>
      </c>
      <c r="I492" s="89" t="s">
        <v>6105</v>
      </c>
      <c r="J492" s="92" t="s">
        <v>4058</v>
      </c>
      <c r="K492" s="92"/>
      <c r="L492" s="92" t="s">
        <v>6082</v>
      </c>
      <c r="M492" s="92" t="s">
        <v>6106</v>
      </c>
      <c r="N492" s="93">
        <v>3901</v>
      </c>
      <c r="O492" s="94">
        <v>1</v>
      </c>
      <c r="P492" s="94">
        <v>1</v>
      </c>
      <c r="Q492" s="92" t="s">
        <v>3957</v>
      </c>
      <c r="R492" s="92" t="s">
        <v>6145</v>
      </c>
      <c r="S492" s="91">
        <v>39040</v>
      </c>
      <c r="T492" s="91">
        <v>39012</v>
      </c>
    </row>
    <row r="493" spans="1:20" ht="30" customHeight="1" x14ac:dyDescent="0.35">
      <c r="A493" s="88">
        <v>390562</v>
      </c>
      <c r="B493" s="89" t="s">
        <v>6146</v>
      </c>
      <c r="C493" s="89" t="s">
        <v>6147</v>
      </c>
      <c r="D493" s="90" t="s">
        <v>3978</v>
      </c>
      <c r="E493" s="89" t="s">
        <v>2532</v>
      </c>
      <c r="F493" s="89"/>
      <c r="G493" s="89" t="s">
        <v>2533</v>
      </c>
      <c r="H493" s="91">
        <v>3901</v>
      </c>
      <c r="I493" s="89" t="s">
        <v>6105</v>
      </c>
      <c r="J493" s="92" t="s">
        <v>4058</v>
      </c>
      <c r="K493" s="92"/>
      <c r="L493" s="92" t="s">
        <v>6082</v>
      </c>
      <c r="M493" s="92" t="s">
        <v>6106</v>
      </c>
      <c r="N493" s="93">
        <v>3901</v>
      </c>
      <c r="O493" s="94">
        <v>1</v>
      </c>
      <c r="P493" s="94">
        <v>1</v>
      </c>
      <c r="Q493" s="92" t="s">
        <v>3957</v>
      </c>
      <c r="R493" s="92" t="s">
        <v>6148</v>
      </c>
      <c r="S493" s="89" t="s">
        <v>643</v>
      </c>
      <c r="T493" s="89" t="s">
        <v>643</v>
      </c>
    </row>
    <row r="494" spans="1:20" ht="30" customHeight="1" x14ac:dyDescent="0.35">
      <c r="A494" s="88">
        <v>390611</v>
      </c>
      <c r="B494" s="89" t="s">
        <v>6149</v>
      </c>
      <c r="C494" s="89" t="s">
        <v>6150</v>
      </c>
      <c r="D494" s="90" t="s">
        <v>3978</v>
      </c>
      <c r="E494" s="89" t="s">
        <v>2537</v>
      </c>
      <c r="F494" s="89"/>
      <c r="G494" s="89" t="s">
        <v>2538</v>
      </c>
      <c r="H494" s="91">
        <v>3901</v>
      </c>
      <c r="I494" s="89" t="s">
        <v>6105</v>
      </c>
      <c r="J494" s="92" t="s">
        <v>4058</v>
      </c>
      <c r="K494" s="92"/>
      <c r="L494" s="92" t="s">
        <v>6082</v>
      </c>
      <c r="M494" s="92" t="s">
        <v>6106</v>
      </c>
      <c r="N494" s="93">
        <v>3901</v>
      </c>
      <c r="O494" s="94">
        <v>1</v>
      </c>
      <c r="P494" s="94">
        <v>1</v>
      </c>
      <c r="Q494" s="92" t="s">
        <v>3957</v>
      </c>
      <c r="R494" s="92" t="s">
        <v>6151</v>
      </c>
      <c r="S494" s="89" t="s">
        <v>643</v>
      </c>
      <c r="T494" s="91">
        <v>39018</v>
      </c>
    </row>
    <row r="495" spans="1:20" ht="30" customHeight="1" x14ac:dyDescent="0.35">
      <c r="A495" s="88">
        <v>390612</v>
      </c>
      <c r="B495" s="89" t="s">
        <v>6152</v>
      </c>
      <c r="C495" s="89" t="s">
        <v>6153</v>
      </c>
      <c r="D495" s="90" t="s">
        <v>3978</v>
      </c>
      <c r="E495" s="89" t="s">
        <v>2540</v>
      </c>
      <c r="F495" s="89"/>
      <c r="G495" s="89" t="s">
        <v>2541</v>
      </c>
      <c r="H495" s="91">
        <v>3901</v>
      </c>
      <c r="I495" s="89" t="s">
        <v>6105</v>
      </c>
      <c r="J495" s="92" t="s">
        <v>4058</v>
      </c>
      <c r="K495" s="92"/>
      <c r="L495" s="92" t="s">
        <v>6082</v>
      </c>
      <c r="M495" s="92" t="s">
        <v>6106</v>
      </c>
      <c r="N495" s="93">
        <v>3901</v>
      </c>
      <c r="O495" s="94">
        <v>1</v>
      </c>
      <c r="P495" s="94">
        <v>1</v>
      </c>
      <c r="Q495" s="92" t="s">
        <v>3957</v>
      </c>
      <c r="R495" s="92" t="s">
        <v>6154</v>
      </c>
      <c r="S495" s="91">
        <v>39064</v>
      </c>
      <c r="T495" s="91">
        <v>39018</v>
      </c>
    </row>
    <row r="496" spans="1:20" ht="30" customHeight="1" x14ac:dyDescent="0.35">
      <c r="A496" s="88">
        <v>390614</v>
      </c>
      <c r="B496" s="89" t="s">
        <v>6155</v>
      </c>
      <c r="C496" s="89" t="s">
        <v>6156</v>
      </c>
      <c r="D496" s="90" t="s">
        <v>3978</v>
      </c>
      <c r="E496" s="89" t="s">
        <v>2543</v>
      </c>
      <c r="F496" s="89"/>
      <c r="G496" s="89" t="s">
        <v>2544</v>
      </c>
      <c r="H496" s="91">
        <v>3904</v>
      </c>
      <c r="I496" s="89" t="s">
        <v>6157</v>
      </c>
      <c r="J496" s="92" t="s">
        <v>4058</v>
      </c>
      <c r="K496" s="92"/>
      <c r="L496" s="92" t="s">
        <v>6158</v>
      </c>
      <c r="M496" s="92" t="s">
        <v>6159</v>
      </c>
      <c r="N496" s="93">
        <v>3904</v>
      </c>
      <c r="O496" s="94">
        <v>1</v>
      </c>
      <c r="P496" s="94">
        <v>1</v>
      </c>
      <c r="Q496" s="92" t="s">
        <v>3957</v>
      </c>
      <c r="R496" s="92" t="s">
        <v>6160</v>
      </c>
      <c r="S496" s="89" t="s">
        <v>643</v>
      </c>
      <c r="T496" s="89" t="s">
        <v>643</v>
      </c>
    </row>
    <row r="497" spans="1:20" ht="30" customHeight="1" x14ac:dyDescent="0.35">
      <c r="A497" s="88">
        <v>390719</v>
      </c>
      <c r="B497" s="89" t="s">
        <v>6161</v>
      </c>
      <c r="C497" s="89" t="s">
        <v>6162</v>
      </c>
      <c r="D497" s="90" t="s">
        <v>3978</v>
      </c>
      <c r="E497" s="89" t="s">
        <v>2546</v>
      </c>
      <c r="F497" s="89"/>
      <c r="G497" s="89" t="s">
        <v>2547</v>
      </c>
      <c r="H497" s="91">
        <v>3901</v>
      </c>
      <c r="I497" s="89" t="s">
        <v>6105</v>
      </c>
      <c r="J497" s="92" t="s">
        <v>4058</v>
      </c>
      <c r="K497" s="92"/>
      <c r="L497" s="92" t="s">
        <v>6082</v>
      </c>
      <c r="M497" s="92" t="s">
        <v>6106</v>
      </c>
      <c r="N497" s="93">
        <v>3901</v>
      </c>
      <c r="O497" s="94">
        <v>1</v>
      </c>
      <c r="P497" s="94">
        <v>1</v>
      </c>
      <c r="Q497" s="92" t="s">
        <v>3957</v>
      </c>
      <c r="R497" s="92" t="s">
        <v>6163</v>
      </c>
      <c r="S497" s="89" t="s">
        <v>643</v>
      </c>
      <c r="T497" s="89" t="s">
        <v>643</v>
      </c>
    </row>
    <row r="498" spans="1:20" ht="30" customHeight="1" x14ac:dyDescent="0.35">
      <c r="A498" s="88">
        <v>390915</v>
      </c>
      <c r="B498" s="89" t="s">
        <v>6164</v>
      </c>
      <c r="C498" s="89" t="s">
        <v>6165</v>
      </c>
      <c r="D498" s="90" t="s">
        <v>3978</v>
      </c>
      <c r="E498" s="89" t="s">
        <v>2549</v>
      </c>
      <c r="F498" s="89"/>
      <c r="G498" s="89" t="s">
        <v>2550</v>
      </c>
      <c r="H498" s="91">
        <v>3901</v>
      </c>
      <c r="I498" s="89" t="s">
        <v>6105</v>
      </c>
      <c r="J498" s="92" t="s">
        <v>4058</v>
      </c>
      <c r="K498" s="92"/>
      <c r="L498" s="92" t="s">
        <v>6082</v>
      </c>
      <c r="M498" s="92" t="s">
        <v>6106</v>
      </c>
      <c r="N498" s="93">
        <v>3901</v>
      </c>
      <c r="O498" s="94">
        <v>1</v>
      </c>
      <c r="P498" s="94">
        <v>1</v>
      </c>
      <c r="Q498" s="92" t="s">
        <v>3957</v>
      </c>
      <c r="R498" s="92" t="s">
        <v>6166</v>
      </c>
      <c r="S498" s="91">
        <v>39024</v>
      </c>
      <c r="T498" s="91">
        <v>39017</v>
      </c>
    </row>
    <row r="499" spans="1:20" ht="30" customHeight="1" x14ac:dyDescent="0.35">
      <c r="A499" s="88">
        <v>411123</v>
      </c>
      <c r="B499" s="89" t="s">
        <v>6167</v>
      </c>
      <c r="C499" s="89" t="s">
        <v>6168</v>
      </c>
      <c r="D499" s="90" t="s">
        <v>3978</v>
      </c>
      <c r="E499" s="89" t="s">
        <v>6169</v>
      </c>
      <c r="F499" s="89" t="s">
        <v>6170</v>
      </c>
      <c r="G499" s="89" t="s">
        <v>2553</v>
      </c>
      <c r="H499" s="91">
        <v>4114</v>
      </c>
      <c r="I499" s="89" t="s">
        <v>6171</v>
      </c>
      <c r="J499" s="92" t="s">
        <v>4126</v>
      </c>
      <c r="K499" s="92"/>
      <c r="L499" s="92" t="s">
        <v>6172</v>
      </c>
      <c r="M499" s="92" t="s">
        <v>6173</v>
      </c>
      <c r="N499" s="93">
        <v>4114</v>
      </c>
      <c r="O499" s="94">
        <v>60000</v>
      </c>
      <c r="P499" s="94">
        <v>15000</v>
      </c>
      <c r="Q499" s="92" t="s">
        <v>3957</v>
      </c>
      <c r="R499" s="92" t="s">
        <v>6174</v>
      </c>
      <c r="S499" s="89" t="s">
        <v>643</v>
      </c>
      <c r="T499" s="89" t="s">
        <v>643</v>
      </c>
    </row>
    <row r="500" spans="1:20" ht="30" customHeight="1" x14ac:dyDescent="0.35">
      <c r="A500" s="88">
        <v>411127</v>
      </c>
      <c r="B500" s="89" t="s">
        <v>6175</v>
      </c>
      <c r="C500" s="89" t="s">
        <v>6176</v>
      </c>
      <c r="D500" s="90" t="s">
        <v>3978</v>
      </c>
      <c r="E500" s="89" t="s">
        <v>2555</v>
      </c>
      <c r="F500" s="89" t="s">
        <v>6170</v>
      </c>
      <c r="G500" s="89" t="s">
        <v>2556</v>
      </c>
      <c r="H500" s="91">
        <v>4114</v>
      </c>
      <c r="I500" s="89" t="s">
        <v>6171</v>
      </c>
      <c r="J500" s="92" t="s">
        <v>4126</v>
      </c>
      <c r="K500" s="92"/>
      <c r="L500" s="92" t="s">
        <v>6172</v>
      </c>
      <c r="M500" s="92" t="s">
        <v>6173</v>
      </c>
      <c r="N500" s="93">
        <v>4114</v>
      </c>
      <c r="O500" s="94">
        <v>60000</v>
      </c>
      <c r="P500" s="94">
        <v>15000</v>
      </c>
      <c r="Q500" s="92" t="s">
        <v>3957</v>
      </c>
      <c r="R500" s="92" t="s">
        <v>6177</v>
      </c>
      <c r="S500" s="89" t="s">
        <v>643</v>
      </c>
      <c r="T500" s="89" t="s">
        <v>643</v>
      </c>
    </row>
    <row r="501" spans="1:20" ht="30" customHeight="1" x14ac:dyDescent="0.35">
      <c r="A501" s="88">
        <v>411128</v>
      </c>
      <c r="B501" s="89" t="s">
        <v>6178</v>
      </c>
      <c r="C501" s="89" t="s">
        <v>6179</v>
      </c>
      <c r="D501" s="90" t="s">
        <v>3978</v>
      </c>
      <c r="E501" s="89" t="s">
        <v>6180</v>
      </c>
      <c r="F501" s="89" t="s">
        <v>6170</v>
      </c>
      <c r="G501" s="89" t="s">
        <v>2559</v>
      </c>
      <c r="H501" s="91">
        <v>4111</v>
      </c>
      <c r="I501" s="89" t="s">
        <v>6181</v>
      </c>
      <c r="J501" s="92" t="s">
        <v>6182</v>
      </c>
      <c r="K501" s="92"/>
      <c r="L501" s="92" t="s">
        <v>6183</v>
      </c>
      <c r="M501" s="92" t="s">
        <v>5847</v>
      </c>
      <c r="N501" s="93">
        <v>4111</v>
      </c>
      <c r="O501" s="94">
        <v>100000</v>
      </c>
      <c r="P501" s="94">
        <v>8400</v>
      </c>
      <c r="Q501" s="92" t="s">
        <v>3957</v>
      </c>
      <c r="R501" s="92" t="s">
        <v>6184</v>
      </c>
      <c r="S501" s="89" t="s">
        <v>6185</v>
      </c>
      <c r="T501" s="89" t="s">
        <v>643</v>
      </c>
    </row>
    <row r="502" spans="1:20" ht="51.65" customHeight="1" x14ac:dyDescent="0.35">
      <c r="A502" s="88">
        <v>411131</v>
      </c>
      <c r="B502" s="89" t="s">
        <v>6186</v>
      </c>
      <c r="C502" s="89" t="s">
        <v>6187</v>
      </c>
      <c r="D502" s="90" t="s">
        <v>3978</v>
      </c>
      <c r="E502" s="89" t="s">
        <v>6188</v>
      </c>
      <c r="F502" s="89" t="s">
        <v>6170</v>
      </c>
      <c r="G502" s="89" t="s">
        <v>2562</v>
      </c>
      <c r="H502" s="91">
        <v>4111</v>
      </c>
      <c r="I502" s="89" t="s">
        <v>6181</v>
      </c>
      <c r="J502" s="92" t="s">
        <v>6182</v>
      </c>
      <c r="K502" s="92"/>
      <c r="L502" s="92" t="s">
        <v>6183</v>
      </c>
      <c r="M502" s="92" t="s">
        <v>5847</v>
      </c>
      <c r="N502" s="93">
        <v>4111</v>
      </c>
      <c r="O502" s="94">
        <v>100000</v>
      </c>
      <c r="P502" s="94">
        <v>8400</v>
      </c>
      <c r="Q502" s="92" t="s">
        <v>3957</v>
      </c>
      <c r="R502" s="92" t="s">
        <v>6189</v>
      </c>
      <c r="S502" s="89" t="s">
        <v>6190</v>
      </c>
      <c r="T502" s="91">
        <v>41120</v>
      </c>
    </row>
    <row r="503" spans="1:20" ht="30" customHeight="1" x14ac:dyDescent="0.35">
      <c r="A503" s="88">
        <v>411132</v>
      </c>
      <c r="B503" s="89" t="s">
        <v>6191</v>
      </c>
      <c r="C503" s="89" t="s">
        <v>6192</v>
      </c>
      <c r="D503" s="90" t="s">
        <v>3978</v>
      </c>
      <c r="E503" s="89" t="s">
        <v>6193</v>
      </c>
      <c r="F503" s="89" t="s">
        <v>6170</v>
      </c>
      <c r="G503" s="89" t="s">
        <v>2565</v>
      </c>
      <c r="H503" s="91">
        <v>4121</v>
      </c>
      <c r="I503" s="89" t="s">
        <v>6194</v>
      </c>
      <c r="J503" s="92" t="s">
        <v>4126</v>
      </c>
      <c r="K503" s="92"/>
      <c r="L503" s="92" t="s">
        <v>5647</v>
      </c>
      <c r="M503" s="92" t="s">
        <v>6195</v>
      </c>
      <c r="N503" s="93">
        <v>4121</v>
      </c>
      <c r="O503" s="94">
        <v>1500000</v>
      </c>
      <c r="P503" s="94">
        <v>29000</v>
      </c>
      <c r="Q503" s="92" t="s">
        <v>3957</v>
      </c>
      <c r="R503" s="92" t="s">
        <v>207</v>
      </c>
      <c r="S503" s="91">
        <v>41170</v>
      </c>
      <c r="T503" s="91">
        <v>41225</v>
      </c>
    </row>
    <row r="504" spans="1:20" ht="30" customHeight="1" x14ac:dyDescent="0.35">
      <c r="A504" s="88">
        <v>411134</v>
      </c>
      <c r="B504" s="89" t="s">
        <v>6196</v>
      </c>
      <c r="C504" s="89" t="s">
        <v>6197</v>
      </c>
      <c r="D504" s="90" t="s">
        <v>3978</v>
      </c>
      <c r="E504" s="89" t="s">
        <v>6198</v>
      </c>
      <c r="F504" s="89"/>
      <c r="G504" s="89" t="s">
        <v>2568</v>
      </c>
      <c r="H504" s="91">
        <v>4111</v>
      </c>
      <c r="I504" s="89" t="s">
        <v>6181</v>
      </c>
      <c r="J504" s="92" t="s">
        <v>6182</v>
      </c>
      <c r="K504" s="92"/>
      <c r="L504" s="92" t="s">
        <v>6183</v>
      </c>
      <c r="M504" s="92" t="s">
        <v>5847</v>
      </c>
      <c r="N504" s="93">
        <v>4111</v>
      </c>
      <c r="O504" s="94">
        <v>100000</v>
      </c>
      <c r="P504" s="94">
        <v>8400</v>
      </c>
      <c r="Q504" s="92" t="s">
        <v>3957</v>
      </c>
      <c r="R504" s="92" t="s">
        <v>6199</v>
      </c>
      <c r="S504" s="89" t="s">
        <v>6200</v>
      </c>
      <c r="T504" s="91">
        <v>41130</v>
      </c>
    </row>
    <row r="505" spans="1:20" ht="30" customHeight="1" x14ac:dyDescent="0.35">
      <c r="A505" s="88">
        <v>411135</v>
      </c>
      <c r="B505" s="89" t="s">
        <v>6201</v>
      </c>
      <c r="C505" s="89" t="s">
        <v>6202</v>
      </c>
      <c r="D505" s="90" t="s">
        <v>3978</v>
      </c>
      <c r="E505" s="89" t="s">
        <v>6203</v>
      </c>
      <c r="F505" s="89" t="s">
        <v>6204</v>
      </c>
      <c r="G505" s="89" t="s">
        <v>2571</v>
      </c>
      <c r="H505" s="91">
        <v>4111</v>
      </c>
      <c r="I505" s="89" t="s">
        <v>6181</v>
      </c>
      <c r="J505" s="92" t="s">
        <v>6182</v>
      </c>
      <c r="K505" s="92"/>
      <c r="L505" s="92" t="s">
        <v>6183</v>
      </c>
      <c r="M505" s="92" t="s">
        <v>5847</v>
      </c>
      <c r="N505" s="93">
        <v>4111</v>
      </c>
      <c r="O505" s="94">
        <v>100000</v>
      </c>
      <c r="P505" s="94">
        <v>8400</v>
      </c>
      <c r="Q505" s="92" t="s">
        <v>3957</v>
      </c>
      <c r="R505" s="92" t="s">
        <v>6205</v>
      </c>
      <c r="S505" s="89" t="s">
        <v>6206</v>
      </c>
      <c r="T505" s="91">
        <v>41150</v>
      </c>
    </row>
    <row r="506" spans="1:20" ht="30" customHeight="1" x14ac:dyDescent="0.35">
      <c r="A506" s="88">
        <v>411137</v>
      </c>
      <c r="B506" s="89" t="s">
        <v>6207</v>
      </c>
      <c r="C506" s="89" t="s">
        <v>6208</v>
      </c>
      <c r="D506" s="90" t="s">
        <v>3978</v>
      </c>
      <c r="E506" s="89" t="s">
        <v>6209</v>
      </c>
      <c r="F506" s="89" t="s">
        <v>6204</v>
      </c>
      <c r="G506" s="89" t="s">
        <v>2574</v>
      </c>
      <c r="H506" s="91">
        <v>4111</v>
      </c>
      <c r="I506" s="89" t="s">
        <v>6181</v>
      </c>
      <c r="J506" s="92" t="s">
        <v>6182</v>
      </c>
      <c r="K506" s="92"/>
      <c r="L506" s="92" t="s">
        <v>6183</v>
      </c>
      <c r="M506" s="92" t="s">
        <v>5847</v>
      </c>
      <c r="N506" s="93">
        <v>4111</v>
      </c>
      <c r="O506" s="94">
        <v>100000</v>
      </c>
      <c r="P506" s="94">
        <v>8400</v>
      </c>
      <c r="Q506" s="92" t="s">
        <v>3957</v>
      </c>
      <c r="R506" s="92" t="s">
        <v>6210</v>
      </c>
      <c r="S506" s="89" t="s">
        <v>6211</v>
      </c>
      <c r="T506" s="91">
        <v>41140</v>
      </c>
    </row>
    <row r="507" spans="1:20" ht="30" customHeight="1" x14ac:dyDescent="0.35">
      <c r="A507" s="88">
        <v>411138</v>
      </c>
      <c r="B507" s="89" t="s">
        <v>6212</v>
      </c>
      <c r="C507" s="89" t="s">
        <v>6213</v>
      </c>
      <c r="D507" s="90" t="s">
        <v>3978</v>
      </c>
      <c r="E507" s="89" t="s">
        <v>6214</v>
      </c>
      <c r="F507" s="89" t="s">
        <v>6204</v>
      </c>
      <c r="G507" s="89" t="s">
        <v>2577</v>
      </c>
      <c r="H507" s="91">
        <v>4121</v>
      </c>
      <c r="I507" s="89" t="s">
        <v>6194</v>
      </c>
      <c r="J507" s="92" t="s">
        <v>4126</v>
      </c>
      <c r="K507" s="92"/>
      <c r="L507" s="92" t="s">
        <v>5647</v>
      </c>
      <c r="M507" s="92" t="s">
        <v>6195</v>
      </c>
      <c r="N507" s="93">
        <v>4121</v>
      </c>
      <c r="O507" s="94">
        <v>1500000</v>
      </c>
      <c r="P507" s="94">
        <v>29000</v>
      </c>
      <c r="Q507" s="92" t="s">
        <v>3957</v>
      </c>
      <c r="R507" s="92" t="s">
        <v>6215</v>
      </c>
      <c r="S507" s="91">
        <v>41210</v>
      </c>
      <c r="T507" s="91">
        <v>41245</v>
      </c>
    </row>
    <row r="508" spans="1:20" ht="30" customHeight="1" x14ac:dyDescent="0.35">
      <c r="A508" s="88">
        <v>411139</v>
      </c>
      <c r="B508" s="89" t="s">
        <v>6216</v>
      </c>
      <c r="C508" s="89" t="s">
        <v>6217</v>
      </c>
      <c r="D508" s="90" t="s">
        <v>3978</v>
      </c>
      <c r="E508" s="89" t="s">
        <v>6218</v>
      </c>
      <c r="F508" s="89" t="s">
        <v>6204</v>
      </c>
      <c r="G508" s="89" t="s">
        <v>2580</v>
      </c>
      <c r="H508" s="91">
        <v>4111</v>
      </c>
      <c r="I508" s="89" t="s">
        <v>6181</v>
      </c>
      <c r="J508" s="92" t="s">
        <v>6182</v>
      </c>
      <c r="K508" s="92"/>
      <c r="L508" s="92" t="s">
        <v>6183</v>
      </c>
      <c r="M508" s="92" t="s">
        <v>5847</v>
      </c>
      <c r="N508" s="93">
        <v>4111</v>
      </c>
      <c r="O508" s="94">
        <v>100000</v>
      </c>
      <c r="P508" s="94">
        <v>8400</v>
      </c>
      <c r="Q508" s="92" t="s">
        <v>3957</v>
      </c>
      <c r="R508" s="92" t="s">
        <v>6219</v>
      </c>
      <c r="S508" s="89" t="s">
        <v>643</v>
      </c>
      <c r="T508" s="89" t="s">
        <v>643</v>
      </c>
    </row>
    <row r="509" spans="1:20" ht="30" customHeight="1" x14ac:dyDescent="0.35">
      <c r="A509" s="88">
        <v>411240</v>
      </c>
      <c r="B509" s="89" t="s">
        <v>6220</v>
      </c>
      <c r="C509" s="89" t="s">
        <v>6221</v>
      </c>
      <c r="D509" s="90" t="s">
        <v>3978</v>
      </c>
      <c r="E509" s="89" t="s">
        <v>2584</v>
      </c>
      <c r="F509" s="89"/>
      <c r="G509" s="89" t="s">
        <v>2585</v>
      </c>
      <c r="H509" s="91">
        <v>4112</v>
      </c>
      <c r="I509" s="89" t="s">
        <v>6222</v>
      </c>
      <c r="J509" s="92" t="s">
        <v>6182</v>
      </c>
      <c r="K509" s="92"/>
      <c r="L509" s="92" t="s">
        <v>6223</v>
      </c>
      <c r="M509" s="92" t="s">
        <v>6224</v>
      </c>
      <c r="N509" s="93">
        <v>4112</v>
      </c>
      <c r="O509" s="94">
        <v>10000000</v>
      </c>
      <c r="P509" s="94">
        <v>100000</v>
      </c>
      <c r="Q509" s="92" t="s">
        <v>3957</v>
      </c>
      <c r="R509" s="92" t="s">
        <v>6225</v>
      </c>
      <c r="S509" s="91">
        <v>41124</v>
      </c>
      <c r="T509" s="91">
        <v>41121</v>
      </c>
    </row>
    <row r="510" spans="1:20" ht="30" customHeight="1" x14ac:dyDescent="0.35">
      <c r="A510" s="88">
        <v>411320</v>
      </c>
      <c r="B510" s="89" t="s">
        <v>6226</v>
      </c>
      <c r="C510" s="89" t="s">
        <v>6226</v>
      </c>
      <c r="D510" s="90" t="s">
        <v>3978</v>
      </c>
      <c r="E510" s="89" t="s">
        <v>6227</v>
      </c>
      <c r="F510" s="89" t="s">
        <v>6204</v>
      </c>
      <c r="G510" s="89" t="s">
        <v>2588</v>
      </c>
      <c r="H510" s="91">
        <v>4113</v>
      </c>
      <c r="I510" s="89" t="s">
        <v>6228</v>
      </c>
      <c r="J510" s="92" t="s">
        <v>6182</v>
      </c>
      <c r="K510" s="92"/>
      <c r="L510" s="92" t="s">
        <v>6229</v>
      </c>
      <c r="M510" s="92" t="s">
        <v>6230</v>
      </c>
      <c r="N510" s="93">
        <v>4113</v>
      </c>
      <c r="O510" s="94">
        <v>100000</v>
      </c>
      <c r="P510" s="94">
        <v>10000</v>
      </c>
      <c r="Q510" s="92" t="s">
        <v>3957</v>
      </c>
      <c r="R510" s="92" t="s">
        <v>6231</v>
      </c>
      <c r="S510" s="91">
        <v>41132</v>
      </c>
      <c r="T510" s="89" t="s">
        <v>6232</v>
      </c>
    </row>
    <row r="511" spans="1:20" ht="30" customHeight="1" x14ac:dyDescent="0.35">
      <c r="A511" s="88">
        <v>412128</v>
      </c>
      <c r="B511" s="89" t="s">
        <v>6233</v>
      </c>
      <c r="C511" s="89" t="s">
        <v>6234</v>
      </c>
      <c r="D511" s="90" t="s">
        <v>3978</v>
      </c>
      <c r="E511" s="89" t="s">
        <v>6235</v>
      </c>
      <c r="F511" s="89" t="s">
        <v>6204</v>
      </c>
      <c r="G511" s="89" t="s">
        <v>909</v>
      </c>
      <c r="H511" s="91">
        <v>4111</v>
      </c>
      <c r="I511" s="89" t="s">
        <v>6181</v>
      </c>
      <c r="J511" s="92" t="s">
        <v>6182</v>
      </c>
      <c r="K511" s="92"/>
      <c r="L511" s="92" t="s">
        <v>6183</v>
      </c>
      <c r="M511" s="92" t="s">
        <v>5847</v>
      </c>
      <c r="N511" s="93">
        <v>4111</v>
      </c>
      <c r="O511" s="94">
        <v>100000</v>
      </c>
      <c r="P511" s="94">
        <v>8400</v>
      </c>
      <c r="Q511" s="92" t="s">
        <v>3957</v>
      </c>
      <c r="R511" s="92" t="s">
        <v>6236</v>
      </c>
      <c r="S511" s="89" t="s">
        <v>3982</v>
      </c>
      <c r="T511" s="89" t="s">
        <v>3982</v>
      </c>
    </row>
    <row r="512" spans="1:20" ht="30" customHeight="1" x14ac:dyDescent="0.35">
      <c r="A512" s="88">
        <v>412131</v>
      </c>
      <c r="B512" s="89" t="s">
        <v>6237</v>
      </c>
      <c r="C512" s="89" t="s">
        <v>6238</v>
      </c>
      <c r="D512" s="90" t="s">
        <v>3978</v>
      </c>
      <c r="E512" s="89" t="s">
        <v>6239</v>
      </c>
      <c r="F512" s="89" t="s">
        <v>6204</v>
      </c>
      <c r="G512" s="89" t="s">
        <v>909</v>
      </c>
      <c r="H512" s="91">
        <v>4111</v>
      </c>
      <c r="I512" s="89" t="s">
        <v>6181</v>
      </c>
      <c r="J512" s="92" t="s">
        <v>6182</v>
      </c>
      <c r="K512" s="92"/>
      <c r="L512" s="92" t="s">
        <v>6183</v>
      </c>
      <c r="M512" s="92" t="s">
        <v>5847</v>
      </c>
      <c r="N512" s="93">
        <v>4111</v>
      </c>
      <c r="O512" s="94">
        <v>100000</v>
      </c>
      <c r="P512" s="94">
        <v>8400</v>
      </c>
      <c r="Q512" s="92" t="s">
        <v>3957</v>
      </c>
      <c r="R512" s="92" t="s">
        <v>6240</v>
      </c>
      <c r="S512" s="89" t="s">
        <v>3982</v>
      </c>
      <c r="T512" s="89" t="s">
        <v>3982</v>
      </c>
    </row>
    <row r="513" spans="1:20" ht="30" customHeight="1" x14ac:dyDescent="0.35">
      <c r="A513" s="88">
        <v>412132</v>
      </c>
      <c r="B513" s="89" t="s">
        <v>6241</v>
      </c>
      <c r="C513" s="89" t="s">
        <v>6242</v>
      </c>
      <c r="D513" s="90" t="s">
        <v>3978</v>
      </c>
      <c r="E513" s="89" t="s">
        <v>6243</v>
      </c>
      <c r="F513" s="89" t="s">
        <v>6204</v>
      </c>
      <c r="G513" s="89" t="s">
        <v>909</v>
      </c>
      <c r="H513" s="91">
        <v>4121</v>
      </c>
      <c r="I513" s="89" t="s">
        <v>6194</v>
      </c>
      <c r="J513" s="92" t="s">
        <v>4126</v>
      </c>
      <c r="K513" s="92"/>
      <c r="L513" s="92" t="s">
        <v>5647</v>
      </c>
      <c r="M513" s="92" t="s">
        <v>6195</v>
      </c>
      <c r="N513" s="93">
        <v>4121</v>
      </c>
      <c r="O513" s="94">
        <v>1500000</v>
      </c>
      <c r="P513" s="94">
        <v>29000</v>
      </c>
      <c r="Q513" s="92" t="s">
        <v>3957</v>
      </c>
      <c r="R513" s="92" t="s">
        <v>6244</v>
      </c>
      <c r="S513" s="89" t="s">
        <v>3982</v>
      </c>
      <c r="T513" s="89" t="s">
        <v>3982</v>
      </c>
    </row>
    <row r="514" spans="1:20" ht="30" customHeight="1" x14ac:dyDescent="0.35">
      <c r="A514" s="88">
        <v>412134</v>
      </c>
      <c r="B514" s="89" t="s">
        <v>6245</v>
      </c>
      <c r="C514" s="89" t="s">
        <v>6246</v>
      </c>
      <c r="D514" s="90" t="s">
        <v>3978</v>
      </c>
      <c r="E514" s="89" t="s">
        <v>6247</v>
      </c>
      <c r="F514" s="89" t="s">
        <v>6204</v>
      </c>
      <c r="G514" s="89" t="s">
        <v>909</v>
      </c>
      <c r="H514" s="91">
        <v>4111</v>
      </c>
      <c r="I514" s="89" t="s">
        <v>6181</v>
      </c>
      <c r="J514" s="92" t="s">
        <v>6182</v>
      </c>
      <c r="K514" s="92"/>
      <c r="L514" s="92" t="s">
        <v>6183</v>
      </c>
      <c r="M514" s="92" t="s">
        <v>5847</v>
      </c>
      <c r="N514" s="93">
        <v>4111</v>
      </c>
      <c r="O514" s="94">
        <v>100000</v>
      </c>
      <c r="P514" s="94">
        <v>8400</v>
      </c>
      <c r="Q514" s="92" t="s">
        <v>3957</v>
      </c>
      <c r="R514" s="92" t="s">
        <v>6248</v>
      </c>
      <c r="S514" s="89" t="s">
        <v>3982</v>
      </c>
      <c r="T514" s="89" t="s">
        <v>3982</v>
      </c>
    </row>
    <row r="515" spans="1:20" ht="30" customHeight="1" x14ac:dyDescent="0.35">
      <c r="A515" s="88">
        <v>412135</v>
      </c>
      <c r="B515" s="89" t="s">
        <v>6249</v>
      </c>
      <c r="C515" s="89" t="s">
        <v>6250</v>
      </c>
      <c r="D515" s="90" t="s">
        <v>3978</v>
      </c>
      <c r="E515" s="89" t="s">
        <v>6251</v>
      </c>
      <c r="F515" s="89" t="s">
        <v>6204</v>
      </c>
      <c r="G515" s="89" t="s">
        <v>909</v>
      </c>
      <c r="H515" s="91">
        <v>4111</v>
      </c>
      <c r="I515" s="89" t="s">
        <v>6181</v>
      </c>
      <c r="J515" s="92" t="s">
        <v>6182</v>
      </c>
      <c r="K515" s="92"/>
      <c r="L515" s="92" t="s">
        <v>6183</v>
      </c>
      <c r="M515" s="92" t="s">
        <v>5847</v>
      </c>
      <c r="N515" s="93">
        <v>4111</v>
      </c>
      <c r="O515" s="94">
        <v>100000</v>
      </c>
      <c r="P515" s="94">
        <v>8400</v>
      </c>
      <c r="Q515" s="92" t="s">
        <v>3957</v>
      </c>
      <c r="R515" s="92" t="s">
        <v>6252</v>
      </c>
      <c r="S515" s="89" t="s">
        <v>3982</v>
      </c>
      <c r="T515" s="89" t="s">
        <v>3982</v>
      </c>
    </row>
    <row r="516" spans="1:20" ht="30" customHeight="1" x14ac:dyDescent="0.35">
      <c r="A516" s="88">
        <v>412137</v>
      </c>
      <c r="B516" s="89" t="s">
        <v>6253</v>
      </c>
      <c r="C516" s="89" t="s">
        <v>6254</v>
      </c>
      <c r="D516" s="90" t="s">
        <v>3978</v>
      </c>
      <c r="E516" s="89" t="s">
        <v>6255</v>
      </c>
      <c r="F516" s="89" t="s">
        <v>6204</v>
      </c>
      <c r="G516" s="89" t="s">
        <v>909</v>
      </c>
      <c r="H516" s="91">
        <v>4111</v>
      </c>
      <c r="I516" s="89" t="s">
        <v>6181</v>
      </c>
      <c r="J516" s="92" t="s">
        <v>6182</v>
      </c>
      <c r="K516" s="92"/>
      <c r="L516" s="92" t="s">
        <v>6183</v>
      </c>
      <c r="M516" s="92" t="s">
        <v>5847</v>
      </c>
      <c r="N516" s="93">
        <v>4111</v>
      </c>
      <c r="O516" s="94">
        <v>100000</v>
      </c>
      <c r="P516" s="94">
        <v>8400</v>
      </c>
      <c r="Q516" s="92" t="s">
        <v>3957</v>
      </c>
      <c r="R516" s="92" t="s">
        <v>6256</v>
      </c>
      <c r="S516" s="89" t="s">
        <v>3982</v>
      </c>
      <c r="T516" s="89" t="s">
        <v>3982</v>
      </c>
    </row>
    <row r="517" spans="1:20" ht="30" customHeight="1" x14ac:dyDescent="0.35">
      <c r="A517" s="88">
        <v>412138</v>
      </c>
      <c r="B517" s="89" t="s">
        <v>6257</v>
      </c>
      <c r="C517" s="89" t="s">
        <v>6258</v>
      </c>
      <c r="D517" s="90" t="s">
        <v>3978</v>
      </c>
      <c r="E517" s="89" t="s">
        <v>6259</v>
      </c>
      <c r="F517" s="89" t="s">
        <v>6204</v>
      </c>
      <c r="G517" s="89" t="s">
        <v>909</v>
      </c>
      <c r="H517" s="91">
        <v>4121</v>
      </c>
      <c r="I517" s="89" t="s">
        <v>6194</v>
      </c>
      <c r="J517" s="92" t="s">
        <v>4126</v>
      </c>
      <c r="K517" s="92"/>
      <c r="L517" s="92" t="s">
        <v>5647</v>
      </c>
      <c r="M517" s="92" t="s">
        <v>6195</v>
      </c>
      <c r="N517" s="93">
        <v>4121</v>
      </c>
      <c r="O517" s="94">
        <v>1500000</v>
      </c>
      <c r="P517" s="94">
        <v>29000</v>
      </c>
      <c r="Q517" s="92" t="s">
        <v>3957</v>
      </c>
      <c r="R517" s="92" t="s">
        <v>6260</v>
      </c>
      <c r="S517" s="89" t="s">
        <v>3982</v>
      </c>
      <c r="T517" s="89" t="s">
        <v>3982</v>
      </c>
    </row>
    <row r="518" spans="1:20" ht="30" customHeight="1" x14ac:dyDescent="0.35">
      <c r="A518" s="88">
        <v>412139</v>
      </c>
      <c r="B518" s="89" t="s">
        <v>6261</v>
      </c>
      <c r="C518" s="89" t="s">
        <v>6262</v>
      </c>
      <c r="D518" s="90" t="s">
        <v>3978</v>
      </c>
      <c r="E518" s="89" t="s">
        <v>6263</v>
      </c>
      <c r="F518" s="89" t="s">
        <v>6204</v>
      </c>
      <c r="G518" s="89" t="s">
        <v>909</v>
      </c>
      <c r="H518" s="91">
        <v>4111</v>
      </c>
      <c r="I518" s="89" t="s">
        <v>6181</v>
      </c>
      <c r="J518" s="92" t="s">
        <v>6182</v>
      </c>
      <c r="K518" s="92"/>
      <c r="L518" s="92" t="s">
        <v>6183</v>
      </c>
      <c r="M518" s="92" t="s">
        <v>5847</v>
      </c>
      <c r="N518" s="93">
        <v>4111</v>
      </c>
      <c r="O518" s="94">
        <v>100000</v>
      </c>
      <c r="P518" s="94">
        <v>8400</v>
      </c>
      <c r="Q518" s="92" t="s">
        <v>3957</v>
      </c>
      <c r="R518" s="92" t="s">
        <v>6264</v>
      </c>
      <c r="S518" s="89" t="s">
        <v>3982</v>
      </c>
      <c r="T518" s="89" t="s">
        <v>3982</v>
      </c>
    </row>
    <row r="519" spans="1:20" ht="30" customHeight="1" x14ac:dyDescent="0.35">
      <c r="A519" s="88">
        <v>412240</v>
      </c>
      <c r="B519" s="89" t="s">
        <v>6265</v>
      </c>
      <c r="C519" s="89" t="s">
        <v>6266</v>
      </c>
      <c r="D519" s="90" t="s">
        <v>3978</v>
      </c>
      <c r="E519" s="89" t="s">
        <v>6267</v>
      </c>
      <c r="F519" s="89" t="s">
        <v>6204</v>
      </c>
      <c r="G519" s="89" t="s">
        <v>909</v>
      </c>
      <c r="H519" s="91">
        <v>4112</v>
      </c>
      <c r="I519" s="89" t="s">
        <v>6222</v>
      </c>
      <c r="J519" s="92" t="s">
        <v>6182</v>
      </c>
      <c r="K519" s="92"/>
      <c r="L519" s="92" t="s">
        <v>6223</v>
      </c>
      <c r="M519" s="92" t="s">
        <v>6224</v>
      </c>
      <c r="N519" s="93">
        <v>4112</v>
      </c>
      <c r="O519" s="94">
        <v>10000000</v>
      </c>
      <c r="P519" s="94">
        <v>100000</v>
      </c>
      <c r="Q519" s="92" t="s">
        <v>3957</v>
      </c>
      <c r="R519" s="92" t="s">
        <v>6268</v>
      </c>
      <c r="S519" s="89" t="s">
        <v>3982</v>
      </c>
      <c r="T519" s="89" t="s">
        <v>3982</v>
      </c>
    </row>
    <row r="520" spans="1:20" ht="30" customHeight="1" x14ac:dyDescent="0.35">
      <c r="A520" s="88">
        <v>412350</v>
      </c>
      <c r="B520" s="89" t="s">
        <v>6269</v>
      </c>
      <c r="C520" s="89" t="s">
        <v>6270</v>
      </c>
      <c r="D520" s="90" t="s">
        <v>3978</v>
      </c>
      <c r="E520" s="89" t="s">
        <v>6271</v>
      </c>
      <c r="F520" s="89"/>
      <c r="G520" s="89" t="s">
        <v>909</v>
      </c>
      <c r="H520" s="91">
        <v>4121</v>
      </c>
      <c r="I520" s="89" t="s">
        <v>6194</v>
      </c>
      <c r="J520" s="92" t="s">
        <v>4126</v>
      </c>
      <c r="K520" s="92"/>
      <c r="L520" s="92" t="s">
        <v>5647</v>
      </c>
      <c r="M520" s="92" t="s">
        <v>6195</v>
      </c>
      <c r="N520" s="93">
        <v>4121</v>
      </c>
      <c r="O520" s="94">
        <v>1500000</v>
      </c>
      <c r="P520" s="94">
        <v>29000</v>
      </c>
      <c r="Q520" s="92" t="s">
        <v>3957</v>
      </c>
      <c r="R520" s="92" t="s">
        <v>6272</v>
      </c>
      <c r="S520" s="89" t="s">
        <v>3982</v>
      </c>
      <c r="T520" s="91">
        <v>41235</v>
      </c>
    </row>
    <row r="521" spans="1:20" ht="30" customHeight="1" x14ac:dyDescent="0.35">
      <c r="A521" s="92">
        <v>421220</v>
      </c>
      <c r="B521" s="89" t="s">
        <v>6273</v>
      </c>
      <c r="C521" s="89" t="s">
        <v>4491</v>
      </c>
      <c r="D521" s="90" t="s">
        <v>4077</v>
      </c>
      <c r="E521" s="89" t="s">
        <v>6274</v>
      </c>
      <c r="F521" s="89"/>
      <c r="G521" s="89" t="s">
        <v>909</v>
      </c>
      <c r="H521" s="89">
        <v>4211</v>
      </c>
      <c r="I521" s="89" t="s">
        <v>6275</v>
      </c>
      <c r="J521" s="92"/>
      <c r="K521" s="92"/>
      <c r="L521" s="92"/>
      <c r="M521" s="92"/>
      <c r="N521" s="90"/>
      <c r="O521" s="92"/>
      <c r="P521" s="92"/>
      <c r="Q521" s="92"/>
      <c r="R521" s="92"/>
      <c r="S521" s="89"/>
      <c r="T521" s="89"/>
    </row>
    <row r="522" spans="1:20" ht="30" customHeight="1" x14ac:dyDescent="0.35">
      <c r="A522" s="88">
        <v>421480</v>
      </c>
      <c r="B522" s="89" t="s">
        <v>6276</v>
      </c>
      <c r="C522" s="89" t="s">
        <v>6277</v>
      </c>
      <c r="D522" s="90" t="s">
        <v>4077</v>
      </c>
      <c r="E522" s="89" t="s">
        <v>6278</v>
      </c>
      <c r="F522" s="89"/>
      <c r="G522" s="89" t="s">
        <v>909</v>
      </c>
      <c r="H522" s="91">
        <v>4211</v>
      </c>
      <c r="I522" s="89" t="s">
        <v>6275</v>
      </c>
      <c r="J522" s="92" t="s">
        <v>883</v>
      </c>
      <c r="K522" s="92"/>
      <c r="L522" s="92" t="s">
        <v>4455</v>
      </c>
      <c r="M522" s="92" t="s">
        <v>4455</v>
      </c>
      <c r="N522" s="93">
        <v>4211</v>
      </c>
      <c r="O522" s="94">
        <v>40000</v>
      </c>
      <c r="P522" s="94">
        <v>3600</v>
      </c>
      <c r="Q522" s="92" t="s">
        <v>3957</v>
      </c>
      <c r="R522" s="92" t="s">
        <v>6279</v>
      </c>
      <c r="S522" s="89" t="s">
        <v>3982</v>
      </c>
      <c r="T522" s="91">
        <v>42148</v>
      </c>
    </row>
    <row r="523" spans="1:20" ht="30" customHeight="1" x14ac:dyDescent="0.35">
      <c r="A523" s="88">
        <v>421820</v>
      </c>
      <c r="B523" s="89" t="s">
        <v>6280</v>
      </c>
      <c r="C523" s="89" t="s">
        <v>6281</v>
      </c>
      <c r="D523" s="90" t="s">
        <v>4077</v>
      </c>
      <c r="E523" s="89" t="s">
        <v>6282</v>
      </c>
      <c r="F523" s="89"/>
      <c r="G523" s="89" t="s">
        <v>909</v>
      </c>
      <c r="H523" s="91">
        <v>4211</v>
      </c>
      <c r="I523" s="89" t="s">
        <v>6275</v>
      </c>
      <c r="J523" s="92" t="s">
        <v>883</v>
      </c>
      <c r="K523" s="92"/>
      <c r="L523" s="92" t="s">
        <v>4455</v>
      </c>
      <c r="M523" s="92" t="s">
        <v>4455</v>
      </c>
      <c r="N523" s="93">
        <v>4211</v>
      </c>
      <c r="O523" s="94">
        <v>40000</v>
      </c>
      <c r="P523" s="94">
        <v>3600</v>
      </c>
      <c r="Q523" s="92" t="s">
        <v>3957</v>
      </c>
      <c r="R523" s="92" t="s">
        <v>6283</v>
      </c>
      <c r="S523" s="89" t="s">
        <v>3982</v>
      </c>
      <c r="T523" s="91">
        <v>42182</v>
      </c>
    </row>
    <row r="524" spans="1:20" ht="30" customHeight="1" x14ac:dyDescent="0.35">
      <c r="A524" s="88">
        <v>422253</v>
      </c>
      <c r="B524" s="89" t="s">
        <v>6284</v>
      </c>
      <c r="C524" s="89" t="s">
        <v>6285</v>
      </c>
      <c r="D524" s="90" t="s">
        <v>4077</v>
      </c>
      <c r="E524" s="89" t="s">
        <v>2620</v>
      </c>
      <c r="F524" s="89"/>
      <c r="G524" s="89" t="s">
        <v>2621</v>
      </c>
      <c r="H524" s="91">
        <v>4221</v>
      </c>
      <c r="I524" s="89" t="s">
        <v>6286</v>
      </c>
      <c r="J524" s="92" t="s">
        <v>883</v>
      </c>
      <c r="K524" s="92"/>
      <c r="L524" s="92" t="s">
        <v>6287</v>
      </c>
      <c r="M524" s="92" t="s">
        <v>6288</v>
      </c>
      <c r="N524" s="93">
        <v>4221</v>
      </c>
      <c r="O524" s="94">
        <v>36000</v>
      </c>
      <c r="P524" s="94">
        <v>1900</v>
      </c>
      <c r="Q524" s="92" t="s">
        <v>3957</v>
      </c>
      <c r="R524" s="92" t="s">
        <v>6289</v>
      </c>
      <c r="S524" s="89" t="s">
        <v>6290</v>
      </c>
      <c r="T524" s="91">
        <v>42135</v>
      </c>
    </row>
    <row r="525" spans="1:20" ht="30" customHeight="1" x14ac:dyDescent="0.35">
      <c r="A525" s="88">
        <v>422256</v>
      </c>
      <c r="B525" s="89" t="s">
        <v>6291</v>
      </c>
      <c r="C525" s="89" t="s">
        <v>6292</v>
      </c>
      <c r="D525" s="90" t="s">
        <v>4077</v>
      </c>
      <c r="E525" s="89" t="s">
        <v>2623</v>
      </c>
      <c r="F525" s="89"/>
      <c r="G525" s="89" t="s">
        <v>2624</v>
      </c>
      <c r="H525" s="91">
        <v>4221</v>
      </c>
      <c r="I525" s="89" t="s">
        <v>6286</v>
      </c>
      <c r="J525" s="92" t="s">
        <v>883</v>
      </c>
      <c r="K525" s="92"/>
      <c r="L525" s="92" t="s">
        <v>6287</v>
      </c>
      <c r="M525" s="92" t="s">
        <v>6288</v>
      </c>
      <c r="N525" s="93">
        <v>4221</v>
      </c>
      <c r="O525" s="94">
        <v>36000</v>
      </c>
      <c r="P525" s="94">
        <v>1900</v>
      </c>
      <c r="Q525" s="92" t="s">
        <v>3957</v>
      </c>
      <c r="R525" s="92" t="s">
        <v>6293</v>
      </c>
      <c r="S525" s="91">
        <v>42260</v>
      </c>
      <c r="T525" s="91">
        <v>42135</v>
      </c>
    </row>
    <row r="526" spans="1:20" ht="30" customHeight="1" x14ac:dyDescent="0.35">
      <c r="A526" s="88">
        <v>422257</v>
      </c>
      <c r="B526" s="89" t="s">
        <v>6294</v>
      </c>
      <c r="C526" s="89" t="s">
        <v>6295</v>
      </c>
      <c r="D526" s="90" t="s">
        <v>4077</v>
      </c>
      <c r="E526" s="89" t="s">
        <v>2626</v>
      </c>
      <c r="F526" s="89"/>
      <c r="G526" s="89" t="s">
        <v>2627</v>
      </c>
      <c r="H526" s="91">
        <v>4221</v>
      </c>
      <c r="I526" s="89" t="s">
        <v>6286</v>
      </c>
      <c r="J526" s="92" t="s">
        <v>883</v>
      </c>
      <c r="K526" s="92"/>
      <c r="L526" s="92" t="s">
        <v>6287</v>
      </c>
      <c r="M526" s="92" t="s">
        <v>6288</v>
      </c>
      <c r="N526" s="93">
        <v>4221</v>
      </c>
      <c r="O526" s="94">
        <v>36000</v>
      </c>
      <c r="P526" s="94">
        <v>1900</v>
      </c>
      <c r="Q526" s="92" t="s">
        <v>3957</v>
      </c>
      <c r="R526" s="92" t="s">
        <v>6296</v>
      </c>
      <c r="S526" s="89" t="s">
        <v>6297</v>
      </c>
      <c r="T526" s="91">
        <v>42135</v>
      </c>
    </row>
    <row r="527" spans="1:20" ht="30" customHeight="1" x14ac:dyDescent="0.35">
      <c r="A527" s="88">
        <v>422258</v>
      </c>
      <c r="B527" s="89" t="s">
        <v>6298</v>
      </c>
      <c r="C527" s="89" t="s">
        <v>6299</v>
      </c>
      <c r="D527" s="90" t="s">
        <v>4077</v>
      </c>
      <c r="E527" s="89" t="s">
        <v>2629</v>
      </c>
      <c r="F527" s="89"/>
      <c r="G527" s="89" t="s">
        <v>2630</v>
      </c>
      <c r="H527" s="91">
        <v>4221</v>
      </c>
      <c r="I527" s="89" t="s">
        <v>6286</v>
      </c>
      <c r="J527" s="92" t="s">
        <v>883</v>
      </c>
      <c r="K527" s="92"/>
      <c r="L527" s="92" t="s">
        <v>6287</v>
      </c>
      <c r="M527" s="92" t="s">
        <v>6288</v>
      </c>
      <c r="N527" s="93">
        <v>4221</v>
      </c>
      <c r="O527" s="94">
        <v>36000</v>
      </c>
      <c r="P527" s="94">
        <v>1900</v>
      </c>
      <c r="Q527" s="92" t="s">
        <v>3957</v>
      </c>
      <c r="R527" s="92" t="s">
        <v>6300</v>
      </c>
      <c r="S527" s="89" t="s">
        <v>6301</v>
      </c>
      <c r="T527" s="91">
        <v>42135</v>
      </c>
    </row>
    <row r="528" spans="1:20" ht="30" customHeight="1" x14ac:dyDescent="0.35">
      <c r="A528" s="88">
        <v>422259</v>
      </c>
      <c r="B528" s="89" t="s">
        <v>6302</v>
      </c>
      <c r="C528" s="89" t="s">
        <v>6303</v>
      </c>
      <c r="D528" s="90" t="s">
        <v>4077</v>
      </c>
      <c r="E528" s="89" t="s">
        <v>2632</v>
      </c>
      <c r="F528" s="89"/>
      <c r="G528" s="89" t="s">
        <v>2633</v>
      </c>
      <c r="H528" s="91">
        <v>4221</v>
      </c>
      <c r="I528" s="89" t="s">
        <v>6286</v>
      </c>
      <c r="J528" s="92" t="s">
        <v>883</v>
      </c>
      <c r="K528" s="92"/>
      <c r="L528" s="92" t="s">
        <v>6287</v>
      </c>
      <c r="M528" s="92" t="s">
        <v>6288</v>
      </c>
      <c r="N528" s="93">
        <v>4221</v>
      </c>
      <c r="O528" s="94">
        <v>36000</v>
      </c>
      <c r="P528" s="94">
        <v>1900</v>
      </c>
      <c r="Q528" s="92" t="s">
        <v>3957</v>
      </c>
      <c r="R528" s="92" t="s">
        <v>6304</v>
      </c>
      <c r="S528" s="91">
        <v>42260</v>
      </c>
      <c r="T528" s="91">
        <v>42135</v>
      </c>
    </row>
    <row r="529" spans="1:20" ht="30" customHeight="1" x14ac:dyDescent="0.35">
      <c r="A529" s="88">
        <v>422264</v>
      </c>
      <c r="B529" s="89" t="s">
        <v>6305</v>
      </c>
      <c r="C529" s="89" t="s">
        <v>6306</v>
      </c>
      <c r="D529" s="90" t="s">
        <v>4077</v>
      </c>
      <c r="E529" s="89" t="s">
        <v>2635</v>
      </c>
      <c r="F529" s="89"/>
      <c r="G529" s="89" t="s">
        <v>2636</v>
      </c>
      <c r="H529" s="91">
        <v>4221</v>
      </c>
      <c r="I529" s="89" t="s">
        <v>6286</v>
      </c>
      <c r="J529" s="92" t="s">
        <v>883</v>
      </c>
      <c r="K529" s="92"/>
      <c r="L529" s="92" t="s">
        <v>6287</v>
      </c>
      <c r="M529" s="92" t="s">
        <v>6288</v>
      </c>
      <c r="N529" s="93">
        <v>4221</v>
      </c>
      <c r="O529" s="94">
        <v>36000</v>
      </c>
      <c r="P529" s="94">
        <v>1900</v>
      </c>
      <c r="Q529" s="92" t="s">
        <v>3957</v>
      </c>
      <c r="R529" s="92" t="s">
        <v>6307</v>
      </c>
      <c r="S529" s="91">
        <v>42280</v>
      </c>
      <c r="T529" s="91">
        <v>42135</v>
      </c>
    </row>
    <row r="530" spans="1:20" ht="58.5" customHeight="1" x14ac:dyDescent="0.35">
      <c r="A530" s="88">
        <v>422265</v>
      </c>
      <c r="B530" s="89" t="s">
        <v>6308</v>
      </c>
      <c r="C530" s="89" t="s">
        <v>6309</v>
      </c>
      <c r="D530" s="90" t="s">
        <v>4077</v>
      </c>
      <c r="E530" s="89" t="s">
        <v>2638</v>
      </c>
      <c r="F530" s="89"/>
      <c r="G530" s="89" t="s">
        <v>2639</v>
      </c>
      <c r="H530" s="91">
        <v>4421</v>
      </c>
      <c r="I530" s="89" t="s">
        <v>5825</v>
      </c>
      <c r="J530" s="92" t="s">
        <v>883</v>
      </c>
      <c r="K530" s="92" t="s">
        <v>5539</v>
      </c>
      <c r="L530" s="92" t="s">
        <v>5826</v>
      </c>
      <c r="M530" s="92" t="s">
        <v>5827</v>
      </c>
      <c r="N530" s="93">
        <v>4421</v>
      </c>
      <c r="O530" s="94">
        <v>1500000</v>
      </c>
      <c r="P530" s="94">
        <v>18000</v>
      </c>
      <c r="Q530" s="92" t="s">
        <v>3957</v>
      </c>
      <c r="R530" s="92" t="s">
        <v>6310</v>
      </c>
      <c r="S530" s="91">
        <v>44288</v>
      </c>
      <c r="T530" s="91">
        <v>44110</v>
      </c>
    </row>
    <row r="531" spans="1:20" ht="30" customHeight="1" x14ac:dyDescent="0.35">
      <c r="A531" s="88">
        <v>422271</v>
      </c>
      <c r="B531" s="89" t="s">
        <v>6311</v>
      </c>
      <c r="C531" s="89" t="s">
        <v>6312</v>
      </c>
      <c r="D531" s="90" t="s">
        <v>4077</v>
      </c>
      <c r="E531" s="89" t="s">
        <v>2641</v>
      </c>
      <c r="F531" s="89"/>
      <c r="G531" s="89" t="s">
        <v>2642</v>
      </c>
      <c r="H531" s="91">
        <v>4221</v>
      </c>
      <c r="I531" s="89" t="s">
        <v>6286</v>
      </c>
      <c r="J531" s="92" t="s">
        <v>883</v>
      </c>
      <c r="K531" s="92"/>
      <c r="L531" s="92" t="s">
        <v>6287</v>
      </c>
      <c r="M531" s="92" t="s">
        <v>6288</v>
      </c>
      <c r="N531" s="93">
        <v>4221</v>
      </c>
      <c r="O531" s="94">
        <v>36000</v>
      </c>
      <c r="P531" s="94">
        <v>1900</v>
      </c>
      <c r="Q531" s="92" t="s">
        <v>3957</v>
      </c>
      <c r="R531" s="92" t="s">
        <v>6313</v>
      </c>
      <c r="S531" s="91">
        <v>42280</v>
      </c>
      <c r="T531" s="91">
        <v>42135</v>
      </c>
    </row>
    <row r="532" spans="1:20" ht="30" customHeight="1" x14ac:dyDescent="0.35">
      <c r="A532" s="88">
        <v>422273</v>
      </c>
      <c r="B532" s="89" t="s">
        <v>6314</v>
      </c>
      <c r="C532" s="89" t="s">
        <v>6315</v>
      </c>
      <c r="D532" s="90" t="s">
        <v>4077</v>
      </c>
      <c r="E532" s="89" t="s">
        <v>2644</v>
      </c>
      <c r="F532" s="89"/>
      <c r="G532" s="89" t="s">
        <v>2645</v>
      </c>
      <c r="H532" s="91">
        <v>4221</v>
      </c>
      <c r="I532" s="89" t="s">
        <v>6286</v>
      </c>
      <c r="J532" s="85" t="s">
        <v>883</v>
      </c>
      <c r="K532" s="92"/>
      <c r="L532" s="92" t="s">
        <v>6287</v>
      </c>
      <c r="M532" s="92" t="s">
        <v>6288</v>
      </c>
      <c r="N532" s="93">
        <v>4221</v>
      </c>
      <c r="O532" s="94">
        <v>36000</v>
      </c>
      <c r="P532" s="94">
        <v>1900</v>
      </c>
      <c r="Q532" s="92" t="s">
        <v>3957</v>
      </c>
      <c r="R532" s="92" t="s">
        <v>6316</v>
      </c>
      <c r="S532" s="91">
        <v>42280</v>
      </c>
      <c r="T532" s="91">
        <v>42135</v>
      </c>
    </row>
    <row r="533" spans="1:20" ht="30" customHeight="1" x14ac:dyDescent="0.35">
      <c r="A533" s="92">
        <v>422275</v>
      </c>
      <c r="B533" s="89" t="s">
        <v>4790</v>
      </c>
      <c r="C533" s="89"/>
      <c r="D533" s="90" t="s">
        <v>3978</v>
      </c>
      <c r="E533" s="89" t="s">
        <v>2647</v>
      </c>
      <c r="F533" s="92"/>
      <c r="G533" s="89" t="s">
        <v>2648</v>
      </c>
      <c r="H533" s="91">
        <v>1494</v>
      </c>
      <c r="I533" s="91" t="s">
        <v>4792</v>
      </c>
      <c r="J533" s="92" t="s">
        <v>4058</v>
      </c>
      <c r="K533" s="92"/>
      <c r="L533" s="92"/>
      <c r="M533" s="92"/>
      <c r="N533" s="90"/>
      <c r="O533" s="92"/>
      <c r="P533" s="92"/>
      <c r="Q533" s="92"/>
      <c r="R533" s="92"/>
      <c r="S533" s="89"/>
      <c r="T533" s="89"/>
    </row>
    <row r="534" spans="1:20" ht="30" customHeight="1" x14ac:dyDescent="0.35">
      <c r="A534" s="88">
        <v>425199</v>
      </c>
      <c r="B534" s="89" t="s">
        <v>6317</v>
      </c>
      <c r="C534" s="89" t="s">
        <v>6318</v>
      </c>
      <c r="D534" s="90" t="s">
        <v>3949</v>
      </c>
      <c r="E534" s="89" t="s">
        <v>2650</v>
      </c>
      <c r="F534" s="89"/>
      <c r="G534" s="89" t="s">
        <v>2651</v>
      </c>
      <c r="H534" s="91">
        <v>4251</v>
      </c>
      <c r="I534" s="89" t="s">
        <v>2649</v>
      </c>
      <c r="J534" s="92" t="s">
        <v>883</v>
      </c>
      <c r="K534" s="92"/>
      <c r="L534" s="92" t="s">
        <v>6319</v>
      </c>
      <c r="M534" s="92" t="s">
        <v>4350</v>
      </c>
      <c r="N534" s="93">
        <v>4251</v>
      </c>
      <c r="O534" s="94">
        <v>190000</v>
      </c>
      <c r="P534" s="94">
        <v>2600</v>
      </c>
      <c r="Q534" s="92" t="s">
        <v>3957</v>
      </c>
      <c r="R534" s="92" t="s">
        <v>6320</v>
      </c>
      <c r="S534" s="91">
        <v>42510</v>
      </c>
      <c r="T534" s="91">
        <v>42510</v>
      </c>
    </row>
    <row r="535" spans="1:20" ht="30" customHeight="1" x14ac:dyDescent="0.35">
      <c r="A535" s="88">
        <v>432283</v>
      </c>
      <c r="B535" s="89" t="s">
        <v>6321</v>
      </c>
      <c r="C535" s="89" t="s">
        <v>6322</v>
      </c>
      <c r="D535" s="90" t="s">
        <v>4077</v>
      </c>
      <c r="E535" s="89" t="s">
        <v>2653</v>
      </c>
      <c r="F535" s="89" t="s">
        <v>6323</v>
      </c>
      <c r="G535" s="89" t="s">
        <v>2654</v>
      </c>
      <c r="H535" s="91">
        <v>4321</v>
      </c>
      <c r="I535" s="89" t="s">
        <v>6324</v>
      </c>
      <c r="J535" s="92" t="s">
        <v>3953</v>
      </c>
      <c r="K535" s="92"/>
      <c r="L535" s="92" t="s">
        <v>6325</v>
      </c>
      <c r="M535" s="92" t="s">
        <v>6326</v>
      </c>
      <c r="N535" s="93">
        <v>4321</v>
      </c>
      <c r="O535" s="94">
        <v>190000</v>
      </c>
      <c r="P535" s="94">
        <v>15000</v>
      </c>
      <c r="Q535" s="92" t="s">
        <v>3957</v>
      </c>
      <c r="R535" s="92" t="s">
        <v>6327</v>
      </c>
      <c r="S535" s="91">
        <v>43211</v>
      </c>
      <c r="T535" s="91">
        <v>74024</v>
      </c>
    </row>
    <row r="536" spans="1:20" ht="30" customHeight="1" x14ac:dyDescent="0.35">
      <c r="A536" s="88">
        <v>441100</v>
      </c>
      <c r="B536" s="89" t="s">
        <v>6328</v>
      </c>
      <c r="C536" s="89" t="s">
        <v>6329</v>
      </c>
      <c r="D536" s="90" t="s">
        <v>4077</v>
      </c>
      <c r="E536" s="89" t="s">
        <v>2656</v>
      </c>
      <c r="F536" s="89"/>
      <c r="G536" s="89" t="s">
        <v>909</v>
      </c>
      <c r="H536" s="91">
        <v>4421</v>
      </c>
      <c r="I536" s="89" t="s">
        <v>5825</v>
      </c>
      <c r="J536" s="92" t="s">
        <v>883</v>
      </c>
      <c r="K536" s="92"/>
      <c r="L536" s="92" t="s">
        <v>5826</v>
      </c>
      <c r="M536" s="92" t="s">
        <v>5827</v>
      </c>
      <c r="N536" s="93">
        <v>4421</v>
      </c>
      <c r="O536" s="94">
        <v>1500000</v>
      </c>
      <c r="P536" s="94">
        <v>18000</v>
      </c>
      <c r="Q536" s="92" t="s">
        <v>3957</v>
      </c>
      <c r="R536" s="92" t="s">
        <v>6330</v>
      </c>
      <c r="S536" s="89" t="s">
        <v>3982</v>
      </c>
      <c r="T536" s="91">
        <v>44110</v>
      </c>
    </row>
    <row r="537" spans="1:20" ht="30" customHeight="1" x14ac:dyDescent="0.35">
      <c r="A537" s="88">
        <v>441257</v>
      </c>
      <c r="B537" s="89" t="s">
        <v>6331</v>
      </c>
      <c r="C537" s="89" t="s">
        <v>6332</v>
      </c>
      <c r="D537" s="90" t="s">
        <v>4077</v>
      </c>
      <c r="E537" s="89" t="s">
        <v>2658</v>
      </c>
      <c r="F537" s="89"/>
      <c r="G537" s="89" t="s">
        <v>2659</v>
      </c>
      <c r="H537" s="91">
        <v>4413</v>
      </c>
      <c r="I537" s="89" t="s">
        <v>6333</v>
      </c>
      <c r="J537" s="92" t="s">
        <v>883</v>
      </c>
      <c r="K537" s="92"/>
      <c r="L537" s="92" t="s">
        <v>6334</v>
      </c>
      <c r="M537" s="92" t="s">
        <v>6335</v>
      </c>
      <c r="N537" s="93">
        <v>4413</v>
      </c>
      <c r="O537" s="94">
        <v>100000</v>
      </c>
      <c r="P537" s="94">
        <v>11000</v>
      </c>
      <c r="Q537" s="92" t="s">
        <v>3957</v>
      </c>
      <c r="R537" s="92" t="s">
        <v>6336</v>
      </c>
      <c r="S537" s="91">
        <v>44135</v>
      </c>
      <c r="T537" s="91">
        <v>21199</v>
      </c>
    </row>
    <row r="538" spans="1:20" ht="30" customHeight="1" x14ac:dyDescent="0.35">
      <c r="A538" s="88">
        <v>441628</v>
      </c>
      <c r="B538" s="89" t="s">
        <v>6337</v>
      </c>
      <c r="C538" s="89" t="s">
        <v>6338</v>
      </c>
      <c r="D538" s="90" t="s">
        <v>3978</v>
      </c>
      <c r="E538" s="89" t="s">
        <v>2661</v>
      </c>
      <c r="F538" s="89"/>
      <c r="G538" s="89" t="s">
        <v>2662</v>
      </c>
      <c r="H538" s="91">
        <v>4412</v>
      </c>
      <c r="I538" s="89" t="s">
        <v>6339</v>
      </c>
      <c r="J538" s="92" t="s">
        <v>883</v>
      </c>
      <c r="K538" s="92"/>
      <c r="L538" s="92" t="s">
        <v>4877</v>
      </c>
      <c r="M538" s="92" t="s">
        <v>6340</v>
      </c>
      <c r="N538" s="93">
        <v>4412</v>
      </c>
      <c r="O538" s="94">
        <v>250000</v>
      </c>
      <c r="P538" s="94">
        <v>21000</v>
      </c>
      <c r="Q538" s="92" t="s">
        <v>3957</v>
      </c>
      <c r="R538" s="92" t="s">
        <v>6341</v>
      </c>
      <c r="S538" s="91">
        <v>44110</v>
      </c>
      <c r="T538" s="89" t="s">
        <v>643</v>
      </c>
    </row>
    <row r="539" spans="1:20" ht="30" customHeight="1" x14ac:dyDescent="0.35">
      <c r="A539" s="88">
        <v>441758</v>
      </c>
      <c r="B539" s="89" t="s">
        <v>6342</v>
      </c>
      <c r="C539" s="89" t="s">
        <v>6343</v>
      </c>
      <c r="D539" s="90" t="s">
        <v>4077</v>
      </c>
      <c r="E539" s="89" t="s">
        <v>6344</v>
      </c>
      <c r="F539" s="89"/>
      <c r="G539" s="89" t="s">
        <v>2665</v>
      </c>
      <c r="H539" s="91">
        <v>4411</v>
      </c>
      <c r="I539" s="89" t="s">
        <v>4720</v>
      </c>
      <c r="J539" s="92" t="s">
        <v>883</v>
      </c>
      <c r="K539" s="92"/>
      <c r="L539" s="92" t="s">
        <v>4721</v>
      </c>
      <c r="M539" s="92" t="s">
        <v>4722</v>
      </c>
      <c r="N539" s="93">
        <v>4411</v>
      </c>
      <c r="O539" s="94">
        <v>1400000</v>
      </c>
      <c r="P539" s="94">
        <v>47000</v>
      </c>
      <c r="Q539" s="92" t="s">
        <v>3957</v>
      </c>
      <c r="R539" s="92" t="s">
        <v>6345</v>
      </c>
      <c r="S539" s="91">
        <v>44110</v>
      </c>
      <c r="T539" s="89" t="s">
        <v>643</v>
      </c>
    </row>
    <row r="540" spans="1:20" ht="30" customHeight="1" x14ac:dyDescent="0.35">
      <c r="A540" s="88">
        <v>442257</v>
      </c>
      <c r="B540" s="89" t="s">
        <v>6346</v>
      </c>
      <c r="C540" s="89" t="s">
        <v>6347</v>
      </c>
      <c r="D540" s="90" t="s">
        <v>4077</v>
      </c>
      <c r="E540" s="89" t="s">
        <v>2667</v>
      </c>
      <c r="F540" s="89" t="s">
        <v>6348</v>
      </c>
      <c r="G540" s="89" t="s">
        <v>2668</v>
      </c>
      <c r="H540" s="91">
        <v>4423</v>
      </c>
      <c r="I540" s="89" t="s">
        <v>5538</v>
      </c>
      <c r="J540" s="92" t="s">
        <v>883</v>
      </c>
      <c r="K540" s="92" t="s">
        <v>5539</v>
      </c>
      <c r="L540" s="92" t="s">
        <v>5540</v>
      </c>
      <c r="M540" s="92" t="s">
        <v>5541</v>
      </c>
      <c r="N540" s="93">
        <v>4423</v>
      </c>
      <c r="O540" s="94">
        <v>190000</v>
      </c>
      <c r="P540" s="94">
        <v>1900</v>
      </c>
      <c r="Q540" s="92" t="s">
        <v>3957</v>
      </c>
      <c r="R540" s="92" t="s">
        <v>6349</v>
      </c>
      <c r="S540" s="89" t="s">
        <v>6350</v>
      </c>
      <c r="T540" s="91">
        <v>44130</v>
      </c>
    </row>
    <row r="541" spans="1:20" ht="30" customHeight="1" x14ac:dyDescent="0.35">
      <c r="A541" s="88">
        <v>442258</v>
      </c>
      <c r="B541" s="89" t="s">
        <v>6351</v>
      </c>
      <c r="C541" s="89" t="s">
        <v>6352</v>
      </c>
      <c r="D541" s="90" t="s">
        <v>4077</v>
      </c>
      <c r="E541" s="89" t="s">
        <v>6353</v>
      </c>
      <c r="F541" s="89" t="s">
        <v>6354</v>
      </c>
      <c r="G541" s="89" t="s">
        <v>2671</v>
      </c>
      <c r="H541" s="91">
        <v>4122</v>
      </c>
      <c r="I541" s="89" t="s">
        <v>2669</v>
      </c>
      <c r="J541" s="92" t="s">
        <v>4126</v>
      </c>
      <c r="K541" s="92"/>
      <c r="L541" s="92" t="s">
        <v>4733</v>
      </c>
      <c r="M541" s="92" t="s">
        <v>4734</v>
      </c>
      <c r="N541" s="93">
        <v>4122</v>
      </c>
      <c r="O541" s="94">
        <v>14000</v>
      </c>
      <c r="P541" s="94">
        <v>1700</v>
      </c>
      <c r="Q541" s="92" t="s">
        <v>3957</v>
      </c>
      <c r="R541" s="92" t="s">
        <v>6355</v>
      </c>
      <c r="S541" s="89" t="s">
        <v>643</v>
      </c>
      <c r="T541" s="91">
        <v>14187</v>
      </c>
    </row>
    <row r="542" spans="1:20" ht="30" customHeight="1" x14ac:dyDescent="0.35">
      <c r="A542" s="88">
        <v>442421</v>
      </c>
      <c r="B542" s="89" t="s">
        <v>6356</v>
      </c>
      <c r="C542" s="89" t="s">
        <v>6357</v>
      </c>
      <c r="D542" s="90" t="s">
        <v>4077</v>
      </c>
      <c r="E542" s="89" t="s">
        <v>2673</v>
      </c>
      <c r="F542" s="89"/>
      <c r="G542" s="89" t="s">
        <v>2674</v>
      </c>
      <c r="H542" s="91">
        <v>4424</v>
      </c>
      <c r="I542" s="89" t="s">
        <v>6358</v>
      </c>
      <c r="J542" s="92" t="s">
        <v>883</v>
      </c>
      <c r="K542" s="92"/>
      <c r="L542" s="92" t="s">
        <v>6359</v>
      </c>
      <c r="M542" s="92" t="s">
        <v>6360</v>
      </c>
      <c r="N542" s="93">
        <v>4424</v>
      </c>
      <c r="O542" s="94">
        <v>600000</v>
      </c>
      <c r="P542" s="94">
        <v>73000</v>
      </c>
      <c r="Q542" s="92" t="s">
        <v>3957</v>
      </c>
      <c r="R542" s="92" t="s">
        <v>6361</v>
      </c>
      <c r="S542" s="91">
        <v>44230</v>
      </c>
      <c r="T542" s="91">
        <v>44120</v>
      </c>
    </row>
    <row r="543" spans="1:20" ht="30" customHeight="1" x14ac:dyDescent="0.35">
      <c r="A543" s="88">
        <v>442515</v>
      </c>
      <c r="B543" s="89" t="s">
        <v>2675</v>
      </c>
      <c r="C543" s="89" t="s">
        <v>6362</v>
      </c>
      <c r="D543" s="90" t="s">
        <v>4077</v>
      </c>
      <c r="E543" s="89" t="s">
        <v>2676</v>
      </c>
      <c r="F543" s="89" t="s">
        <v>6363</v>
      </c>
      <c r="G543" s="89" t="s">
        <v>2677</v>
      </c>
      <c r="H543" s="91">
        <v>5306</v>
      </c>
      <c r="I543" s="89" t="s">
        <v>6364</v>
      </c>
      <c r="J543" s="92" t="s">
        <v>883</v>
      </c>
      <c r="K543" s="92"/>
      <c r="L543" s="92" t="s">
        <v>6365</v>
      </c>
      <c r="M543" s="92" t="s">
        <v>6366</v>
      </c>
      <c r="N543" s="93">
        <v>5306</v>
      </c>
      <c r="O543" s="94">
        <v>310000</v>
      </c>
      <c r="P543" s="94">
        <v>10000</v>
      </c>
      <c r="Q543" s="92" t="s">
        <v>3957</v>
      </c>
      <c r="R543" s="92" t="s">
        <v>2675</v>
      </c>
      <c r="S543" s="91">
        <v>53060</v>
      </c>
      <c r="T543" s="89" t="s">
        <v>6367</v>
      </c>
    </row>
    <row r="544" spans="1:20" ht="30" customHeight="1" x14ac:dyDescent="0.35">
      <c r="A544" s="88">
        <v>442621</v>
      </c>
      <c r="B544" s="89" t="s">
        <v>6368</v>
      </c>
      <c r="C544" s="89" t="s">
        <v>6368</v>
      </c>
      <c r="D544" s="90" t="s">
        <v>4077</v>
      </c>
      <c r="E544" s="89" t="s">
        <v>2679</v>
      </c>
      <c r="F544" s="89"/>
      <c r="G544" s="89" t="s">
        <v>2680</v>
      </c>
      <c r="H544" s="91">
        <v>4426</v>
      </c>
      <c r="I544" s="89" t="s">
        <v>6369</v>
      </c>
      <c r="J544" s="92" t="s">
        <v>883</v>
      </c>
      <c r="K544" s="92"/>
      <c r="L544" s="92" t="s">
        <v>6370</v>
      </c>
      <c r="M544" s="92" t="s">
        <v>6371</v>
      </c>
      <c r="N544" s="93">
        <v>4426</v>
      </c>
      <c r="O544" s="94">
        <v>8000</v>
      </c>
      <c r="P544" s="94">
        <v>2000</v>
      </c>
      <c r="Q544" s="92" t="s">
        <v>3957</v>
      </c>
      <c r="R544" s="92" t="s">
        <v>6372</v>
      </c>
      <c r="S544" s="91">
        <v>44216</v>
      </c>
      <c r="T544" s="89" t="s">
        <v>643</v>
      </c>
    </row>
    <row r="545" spans="1:20" ht="30" customHeight="1" x14ac:dyDescent="0.35">
      <c r="A545" s="88">
        <v>442628</v>
      </c>
      <c r="B545" s="89" t="s">
        <v>6373</v>
      </c>
      <c r="C545" s="89" t="s">
        <v>6374</v>
      </c>
      <c r="D545" s="90" t="s">
        <v>3978</v>
      </c>
      <c r="E545" s="89" t="s">
        <v>6375</v>
      </c>
      <c r="F545" s="89" t="s">
        <v>6376</v>
      </c>
      <c r="G545" s="89" t="s">
        <v>2683</v>
      </c>
      <c r="H545" s="91">
        <v>4422</v>
      </c>
      <c r="I545" s="89" t="s">
        <v>4876</v>
      </c>
      <c r="J545" s="92" t="s">
        <v>883</v>
      </c>
      <c r="K545" s="92" t="s">
        <v>5539</v>
      </c>
      <c r="L545" s="92" t="s">
        <v>4877</v>
      </c>
      <c r="M545" s="92" t="s">
        <v>4878</v>
      </c>
      <c r="N545" s="93">
        <v>4422</v>
      </c>
      <c r="O545" s="94">
        <v>400000</v>
      </c>
      <c r="P545" s="94">
        <v>5500</v>
      </c>
      <c r="Q545" s="92" t="s">
        <v>3957</v>
      </c>
      <c r="R545" s="92" t="s">
        <v>6377</v>
      </c>
      <c r="S545" s="91">
        <v>44222</v>
      </c>
      <c r="T545" s="91">
        <v>44135</v>
      </c>
    </row>
    <row r="546" spans="1:20" ht="30" customHeight="1" x14ac:dyDescent="0.35">
      <c r="A546" s="88">
        <v>442758</v>
      </c>
      <c r="B546" s="89" t="s">
        <v>6378</v>
      </c>
      <c r="C546" s="89" t="s">
        <v>6379</v>
      </c>
      <c r="D546" s="90" t="s">
        <v>4077</v>
      </c>
      <c r="E546" s="89" t="s">
        <v>2685</v>
      </c>
      <c r="F546" s="89" t="s">
        <v>6376</v>
      </c>
      <c r="G546" s="89" t="s">
        <v>2686</v>
      </c>
      <c r="H546" s="91">
        <v>4428</v>
      </c>
      <c r="I546" s="89" t="s">
        <v>6380</v>
      </c>
      <c r="J546" s="92" t="s">
        <v>883</v>
      </c>
      <c r="K546" s="92" t="s">
        <v>5539</v>
      </c>
      <c r="L546" s="92" t="s">
        <v>6381</v>
      </c>
      <c r="M546" s="92" t="s">
        <v>6382</v>
      </c>
      <c r="N546" s="93">
        <v>4428</v>
      </c>
      <c r="O546" s="94">
        <v>300000</v>
      </c>
      <c r="P546" s="94">
        <v>600</v>
      </c>
      <c r="Q546" s="92" t="s">
        <v>3957</v>
      </c>
      <c r="R546" s="92" t="s">
        <v>6383</v>
      </c>
      <c r="S546" s="91">
        <v>44227</v>
      </c>
      <c r="T546" s="89" t="s">
        <v>643</v>
      </c>
    </row>
    <row r="547" spans="1:20" ht="30" customHeight="1" x14ac:dyDescent="0.35">
      <c r="A547" s="88">
        <v>442765</v>
      </c>
      <c r="B547" s="89" t="s">
        <v>6384</v>
      </c>
      <c r="C547" s="89" t="s">
        <v>6385</v>
      </c>
      <c r="D547" s="90" t="s">
        <v>4077</v>
      </c>
      <c r="E547" s="89" t="s">
        <v>2688</v>
      </c>
      <c r="F547" s="89"/>
      <c r="G547" s="89" t="s">
        <v>2689</v>
      </c>
      <c r="H547" s="91">
        <v>4321</v>
      </c>
      <c r="I547" s="89" t="s">
        <v>6324</v>
      </c>
      <c r="J547" s="92" t="s">
        <v>3953</v>
      </c>
      <c r="K547" s="92"/>
      <c r="L547" s="92" t="s">
        <v>6325</v>
      </c>
      <c r="M547" s="92" t="s">
        <v>6326</v>
      </c>
      <c r="N547" s="93">
        <v>4321</v>
      </c>
      <c r="O547" s="94">
        <v>190000</v>
      </c>
      <c r="P547" s="94">
        <v>15000</v>
      </c>
      <c r="Q547" s="92" t="s">
        <v>3957</v>
      </c>
      <c r="R547" s="92" t="s">
        <v>6386</v>
      </c>
      <c r="S547" s="89" t="s">
        <v>643</v>
      </c>
      <c r="T547" s="91">
        <v>74024</v>
      </c>
    </row>
    <row r="548" spans="1:20" ht="30" customHeight="1" x14ac:dyDescent="0.35">
      <c r="A548" s="88">
        <v>442768</v>
      </c>
      <c r="B548" s="89" t="s">
        <v>6387</v>
      </c>
      <c r="C548" s="89" t="s">
        <v>6388</v>
      </c>
      <c r="D548" s="90" t="s">
        <v>4077</v>
      </c>
      <c r="E548" s="89" t="s">
        <v>2691</v>
      </c>
      <c r="F548" s="89"/>
      <c r="G548" s="89" t="s">
        <v>2692</v>
      </c>
      <c r="H548" s="91">
        <v>4421</v>
      </c>
      <c r="I548" s="89" t="s">
        <v>5825</v>
      </c>
      <c r="J548" s="92" t="s">
        <v>883</v>
      </c>
      <c r="K548" s="92" t="s">
        <v>5539</v>
      </c>
      <c r="L548" s="92" t="s">
        <v>5826</v>
      </c>
      <c r="M548" s="92" t="s">
        <v>5827</v>
      </c>
      <c r="N548" s="93">
        <v>4421</v>
      </c>
      <c r="O548" s="94">
        <v>1500000</v>
      </c>
      <c r="P548" s="94">
        <v>18000</v>
      </c>
      <c r="Q548" s="92" t="s">
        <v>3957</v>
      </c>
      <c r="R548" s="92" t="s">
        <v>6389</v>
      </c>
      <c r="S548" s="91">
        <v>44288</v>
      </c>
      <c r="T548" s="91">
        <v>44110</v>
      </c>
    </row>
    <row r="549" spans="1:20" ht="30" customHeight="1" x14ac:dyDescent="0.35">
      <c r="A549" s="88">
        <v>442769</v>
      </c>
      <c r="B549" s="89" t="s">
        <v>6390</v>
      </c>
      <c r="C549" s="89" t="s">
        <v>6391</v>
      </c>
      <c r="D549" s="90" t="s">
        <v>4077</v>
      </c>
      <c r="E549" s="89" t="s">
        <v>2694</v>
      </c>
      <c r="F549" s="89"/>
      <c r="G549" s="89" t="s">
        <v>2695</v>
      </c>
      <c r="H549" s="91">
        <v>4421</v>
      </c>
      <c r="I549" s="89" t="s">
        <v>5825</v>
      </c>
      <c r="J549" s="92" t="s">
        <v>883</v>
      </c>
      <c r="K549" s="92" t="s">
        <v>5539</v>
      </c>
      <c r="L549" s="92" t="s">
        <v>5826</v>
      </c>
      <c r="M549" s="92" t="s">
        <v>5827</v>
      </c>
      <c r="N549" s="93">
        <v>4421</v>
      </c>
      <c r="O549" s="94">
        <v>1500000</v>
      </c>
      <c r="P549" s="94">
        <v>18000</v>
      </c>
      <c r="Q549" s="92" t="s">
        <v>3957</v>
      </c>
      <c r="R549" s="92" t="s">
        <v>6392</v>
      </c>
      <c r="S549" s="91">
        <v>44271</v>
      </c>
      <c r="T549" s="91">
        <v>44110</v>
      </c>
    </row>
    <row r="550" spans="1:20" ht="30" customHeight="1" x14ac:dyDescent="0.35">
      <c r="A550" s="88">
        <v>451100</v>
      </c>
      <c r="B550" s="89" t="s">
        <v>6393</v>
      </c>
      <c r="C550" s="89" t="s">
        <v>6394</v>
      </c>
      <c r="D550" s="90" t="s">
        <v>3978</v>
      </c>
      <c r="E550" s="89" t="s">
        <v>6395</v>
      </c>
      <c r="F550" s="89"/>
      <c r="G550" s="89" t="s">
        <v>909</v>
      </c>
      <c r="H550" s="91">
        <v>4521</v>
      </c>
      <c r="I550" s="89" t="s">
        <v>6396</v>
      </c>
      <c r="J550" s="92" t="s">
        <v>3953</v>
      </c>
      <c r="K550" s="92"/>
      <c r="L550" s="92" t="s">
        <v>6319</v>
      </c>
      <c r="M550" s="92" t="s">
        <v>6397</v>
      </c>
      <c r="N550" s="93">
        <v>4521</v>
      </c>
      <c r="O550" s="94">
        <v>490000</v>
      </c>
      <c r="P550" s="94">
        <v>7500</v>
      </c>
      <c r="Q550" s="92" t="s">
        <v>3957</v>
      </c>
      <c r="R550" s="92" t="s">
        <v>6398</v>
      </c>
      <c r="S550" s="89" t="s">
        <v>3982</v>
      </c>
      <c r="T550" s="91">
        <v>45110</v>
      </c>
    </row>
    <row r="551" spans="1:20" ht="30" customHeight="1" x14ac:dyDescent="0.35">
      <c r="A551" s="88">
        <v>451134</v>
      </c>
      <c r="B551" s="89" t="s">
        <v>6399</v>
      </c>
      <c r="C551" s="89" t="s">
        <v>6400</v>
      </c>
      <c r="D551" s="90" t="s">
        <v>3949</v>
      </c>
      <c r="E551" s="89" t="s">
        <v>6401</v>
      </c>
      <c r="F551" s="89"/>
      <c r="G551" s="89" t="s">
        <v>2700</v>
      </c>
      <c r="H551" s="91">
        <v>4511</v>
      </c>
      <c r="I551" s="89" t="s">
        <v>2698</v>
      </c>
      <c r="J551" s="92" t="s">
        <v>883</v>
      </c>
      <c r="K551" s="92"/>
      <c r="L551" s="92" t="s">
        <v>6319</v>
      </c>
      <c r="M551" s="92" t="s">
        <v>6397</v>
      </c>
      <c r="N551" s="93">
        <v>4511</v>
      </c>
      <c r="O551" s="94">
        <v>290000</v>
      </c>
      <c r="P551" s="94">
        <v>16000</v>
      </c>
      <c r="Q551" s="92" t="s">
        <v>3957</v>
      </c>
      <c r="R551" s="92" t="s">
        <v>6402</v>
      </c>
      <c r="S551" s="91">
        <v>45110</v>
      </c>
      <c r="T551" s="89" t="s">
        <v>643</v>
      </c>
    </row>
    <row r="552" spans="1:20" ht="30" customHeight="1" x14ac:dyDescent="0.35">
      <c r="A552" s="92">
        <v>452200</v>
      </c>
      <c r="B552" s="89" t="s">
        <v>6403</v>
      </c>
      <c r="C552" s="89"/>
      <c r="D552" s="90" t="s">
        <v>3978</v>
      </c>
      <c r="E552" s="89" t="s">
        <v>6404</v>
      </c>
      <c r="F552" s="89"/>
      <c r="G552" s="89" t="s">
        <v>909</v>
      </c>
      <c r="H552" s="89">
        <v>8926</v>
      </c>
      <c r="I552" s="89" t="s">
        <v>6405</v>
      </c>
      <c r="J552" s="89" t="s">
        <v>4058</v>
      </c>
      <c r="K552" s="89"/>
      <c r="L552" s="89"/>
      <c r="M552" s="89"/>
      <c r="N552" s="89"/>
      <c r="O552" s="89"/>
      <c r="P552" s="89"/>
      <c r="Q552" s="89"/>
      <c r="R552" s="89"/>
      <c r="S552" s="89"/>
      <c r="T552" s="89"/>
    </row>
    <row r="553" spans="1:20" ht="30" customHeight="1" x14ac:dyDescent="0.35">
      <c r="A553" s="88">
        <v>452252</v>
      </c>
      <c r="B553" s="89" t="s">
        <v>6406</v>
      </c>
      <c r="C553" s="89" t="s">
        <v>6407</v>
      </c>
      <c r="D553" s="90" t="s">
        <v>3978</v>
      </c>
      <c r="E553" s="89" t="s">
        <v>2704</v>
      </c>
      <c r="F553" s="89" t="s">
        <v>6376</v>
      </c>
      <c r="G553" s="89" t="s">
        <v>2705</v>
      </c>
      <c r="H553" s="91">
        <v>4521</v>
      </c>
      <c r="I553" s="89" t="s">
        <v>6396</v>
      </c>
      <c r="J553" s="92" t="s">
        <v>3953</v>
      </c>
      <c r="K553" s="92"/>
      <c r="L553" s="92" t="s">
        <v>6319</v>
      </c>
      <c r="M553" s="92" t="s">
        <v>6397</v>
      </c>
      <c r="N553" s="93">
        <v>4521</v>
      </c>
      <c r="O553" s="94">
        <v>490000</v>
      </c>
      <c r="P553" s="94">
        <v>7500</v>
      </c>
      <c r="Q553" s="92" t="s">
        <v>3957</v>
      </c>
      <c r="R553" s="92" t="s">
        <v>6408</v>
      </c>
      <c r="S553" s="91">
        <v>45210</v>
      </c>
      <c r="T553" s="91">
        <v>45110</v>
      </c>
    </row>
    <row r="554" spans="1:20" ht="30" customHeight="1" x14ac:dyDescent="0.35">
      <c r="A554" s="88">
        <v>452255</v>
      </c>
      <c r="B554" s="89" t="s">
        <v>6409</v>
      </c>
      <c r="C554" s="89" t="s">
        <v>6410</v>
      </c>
      <c r="D554" s="90" t="s">
        <v>3978</v>
      </c>
      <c r="E554" s="89" t="s">
        <v>2707</v>
      </c>
      <c r="F554" s="89"/>
      <c r="G554" s="89" t="s">
        <v>2708</v>
      </c>
      <c r="H554" s="91">
        <v>4521</v>
      </c>
      <c r="I554" s="89" t="s">
        <v>6396</v>
      </c>
      <c r="J554" s="92" t="s">
        <v>3953</v>
      </c>
      <c r="K554" s="92"/>
      <c r="L554" s="92" t="s">
        <v>6319</v>
      </c>
      <c r="M554" s="92" t="s">
        <v>6397</v>
      </c>
      <c r="N554" s="93">
        <v>4521</v>
      </c>
      <c r="O554" s="94">
        <v>490000</v>
      </c>
      <c r="P554" s="94">
        <v>7500</v>
      </c>
      <c r="Q554" s="92" t="s">
        <v>3957</v>
      </c>
      <c r="R554" s="92" t="s">
        <v>6411</v>
      </c>
      <c r="S554" s="91">
        <v>45210</v>
      </c>
      <c r="T554" s="91">
        <v>45110</v>
      </c>
    </row>
    <row r="555" spans="1:20" ht="30" customHeight="1" x14ac:dyDescent="0.35">
      <c r="A555" s="88">
        <v>452258</v>
      </c>
      <c r="B555" s="89" t="s">
        <v>6412</v>
      </c>
      <c r="C555" s="89" t="s">
        <v>6413</v>
      </c>
      <c r="D555" s="90" t="s">
        <v>3978</v>
      </c>
      <c r="E555" s="89" t="s">
        <v>6414</v>
      </c>
      <c r="F555" s="89"/>
      <c r="G555" s="89" t="s">
        <v>2711</v>
      </c>
      <c r="H555" s="91">
        <v>4521</v>
      </c>
      <c r="I555" s="89" t="s">
        <v>6396</v>
      </c>
      <c r="J555" s="92" t="s">
        <v>3953</v>
      </c>
      <c r="K555" s="92"/>
      <c r="L555" s="92" t="s">
        <v>6319</v>
      </c>
      <c r="M555" s="92" t="s">
        <v>6397</v>
      </c>
      <c r="N555" s="93">
        <v>4521</v>
      </c>
      <c r="O555" s="94">
        <v>490000</v>
      </c>
      <c r="P555" s="94">
        <v>7500</v>
      </c>
      <c r="Q555" s="92" t="s">
        <v>3957</v>
      </c>
      <c r="R555" s="92" t="s">
        <v>6415</v>
      </c>
      <c r="S555" s="91">
        <v>45210</v>
      </c>
      <c r="T555" s="91">
        <v>45170</v>
      </c>
    </row>
    <row r="556" spans="1:20" ht="30" customHeight="1" x14ac:dyDescent="0.35">
      <c r="A556" s="88">
        <v>452775</v>
      </c>
      <c r="B556" s="89" t="s">
        <v>6416</v>
      </c>
      <c r="C556" s="89" t="s">
        <v>6417</v>
      </c>
      <c r="D556" s="90" t="s">
        <v>3978</v>
      </c>
      <c r="E556" s="89" t="s">
        <v>2713</v>
      </c>
      <c r="F556" s="89"/>
      <c r="G556" s="89" t="s">
        <v>2708</v>
      </c>
      <c r="H556" s="91">
        <v>4521</v>
      </c>
      <c r="I556" s="89" t="s">
        <v>6396</v>
      </c>
      <c r="J556" s="92" t="s">
        <v>3953</v>
      </c>
      <c r="K556" s="92"/>
      <c r="L556" s="92" t="s">
        <v>6319</v>
      </c>
      <c r="M556" s="92" t="s">
        <v>6397</v>
      </c>
      <c r="N556" s="93">
        <v>4521</v>
      </c>
      <c r="O556" s="94">
        <v>490000</v>
      </c>
      <c r="P556" s="94">
        <v>7500</v>
      </c>
      <c r="Q556" s="92" t="s">
        <v>3957</v>
      </c>
      <c r="R556" s="92" t="s">
        <v>6418</v>
      </c>
      <c r="S556" s="91">
        <v>45210</v>
      </c>
      <c r="T556" s="91">
        <v>45110</v>
      </c>
    </row>
    <row r="557" spans="1:20" ht="30" customHeight="1" x14ac:dyDescent="0.35">
      <c r="A557" s="88">
        <v>510001</v>
      </c>
      <c r="B557" s="89" t="s">
        <v>6419</v>
      </c>
      <c r="C557" s="89" t="s">
        <v>6420</v>
      </c>
      <c r="D557" s="90" t="s">
        <v>4077</v>
      </c>
      <c r="E557" s="89" t="s">
        <v>2715</v>
      </c>
      <c r="F557" s="89"/>
      <c r="G557" s="89" t="s">
        <v>2716</v>
      </c>
      <c r="H557" s="91">
        <v>5100</v>
      </c>
      <c r="I557" s="89" t="s">
        <v>6421</v>
      </c>
      <c r="J557" s="92" t="s">
        <v>883</v>
      </c>
      <c r="K557" s="92" t="s">
        <v>6422</v>
      </c>
      <c r="L557" s="92" t="s">
        <v>6423</v>
      </c>
      <c r="M557" s="92" t="s">
        <v>6424</v>
      </c>
      <c r="N557" s="93">
        <v>5100</v>
      </c>
      <c r="O557" s="94">
        <v>1300000</v>
      </c>
      <c r="P557" s="94">
        <v>140000</v>
      </c>
      <c r="Q557" s="92" t="s">
        <v>3957</v>
      </c>
      <c r="R557" s="92" t="s">
        <v>6425</v>
      </c>
      <c r="S557" s="91">
        <v>51010</v>
      </c>
      <c r="T557" s="89" t="s">
        <v>6426</v>
      </c>
    </row>
    <row r="558" spans="1:20" ht="30" customHeight="1" x14ac:dyDescent="0.35">
      <c r="A558" s="88">
        <v>510125</v>
      </c>
      <c r="B558" s="89" t="s">
        <v>6427</v>
      </c>
      <c r="C558" s="89" t="s">
        <v>6428</v>
      </c>
      <c r="D558" s="90" t="s">
        <v>4077</v>
      </c>
      <c r="E558" s="89" t="s">
        <v>2718</v>
      </c>
      <c r="F558" s="89"/>
      <c r="G558" s="89" t="s">
        <v>2719</v>
      </c>
      <c r="H558" s="91">
        <v>6100</v>
      </c>
      <c r="I558" s="89" t="s">
        <v>5001</v>
      </c>
      <c r="J558" s="92" t="s">
        <v>883</v>
      </c>
      <c r="K558" s="92"/>
      <c r="L558" s="92" t="s">
        <v>5002</v>
      </c>
      <c r="M558" s="92" t="s">
        <v>5003</v>
      </c>
      <c r="N558" s="93">
        <v>6100</v>
      </c>
      <c r="O558" s="94">
        <v>1000000</v>
      </c>
      <c r="P558" s="94">
        <v>8400</v>
      </c>
      <c r="Q558" s="92" t="s">
        <v>3957</v>
      </c>
      <c r="R558" s="92" t="s">
        <v>6429</v>
      </c>
      <c r="S558" s="91">
        <v>51016</v>
      </c>
      <c r="T558" s="91">
        <v>51016</v>
      </c>
    </row>
    <row r="559" spans="1:20" ht="30" customHeight="1" x14ac:dyDescent="0.35">
      <c r="A559" s="88">
        <v>510126</v>
      </c>
      <c r="B559" s="89" t="s">
        <v>6430</v>
      </c>
      <c r="C559" s="89" t="s">
        <v>6431</v>
      </c>
      <c r="D559" s="90" t="s">
        <v>4077</v>
      </c>
      <c r="E559" s="89" t="s">
        <v>2721</v>
      </c>
      <c r="F559" s="89"/>
      <c r="G559" s="89" t="s">
        <v>2722</v>
      </c>
      <c r="H559" s="91">
        <v>1711</v>
      </c>
      <c r="I559" s="89" t="s">
        <v>4955</v>
      </c>
      <c r="J559" s="92" t="s">
        <v>3954</v>
      </c>
      <c r="K559" s="92"/>
      <c r="L559" s="92" t="s">
        <v>4956</v>
      </c>
      <c r="M559" s="92" t="s">
        <v>4957</v>
      </c>
      <c r="N559" s="93">
        <v>1711</v>
      </c>
      <c r="O559" s="94">
        <v>210000</v>
      </c>
      <c r="P559" s="94">
        <v>12000</v>
      </c>
      <c r="Q559" s="92" t="s">
        <v>3957</v>
      </c>
      <c r="R559" s="92" t="s">
        <v>6432</v>
      </c>
      <c r="S559" s="91">
        <v>17120</v>
      </c>
      <c r="T559" s="91">
        <v>17110</v>
      </c>
    </row>
    <row r="560" spans="1:20" ht="30" customHeight="1" x14ac:dyDescent="0.35">
      <c r="A560" s="88">
        <v>510143</v>
      </c>
      <c r="B560" s="89" t="s">
        <v>6433</v>
      </c>
      <c r="C560" s="89" t="s">
        <v>6433</v>
      </c>
      <c r="D560" s="90" t="s">
        <v>4077</v>
      </c>
      <c r="E560" s="89" t="s">
        <v>2724</v>
      </c>
      <c r="F560" s="89" t="s">
        <v>6434</v>
      </c>
      <c r="G560" s="89" t="s">
        <v>2725</v>
      </c>
      <c r="H560" s="91">
        <v>5302</v>
      </c>
      <c r="I560" s="89" t="s">
        <v>6435</v>
      </c>
      <c r="J560" s="92" t="s">
        <v>883</v>
      </c>
      <c r="K560" s="92"/>
      <c r="L560" s="92" t="s">
        <v>6436</v>
      </c>
      <c r="M560" s="92" t="s">
        <v>6437</v>
      </c>
      <c r="N560" s="93">
        <v>5302</v>
      </c>
      <c r="O560" s="94">
        <v>120000</v>
      </c>
      <c r="P560" s="94">
        <v>7500</v>
      </c>
      <c r="Q560" s="92" t="s">
        <v>3957</v>
      </c>
      <c r="R560" s="92" t="s">
        <v>6438</v>
      </c>
      <c r="S560" s="91">
        <v>53020</v>
      </c>
      <c r="T560" s="91">
        <v>53020</v>
      </c>
    </row>
    <row r="561" spans="1:20" ht="30" customHeight="1" x14ac:dyDescent="0.35">
      <c r="A561" s="88">
        <v>510147</v>
      </c>
      <c r="B561" s="89" t="s">
        <v>6439</v>
      </c>
      <c r="C561" s="89" t="s">
        <v>6439</v>
      </c>
      <c r="D561" s="90" t="s">
        <v>4077</v>
      </c>
      <c r="E561" s="89" t="s">
        <v>2727</v>
      </c>
      <c r="F561" s="89" t="s">
        <v>6440</v>
      </c>
      <c r="G561" s="89" t="s">
        <v>2728</v>
      </c>
      <c r="H561" s="91">
        <v>5500</v>
      </c>
      <c r="I561" s="89" t="s">
        <v>6441</v>
      </c>
      <c r="J561" s="92" t="s">
        <v>883</v>
      </c>
      <c r="K561" s="92"/>
      <c r="L561" s="92" t="s">
        <v>6442</v>
      </c>
      <c r="M561" s="92" t="s">
        <v>6443</v>
      </c>
      <c r="N561" s="93">
        <v>5500</v>
      </c>
      <c r="O561" s="94">
        <v>560000</v>
      </c>
      <c r="P561" s="94">
        <v>16000</v>
      </c>
      <c r="Q561" s="92"/>
      <c r="R561" s="92" t="s">
        <v>6444</v>
      </c>
      <c r="S561" s="91">
        <v>53025</v>
      </c>
      <c r="T561" s="91">
        <v>53025</v>
      </c>
    </row>
    <row r="562" spans="1:20" ht="30" customHeight="1" x14ac:dyDescent="0.35">
      <c r="A562" s="88">
        <v>510148</v>
      </c>
      <c r="B562" s="89" t="s">
        <v>6445</v>
      </c>
      <c r="C562" s="89" t="s">
        <v>6445</v>
      </c>
      <c r="D562" s="90" t="s">
        <v>4077</v>
      </c>
      <c r="E562" s="89" t="s">
        <v>2730</v>
      </c>
      <c r="F562" s="89"/>
      <c r="G562" s="89" t="s">
        <v>2731</v>
      </c>
      <c r="H562" s="91">
        <v>5500</v>
      </c>
      <c r="I562" s="89" t="s">
        <v>6441</v>
      </c>
      <c r="J562" s="92" t="s">
        <v>883</v>
      </c>
      <c r="K562" s="92"/>
      <c r="L562" s="92" t="s">
        <v>6442</v>
      </c>
      <c r="M562" s="92" t="s">
        <v>6443</v>
      </c>
      <c r="N562" s="93">
        <v>5500</v>
      </c>
      <c r="O562" s="94">
        <v>560000</v>
      </c>
      <c r="P562" s="94">
        <v>16000</v>
      </c>
      <c r="Q562" s="92"/>
      <c r="R562" s="92" t="s">
        <v>6446</v>
      </c>
      <c r="S562" s="91">
        <v>55010</v>
      </c>
      <c r="T562" s="89" t="s">
        <v>6447</v>
      </c>
    </row>
    <row r="563" spans="1:20" ht="30" customHeight="1" x14ac:dyDescent="0.35">
      <c r="A563" s="88">
        <v>510149</v>
      </c>
      <c r="B563" s="89" t="s">
        <v>6448</v>
      </c>
      <c r="C563" s="89" t="s">
        <v>6448</v>
      </c>
      <c r="D563" s="90" t="s">
        <v>4077</v>
      </c>
      <c r="E563" s="89" t="s">
        <v>2733</v>
      </c>
      <c r="F563" s="89"/>
      <c r="G563" s="89" t="s">
        <v>2734</v>
      </c>
      <c r="H563" s="91">
        <v>5500</v>
      </c>
      <c r="I563" s="89" t="s">
        <v>6441</v>
      </c>
      <c r="J563" s="92" t="s">
        <v>883</v>
      </c>
      <c r="K563" s="92"/>
      <c r="L563" s="92" t="s">
        <v>6442</v>
      </c>
      <c r="M563" s="92" t="s">
        <v>6443</v>
      </c>
      <c r="N563" s="93">
        <v>5500</v>
      </c>
      <c r="O563" s="94">
        <v>560000</v>
      </c>
      <c r="P563" s="94">
        <v>16000</v>
      </c>
      <c r="Q563" s="92"/>
      <c r="R563" s="92" t="s">
        <v>6449</v>
      </c>
      <c r="S563" s="91">
        <v>55010</v>
      </c>
      <c r="T563" s="89" t="s">
        <v>6447</v>
      </c>
    </row>
    <row r="564" spans="1:20" ht="30" customHeight="1" x14ac:dyDescent="0.35">
      <c r="A564" s="88">
        <v>510175</v>
      </c>
      <c r="B564" s="89" t="s">
        <v>6450</v>
      </c>
      <c r="C564" s="89" t="s">
        <v>6451</v>
      </c>
      <c r="D564" s="90" t="s">
        <v>4077</v>
      </c>
      <c r="E564" s="89" t="s">
        <v>2736</v>
      </c>
      <c r="F564" s="89"/>
      <c r="G564" s="89" t="s">
        <v>2737</v>
      </c>
      <c r="H564" s="91">
        <v>5500</v>
      </c>
      <c r="I564" s="89" t="s">
        <v>6441</v>
      </c>
      <c r="J564" s="92" t="s">
        <v>883</v>
      </c>
      <c r="K564" s="92"/>
      <c r="L564" s="92" t="s">
        <v>6442</v>
      </c>
      <c r="M564" s="92" t="s">
        <v>6443</v>
      </c>
      <c r="N564" s="93">
        <v>5500</v>
      </c>
      <c r="O564" s="94">
        <v>560000</v>
      </c>
      <c r="P564" s="94">
        <v>16000</v>
      </c>
      <c r="Q564" s="92"/>
      <c r="R564" s="92" t="s">
        <v>6452</v>
      </c>
      <c r="S564" s="91">
        <v>55010</v>
      </c>
      <c r="T564" s="89" t="s">
        <v>6447</v>
      </c>
    </row>
    <row r="565" spans="1:20" ht="30" customHeight="1" x14ac:dyDescent="0.35">
      <c r="A565" s="88">
        <v>510176</v>
      </c>
      <c r="B565" s="89" t="s">
        <v>6453</v>
      </c>
      <c r="C565" s="89" t="s">
        <v>6454</v>
      </c>
      <c r="D565" s="90" t="s">
        <v>4077</v>
      </c>
      <c r="E565" s="89" t="s">
        <v>2739</v>
      </c>
      <c r="F565" s="89"/>
      <c r="G565" s="89" t="s">
        <v>2740</v>
      </c>
      <c r="H565" s="91">
        <v>5500</v>
      </c>
      <c r="I565" s="89" t="s">
        <v>6441</v>
      </c>
      <c r="J565" s="92" t="s">
        <v>883</v>
      </c>
      <c r="K565" s="92"/>
      <c r="L565" s="92" t="s">
        <v>6442</v>
      </c>
      <c r="M565" s="92" t="s">
        <v>6443</v>
      </c>
      <c r="N565" s="93">
        <v>5500</v>
      </c>
      <c r="O565" s="94">
        <v>560000</v>
      </c>
      <c r="P565" s="94">
        <v>16000</v>
      </c>
      <c r="Q565" s="92"/>
      <c r="R565" s="92" t="s">
        <v>6455</v>
      </c>
      <c r="S565" s="91">
        <v>55010</v>
      </c>
      <c r="T565" s="89" t="s">
        <v>6447</v>
      </c>
    </row>
    <row r="566" spans="1:20" ht="30" customHeight="1" x14ac:dyDescent="0.35">
      <c r="A566" s="88">
        <v>510212</v>
      </c>
      <c r="B566" s="89" t="s">
        <v>6456</v>
      </c>
      <c r="C566" s="89" t="s">
        <v>6456</v>
      </c>
      <c r="D566" s="90" t="s">
        <v>4077</v>
      </c>
      <c r="E566" s="89" t="s">
        <v>2742</v>
      </c>
      <c r="F566" s="89"/>
      <c r="G566" s="89" t="s">
        <v>2743</v>
      </c>
      <c r="H566" s="91">
        <v>7233</v>
      </c>
      <c r="I566" s="89" t="s">
        <v>6457</v>
      </c>
      <c r="J566" s="92" t="s">
        <v>883</v>
      </c>
      <c r="K566" s="92"/>
      <c r="L566" s="92" t="s">
        <v>6458</v>
      </c>
      <c r="M566" s="92" t="s">
        <v>6459</v>
      </c>
      <c r="N566" s="93">
        <v>7233</v>
      </c>
      <c r="O566" s="94">
        <v>16000</v>
      </c>
      <c r="P566" s="94">
        <v>3500</v>
      </c>
      <c r="Q566" s="92" t="s">
        <v>3957</v>
      </c>
      <c r="R566" s="92" t="s">
        <v>6460</v>
      </c>
      <c r="S566" s="89" t="s">
        <v>643</v>
      </c>
      <c r="T566" s="89" t="s">
        <v>643</v>
      </c>
    </row>
    <row r="567" spans="1:20" ht="30" customHeight="1" x14ac:dyDescent="0.35">
      <c r="A567" s="88">
        <v>510264</v>
      </c>
      <c r="B567" s="89" t="s">
        <v>6461</v>
      </c>
      <c r="C567" s="89" t="s">
        <v>6462</v>
      </c>
      <c r="D567" s="90" t="s">
        <v>4077</v>
      </c>
      <c r="E567" s="89" t="s">
        <v>2745</v>
      </c>
      <c r="F567" s="89" t="s">
        <v>6463</v>
      </c>
      <c r="G567" s="89" t="s">
        <v>2746</v>
      </c>
      <c r="H567" s="91">
        <v>5307</v>
      </c>
      <c r="I567" s="89" t="s">
        <v>2744</v>
      </c>
      <c r="J567" s="92" t="s">
        <v>883</v>
      </c>
      <c r="K567" s="92"/>
      <c r="L567" s="92" t="s">
        <v>6464</v>
      </c>
      <c r="M567" s="92" t="s">
        <v>6465</v>
      </c>
      <c r="N567" s="93">
        <v>5307</v>
      </c>
      <c r="O567" s="94">
        <v>5400</v>
      </c>
      <c r="P567" s="94">
        <v>1500</v>
      </c>
      <c r="Q567" s="92" t="s">
        <v>3957</v>
      </c>
      <c r="R567" s="92" t="s">
        <v>6466</v>
      </c>
      <c r="S567" s="91">
        <v>53070</v>
      </c>
      <c r="T567" s="89" t="s">
        <v>6467</v>
      </c>
    </row>
    <row r="568" spans="1:20" ht="30" customHeight="1" x14ac:dyDescent="0.35">
      <c r="A568" s="88">
        <v>510275</v>
      </c>
      <c r="B568" s="89" t="s">
        <v>6468</v>
      </c>
      <c r="C568" s="89" t="s">
        <v>6468</v>
      </c>
      <c r="D568" s="90" t="s">
        <v>4077</v>
      </c>
      <c r="E568" s="89" t="s">
        <v>2748</v>
      </c>
      <c r="F568" s="89" t="s">
        <v>6469</v>
      </c>
      <c r="G568" s="89" t="s">
        <v>2749</v>
      </c>
      <c r="H568" s="91">
        <v>5500</v>
      </c>
      <c r="I568" s="89" t="s">
        <v>6441</v>
      </c>
      <c r="J568" s="92" t="s">
        <v>883</v>
      </c>
      <c r="K568" s="92"/>
      <c r="L568" s="92" t="s">
        <v>6442</v>
      </c>
      <c r="M568" s="92" t="s">
        <v>6443</v>
      </c>
      <c r="N568" s="93">
        <v>5500</v>
      </c>
      <c r="O568" s="94">
        <v>560000</v>
      </c>
      <c r="P568" s="94">
        <v>16000</v>
      </c>
      <c r="Q568" s="92"/>
      <c r="R568" s="92" t="s">
        <v>6470</v>
      </c>
      <c r="S568" s="91">
        <v>55010</v>
      </c>
      <c r="T568" s="89" t="s">
        <v>6447</v>
      </c>
    </row>
    <row r="569" spans="1:20" ht="30" customHeight="1" x14ac:dyDescent="0.35">
      <c r="A569" s="88">
        <v>510278</v>
      </c>
      <c r="B569" s="89" t="s">
        <v>6471</v>
      </c>
      <c r="C569" s="89" t="s">
        <v>6472</v>
      </c>
      <c r="D569" s="90" t="s">
        <v>4077</v>
      </c>
      <c r="E569" s="89" t="s">
        <v>2751</v>
      </c>
      <c r="F569" s="89"/>
      <c r="G569" s="89" t="s">
        <v>2752</v>
      </c>
      <c r="H569" s="91">
        <v>5500</v>
      </c>
      <c r="I569" s="89" t="s">
        <v>6441</v>
      </c>
      <c r="J569" s="92" t="s">
        <v>883</v>
      </c>
      <c r="K569" s="92"/>
      <c r="L569" s="92" t="s">
        <v>6442</v>
      </c>
      <c r="M569" s="92" t="s">
        <v>6443</v>
      </c>
      <c r="N569" s="93">
        <v>5500</v>
      </c>
      <c r="O569" s="94">
        <v>560000</v>
      </c>
      <c r="P569" s="94">
        <v>16000</v>
      </c>
      <c r="Q569" s="92"/>
      <c r="R569" s="92" t="s">
        <v>6473</v>
      </c>
      <c r="S569" s="91">
        <v>55010</v>
      </c>
      <c r="T569" s="89" t="s">
        <v>6447</v>
      </c>
    </row>
    <row r="570" spans="1:20" ht="30" customHeight="1" x14ac:dyDescent="0.35">
      <c r="A570" s="88">
        <v>510342</v>
      </c>
      <c r="B570" s="89" t="s">
        <v>6474</v>
      </c>
      <c r="C570" s="89" t="s">
        <v>6475</v>
      </c>
      <c r="D570" s="90" t="s">
        <v>4077</v>
      </c>
      <c r="E570" s="89" t="s">
        <v>2754</v>
      </c>
      <c r="F570" s="89"/>
      <c r="G570" s="89" t="s">
        <v>2755</v>
      </c>
      <c r="H570" s="91">
        <v>5500</v>
      </c>
      <c r="I570" s="89" t="s">
        <v>6441</v>
      </c>
      <c r="J570" s="92" t="s">
        <v>883</v>
      </c>
      <c r="K570" s="92"/>
      <c r="L570" s="92" t="s">
        <v>6442</v>
      </c>
      <c r="M570" s="92" t="s">
        <v>6443</v>
      </c>
      <c r="N570" s="93">
        <v>5500</v>
      </c>
      <c r="O570" s="94">
        <v>560000</v>
      </c>
      <c r="P570" s="94">
        <v>16000</v>
      </c>
      <c r="Q570" s="92"/>
      <c r="R570" s="92" t="s">
        <v>6476</v>
      </c>
      <c r="S570" s="91">
        <v>55010</v>
      </c>
      <c r="T570" s="89" t="s">
        <v>6447</v>
      </c>
    </row>
    <row r="571" spans="1:20" ht="30" customHeight="1" x14ac:dyDescent="0.35">
      <c r="A571" s="88">
        <v>510411</v>
      </c>
      <c r="B571" s="89" t="s">
        <v>6477</v>
      </c>
      <c r="C571" s="89" t="s">
        <v>6478</v>
      </c>
      <c r="D571" s="90" t="s">
        <v>4077</v>
      </c>
      <c r="E571" s="89" t="s">
        <v>6479</v>
      </c>
      <c r="F571" s="89"/>
      <c r="G571" s="89" t="s">
        <v>2758</v>
      </c>
      <c r="H571" s="91">
        <v>5500</v>
      </c>
      <c r="I571" s="89" t="s">
        <v>6441</v>
      </c>
      <c r="J571" s="92" t="s">
        <v>883</v>
      </c>
      <c r="K571" s="92"/>
      <c r="L571" s="92" t="s">
        <v>6442</v>
      </c>
      <c r="M571" s="92" t="s">
        <v>6443</v>
      </c>
      <c r="N571" s="93">
        <v>5500</v>
      </c>
      <c r="O571" s="94">
        <v>560000</v>
      </c>
      <c r="P571" s="94">
        <v>16000</v>
      </c>
      <c r="Q571" s="92"/>
      <c r="R571" s="92" t="s">
        <v>6480</v>
      </c>
      <c r="S571" s="91">
        <v>55010</v>
      </c>
      <c r="T571" s="89" t="s">
        <v>6447</v>
      </c>
    </row>
    <row r="572" spans="1:20" ht="30" customHeight="1" x14ac:dyDescent="0.35">
      <c r="A572" s="88">
        <v>510672</v>
      </c>
      <c r="B572" s="89" t="s">
        <v>6481</v>
      </c>
      <c r="C572" s="89" t="s">
        <v>6481</v>
      </c>
      <c r="D572" s="90" t="s">
        <v>4077</v>
      </c>
      <c r="E572" s="89" t="s">
        <v>2760</v>
      </c>
      <c r="F572" s="89"/>
      <c r="G572" s="89" t="s">
        <v>2755</v>
      </c>
      <c r="H572" s="91">
        <v>5500</v>
      </c>
      <c r="I572" s="89" t="s">
        <v>6441</v>
      </c>
      <c r="J572" s="92" t="s">
        <v>883</v>
      </c>
      <c r="K572" s="92"/>
      <c r="L572" s="92" t="s">
        <v>6442</v>
      </c>
      <c r="M572" s="92" t="s">
        <v>6443</v>
      </c>
      <c r="N572" s="93">
        <v>5500</v>
      </c>
      <c r="O572" s="94">
        <v>560000</v>
      </c>
      <c r="P572" s="94">
        <v>16000</v>
      </c>
      <c r="Q572" s="92"/>
      <c r="R572" s="92" t="s">
        <v>6482</v>
      </c>
      <c r="S572" s="91">
        <v>55010</v>
      </c>
      <c r="T572" s="91">
        <v>55010</v>
      </c>
    </row>
    <row r="573" spans="1:20" ht="30" customHeight="1" x14ac:dyDescent="0.35">
      <c r="A573" s="88">
        <v>510712</v>
      </c>
      <c r="B573" s="89" t="s">
        <v>6483</v>
      </c>
      <c r="C573" s="89" t="s">
        <v>6484</v>
      </c>
      <c r="D573" s="90" t="s">
        <v>4077</v>
      </c>
      <c r="E573" s="89" t="s">
        <v>2762</v>
      </c>
      <c r="F573" s="89"/>
      <c r="G573" s="89" t="s">
        <v>2763</v>
      </c>
      <c r="H573" s="91">
        <v>5500</v>
      </c>
      <c r="I573" s="89" t="s">
        <v>6441</v>
      </c>
      <c r="J573" s="92" t="s">
        <v>883</v>
      </c>
      <c r="K573" s="92"/>
      <c r="L573" s="92" t="s">
        <v>6442</v>
      </c>
      <c r="M573" s="92" t="s">
        <v>6443</v>
      </c>
      <c r="N573" s="93">
        <v>5500</v>
      </c>
      <c r="O573" s="94">
        <v>560000</v>
      </c>
      <c r="P573" s="94">
        <v>16000</v>
      </c>
      <c r="Q573" s="92"/>
      <c r="R573" s="92" t="s">
        <v>6485</v>
      </c>
      <c r="S573" s="91">
        <v>55010</v>
      </c>
      <c r="T573" s="89" t="s">
        <v>6447</v>
      </c>
    </row>
    <row r="574" spans="1:20" ht="30" customHeight="1" x14ac:dyDescent="0.35">
      <c r="A574" s="88">
        <v>510915</v>
      </c>
      <c r="B574" s="89" t="s">
        <v>6486</v>
      </c>
      <c r="C574" s="89" t="s">
        <v>6486</v>
      </c>
      <c r="D574" s="90" t="s">
        <v>4077</v>
      </c>
      <c r="E574" s="89" t="s">
        <v>6487</v>
      </c>
      <c r="F574" s="89"/>
      <c r="G574" s="89" t="s">
        <v>2766</v>
      </c>
      <c r="H574" s="91">
        <v>6100</v>
      </c>
      <c r="I574" s="89" t="s">
        <v>5001</v>
      </c>
      <c r="J574" s="92" t="s">
        <v>883</v>
      </c>
      <c r="K574" s="92"/>
      <c r="L574" s="92" t="s">
        <v>5002</v>
      </c>
      <c r="M574" s="92" t="s">
        <v>5003</v>
      </c>
      <c r="N574" s="93">
        <v>6100</v>
      </c>
      <c r="O574" s="94">
        <v>1000000</v>
      </c>
      <c r="P574" s="94">
        <v>8400</v>
      </c>
      <c r="Q574" s="92" t="s">
        <v>3957</v>
      </c>
      <c r="R574" s="92" t="s">
        <v>6488</v>
      </c>
      <c r="S574" s="91">
        <v>61050</v>
      </c>
      <c r="T574" s="91">
        <v>51016</v>
      </c>
    </row>
    <row r="575" spans="1:20" ht="30" customHeight="1" x14ac:dyDescent="0.35">
      <c r="A575" s="88">
        <v>530155</v>
      </c>
      <c r="B575" s="89" t="s">
        <v>6489</v>
      </c>
      <c r="C575" s="89" t="s">
        <v>6490</v>
      </c>
      <c r="D575" s="90" t="s">
        <v>4077</v>
      </c>
      <c r="E575" s="89" t="s">
        <v>2768</v>
      </c>
      <c r="F575" s="89"/>
      <c r="G575" s="89" t="s">
        <v>2769</v>
      </c>
      <c r="H575" s="91">
        <v>5302</v>
      </c>
      <c r="I575" s="89" t="s">
        <v>6435</v>
      </c>
      <c r="J575" s="92" t="s">
        <v>883</v>
      </c>
      <c r="K575" s="92"/>
      <c r="L575" s="92" t="s">
        <v>6436</v>
      </c>
      <c r="M575" s="92" t="s">
        <v>6437</v>
      </c>
      <c r="N575" s="93">
        <v>5302</v>
      </c>
      <c r="O575" s="94">
        <v>120000</v>
      </c>
      <c r="P575" s="94">
        <v>7500</v>
      </c>
      <c r="Q575" s="92" t="s">
        <v>3957</v>
      </c>
      <c r="R575" s="92" t="s">
        <v>6491</v>
      </c>
      <c r="S575" s="91">
        <v>53020</v>
      </c>
      <c r="T575" s="91">
        <v>53020</v>
      </c>
    </row>
    <row r="576" spans="1:20" ht="30" customHeight="1" x14ac:dyDescent="0.35">
      <c r="A576" s="88">
        <v>530156</v>
      </c>
      <c r="B576" s="89" t="s">
        <v>6492</v>
      </c>
      <c r="C576" s="89" t="s">
        <v>6493</v>
      </c>
      <c r="D576" s="90" t="s">
        <v>4077</v>
      </c>
      <c r="E576" s="89" t="s">
        <v>2771</v>
      </c>
      <c r="F576" s="89"/>
      <c r="G576" s="89" t="s">
        <v>2772</v>
      </c>
      <c r="H576" s="91">
        <v>5302</v>
      </c>
      <c r="I576" s="89" t="s">
        <v>6435</v>
      </c>
      <c r="J576" s="92" t="s">
        <v>883</v>
      </c>
      <c r="K576" s="92"/>
      <c r="L576" s="92" t="s">
        <v>6436</v>
      </c>
      <c r="M576" s="92" t="s">
        <v>6437</v>
      </c>
      <c r="N576" s="93">
        <v>5302</v>
      </c>
      <c r="O576" s="94">
        <v>120000</v>
      </c>
      <c r="P576" s="94">
        <v>7500</v>
      </c>
      <c r="Q576" s="92" t="s">
        <v>3957</v>
      </c>
      <c r="R576" s="92" t="s">
        <v>6494</v>
      </c>
      <c r="S576" s="91">
        <v>53020</v>
      </c>
      <c r="T576" s="91">
        <v>53050</v>
      </c>
    </row>
    <row r="577" spans="1:20" ht="30" customHeight="1" x14ac:dyDescent="0.35">
      <c r="A577" s="88">
        <v>530411</v>
      </c>
      <c r="B577" s="89" t="s">
        <v>6495</v>
      </c>
      <c r="C577" s="89" t="s">
        <v>6496</v>
      </c>
      <c r="D577" s="90" t="s">
        <v>4077</v>
      </c>
      <c r="E577" s="89" t="s">
        <v>2774</v>
      </c>
      <c r="F577" s="89"/>
      <c r="G577" s="89" t="s">
        <v>2775</v>
      </c>
      <c r="H577" s="91">
        <v>3103</v>
      </c>
      <c r="I577" s="89" t="s">
        <v>6497</v>
      </c>
      <c r="J577" s="92" t="s">
        <v>883</v>
      </c>
      <c r="K577" s="92"/>
      <c r="L577" s="92" t="s">
        <v>6498</v>
      </c>
      <c r="M577" s="92" t="s">
        <v>6499</v>
      </c>
      <c r="N577" s="93">
        <v>3103</v>
      </c>
      <c r="O577" s="94">
        <v>62000</v>
      </c>
      <c r="P577" s="94">
        <v>12000</v>
      </c>
      <c r="Q577" s="92" t="s">
        <v>3957</v>
      </c>
      <c r="R577" s="92" t="s">
        <v>6500</v>
      </c>
      <c r="S577" s="91">
        <v>31066</v>
      </c>
      <c r="T577" s="91">
        <v>31039</v>
      </c>
    </row>
    <row r="578" spans="1:20" ht="30" customHeight="1" x14ac:dyDescent="0.35">
      <c r="A578" s="88">
        <v>530412</v>
      </c>
      <c r="B578" s="89" t="s">
        <v>6501</v>
      </c>
      <c r="C578" s="89" t="s">
        <v>6502</v>
      </c>
      <c r="D578" s="90" t="s">
        <v>4077</v>
      </c>
      <c r="E578" s="89" t="s">
        <v>2777</v>
      </c>
      <c r="F578" s="89"/>
      <c r="G578" s="89" t="s">
        <v>2778</v>
      </c>
      <c r="H578" s="91">
        <v>3104</v>
      </c>
      <c r="I578" s="89" t="s">
        <v>6503</v>
      </c>
      <c r="J578" s="92" t="s">
        <v>883</v>
      </c>
      <c r="K578" s="92"/>
      <c r="L578" s="92" t="s">
        <v>6504</v>
      </c>
      <c r="M578" s="92" t="s">
        <v>6505</v>
      </c>
      <c r="N578" s="93">
        <v>3104</v>
      </c>
      <c r="O578" s="94">
        <v>270</v>
      </c>
      <c r="P578" s="94">
        <v>270</v>
      </c>
      <c r="Q578" s="92" t="s">
        <v>3957</v>
      </c>
      <c r="R578" s="92" t="s">
        <v>6506</v>
      </c>
      <c r="S578" s="91">
        <v>31067</v>
      </c>
      <c r="T578" s="91">
        <v>31040</v>
      </c>
    </row>
    <row r="579" spans="1:20" ht="30" customHeight="1" x14ac:dyDescent="0.35">
      <c r="A579" s="88">
        <v>530511</v>
      </c>
      <c r="B579" s="89" t="s">
        <v>6507</v>
      </c>
      <c r="C579" s="89" t="s">
        <v>6508</v>
      </c>
      <c r="D579" s="90" t="s">
        <v>4077</v>
      </c>
      <c r="E579" s="89" t="s">
        <v>2780</v>
      </c>
      <c r="F579" s="89"/>
      <c r="G579" s="89" t="s">
        <v>2781</v>
      </c>
      <c r="H579" s="91">
        <v>5302</v>
      </c>
      <c r="I579" s="89" t="s">
        <v>6435</v>
      </c>
      <c r="J579" s="92" t="s">
        <v>883</v>
      </c>
      <c r="K579" s="92"/>
      <c r="L579" s="92" t="s">
        <v>6436</v>
      </c>
      <c r="M579" s="92" t="s">
        <v>6437</v>
      </c>
      <c r="N579" s="93">
        <v>5302</v>
      </c>
      <c r="O579" s="94">
        <v>120000</v>
      </c>
      <c r="P579" s="94">
        <v>7500</v>
      </c>
      <c r="Q579" s="92" t="s">
        <v>3957</v>
      </c>
      <c r="R579" s="92" t="s">
        <v>6509</v>
      </c>
      <c r="S579" s="91">
        <v>53020</v>
      </c>
      <c r="T579" s="91">
        <v>53020</v>
      </c>
    </row>
    <row r="580" spans="1:20" ht="30" customHeight="1" x14ac:dyDescent="0.35">
      <c r="A580" s="88">
        <v>530602</v>
      </c>
      <c r="B580" s="89" t="s">
        <v>6510</v>
      </c>
      <c r="C580" s="89" t="s">
        <v>6511</v>
      </c>
      <c r="D580" s="90" t="s">
        <v>4077</v>
      </c>
      <c r="E580" s="89" t="s">
        <v>2783</v>
      </c>
      <c r="F580" s="89" t="s">
        <v>6512</v>
      </c>
      <c r="G580" s="89" t="s">
        <v>2784</v>
      </c>
      <c r="H580" s="91">
        <v>5306</v>
      </c>
      <c r="I580" s="89" t="s">
        <v>6364</v>
      </c>
      <c r="J580" s="92" t="s">
        <v>883</v>
      </c>
      <c r="K580" s="92"/>
      <c r="L580" s="92" t="s">
        <v>6365</v>
      </c>
      <c r="M580" s="92" t="s">
        <v>6366</v>
      </c>
      <c r="N580" s="93">
        <v>5306</v>
      </c>
      <c r="O580" s="94">
        <v>310000</v>
      </c>
      <c r="P580" s="94">
        <v>10000</v>
      </c>
      <c r="Q580" s="92" t="s">
        <v>3957</v>
      </c>
      <c r="R580" s="92" t="s">
        <v>6513</v>
      </c>
      <c r="S580" s="91">
        <v>53060</v>
      </c>
      <c r="T580" s="91">
        <v>51077</v>
      </c>
    </row>
    <row r="581" spans="1:20" ht="30" customHeight="1" x14ac:dyDescent="0.35">
      <c r="A581" s="88">
        <v>530634</v>
      </c>
      <c r="B581" s="89" t="s">
        <v>6514</v>
      </c>
      <c r="C581" s="89" t="s">
        <v>6515</v>
      </c>
      <c r="D581" s="90" t="s">
        <v>4077</v>
      </c>
      <c r="E581" s="89" t="s">
        <v>6516</v>
      </c>
      <c r="F581" s="89"/>
      <c r="G581" s="89" t="s">
        <v>2787</v>
      </c>
      <c r="H581" s="91">
        <v>5304</v>
      </c>
      <c r="I581" s="89" t="s">
        <v>6517</v>
      </c>
      <c r="J581" s="92" t="s">
        <v>883</v>
      </c>
      <c r="K581" s="92"/>
      <c r="L581" s="92" t="s">
        <v>6518</v>
      </c>
      <c r="M581" s="92" t="s">
        <v>6519</v>
      </c>
      <c r="N581" s="93">
        <v>5304</v>
      </c>
      <c r="O581" s="94">
        <v>22000</v>
      </c>
      <c r="P581" s="94">
        <v>2800</v>
      </c>
      <c r="Q581" s="92" t="s">
        <v>3957</v>
      </c>
      <c r="R581" s="92" t="s">
        <v>6520</v>
      </c>
      <c r="S581" s="91">
        <v>53040</v>
      </c>
      <c r="T581" s="89" t="s">
        <v>6521</v>
      </c>
    </row>
    <row r="582" spans="1:20" ht="30" customHeight="1" x14ac:dyDescent="0.35">
      <c r="A582" s="88">
        <v>530800</v>
      </c>
      <c r="B582" s="89" t="s">
        <v>6522</v>
      </c>
      <c r="C582" s="89"/>
      <c r="D582" s="90" t="s">
        <v>4077</v>
      </c>
      <c r="E582" s="89" t="s">
        <v>6523</v>
      </c>
      <c r="F582" s="89"/>
      <c r="G582" s="89" t="s">
        <v>909</v>
      </c>
      <c r="H582" s="91">
        <v>7441</v>
      </c>
      <c r="I582" s="89" t="s">
        <v>6524</v>
      </c>
      <c r="J582" s="92" t="s">
        <v>883</v>
      </c>
      <c r="K582" s="92"/>
      <c r="L582" s="92"/>
      <c r="M582" s="92"/>
      <c r="N582" s="93"/>
      <c r="O582" s="94"/>
      <c r="P582" s="94"/>
      <c r="Q582" s="92"/>
      <c r="R582" s="92"/>
      <c r="S582" s="91"/>
      <c r="T582" s="91"/>
    </row>
    <row r="583" spans="1:20" ht="30" customHeight="1" x14ac:dyDescent="0.35">
      <c r="A583" s="88">
        <v>540242</v>
      </c>
      <c r="B583" s="89" t="s">
        <v>6525</v>
      </c>
      <c r="C583" s="89" t="s">
        <v>6526</v>
      </c>
      <c r="D583" s="90" t="s">
        <v>4077</v>
      </c>
      <c r="E583" s="89" t="s">
        <v>2791</v>
      </c>
      <c r="F583" s="89"/>
      <c r="G583" s="89" t="s">
        <v>2792</v>
      </c>
      <c r="H583" s="91">
        <v>5302</v>
      </c>
      <c r="I583" s="89" t="s">
        <v>6435</v>
      </c>
      <c r="J583" s="92" t="s">
        <v>883</v>
      </c>
      <c r="K583" s="92"/>
      <c r="L583" s="92" t="s">
        <v>6436</v>
      </c>
      <c r="M583" s="92" t="s">
        <v>6437</v>
      </c>
      <c r="N583" s="93">
        <v>5302</v>
      </c>
      <c r="O583" s="94">
        <v>120000</v>
      </c>
      <c r="P583" s="94">
        <v>7500</v>
      </c>
      <c r="Q583" s="92" t="s">
        <v>3957</v>
      </c>
      <c r="R583" s="92" t="s">
        <v>6527</v>
      </c>
      <c r="S583" s="91">
        <v>53020</v>
      </c>
      <c r="T583" s="91">
        <v>53020</v>
      </c>
    </row>
    <row r="584" spans="1:20" ht="30" customHeight="1" x14ac:dyDescent="0.35">
      <c r="A584" s="88">
        <v>540243</v>
      </c>
      <c r="B584" s="89" t="s">
        <v>6528</v>
      </c>
      <c r="C584" s="89" t="s">
        <v>6529</v>
      </c>
      <c r="D584" s="90" t="s">
        <v>4077</v>
      </c>
      <c r="E584" s="89" t="s">
        <v>2794</v>
      </c>
      <c r="F584" s="89"/>
      <c r="G584" s="89" t="s">
        <v>2795</v>
      </c>
      <c r="H584" s="91">
        <v>5400</v>
      </c>
      <c r="I584" s="89" t="s">
        <v>6530</v>
      </c>
      <c r="J584" s="92" t="s">
        <v>883</v>
      </c>
      <c r="K584" s="92"/>
      <c r="L584" s="92" t="s">
        <v>6531</v>
      </c>
      <c r="M584" s="92" t="s">
        <v>6532</v>
      </c>
      <c r="N584" s="93">
        <v>5400</v>
      </c>
      <c r="O584" s="94">
        <v>56000</v>
      </c>
      <c r="P584" s="94">
        <v>9200</v>
      </c>
      <c r="Q584" s="92"/>
      <c r="R584" s="92" t="s">
        <v>6533</v>
      </c>
      <c r="S584" s="91">
        <v>54010</v>
      </c>
      <c r="T584" s="91">
        <v>54010</v>
      </c>
    </row>
    <row r="585" spans="1:20" ht="30" customHeight="1" x14ac:dyDescent="0.35">
      <c r="A585" s="88">
        <v>550101</v>
      </c>
      <c r="B585" s="89" t="s">
        <v>6534</v>
      </c>
      <c r="C585" s="89" t="s">
        <v>6535</v>
      </c>
      <c r="D585" s="90" t="s">
        <v>4077</v>
      </c>
      <c r="E585" s="89" t="s">
        <v>2797</v>
      </c>
      <c r="F585" s="89"/>
      <c r="G585" s="89" t="s">
        <v>2798</v>
      </c>
      <c r="H585" s="91">
        <v>5501</v>
      </c>
      <c r="I585" s="89" t="s">
        <v>6536</v>
      </c>
      <c r="J585" s="92" t="s">
        <v>883</v>
      </c>
      <c r="K585" s="92"/>
      <c r="L585" s="92" t="s">
        <v>6537</v>
      </c>
      <c r="M585" s="92" t="s">
        <v>6538</v>
      </c>
      <c r="N585" s="93">
        <v>5501</v>
      </c>
      <c r="O585" s="94">
        <v>82000</v>
      </c>
      <c r="P585" s="94">
        <v>24000</v>
      </c>
      <c r="Q585" s="92"/>
      <c r="R585" s="92" t="s">
        <v>6539</v>
      </c>
      <c r="S585" s="91">
        <v>55020</v>
      </c>
      <c r="T585" s="91">
        <v>55020</v>
      </c>
    </row>
    <row r="586" spans="1:20" ht="30" customHeight="1" x14ac:dyDescent="0.35">
      <c r="A586" s="88">
        <v>550145</v>
      </c>
      <c r="B586" s="89" t="s">
        <v>6540</v>
      </c>
      <c r="C586" s="89" t="s">
        <v>6541</v>
      </c>
      <c r="D586" s="90" t="s">
        <v>4077</v>
      </c>
      <c r="E586" s="89" t="s">
        <v>2800</v>
      </c>
      <c r="F586" s="89"/>
      <c r="G586" s="89" t="s">
        <v>2801</v>
      </c>
      <c r="H586" s="91">
        <v>5500</v>
      </c>
      <c r="I586" s="89" t="s">
        <v>6441</v>
      </c>
      <c r="J586" s="92" t="s">
        <v>883</v>
      </c>
      <c r="K586" s="92"/>
      <c r="L586" s="92" t="s">
        <v>6442</v>
      </c>
      <c r="M586" s="92" t="s">
        <v>6443</v>
      </c>
      <c r="N586" s="93">
        <v>5500</v>
      </c>
      <c r="O586" s="94">
        <v>560000</v>
      </c>
      <c r="P586" s="94">
        <v>16000</v>
      </c>
      <c r="Q586" s="92"/>
      <c r="R586" s="92" t="s">
        <v>6542</v>
      </c>
      <c r="S586" s="91">
        <v>55013</v>
      </c>
      <c r="T586" s="91">
        <v>55030</v>
      </c>
    </row>
    <row r="587" spans="1:20" ht="30" customHeight="1" x14ac:dyDescent="0.35">
      <c r="A587" s="88">
        <v>550147</v>
      </c>
      <c r="B587" s="89" t="s">
        <v>6543</v>
      </c>
      <c r="C587" s="89" t="s">
        <v>6544</v>
      </c>
      <c r="D587" s="90" t="s">
        <v>4077</v>
      </c>
      <c r="E587" s="89" t="s">
        <v>2803</v>
      </c>
      <c r="F587" s="89"/>
      <c r="G587" s="89" t="s">
        <v>2804</v>
      </c>
      <c r="H587" s="91">
        <v>5500</v>
      </c>
      <c r="I587" s="89" t="s">
        <v>6441</v>
      </c>
      <c r="J587" s="92" t="s">
        <v>883</v>
      </c>
      <c r="K587" s="92"/>
      <c r="L587" s="92" t="s">
        <v>6442</v>
      </c>
      <c r="M587" s="92" t="s">
        <v>6443</v>
      </c>
      <c r="N587" s="93">
        <v>5500</v>
      </c>
      <c r="O587" s="94">
        <v>560000</v>
      </c>
      <c r="P587" s="94">
        <v>16000</v>
      </c>
      <c r="Q587" s="92"/>
      <c r="R587" s="92" t="s">
        <v>6545</v>
      </c>
      <c r="S587" s="91">
        <v>55014</v>
      </c>
      <c r="T587" s="89" t="s">
        <v>6447</v>
      </c>
    </row>
    <row r="588" spans="1:20" ht="30" customHeight="1" x14ac:dyDescent="0.35">
      <c r="A588" s="88">
        <v>610100</v>
      </c>
      <c r="B588" s="89" t="s">
        <v>6546</v>
      </c>
      <c r="C588" s="89" t="s">
        <v>6547</v>
      </c>
      <c r="D588" s="90" t="s">
        <v>4077</v>
      </c>
      <c r="E588" s="89" t="s">
        <v>6548</v>
      </c>
      <c r="F588" s="89"/>
      <c r="G588" s="89" t="s">
        <v>2807</v>
      </c>
      <c r="H588" s="91">
        <v>6100</v>
      </c>
      <c r="I588" s="89" t="s">
        <v>5001</v>
      </c>
      <c r="J588" s="92" t="s">
        <v>883</v>
      </c>
      <c r="K588" s="92"/>
      <c r="L588" s="92" t="s">
        <v>5002</v>
      </c>
      <c r="M588" s="92" t="s">
        <v>5003</v>
      </c>
      <c r="N588" s="93">
        <v>6100</v>
      </c>
      <c r="O588" s="94">
        <v>1000000</v>
      </c>
      <c r="P588" s="94">
        <v>8400</v>
      </c>
      <c r="Q588" s="92" t="s">
        <v>3957</v>
      </c>
      <c r="R588" s="92" t="s">
        <v>6549</v>
      </c>
      <c r="S588" s="89" t="s">
        <v>3982</v>
      </c>
      <c r="T588" s="91">
        <v>61010</v>
      </c>
    </row>
    <row r="589" spans="1:20" ht="30" customHeight="1" x14ac:dyDescent="0.35">
      <c r="A589" s="88">
        <v>610111</v>
      </c>
      <c r="B589" s="89" t="s">
        <v>6550</v>
      </c>
      <c r="C589" s="89" t="s">
        <v>6551</v>
      </c>
      <c r="D589" s="90" t="s">
        <v>4077</v>
      </c>
      <c r="E589" s="89" t="s">
        <v>2808</v>
      </c>
      <c r="F589" s="89" t="s">
        <v>6552</v>
      </c>
      <c r="G589" s="89" t="s">
        <v>2809</v>
      </c>
      <c r="H589" s="91">
        <v>6100</v>
      </c>
      <c r="I589" s="89" t="s">
        <v>5001</v>
      </c>
      <c r="J589" s="92" t="s">
        <v>883</v>
      </c>
      <c r="K589" s="92"/>
      <c r="L589" s="92" t="s">
        <v>5002</v>
      </c>
      <c r="M589" s="92" t="s">
        <v>5003</v>
      </c>
      <c r="N589" s="93">
        <v>6100</v>
      </c>
      <c r="O589" s="94">
        <v>1000000</v>
      </c>
      <c r="P589" s="94">
        <v>8400</v>
      </c>
      <c r="Q589" s="92" t="s">
        <v>3957</v>
      </c>
      <c r="R589" s="92" t="s">
        <v>6553</v>
      </c>
      <c r="S589" s="91">
        <v>61050</v>
      </c>
      <c r="T589" s="91">
        <v>61040</v>
      </c>
    </row>
    <row r="590" spans="1:20" ht="30" customHeight="1" x14ac:dyDescent="0.35">
      <c r="A590" s="88">
        <v>610112</v>
      </c>
      <c r="B590" s="89" t="s">
        <v>6554</v>
      </c>
      <c r="C590" s="89" t="s">
        <v>6554</v>
      </c>
      <c r="D590" s="90" t="s">
        <v>4077</v>
      </c>
      <c r="E590" s="89" t="s">
        <v>2811</v>
      </c>
      <c r="F590" s="89" t="s">
        <v>6555</v>
      </c>
      <c r="G590" s="89" t="s">
        <v>2812</v>
      </c>
      <c r="H590" s="91">
        <v>6100</v>
      </c>
      <c r="I590" s="89" t="s">
        <v>5001</v>
      </c>
      <c r="J590" s="92" t="s">
        <v>883</v>
      </c>
      <c r="K590" s="92"/>
      <c r="L590" s="92" t="s">
        <v>5002</v>
      </c>
      <c r="M590" s="92" t="s">
        <v>5003</v>
      </c>
      <c r="N590" s="93">
        <v>6100</v>
      </c>
      <c r="O590" s="94">
        <v>1000000</v>
      </c>
      <c r="P590" s="94">
        <v>8400</v>
      </c>
      <c r="Q590" s="92" t="s">
        <v>3957</v>
      </c>
      <c r="R590" s="92" t="s">
        <v>6556</v>
      </c>
      <c r="S590" s="91">
        <v>61075</v>
      </c>
      <c r="T590" s="91">
        <v>61040</v>
      </c>
    </row>
    <row r="591" spans="1:20" ht="30" customHeight="1" x14ac:dyDescent="0.35">
      <c r="A591" s="88">
        <v>610119</v>
      </c>
      <c r="B591" s="89" t="s">
        <v>6557</v>
      </c>
      <c r="C591" s="89" t="s">
        <v>6558</v>
      </c>
      <c r="D591" s="90" t="s">
        <v>4077</v>
      </c>
      <c r="E591" s="89" t="s">
        <v>2814</v>
      </c>
      <c r="F591" s="89"/>
      <c r="G591" s="89" t="s">
        <v>2815</v>
      </c>
      <c r="H591" s="91">
        <v>6100</v>
      </c>
      <c r="I591" s="89" t="s">
        <v>5001</v>
      </c>
      <c r="J591" s="92" t="s">
        <v>883</v>
      </c>
      <c r="K591" s="92"/>
      <c r="L591" s="92" t="s">
        <v>5002</v>
      </c>
      <c r="M591" s="92" t="s">
        <v>5003</v>
      </c>
      <c r="N591" s="93">
        <v>6100</v>
      </c>
      <c r="O591" s="94">
        <v>1000000</v>
      </c>
      <c r="P591" s="94">
        <v>8400</v>
      </c>
      <c r="Q591" s="92" t="s">
        <v>3957</v>
      </c>
      <c r="R591" s="92" t="s">
        <v>6559</v>
      </c>
      <c r="S591" s="91">
        <v>61050</v>
      </c>
      <c r="T591" s="91">
        <v>61010</v>
      </c>
    </row>
    <row r="592" spans="1:20" ht="30" customHeight="1" x14ac:dyDescent="0.35">
      <c r="A592" s="88">
        <v>610121</v>
      </c>
      <c r="B592" s="89" t="s">
        <v>6560</v>
      </c>
      <c r="C592" s="89" t="s">
        <v>6561</v>
      </c>
      <c r="D592" s="90" t="s">
        <v>4077</v>
      </c>
      <c r="E592" s="89" t="s">
        <v>6562</v>
      </c>
      <c r="F592" s="89" t="s">
        <v>6563</v>
      </c>
      <c r="G592" s="89" t="s">
        <v>2818</v>
      </c>
      <c r="H592" s="91">
        <v>6100</v>
      </c>
      <c r="I592" s="89" t="s">
        <v>5001</v>
      </c>
      <c r="J592" s="92" t="s">
        <v>883</v>
      </c>
      <c r="K592" s="92"/>
      <c r="L592" s="92" t="s">
        <v>5002</v>
      </c>
      <c r="M592" s="92" t="s">
        <v>5003</v>
      </c>
      <c r="N592" s="93">
        <v>6100</v>
      </c>
      <c r="O592" s="94">
        <v>1000000</v>
      </c>
      <c r="P592" s="94">
        <v>8400</v>
      </c>
      <c r="Q592" s="92" t="s">
        <v>3957</v>
      </c>
      <c r="R592" s="92" t="s">
        <v>6564</v>
      </c>
      <c r="S592" s="91">
        <v>61050</v>
      </c>
      <c r="T592" s="91">
        <v>61010</v>
      </c>
    </row>
    <row r="593" spans="1:20" ht="30" customHeight="1" x14ac:dyDescent="0.35">
      <c r="A593" s="88">
        <v>610122</v>
      </c>
      <c r="B593" s="89" t="s">
        <v>6565</v>
      </c>
      <c r="C593" s="89" t="s">
        <v>6566</v>
      </c>
      <c r="D593" s="90" t="s">
        <v>4077</v>
      </c>
      <c r="E593" s="89" t="s">
        <v>2820</v>
      </c>
      <c r="F593" s="89" t="s">
        <v>6376</v>
      </c>
      <c r="G593" s="89" t="s">
        <v>2821</v>
      </c>
      <c r="H593" s="91">
        <v>6100</v>
      </c>
      <c r="I593" s="89" t="s">
        <v>5001</v>
      </c>
      <c r="J593" s="92" t="s">
        <v>883</v>
      </c>
      <c r="K593" s="92"/>
      <c r="L593" s="92" t="s">
        <v>5002</v>
      </c>
      <c r="M593" s="92" t="s">
        <v>5003</v>
      </c>
      <c r="N593" s="93">
        <v>6100</v>
      </c>
      <c r="O593" s="94">
        <v>1000000</v>
      </c>
      <c r="P593" s="94">
        <v>8400</v>
      </c>
      <c r="Q593" s="92" t="s">
        <v>3957</v>
      </c>
      <c r="R593" s="92" t="s">
        <v>6567</v>
      </c>
      <c r="S593" s="91">
        <v>61050</v>
      </c>
      <c r="T593" s="91">
        <v>61010</v>
      </c>
    </row>
    <row r="594" spans="1:20" ht="30" customHeight="1" x14ac:dyDescent="0.35">
      <c r="A594" s="88">
        <v>610123</v>
      </c>
      <c r="B594" s="89" t="s">
        <v>6568</v>
      </c>
      <c r="C594" s="89" t="s">
        <v>6569</v>
      </c>
      <c r="D594" s="90" t="s">
        <v>4077</v>
      </c>
      <c r="E594" s="89" t="s">
        <v>2823</v>
      </c>
      <c r="F594" s="89"/>
      <c r="G594" s="89" t="s">
        <v>2824</v>
      </c>
      <c r="H594" s="91">
        <v>6100</v>
      </c>
      <c r="I594" s="89" t="s">
        <v>5001</v>
      </c>
      <c r="J594" s="92" t="s">
        <v>883</v>
      </c>
      <c r="K594" s="92"/>
      <c r="L594" s="92" t="s">
        <v>5002</v>
      </c>
      <c r="M594" s="92" t="s">
        <v>5003</v>
      </c>
      <c r="N594" s="93">
        <v>6100</v>
      </c>
      <c r="O594" s="94">
        <v>1000000</v>
      </c>
      <c r="P594" s="94">
        <v>8400</v>
      </c>
      <c r="Q594" s="92" t="s">
        <v>3957</v>
      </c>
      <c r="R594" s="92" t="s">
        <v>6570</v>
      </c>
      <c r="S594" s="91">
        <v>61050</v>
      </c>
      <c r="T594" s="91">
        <v>61010</v>
      </c>
    </row>
    <row r="595" spans="1:20" ht="30" customHeight="1" x14ac:dyDescent="0.35">
      <c r="A595" s="88">
        <v>610124</v>
      </c>
      <c r="B595" s="89" t="s">
        <v>6571</v>
      </c>
      <c r="C595" s="89" t="s">
        <v>6572</v>
      </c>
      <c r="D595" s="90" t="s">
        <v>4077</v>
      </c>
      <c r="E595" s="89" t="s">
        <v>2826</v>
      </c>
      <c r="F595" s="89" t="s">
        <v>6573</v>
      </c>
      <c r="G595" s="89" t="s">
        <v>2827</v>
      </c>
      <c r="H595" s="91">
        <v>6101</v>
      </c>
      <c r="I595" s="89" t="s">
        <v>6574</v>
      </c>
      <c r="J595" s="92" t="s">
        <v>883</v>
      </c>
      <c r="K595" s="92"/>
      <c r="L595" s="92" t="s">
        <v>4080</v>
      </c>
      <c r="M595" s="92" t="s">
        <v>5008</v>
      </c>
      <c r="N595" s="93">
        <v>6101</v>
      </c>
      <c r="O595" s="94">
        <v>110000</v>
      </c>
      <c r="P595" s="94">
        <v>18000</v>
      </c>
      <c r="Q595" s="92" t="s">
        <v>3957</v>
      </c>
      <c r="R595" s="92" t="s">
        <v>6575</v>
      </c>
      <c r="S595" s="91">
        <v>14185</v>
      </c>
      <c r="T595" s="91">
        <v>61073</v>
      </c>
    </row>
    <row r="596" spans="1:20" ht="30" customHeight="1" x14ac:dyDescent="0.35">
      <c r="A596" s="88">
        <v>610125</v>
      </c>
      <c r="B596" s="89" t="s">
        <v>6576</v>
      </c>
      <c r="C596" s="89" t="s">
        <v>6577</v>
      </c>
      <c r="D596" s="90" t="s">
        <v>4077</v>
      </c>
      <c r="E596" s="89" t="s">
        <v>2829</v>
      </c>
      <c r="F596" s="89" t="s">
        <v>6573</v>
      </c>
      <c r="G596" s="89" t="s">
        <v>2830</v>
      </c>
      <c r="H596" s="91">
        <v>6101</v>
      </c>
      <c r="I596" s="89" t="s">
        <v>6574</v>
      </c>
      <c r="J596" s="92" t="s">
        <v>883</v>
      </c>
      <c r="K596" s="92"/>
      <c r="L596" s="92" t="s">
        <v>4080</v>
      </c>
      <c r="M596" s="92" t="s">
        <v>5008</v>
      </c>
      <c r="N596" s="93">
        <v>6101</v>
      </c>
      <c r="O596" s="94">
        <v>110000</v>
      </c>
      <c r="P596" s="94">
        <v>18000</v>
      </c>
      <c r="Q596" s="92" t="s">
        <v>3957</v>
      </c>
      <c r="R596" s="92" t="s">
        <v>6578</v>
      </c>
      <c r="S596" s="91">
        <v>14186</v>
      </c>
      <c r="T596" s="91">
        <v>61073</v>
      </c>
    </row>
    <row r="597" spans="1:20" ht="30" customHeight="1" x14ac:dyDescent="0.35">
      <c r="A597" s="88">
        <v>610127</v>
      </c>
      <c r="B597" s="89" t="s">
        <v>6579</v>
      </c>
      <c r="C597" s="89" t="s">
        <v>6580</v>
      </c>
      <c r="D597" s="90" t="s">
        <v>4077</v>
      </c>
      <c r="E597" s="89" t="s">
        <v>6581</v>
      </c>
      <c r="F597" s="89"/>
      <c r="G597" s="89" t="s">
        <v>2833</v>
      </c>
      <c r="H597" s="91">
        <v>6100</v>
      </c>
      <c r="I597" s="89" t="s">
        <v>5001</v>
      </c>
      <c r="J597" s="92" t="s">
        <v>883</v>
      </c>
      <c r="K597" s="92"/>
      <c r="L597" s="92" t="s">
        <v>5002</v>
      </c>
      <c r="M597" s="92" t="s">
        <v>5003</v>
      </c>
      <c r="N597" s="93">
        <v>6100</v>
      </c>
      <c r="O597" s="94">
        <v>1000000</v>
      </c>
      <c r="P597" s="94">
        <v>8400</v>
      </c>
      <c r="Q597" s="92" t="s">
        <v>3957</v>
      </c>
      <c r="R597" s="92" t="s">
        <v>6582</v>
      </c>
      <c r="S597" s="91">
        <v>61050</v>
      </c>
      <c r="T597" s="91">
        <v>61010</v>
      </c>
    </row>
    <row r="598" spans="1:20" ht="30" customHeight="1" x14ac:dyDescent="0.35">
      <c r="A598" s="88">
        <v>610128</v>
      </c>
      <c r="B598" s="89" t="s">
        <v>6583</v>
      </c>
      <c r="C598" s="89" t="s">
        <v>6584</v>
      </c>
      <c r="D598" s="90" t="s">
        <v>4077</v>
      </c>
      <c r="E598" s="89" t="s">
        <v>2835</v>
      </c>
      <c r="F598" s="89"/>
      <c r="G598" s="89" t="s">
        <v>2836</v>
      </c>
      <c r="H598" s="91">
        <v>6100</v>
      </c>
      <c r="I598" s="89" t="s">
        <v>5001</v>
      </c>
      <c r="J598" s="92" t="s">
        <v>883</v>
      </c>
      <c r="K598" s="92"/>
      <c r="L598" s="92" t="s">
        <v>5002</v>
      </c>
      <c r="M598" s="92" t="s">
        <v>5003</v>
      </c>
      <c r="N598" s="93">
        <v>6100</v>
      </c>
      <c r="O598" s="94">
        <v>1000000</v>
      </c>
      <c r="P598" s="94">
        <v>8400</v>
      </c>
      <c r="Q598" s="92" t="s">
        <v>3957</v>
      </c>
      <c r="R598" s="92" t="s">
        <v>6585</v>
      </c>
      <c r="S598" s="91">
        <v>61050</v>
      </c>
      <c r="T598" s="91">
        <v>61010</v>
      </c>
    </row>
    <row r="599" spans="1:20" ht="30" customHeight="1" x14ac:dyDescent="0.35">
      <c r="A599" s="88">
        <v>610129</v>
      </c>
      <c r="B599" s="89" t="s">
        <v>6586</v>
      </c>
      <c r="C599" s="89" t="s">
        <v>6587</v>
      </c>
      <c r="D599" s="90" t="s">
        <v>4077</v>
      </c>
      <c r="E599" s="89" t="s">
        <v>6588</v>
      </c>
      <c r="F599" s="89"/>
      <c r="G599" s="89" t="s">
        <v>2839</v>
      </c>
      <c r="H599" s="91">
        <v>6100</v>
      </c>
      <c r="I599" s="89" t="s">
        <v>5001</v>
      </c>
      <c r="J599" s="92" t="s">
        <v>883</v>
      </c>
      <c r="K599" s="92"/>
      <c r="L599" s="92" t="s">
        <v>5002</v>
      </c>
      <c r="M599" s="92" t="s">
        <v>5003</v>
      </c>
      <c r="N599" s="93">
        <v>6100</v>
      </c>
      <c r="O599" s="94">
        <v>1000000</v>
      </c>
      <c r="P599" s="94">
        <v>8400</v>
      </c>
      <c r="Q599" s="92" t="s">
        <v>3957</v>
      </c>
      <c r="R599" s="92" t="s">
        <v>6589</v>
      </c>
      <c r="S599" s="91">
        <v>61050</v>
      </c>
      <c r="T599" s="91">
        <v>61010</v>
      </c>
    </row>
    <row r="600" spans="1:20" ht="30" customHeight="1" x14ac:dyDescent="0.35">
      <c r="A600" s="88">
        <v>610142</v>
      </c>
      <c r="B600" s="89" t="s">
        <v>6590</v>
      </c>
      <c r="C600" s="89" t="s">
        <v>6591</v>
      </c>
      <c r="D600" s="90" t="s">
        <v>4077</v>
      </c>
      <c r="E600" s="89" t="s">
        <v>2841</v>
      </c>
      <c r="F600" s="89" t="s">
        <v>6592</v>
      </c>
      <c r="G600" s="89" t="s">
        <v>2842</v>
      </c>
      <c r="H600" s="91">
        <v>6100</v>
      </c>
      <c r="I600" s="89" t="s">
        <v>5001</v>
      </c>
      <c r="J600" s="92" t="s">
        <v>883</v>
      </c>
      <c r="K600" s="92"/>
      <c r="L600" s="92" t="s">
        <v>5002</v>
      </c>
      <c r="M600" s="92" t="s">
        <v>5003</v>
      </c>
      <c r="N600" s="93">
        <v>6100</v>
      </c>
      <c r="O600" s="94">
        <v>1000000</v>
      </c>
      <c r="P600" s="94">
        <v>8400</v>
      </c>
      <c r="Q600" s="92" t="s">
        <v>3957</v>
      </c>
      <c r="R600" s="92" t="s">
        <v>6593</v>
      </c>
      <c r="S600" s="91">
        <v>61050</v>
      </c>
      <c r="T600" s="91">
        <v>61010</v>
      </c>
    </row>
    <row r="601" spans="1:20" ht="30" customHeight="1" x14ac:dyDescent="0.35">
      <c r="A601" s="88">
        <v>610144</v>
      </c>
      <c r="B601" s="89" t="s">
        <v>6594</v>
      </c>
      <c r="C601" s="89" t="s">
        <v>6595</v>
      </c>
      <c r="D601" s="90" t="s">
        <v>4077</v>
      </c>
      <c r="E601" s="89" t="s">
        <v>2844</v>
      </c>
      <c r="F601" s="89"/>
      <c r="G601" s="89" t="s">
        <v>2845</v>
      </c>
      <c r="H601" s="91">
        <v>6100</v>
      </c>
      <c r="I601" s="89" t="s">
        <v>5001</v>
      </c>
      <c r="J601" s="92" t="s">
        <v>883</v>
      </c>
      <c r="K601" s="92"/>
      <c r="L601" s="92" t="s">
        <v>5002</v>
      </c>
      <c r="M601" s="92" t="s">
        <v>5003</v>
      </c>
      <c r="N601" s="93">
        <v>6100</v>
      </c>
      <c r="O601" s="94">
        <v>1000000</v>
      </c>
      <c r="P601" s="94">
        <v>8400</v>
      </c>
      <c r="Q601" s="92" t="s">
        <v>3957</v>
      </c>
      <c r="R601" s="92" t="s">
        <v>6596</v>
      </c>
      <c r="S601" s="91">
        <v>61050</v>
      </c>
      <c r="T601" s="91">
        <v>61010</v>
      </c>
    </row>
    <row r="602" spans="1:20" ht="30" customHeight="1" x14ac:dyDescent="0.35">
      <c r="A602" s="88">
        <v>610241</v>
      </c>
      <c r="B602" s="89" t="s">
        <v>6597</v>
      </c>
      <c r="C602" s="89" t="s">
        <v>6598</v>
      </c>
      <c r="D602" s="90" t="s">
        <v>4077</v>
      </c>
      <c r="E602" s="89" t="s">
        <v>2847</v>
      </c>
      <c r="F602" s="89"/>
      <c r="G602" s="89" t="s">
        <v>2848</v>
      </c>
      <c r="H602" s="91">
        <v>6100</v>
      </c>
      <c r="I602" s="89" t="s">
        <v>5001</v>
      </c>
      <c r="J602" s="92" t="s">
        <v>883</v>
      </c>
      <c r="K602" s="92"/>
      <c r="L602" s="92" t="s">
        <v>5002</v>
      </c>
      <c r="M602" s="92" t="s">
        <v>5003</v>
      </c>
      <c r="N602" s="93">
        <v>6100</v>
      </c>
      <c r="O602" s="94">
        <v>1000000</v>
      </c>
      <c r="P602" s="94">
        <v>8400</v>
      </c>
      <c r="Q602" s="92" t="s">
        <v>3957</v>
      </c>
      <c r="R602" s="92" t="s">
        <v>6599</v>
      </c>
      <c r="S602" s="91">
        <v>61050</v>
      </c>
      <c r="T602" s="91">
        <v>61010</v>
      </c>
    </row>
    <row r="603" spans="1:20" ht="30" customHeight="1" x14ac:dyDescent="0.35">
      <c r="A603" s="88">
        <v>610243</v>
      </c>
      <c r="B603" s="89" t="s">
        <v>6600</v>
      </c>
      <c r="C603" s="89" t="s">
        <v>6601</v>
      </c>
      <c r="D603" s="90" t="s">
        <v>4077</v>
      </c>
      <c r="E603" s="89" t="s">
        <v>6602</v>
      </c>
      <c r="F603" s="89"/>
      <c r="G603" s="89" t="s">
        <v>2851</v>
      </c>
      <c r="H603" s="91">
        <v>6102</v>
      </c>
      <c r="I603" s="89" t="s">
        <v>6603</v>
      </c>
      <c r="J603" s="92" t="s">
        <v>883</v>
      </c>
      <c r="K603" s="92"/>
      <c r="L603" s="92" t="s">
        <v>6604</v>
      </c>
      <c r="M603" s="92" t="s">
        <v>6605</v>
      </c>
      <c r="N603" s="93">
        <v>6102</v>
      </c>
      <c r="O603" s="94">
        <v>150000</v>
      </c>
      <c r="P603" s="94">
        <v>15000</v>
      </c>
      <c r="Q603" s="92" t="s">
        <v>3957</v>
      </c>
      <c r="R603" s="92" t="s">
        <v>6606</v>
      </c>
      <c r="S603" s="89" t="s">
        <v>6607</v>
      </c>
      <c r="T603" s="89" t="s">
        <v>6608</v>
      </c>
    </row>
    <row r="604" spans="1:20" ht="30" customHeight="1" x14ac:dyDescent="0.35">
      <c r="A604" s="88">
        <v>610249</v>
      </c>
      <c r="B604" s="89" t="s">
        <v>6609</v>
      </c>
      <c r="C604" s="89" t="s">
        <v>6610</v>
      </c>
      <c r="D604" s="90" t="s">
        <v>4077</v>
      </c>
      <c r="E604" s="89" t="s">
        <v>6611</v>
      </c>
      <c r="F604" s="89"/>
      <c r="G604" s="89" t="s">
        <v>2854</v>
      </c>
      <c r="H604" s="91">
        <v>6100</v>
      </c>
      <c r="I604" s="89" t="s">
        <v>5001</v>
      </c>
      <c r="J604" s="92" t="s">
        <v>883</v>
      </c>
      <c r="K604" s="92"/>
      <c r="L604" s="92" t="s">
        <v>5002</v>
      </c>
      <c r="M604" s="92" t="s">
        <v>5003</v>
      </c>
      <c r="N604" s="93">
        <v>6100</v>
      </c>
      <c r="O604" s="94">
        <v>1000000</v>
      </c>
      <c r="P604" s="94">
        <v>8400</v>
      </c>
      <c r="Q604" s="92" t="s">
        <v>3957</v>
      </c>
      <c r="R604" s="92" t="s">
        <v>6612</v>
      </c>
      <c r="S604" s="91">
        <v>61050</v>
      </c>
      <c r="T604" s="91">
        <v>61070</v>
      </c>
    </row>
    <row r="605" spans="1:20" ht="30" customHeight="1" x14ac:dyDescent="0.35">
      <c r="A605" s="88">
        <v>610281</v>
      </c>
      <c r="B605" s="89" t="s">
        <v>6613</v>
      </c>
      <c r="C605" s="89" t="s">
        <v>6614</v>
      </c>
      <c r="D605" s="90" t="s">
        <v>4077</v>
      </c>
      <c r="E605" s="89" t="s">
        <v>6615</v>
      </c>
      <c r="F605" s="89"/>
      <c r="G605" s="89" t="s">
        <v>2857</v>
      </c>
      <c r="H605" s="91">
        <v>6100</v>
      </c>
      <c r="I605" s="89" t="s">
        <v>5001</v>
      </c>
      <c r="J605" s="92" t="s">
        <v>883</v>
      </c>
      <c r="K605" s="92"/>
      <c r="L605" s="92" t="s">
        <v>5002</v>
      </c>
      <c r="M605" s="92" t="s">
        <v>5003</v>
      </c>
      <c r="N605" s="93">
        <v>6100</v>
      </c>
      <c r="O605" s="94">
        <v>1000000</v>
      </c>
      <c r="P605" s="94">
        <v>8400</v>
      </c>
      <c r="Q605" s="92" t="s">
        <v>3957</v>
      </c>
      <c r="R605" s="92" t="s">
        <v>6616</v>
      </c>
      <c r="S605" s="91">
        <v>61050</v>
      </c>
      <c r="T605" s="91">
        <v>61070</v>
      </c>
    </row>
    <row r="606" spans="1:20" ht="30" customHeight="1" x14ac:dyDescent="0.35">
      <c r="A606" s="88">
        <v>610282</v>
      </c>
      <c r="B606" s="89" t="s">
        <v>6617</v>
      </c>
      <c r="C606" s="89" t="s">
        <v>6618</v>
      </c>
      <c r="D606" s="90" t="s">
        <v>4077</v>
      </c>
      <c r="E606" s="89" t="s">
        <v>6619</v>
      </c>
      <c r="F606" s="89"/>
      <c r="G606" s="89" t="s">
        <v>2860</v>
      </c>
      <c r="H606" s="91">
        <v>6100</v>
      </c>
      <c r="I606" s="89" t="s">
        <v>5001</v>
      </c>
      <c r="J606" s="92" t="s">
        <v>883</v>
      </c>
      <c r="K606" s="92"/>
      <c r="L606" s="92" t="s">
        <v>5002</v>
      </c>
      <c r="M606" s="92" t="s">
        <v>5003</v>
      </c>
      <c r="N606" s="93">
        <v>6100</v>
      </c>
      <c r="O606" s="94">
        <v>1000000</v>
      </c>
      <c r="P606" s="94">
        <v>8400</v>
      </c>
      <c r="Q606" s="92" t="s">
        <v>3957</v>
      </c>
      <c r="R606" s="92" t="s">
        <v>6620</v>
      </c>
      <c r="S606" s="91">
        <v>61050</v>
      </c>
      <c r="T606" s="91">
        <v>61070</v>
      </c>
    </row>
    <row r="607" spans="1:20" ht="30" customHeight="1" x14ac:dyDescent="0.35">
      <c r="A607" s="88">
        <v>610284</v>
      </c>
      <c r="B607" s="89" t="s">
        <v>6621</v>
      </c>
      <c r="C607" s="89" t="s">
        <v>6622</v>
      </c>
      <c r="D607" s="90" t="s">
        <v>4077</v>
      </c>
      <c r="E607" s="89" t="s">
        <v>6623</v>
      </c>
      <c r="F607" s="89"/>
      <c r="G607" s="89" t="s">
        <v>2863</v>
      </c>
      <c r="H607" s="91">
        <v>6100</v>
      </c>
      <c r="I607" s="89" t="s">
        <v>5001</v>
      </c>
      <c r="J607" s="92" t="s">
        <v>883</v>
      </c>
      <c r="K607" s="92"/>
      <c r="L607" s="92" t="s">
        <v>5002</v>
      </c>
      <c r="M607" s="92" t="s">
        <v>5003</v>
      </c>
      <c r="N607" s="93">
        <v>6100</v>
      </c>
      <c r="O607" s="94">
        <v>1000000</v>
      </c>
      <c r="P607" s="94">
        <v>8400</v>
      </c>
      <c r="Q607" s="92" t="s">
        <v>3957</v>
      </c>
      <c r="R607" s="92" t="s">
        <v>6624</v>
      </c>
      <c r="S607" s="91">
        <v>61050</v>
      </c>
      <c r="T607" s="91">
        <v>61070</v>
      </c>
    </row>
    <row r="608" spans="1:20" ht="30" customHeight="1" x14ac:dyDescent="0.35">
      <c r="A608" s="88">
        <v>610285</v>
      </c>
      <c r="B608" s="89" t="s">
        <v>6625</v>
      </c>
      <c r="C608" s="89" t="s">
        <v>6626</v>
      </c>
      <c r="D608" s="90" t="s">
        <v>4077</v>
      </c>
      <c r="E608" s="89" t="s">
        <v>2865</v>
      </c>
      <c r="F608" s="89"/>
      <c r="G608" s="89" t="s">
        <v>2866</v>
      </c>
      <c r="H608" s="91">
        <v>6100</v>
      </c>
      <c r="I608" s="89" t="s">
        <v>5001</v>
      </c>
      <c r="J608" s="92" t="s">
        <v>883</v>
      </c>
      <c r="K608" s="92"/>
      <c r="L608" s="92" t="s">
        <v>5002</v>
      </c>
      <c r="M608" s="92" t="s">
        <v>5003</v>
      </c>
      <c r="N608" s="93">
        <v>6100</v>
      </c>
      <c r="O608" s="94">
        <v>1000000</v>
      </c>
      <c r="P608" s="94">
        <v>8400</v>
      </c>
      <c r="Q608" s="92" t="s">
        <v>3957</v>
      </c>
      <c r="R608" s="92" t="s">
        <v>6627</v>
      </c>
      <c r="S608" s="91">
        <v>61050</v>
      </c>
      <c r="T608" s="91">
        <v>61070</v>
      </c>
    </row>
    <row r="609" spans="1:20" ht="30" customHeight="1" x14ac:dyDescent="0.35">
      <c r="A609" s="88">
        <v>610286</v>
      </c>
      <c r="B609" s="89" t="s">
        <v>6628</v>
      </c>
      <c r="C609" s="89" t="s">
        <v>6629</v>
      </c>
      <c r="D609" s="90" t="s">
        <v>4077</v>
      </c>
      <c r="E609" s="89" t="s">
        <v>2868</v>
      </c>
      <c r="F609" s="89"/>
      <c r="G609" s="89" t="s">
        <v>2869</v>
      </c>
      <c r="H609" s="91">
        <v>6100</v>
      </c>
      <c r="I609" s="89" t="s">
        <v>5001</v>
      </c>
      <c r="J609" s="92" t="s">
        <v>883</v>
      </c>
      <c r="K609" s="92"/>
      <c r="L609" s="92" t="s">
        <v>5002</v>
      </c>
      <c r="M609" s="92" t="s">
        <v>5003</v>
      </c>
      <c r="N609" s="93">
        <v>6100</v>
      </c>
      <c r="O609" s="94">
        <v>1000000</v>
      </c>
      <c r="P609" s="94">
        <v>8400</v>
      </c>
      <c r="Q609" s="92" t="s">
        <v>3957</v>
      </c>
      <c r="R609" s="92" t="s">
        <v>6630</v>
      </c>
      <c r="S609" s="91">
        <v>61050</v>
      </c>
      <c r="T609" s="91">
        <v>61070</v>
      </c>
    </row>
    <row r="610" spans="1:20" ht="30" customHeight="1" x14ac:dyDescent="0.35">
      <c r="A610" s="88">
        <v>610287</v>
      </c>
      <c r="B610" s="89" t="s">
        <v>6631</v>
      </c>
      <c r="C610" s="89" t="s">
        <v>6632</v>
      </c>
      <c r="D610" s="90" t="s">
        <v>4077</v>
      </c>
      <c r="E610" s="89" t="s">
        <v>6633</v>
      </c>
      <c r="F610" s="89"/>
      <c r="G610" s="89" t="s">
        <v>2872</v>
      </c>
      <c r="H610" s="91">
        <v>6100</v>
      </c>
      <c r="I610" s="89" t="s">
        <v>5001</v>
      </c>
      <c r="J610" s="92" t="s">
        <v>883</v>
      </c>
      <c r="K610" s="92"/>
      <c r="L610" s="92" t="s">
        <v>5002</v>
      </c>
      <c r="M610" s="92" t="s">
        <v>5003</v>
      </c>
      <c r="N610" s="93">
        <v>6100</v>
      </c>
      <c r="O610" s="94">
        <v>1000000</v>
      </c>
      <c r="P610" s="94">
        <v>8400</v>
      </c>
      <c r="Q610" s="92" t="s">
        <v>3957</v>
      </c>
      <c r="R610" s="92" t="s">
        <v>6634</v>
      </c>
      <c r="S610" s="91">
        <v>61050</v>
      </c>
      <c r="T610" s="91">
        <v>61070</v>
      </c>
    </row>
    <row r="611" spans="1:20" ht="30" customHeight="1" x14ac:dyDescent="0.35">
      <c r="A611" s="88">
        <v>610311</v>
      </c>
      <c r="B611" s="89" t="s">
        <v>6635</v>
      </c>
      <c r="C611" s="89" t="s">
        <v>6636</v>
      </c>
      <c r="D611" s="90" t="s">
        <v>4077</v>
      </c>
      <c r="E611" s="89" t="s">
        <v>2874</v>
      </c>
      <c r="F611" s="89"/>
      <c r="G611" s="89" t="s">
        <v>2875</v>
      </c>
      <c r="H611" s="91">
        <v>6100</v>
      </c>
      <c r="I611" s="89" t="s">
        <v>5001</v>
      </c>
      <c r="J611" s="92" t="s">
        <v>883</v>
      </c>
      <c r="K611" s="92"/>
      <c r="L611" s="92" t="s">
        <v>5002</v>
      </c>
      <c r="M611" s="92" t="s">
        <v>5003</v>
      </c>
      <c r="N611" s="93">
        <v>6100</v>
      </c>
      <c r="O611" s="94">
        <v>1000000</v>
      </c>
      <c r="P611" s="94">
        <v>8400</v>
      </c>
      <c r="Q611" s="92" t="s">
        <v>3957</v>
      </c>
      <c r="R611" s="92" t="s">
        <v>6637</v>
      </c>
      <c r="S611" s="91">
        <v>61050</v>
      </c>
      <c r="T611" s="91">
        <v>61077</v>
      </c>
    </row>
    <row r="612" spans="1:20" ht="30" customHeight="1" x14ac:dyDescent="0.35">
      <c r="A612" s="88">
        <v>610332</v>
      </c>
      <c r="B612" s="89" t="s">
        <v>6638</v>
      </c>
      <c r="C612" s="89" t="s">
        <v>6639</v>
      </c>
      <c r="D612" s="90" t="s">
        <v>4077</v>
      </c>
      <c r="E612" s="89" t="s">
        <v>2877</v>
      </c>
      <c r="F612" s="89"/>
      <c r="G612" s="89" t="s">
        <v>2878</v>
      </c>
      <c r="H612" s="91">
        <v>1445</v>
      </c>
      <c r="I612" s="89" t="s">
        <v>6640</v>
      </c>
      <c r="J612" s="92" t="s">
        <v>883</v>
      </c>
      <c r="K612" s="92"/>
      <c r="L612" s="92" t="s">
        <v>6641</v>
      </c>
      <c r="M612" s="92" t="s">
        <v>5803</v>
      </c>
      <c r="N612" s="93">
        <v>1445</v>
      </c>
      <c r="O612" s="94">
        <v>23000</v>
      </c>
      <c r="P612" s="94">
        <v>3800</v>
      </c>
      <c r="Q612" s="92" t="s">
        <v>3957</v>
      </c>
      <c r="R612" s="92" t="s">
        <v>6642</v>
      </c>
      <c r="S612" s="91">
        <v>14126</v>
      </c>
      <c r="T612" s="89" t="s">
        <v>643</v>
      </c>
    </row>
    <row r="613" spans="1:20" ht="30" customHeight="1" x14ac:dyDescent="0.35">
      <c r="A613" s="88">
        <v>610675</v>
      </c>
      <c r="B613" s="89" t="s">
        <v>6643</v>
      </c>
      <c r="C613" s="89" t="s">
        <v>6644</v>
      </c>
      <c r="D613" s="90" t="s">
        <v>4077</v>
      </c>
      <c r="E613" s="89" t="s">
        <v>2880</v>
      </c>
      <c r="F613" s="89"/>
      <c r="G613" s="89" t="s">
        <v>2881</v>
      </c>
      <c r="H613" s="91">
        <v>6100</v>
      </c>
      <c r="I613" s="89" t="s">
        <v>5001</v>
      </c>
      <c r="J613" s="92" t="s">
        <v>883</v>
      </c>
      <c r="K613" s="92"/>
      <c r="L613" s="92" t="s">
        <v>5002</v>
      </c>
      <c r="M613" s="92" t="s">
        <v>5003</v>
      </c>
      <c r="N613" s="93">
        <v>6100</v>
      </c>
      <c r="O613" s="94">
        <v>1000000</v>
      </c>
      <c r="P613" s="94">
        <v>8400</v>
      </c>
      <c r="Q613" s="92" t="s">
        <v>3957</v>
      </c>
      <c r="R613" s="92" t="s">
        <v>6645</v>
      </c>
      <c r="S613" s="91">
        <v>61050</v>
      </c>
      <c r="T613" s="91">
        <v>61010</v>
      </c>
    </row>
    <row r="614" spans="1:20" ht="30" customHeight="1" x14ac:dyDescent="0.35">
      <c r="A614" s="88">
        <v>610711</v>
      </c>
      <c r="B614" s="89" t="s">
        <v>6646</v>
      </c>
      <c r="C614" s="89" t="s">
        <v>6647</v>
      </c>
      <c r="D614" s="90" t="s">
        <v>4077</v>
      </c>
      <c r="E614" s="89" t="s">
        <v>2883</v>
      </c>
      <c r="F614" s="89"/>
      <c r="G614" s="89" t="s">
        <v>2884</v>
      </c>
      <c r="H614" s="91">
        <v>6104</v>
      </c>
      <c r="I614" s="89" t="s">
        <v>6648</v>
      </c>
      <c r="J614" s="92" t="s">
        <v>883</v>
      </c>
      <c r="K614" s="92"/>
      <c r="L614" s="92" t="s">
        <v>6649</v>
      </c>
      <c r="M614" s="92" t="s">
        <v>6650</v>
      </c>
      <c r="N614" s="93">
        <v>6104</v>
      </c>
      <c r="O614" s="94">
        <v>100000</v>
      </c>
      <c r="P614" s="94">
        <v>16000</v>
      </c>
      <c r="Q614" s="92" t="s">
        <v>3957</v>
      </c>
      <c r="R614" s="92" t="s">
        <v>6647</v>
      </c>
      <c r="S614" s="91">
        <v>13131</v>
      </c>
      <c r="T614" s="91">
        <v>14340</v>
      </c>
    </row>
    <row r="615" spans="1:20" ht="30" customHeight="1" x14ac:dyDescent="0.35">
      <c r="A615" s="88">
        <v>610717</v>
      </c>
      <c r="B615" s="89" t="s">
        <v>6651</v>
      </c>
      <c r="C615" s="89" t="s">
        <v>6652</v>
      </c>
      <c r="D615" s="90" t="s">
        <v>4077</v>
      </c>
      <c r="E615" s="89" t="s">
        <v>2886</v>
      </c>
      <c r="F615" s="89"/>
      <c r="G615" s="89" t="s">
        <v>2887</v>
      </c>
      <c r="H615" s="91">
        <v>6103</v>
      </c>
      <c r="I615" s="89" t="s">
        <v>6653</v>
      </c>
      <c r="J615" s="92" t="s">
        <v>883</v>
      </c>
      <c r="K615" s="92"/>
      <c r="L615" s="92" t="s">
        <v>6654</v>
      </c>
      <c r="M615" s="92" t="s">
        <v>5571</v>
      </c>
      <c r="N615" s="93">
        <v>6103</v>
      </c>
      <c r="O615" s="94">
        <v>48000</v>
      </c>
      <c r="P615" s="94">
        <v>9500</v>
      </c>
      <c r="Q615" s="92" t="s">
        <v>3957</v>
      </c>
      <c r="R615" s="92" t="s">
        <v>6655</v>
      </c>
      <c r="S615" s="91">
        <v>13185</v>
      </c>
      <c r="T615" s="91">
        <v>22950</v>
      </c>
    </row>
    <row r="616" spans="1:20" ht="30" customHeight="1" x14ac:dyDescent="0.35">
      <c r="A616" s="88">
        <v>610718</v>
      </c>
      <c r="B616" s="89" t="s">
        <v>6656</v>
      </c>
      <c r="C616" s="89" t="s">
        <v>6657</v>
      </c>
      <c r="D616" s="90" t="s">
        <v>4077</v>
      </c>
      <c r="E616" s="89" t="s">
        <v>2889</v>
      </c>
      <c r="F616" s="89"/>
      <c r="G616" s="89" t="s">
        <v>2890</v>
      </c>
      <c r="H616" s="91">
        <v>6103</v>
      </c>
      <c r="I616" s="89" t="s">
        <v>6653</v>
      </c>
      <c r="J616" s="92" t="s">
        <v>883</v>
      </c>
      <c r="K616" s="92"/>
      <c r="L616" s="92" t="s">
        <v>6654</v>
      </c>
      <c r="M616" s="92" t="s">
        <v>5571</v>
      </c>
      <c r="N616" s="93">
        <v>6103</v>
      </c>
      <c r="O616" s="94">
        <v>48000</v>
      </c>
      <c r="P616" s="94">
        <v>9500</v>
      </c>
      <c r="Q616" s="92" t="s">
        <v>3957</v>
      </c>
      <c r="R616" s="92" t="s">
        <v>6658</v>
      </c>
      <c r="S616" s="91">
        <v>13185</v>
      </c>
      <c r="T616" s="91">
        <v>22950</v>
      </c>
    </row>
    <row r="617" spans="1:20" ht="30" customHeight="1" x14ac:dyDescent="0.35">
      <c r="A617" s="88">
        <v>610760</v>
      </c>
      <c r="B617" s="89" t="s">
        <v>6659</v>
      </c>
      <c r="C617" s="89"/>
      <c r="D617" s="90" t="s">
        <v>4077</v>
      </c>
      <c r="E617" s="89" t="s">
        <v>6660</v>
      </c>
      <c r="F617" s="89"/>
      <c r="G617" s="89" t="s">
        <v>909</v>
      </c>
      <c r="H617" s="91">
        <v>6107</v>
      </c>
      <c r="I617" s="89" t="s">
        <v>6661</v>
      </c>
      <c r="J617" s="92" t="s">
        <v>883</v>
      </c>
      <c r="K617" s="92"/>
      <c r="L617" s="92"/>
      <c r="M617" s="92"/>
      <c r="N617" s="93"/>
      <c r="O617" s="94"/>
      <c r="P617" s="94"/>
      <c r="Q617" s="92"/>
      <c r="R617" s="92"/>
      <c r="S617" s="91"/>
      <c r="T617" s="91"/>
    </row>
    <row r="618" spans="1:20" ht="30" customHeight="1" x14ac:dyDescent="0.35">
      <c r="A618" s="88">
        <v>610811</v>
      </c>
      <c r="B618" s="89" t="s">
        <v>6662</v>
      </c>
      <c r="C618" s="89" t="s">
        <v>6663</v>
      </c>
      <c r="D618" s="90" t="s">
        <v>4077</v>
      </c>
      <c r="E618" s="89" t="s">
        <v>2894</v>
      </c>
      <c r="F618" s="89" t="s">
        <v>6664</v>
      </c>
      <c r="G618" s="89" t="s">
        <v>2895</v>
      </c>
      <c r="H618" s="91">
        <v>6100</v>
      </c>
      <c r="I618" s="89" t="s">
        <v>5001</v>
      </c>
      <c r="J618" s="92" t="s">
        <v>883</v>
      </c>
      <c r="K618" s="92"/>
      <c r="L618" s="92" t="s">
        <v>5002</v>
      </c>
      <c r="M618" s="92" t="s">
        <v>5003</v>
      </c>
      <c r="N618" s="93">
        <v>6100</v>
      </c>
      <c r="O618" s="94">
        <v>1000000</v>
      </c>
      <c r="P618" s="94">
        <v>8400</v>
      </c>
      <c r="Q618" s="92" t="s">
        <v>3957</v>
      </c>
      <c r="R618" s="92" t="s">
        <v>6665</v>
      </c>
      <c r="S618" s="89" t="s">
        <v>6666</v>
      </c>
      <c r="T618" s="91">
        <v>61010</v>
      </c>
    </row>
    <row r="619" spans="1:20" ht="30" customHeight="1" x14ac:dyDescent="0.35">
      <c r="A619" s="88">
        <v>610911</v>
      </c>
      <c r="B619" s="89" t="s">
        <v>6667</v>
      </c>
      <c r="C619" s="89" t="s">
        <v>6668</v>
      </c>
      <c r="D619" s="90" t="s">
        <v>4077</v>
      </c>
      <c r="E619" s="89" t="s">
        <v>6669</v>
      </c>
      <c r="F619" s="89"/>
      <c r="G619" s="89" t="s">
        <v>2898</v>
      </c>
      <c r="H619" s="91">
        <v>6100</v>
      </c>
      <c r="I619" s="89" t="s">
        <v>5001</v>
      </c>
      <c r="J619" s="92" t="s">
        <v>883</v>
      </c>
      <c r="K619" s="92"/>
      <c r="L619" s="92" t="s">
        <v>5002</v>
      </c>
      <c r="M619" s="92" t="s">
        <v>5003</v>
      </c>
      <c r="N619" s="93">
        <v>6100</v>
      </c>
      <c r="O619" s="94">
        <v>1000000</v>
      </c>
      <c r="P619" s="94">
        <v>8400</v>
      </c>
      <c r="Q619" s="92" t="s">
        <v>3957</v>
      </c>
      <c r="R619" s="92" t="s">
        <v>6670</v>
      </c>
      <c r="S619" s="91">
        <v>61050</v>
      </c>
      <c r="T619" s="91">
        <v>61010</v>
      </c>
    </row>
    <row r="620" spans="1:20" ht="30" customHeight="1" x14ac:dyDescent="0.35">
      <c r="A620" s="88">
        <v>610913</v>
      </c>
      <c r="B620" s="89" t="s">
        <v>6671</v>
      </c>
      <c r="C620" s="89" t="s">
        <v>6672</v>
      </c>
      <c r="D620" s="90" t="s">
        <v>4077</v>
      </c>
      <c r="E620" s="89" t="s">
        <v>6673</v>
      </c>
      <c r="F620" s="89"/>
      <c r="G620" s="89" t="s">
        <v>2901</v>
      </c>
      <c r="H620" s="91">
        <v>6100</v>
      </c>
      <c r="I620" s="89" t="s">
        <v>5001</v>
      </c>
      <c r="J620" s="92" t="s">
        <v>883</v>
      </c>
      <c r="K620" s="92"/>
      <c r="L620" s="92" t="s">
        <v>5002</v>
      </c>
      <c r="M620" s="92" t="s">
        <v>5003</v>
      </c>
      <c r="N620" s="93">
        <v>6100</v>
      </c>
      <c r="O620" s="94">
        <v>1000000</v>
      </c>
      <c r="P620" s="94">
        <v>8400</v>
      </c>
      <c r="Q620" s="92" t="s">
        <v>3957</v>
      </c>
      <c r="R620" s="92" t="s">
        <v>6674</v>
      </c>
      <c r="S620" s="91">
        <v>61050</v>
      </c>
      <c r="T620" s="91">
        <v>61010</v>
      </c>
    </row>
    <row r="621" spans="1:20" ht="30" customHeight="1" x14ac:dyDescent="0.35">
      <c r="A621" s="88">
        <v>610915</v>
      </c>
      <c r="B621" s="89" t="s">
        <v>6675</v>
      </c>
      <c r="C621" s="89" t="s">
        <v>6676</v>
      </c>
      <c r="D621" s="90" t="s">
        <v>4077</v>
      </c>
      <c r="E621" s="89" t="s">
        <v>6677</v>
      </c>
      <c r="F621" s="89" t="s">
        <v>6678</v>
      </c>
      <c r="G621" s="89" t="s">
        <v>2904</v>
      </c>
      <c r="H621" s="91">
        <v>6100</v>
      </c>
      <c r="I621" s="89" t="s">
        <v>5001</v>
      </c>
      <c r="J621" s="92" t="s">
        <v>883</v>
      </c>
      <c r="K621" s="92"/>
      <c r="L621" s="92" t="s">
        <v>5002</v>
      </c>
      <c r="M621" s="92" t="s">
        <v>5003</v>
      </c>
      <c r="N621" s="93">
        <v>6100</v>
      </c>
      <c r="O621" s="94">
        <v>1000000</v>
      </c>
      <c r="P621" s="94">
        <v>8400</v>
      </c>
      <c r="Q621" s="92" t="s">
        <v>3957</v>
      </c>
      <c r="R621" s="92" t="s">
        <v>6679</v>
      </c>
      <c r="S621" s="91">
        <v>61050</v>
      </c>
      <c r="T621" s="91">
        <v>61010</v>
      </c>
    </row>
    <row r="622" spans="1:20" ht="30" customHeight="1" x14ac:dyDescent="0.35">
      <c r="A622" s="92">
        <v>610916</v>
      </c>
      <c r="B622" s="89" t="s">
        <v>6680</v>
      </c>
      <c r="C622" s="89" t="s">
        <v>4491</v>
      </c>
      <c r="D622" s="90" t="s">
        <v>4077</v>
      </c>
      <c r="E622" s="89" t="s">
        <v>2906</v>
      </c>
      <c r="F622" s="89"/>
      <c r="G622" s="89" t="s">
        <v>909</v>
      </c>
      <c r="H622" s="89">
        <v>6100</v>
      </c>
      <c r="I622" s="89" t="s">
        <v>5001</v>
      </c>
      <c r="J622" s="92"/>
      <c r="K622" s="92"/>
      <c r="L622" s="92"/>
      <c r="M622" s="92"/>
      <c r="N622" s="90"/>
      <c r="O622" s="92"/>
      <c r="P622" s="92"/>
      <c r="Q622" s="92"/>
      <c r="R622" s="92"/>
      <c r="S622" s="89"/>
      <c r="T622" s="89"/>
    </row>
    <row r="623" spans="1:20" ht="30" customHeight="1" x14ac:dyDescent="0.35">
      <c r="A623" s="88">
        <v>620099</v>
      </c>
      <c r="B623" s="89" t="s">
        <v>6681</v>
      </c>
      <c r="C623" s="89" t="s">
        <v>6682</v>
      </c>
      <c r="D623" s="90" t="s">
        <v>4077</v>
      </c>
      <c r="E623" s="89" t="s">
        <v>6683</v>
      </c>
      <c r="F623" s="89"/>
      <c r="G623" s="89" t="s">
        <v>2909</v>
      </c>
      <c r="H623" s="91">
        <v>6200</v>
      </c>
      <c r="I623" s="89" t="s">
        <v>6684</v>
      </c>
      <c r="J623" s="92" t="s">
        <v>883</v>
      </c>
      <c r="K623" s="92"/>
      <c r="L623" s="92" t="s">
        <v>4545</v>
      </c>
      <c r="M623" s="92" t="s">
        <v>6685</v>
      </c>
      <c r="N623" s="93">
        <v>6200</v>
      </c>
      <c r="O623" s="94">
        <v>64000</v>
      </c>
      <c r="P623" s="94">
        <v>17000</v>
      </c>
      <c r="Q623" s="92" t="s">
        <v>3957</v>
      </c>
      <c r="R623" s="92" t="s">
        <v>6686</v>
      </c>
      <c r="S623" s="91">
        <v>62010</v>
      </c>
      <c r="T623" s="89" t="s">
        <v>6687</v>
      </c>
    </row>
    <row r="624" spans="1:20" ht="30" customHeight="1" x14ac:dyDescent="0.35">
      <c r="A624" s="88">
        <v>690252</v>
      </c>
      <c r="B624" s="89" t="s">
        <v>6688</v>
      </c>
      <c r="C624" s="89" t="s">
        <v>6688</v>
      </c>
      <c r="D624" s="90" t="s">
        <v>3978</v>
      </c>
      <c r="E624" s="89" t="s">
        <v>2911</v>
      </c>
      <c r="F624" s="89" t="s">
        <v>6689</v>
      </c>
      <c r="G624" s="89" t="s">
        <v>2912</v>
      </c>
      <c r="H624" s="91">
        <v>6900</v>
      </c>
      <c r="I624" s="89" t="s">
        <v>6690</v>
      </c>
      <c r="J624" s="92" t="s">
        <v>4058</v>
      </c>
      <c r="K624" s="92"/>
      <c r="L624" s="92" t="s">
        <v>6691</v>
      </c>
      <c r="M624" s="92" t="s">
        <v>6692</v>
      </c>
      <c r="N624" s="93">
        <v>6900</v>
      </c>
      <c r="O624" s="94">
        <v>200</v>
      </c>
      <c r="P624" s="94">
        <v>1</v>
      </c>
      <c r="Q624" s="92" t="s">
        <v>765</v>
      </c>
      <c r="R624" s="92" t="s">
        <v>6693</v>
      </c>
      <c r="S624" s="91">
        <v>69030</v>
      </c>
      <c r="T624" s="91">
        <v>69010</v>
      </c>
    </row>
    <row r="625" spans="1:20" ht="30" customHeight="1" x14ac:dyDescent="0.35">
      <c r="A625" s="88">
        <v>690432</v>
      </c>
      <c r="B625" s="89" t="s">
        <v>6694</v>
      </c>
      <c r="C625" s="89" t="s">
        <v>6695</v>
      </c>
      <c r="D625" s="90" t="s">
        <v>3978</v>
      </c>
      <c r="E625" s="89" t="s">
        <v>2914</v>
      </c>
      <c r="F625" s="89" t="s">
        <v>6696</v>
      </c>
      <c r="G625" s="89" t="s">
        <v>2915</v>
      </c>
      <c r="H625" s="91">
        <v>6900</v>
      </c>
      <c r="I625" s="89" t="s">
        <v>6690</v>
      </c>
      <c r="J625" s="92" t="s">
        <v>4058</v>
      </c>
      <c r="K625" s="92"/>
      <c r="L625" s="92" t="s">
        <v>6691</v>
      </c>
      <c r="M625" s="92" t="s">
        <v>6692</v>
      </c>
      <c r="N625" s="93">
        <v>6900</v>
      </c>
      <c r="O625" s="94">
        <v>200</v>
      </c>
      <c r="P625" s="94">
        <v>1</v>
      </c>
      <c r="Q625" s="92" t="s">
        <v>765</v>
      </c>
      <c r="R625" s="92" t="s">
        <v>5190</v>
      </c>
      <c r="S625" s="91">
        <v>69010</v>
      </c>
      <c r="T625" s="91">
        <v>69010</v>
      </c>
    </row>
    <row r="626" spans="1:20" ht="30" customHeight="1" x14ac:dyDescent="0.35">
      <c r="A626" s="88">
        <v>690625</v>
      </c>
      <c r="B626" s="89" t="s">
        <v>6697</v>
      </c>
      <c r="C626" s="89" t="s">
        <v>6698</v>
      </c>
      <c r="D626" s="90" t="s">
        <v>4077</v>
      </c>
      <c r="E626" s="89" t="s">
        <v>2917</v>
      </c>
      <c r="F626" s="89" t="s">
        <v>6699</v>
      </c>
      <c r="G626" s="89" t="s">
        <v>2918</v>
      </c>
      <c r="H626" s="91">
        <v>7383</v>
      </c>
      <c r="I626" s="89" t="s">
        <v>4544</v>
      </c>
      <c r="J626" s="92" t="s">
        <v>883</v>
      </c>
      <c r="K626" s="92" t="s">
        <v>36</v>
      </c>
      <c r="L626" s="92" t="s">
        <v>4545</v>
      </c>
      <c r="M626" s="92" t="s">
        <v>4546</v>
      </c>
      <c r="N626" s="93">
        <v>7383</v>
      </c>
      <c r="O626" s="94">
        <v>9300</v>
      </c>
      <c r="P626" s="94">
        <v>1100</v>
      </c>
      <c r="Q626" s="92" t="s">
        <v>3957</v>
      </c>
      <c r="R626" s="92" t="s">
        <v>6700</v>
      </c>
      <c r="S626" s="91">
        <v>73050</v>
      </c>
      <c r="T626" s="91">
        <v>73065</v>
      </c>
    </row>
    <row r="627" spans="1:20" ht="30" customHeight="1" x14ac:dyDescent="0.35">
      <c r="A627" s="88">
        <v>690792</v>
      </c>
      <c r="B627" s="89" t="s">
        <v>6701</v>
      </c>
      <c r="C627" s="89" t="s">
        <v>6702</v>
      </c>
      <c r="D627" s="90" t="s">
        <v>3978</v>
      </c>
      <c r="E627" s="89" t="s">
        <v>2920</v>
      </c>
      <c r="F627" s="89" t="s">
        <v>6703</v>
      </c>
      <c r="G627" s="89" t="s">
        <v>2921</v>
      </c>
      <c r="H627" s="91">
        <v>6900</v>
      </c>
      <c r="I627" s="89" t="s">
        <v>6690</v>
      </c>
      <c r="J627" s="92" t="s">
        <v>4058</v>
      </c>
      <c r="K627" s="92"/>
      <c r="L627" s="92" t="s">
        <v>6691</v>
      </c>
      <c r="M627" s="92" t="s">
        <v>6692</v>
      </c>
      <c r="N627" s="93">
        <v>6900</v>
      </c>
      <c r="O627" s="94">
        <v>200</v>
      </c>
      <c r="P627" s="94">
        <v>1</v>
      </c>
      <c r="Q627" s="92" t="s">
        <v>3957</v>
      </c>
      <c r="R627" s="92" t="s">
        <v>6704</v>
      </c>
      <c r="S627" s="91">
        <v>69020</v>
      </c>
      <c r="T627" s="91">
        <v>69025</v>
      </c>
    </row>
    <row r="628" spans="1:20" ht="30" customHeight="1" x14ac:dyDescent="0.35">
      <c r="A628" s="88">
        <v>690795</v>
      </c>
      <c r="B628" s="89" t="s">
        <v>6705</v>
      </c>
      <c r="C628" s="89" t="s">
        <v>6706</v>
      </c>
      <c r="D628" s="90" t="s">
        <v>3978</v>
      </c>
      <c r="E628" s="89" t="s">
        <v>6707</v>
      </c>
      <c r="F628" s="89"/>
      <c r="G628" s="89" t="s">
        <v>2924</v>
      </c>
      <c r="H628" s="91">
        <v>6900</v>
      </c>
      <c r="I628" s="89" t="s">
        <v>6690</v>
      </c>
      <c r="J628" s="92" t="s">
        <v>4058</v>
      </c>
      <c r="K628" s="92"/>
      <c r="L628" s="92" t="s">
        <v>6691</v>
      </c>
      <c r="M628" s="92" t="s">
        <v>6692</v>
      </c>
      <c r="N628" s="93">
        <v>6900</v>
      </c>
      <c r="O628" s="94">
        <v>200</v>
      </c>
      <c r="P628" s="94">
        <v>1</v>
      </c>
      <c r="Q628" s="92" t="s">
        <v>3957</v>
      </c>
      <c r="R628" s="92" t="s">
        <v>6708</v>
      </c>
      <c r="S628" s="89" t="s">
        <v>643</v>
      </c>
      <c r="T628" s="91">
        <v>69025</v>
      </c>
    </row>
    <row r="629" spans="1:20" ht="30" customHeight="1" x14ac:dyDescent="0.35">
      <c r="A629" s="88">
        <v>690798</v>
      </c>
      <c r="B629" s="89" t="s">
        <v>6709</v>
      </c>
      <c r="C629" s="89" t="s">
        <v>6710</v>
      </c>
      <c r="D629" s="90" t="s">
        <v>4077</v>
      </c>
      <c r="E629" s="89" t="s">
        <v>2926</v>
      </c>
      <c r="F629" s="89"/>
      <c r="G629" s="89" t="s">
        <v>2927</v>
      </c>
      <c r="H629" s="91">
        <v>5304</v>
      </c>
      <c r="I629" s="89" t="s">
        <v>6517</v>
      </c>
      <c r="J629" s="92" t="s">
        <v>883</v>
      </c>
      <c r="K629" s="92"/>
      <c r="L629" s="92" t="s">
        <v>6518</v>
      </c>
      <c r="M629" s="92" t="s">
        <v>6519</v>
      </c>
      <c r="N629" s="93">
        <v>5304</v>
      </c>
      <c r="O629" s="94">
        <v>22000</v>
      </c>
      <c r="P629" s="94">
        <v>2800</v>
      </c>
      <c r="Q629" s="92" t="s">
        <v>3957</v>
      </c>
      <c r="R629" s="92" t="s">
        <v>6711</v>
      </c>
      <c r="S629" s="91">
        <v>53045</v>
      </c>
      <c r="T629" s="91">
        <v>53045</v>
      </c>
    </row>
    <row r="630" spans="1:20" ht="30" customHeight="1" x14ac:dyDescent="0.35">
      <c r="A630" s="88">
        <v>711111</v>
      </c>
      <c r="B630" s="89" t="s">
        <v>6712</v>
      </c>
      <c r="C630" s="89" t="s">
        <v>6713</v>
      </c>
      <c r="D630" s="90" t="s">
        <v>4077</v>
      </c>
      <c r="E630" s="89" t="s">
        <v>2929</v>
      </c>
      <c r="F630" s="89"/>
      <c r="G630" s="89" t="s">
        <v>2930</v>
      </c>
      <c r="H630" s="91">
        <v>7110</v>
      </c>
      <c r="I630" s="89" t="s">
        <v>6714</v>
      </c>
      <c r="J630" s="92" t="s">
        <v>883</v>
      </c>
      <c r="K630" s="92" t="s">
        <v>6715</v>
      </c>
      <c r="L630" s="92" t="s">
        <v>6716</v>
      </c>
      <c r="M630" s="92" t="s">
        <v>6717</v>
      </c>
      <c r="N630" s="93">
        <v>7110</v>
      </c>
      <c r="O630" s="94">
        <v>200000</v>
      </c>
      <c r="P630" s="94">
        <v>4000</v>
      </c>
      <c r="Q630" s="92" t="s">
        <v>3957</v>
      </c>
      <c r="R630" s="92" t="s">
        <v>6718</v>
      </c>
      <c r="S630" s="89" t="s">
        <v>6719</v>
      </c>
      <c r="T630" s="89" t="s">
        <v>6720</v>
      </c>
    </row>
    <row r="631" spans="1:20" ht="30" customHeight="1" x14ac:dyDescent="0.35">
      <c r="A631" s="88">
        <v>711121</v>
      </c>
      <c r="B631" s="89" t="s">
        <v>6721</v>
      </c>
      <c r="C631" s="89" t="s">
        <v>6722</v>
      </c>
      <c r="D631" s="90" t="s">
        <v>4077</v>
      </c>
      <c r="E631" s="89" t="s">
        <v>2932</v>
      </c>
      <c r="F631" s="89"/>
      <c r="G631" s="89" t="s">
        <v>2933</v>
      </c>
      <c r="H631" s="91">
        <v>7110</v>
      </c>
      <c r="I631" s="89" t="s">
        <v>6714</v>
      </c>
      <c r="J631" s="92" t="s">
        <v>883</v>
      </c>
      <c r="K631" s="92" t="s">
        <v>6715</v>
      </c>
      <c r="L631" s="92" t="s">
        <v>6716</v>
      </c>
      <c r="M631" s="92" t="s">
        <v>6717</v>
      </c>
      <c r="N631" s="93">
        <v>7110</v>
      </c>
      <c r="O631" s="94">
        <v>200000</v>
      </c>
      <c r="P631" s="94">
        <v>4000</v>
      </c>
      <c r="Q631" s="92" t="s">
        <v>3957</v>
      </c>
      <c r="R631" s="92" t="s">
        <v>6723</v>
      </c>
      <c r="S631" s="89" t="s">
        <v>6719</v>
      </c>
      <c r="T631" s="89" t="s">
        <v>6724</v>
      </c>
    </row>
    <row r="632" spans="1:20" ht="30" customHeight="1" x14ac:dyDescent="0.35">
      <c r="A632" s="88">
        <v>711131</v>
      </c>
      <c r="B632" s="89" t="s">
        <v>6725</v>
      </c>
      <c r="C632" s="89" t="s">
        <v>6726</v>
      </c>
      <c r="D632" s="90" t="s">
        <v>4077</v>
      </c>
      <c r="E632" s="89" t="s">
        <v>2935</v>
      </c>
      <c r="F632" s="89"/>
      <c r="G632" s="89" t="s">
        <v>2936</v>
      </c>
      <c r="H632" s="91">
        <v>7110</v>
      </c>
      <c r="I632" s="89" t="s">
        <v>6714</v>
      </c>
      <c r="J632" s="92" t="s">
        <v>883</v>
      </c>
      <c r="K632" s="92" t="s">
        <v>6715</v>
      </c>
      <c r="L632" s="92" t="s">
        <v>6716</v>
      </c>
      <c r="M632" s="92" t="s">
        <v>6717</v>
      </c>
      <c r="N632" s="93">
        <v>7110</v>
      </c>
      <c r="O632" s="94">
        <v>200000</v>
      </c>
      <c r="P632" s="94">
        <v>4000</v>
      </c>
      <c r="Q632" s="92" t="s">
        <v>3957</v>
      </c>
      <c r="R632" s="92" t="s">
        <v>6727</v>
      </c>
      <c r="S632" s="89" t="s">
        <v>6719</v>
      </c>
      <c r="T632" s="89" t="s">
        <v>6728</v>
      </c>
    </row>
    <row r="633" spans="1:20" ht="30" customHeight="1" x14ac:dyDescent="0.35">
      <c r="A633" s="88">
        <v>711142</v>
      </c>
      <c r="B633" s="89" t="s">
        <v>6729</v>
      </c>
      <c r="C633" s="89" t="s">
        <v>6730</v>
      </c>
      <c r="D633" s="90" t="s">
        <v>4077</v>
      </c>
      <c r="E633" s="89" t="s">
        <v>2938</v>
      </c>
      <c r="F633" s="89"/>
      <c r="G633" s="89" t="s">
        <v>2939</v>
      </c>
      <c r="H633" s="91">
        <v>7110</v>
      </c>
      <c r="I633" s="89" t="s">
        <v>6714</v>
      </c>
      <c r="J633" s="92" t="s">
        <v>883</v>
      </c>
      <c r="K633" s="92" t="s">
        <v>6715</v>
      </c>
      <c r="L633" s="92" t="s">
        <v>6716</v>
      </c>
      <c r="M633" s="92" t="s">
        <v>6717</v>
      </c>
      <c r="N633" s="93">
        <v>7110</v>
      </c>
      <c r="O633" s="94">
        <v>200000</v>
      </c>
      <c r="P633" s="94">
        <v>4000</v>
      </c>
      <c r="Q633" s="92" t="s">
        <v>3957</v>
      </c>
      <c r="R633" s="92" t="s">
        <v>6731</v>
      </c>
      <c r="S633" s="89" t="s">
        <v>6719</v>
      </c>
      <c r="T633" s="89" t="s">
        <v>6732</v>
      </c>
    </row>
    <row r="634" spans="1:20" ht="30" customHeight="1" x14ac:dyDescent="0.35">
      <c r="A634" s="88">
        <v>711143</v>
      </c>
      <c r="B634" s="89" t="s">
        <v>6733</v>
      </c>
      <c r="C634" s="89" t="s">
        <v>6734</v>
      </c>
      <c r="D634" s="90" t="s">
        <v>4077</v>
      </c>
      <c r="E634" s="89" t="s">
        <v>2941</v>
      </c>
      <c r="F634" s="89"/>
      <c r="G634" s="89" t="s">
        <v>2942</v>
      </c>
      <c r="H634" s="91">
        <v>7110</v>
      </c>
      <c r="I634" s="89" t="s">
        <v>6714</v>
      </c>
      <c r="J634" s="92" t="s">
        <v>883</v>
      </c>
      <c r="K634" s="92" t="s">
        <v>6715</v>
      </c>
      <c r="L634" s="92" t="s">
        <v>6716</v>
      </c>
      <c r="M634" s="92" t="s">
        <v>6717</v>
      </c>
      <c r="N634" s="93">
        <v>7110</v>
      </c>
      <c r="O634" s="94">
        <v>200000</v>
      </c>
      <c r="P634" s="94">
        <v>4000</v>
      </c>
      <c r="Q634" s="92" t="s">
        <v>3957</v>
      </c>
      <c r="R634" s="92" t="s">
        <v>6735</v>
      </c>
      <c r="S634" s="89" t="s">
        <v>6719</v>
      </c>
      <c r="T634" s="89" t="s">
        <v>6736</v>
      </c>
    </row>
    <row r="635" spans="1:20" ht="30" customHeight="1" x14ac:dyDescent="0.35">
      <c r="A635" s="88">
        <v>711144</v>
      </c>
      <c r="B635" s="89" t="s">
        <v>6737</v>
      </c>
      <c r="C635" s="89" t="s">
        <v>6738</v>
      </c>
      <c r="D635" s="90" t="s">
        <v>4077</v>
      </c>
      <c r="E635" s="89" t="s">
        <v>2944</v>
      </c>
      <c r="F635" s="89"/>
      <c r="G635" s="89" t="s">
        <v>2945</v>
      </c>
      <c r="H635" s="91">
        <v>7110</v>
      </c>
      <c r="I635" s="89" t="s">
        <v>6714</v>
      </c>
      <c r="J635" s="92" t="s">
        <v>883</v>
      </c>
      <c r="K635" s="92" t="s">
        <v>6715</v>
      </c>
      <c r="L635" s="92" t="s">
        <v>6716</v>
      </c>
      <c r="M635" s="92" t="s">
        <v>6717</v>
      </c>
      <c r="N635" s="93">
        <v>7110</v>
      </c>
      <c r="O635" s="94">
        <v>200000</v>
      </c>
      <c r="P635" s="94">
        <v>4000</v>
      </c>
      <c r="Q635" s="92" t="s">
        <v>3957</v>
      </c>
      <c r="R635" s="92" t="s">
        <v>6739</v>
      </c>
      <c r="S635" s="89" t="s">
        <v>6719</v>
      </c>
      <c r="T635" s="89" t="s">
        <v>6740</v>
      </c>
    </row>
    <row r="636" spans="1:20" ht="30" customHeight="1" x14ac:dyDescent="0.35">
      <c r="A636" s="88">
        <v>711151</v>
      </c>
      <c r="B636" s="89" t="s">
        <v>6741</v>
      </c>
      <c r="C636" s="89" t="s">
        <v>6742</v>
      </c>
      <c r="D636" s="90" t="s">
        <v>4077</v>
      </c>
      <c r="E636" s="89" t="s">
        <v>2947</v>
      </c>
      <c r="F636" s="89"/>
      <c r="G636" s="89" t="s">
        <v>2948</v>
      </c>
      <c r="H636" s="91">
        <v>7110</v>
      </c>
      <c r="I636" s="89" t="s">
        <v>6714</v>
      </c>
      <c r="J636" s="92" t="s">
        <v>883</v>
      </c>
      <c r="K636" s="92" t="s">
        <v>6715</v>
      </c>
      <c r="L636" s="92" t="s">
        <v>6716</v>
      </c>
      <c r="M636" s="92" t="s">
        <v>6717</v>
      </c>
      <c r="N636" s="93">
        <v>7110</v>
      </c>
      <c r="O636" s="94">
        <v>200000</v>
      </c>
      <c r="P636" s="94">
        <v>4000</v>
      </c>
      <c r="Q636" s="92" t="s">
        <v>3957</v>
      </c>
      <c r="R636" s="92" t="s">
        <v>6743</v>
      </c>
      <c r="S636" s="89" t="s">
        <v>6719</v>
      </c>
      <c r="T636" s="89" t="s">
        <v>6744</v>
      </c>
    </row>
    <row r="637" spans="1:20" ht="30" customHeight="1" x14ac:dyDescent="0.35">
      <c r="A637" s="88">
        <v>711161</v>
      </c>
      <c r="B637" s="89" t="s">
        <v>6745</v>
      </c>
      <c r="C637" s="89" t="s">
        <v>6746</v>
      </c>
      <c r="D637" s="90" t="s">
        <v>4077</v>
      </c>
      <c r="E637" s="89" t="s">
        <v>2950</v>
      </c>
      <c r="F637" s="89" t="s">
        <v>6747</v>
      </c>
      <c r="G637" s="89" t="s">
        <v>2951</v>
      </c>
      <c r="H637" s="91">
        <v>7110</v>
      </c>
      <c r="I637" s="89" t="s">
        <v>6714</v>
      </c>
      <c r="J637" s="92" t="s">
        <v>883</v>
      </c>
      <c r="K637" s="92" t="s">
        <v>6715</v>
      </c>
      <c r="L637" s="92" t="s">
        <v>6716</v>
      </c>
      <c r="M637" s="92" t="s">
        <v>6717</v>
      </c>
      <c r="N637" s="93">
        <v>7110</v>
      </c>
      <c r="O637" s="94">
        <v>200000</v>
      </c>
      <c r="P637" s="94">
        <v>4000</v>
      </c>
      <c r="Q637" s="92" t="s">
        <v>3957</v>
      </c>
      <c r="R637" s="92" t="s">
        <v>6748</v>
      </c>
      <c r="S637" s="89" t="s">
        <v>6719</v>
      </c>
      <c r="T637" s="89" t="s">
        <v>6749</v>
      </c>
    </row>
    <row r="638" spans="1:20" ht="30" customHeight="1" x14ac:dyDescent="0.35">
      <c r="A638" s="88">
        <v>711171</v>
      </c>
      <c r="B638" s="89" t="s">
        <v>6750</v>
      </c>
      <c r="C638" s="89" t="s">
        <v>6751</v>
      </c>
      <c r="D638" s="90" t="s">
        <v>4077</v>
      </c>
      <c r="E638" s="89" t="s">
        <v>2953</v>
      </c>
      <c r="F638" s="89" t="s">
        <v>6752</v>
      </c>
      <c r="G638" s="89" t="s">
        <v>2954</v>
      </c>
      <c r="H638" s="91">
        <v>7110</v>
      </c>
      <c r="I638" s="89" t="s">
        <v>6714</v>
      </c>
      <c r="J638" s="92" t="s">
        <v>883</v>
      </c>
      <c r="K638" s="92" t="s">
        <v>6715</v>
      </c>
      <c r="L638" s="92" t="s">
        <v>6716</v>
      </c>
      <c r="M638" s="92" t="s">
        <v>6717</v>
      </c>
      <c r="N638" s="93">
        <v>7110</v>
      </c>
      <c r="O638" s="94">
        <v>200000</v>
      </c>
      <c r="P638" s="94">
        <v>4000</v>
      </c>
      <c r="Q638" s="92" t="s">
        <v>3957</v>
      </c>
      <c r="R638" s="92" t="s">
        <v>6753</v>
      </c>
      <c r="S638" s="89" t="s">
        <v>6719</v>
      </c>
      <c r="T638" s="89" t="s">
        <v>6749</v>
      </c>
    </row>
    <row r="639" spans="1:20" ht="30" customHeight="1" x14ac:dyDescent="0.35">
      <c r="A639" s="88">
        <v>711181</v>
      </c>
      <c r="B639" s="89" t="s">
        <v>6754</v>
      </c>
      <c r="C639" s="89" t="s">
        <v>6755</v>
      </c>
      <c r="D639" s="90" t="s">
        <v>4077</v>
      </c>
      <c r="E639" s="89" t="s">
        <v>2956</v>
      </c>
      <c r="F639" s="89"/>
      <c r="G639" s="89" t="s">
        <v>2957</v>
      </c>
      <c r="H639" s="91">
        <v>7110</v>
      </c>
      <c r="I639" s="89" t="s">
        <v>6714</v>
      </c>
      <c r="J639" s="92" t="s">
        <v>883</v>
      </c>
      <c r="K639" s="92" t="s">
        <v>6715</v>
      </c>
      <c r="L639" s="92" t="s">
        <v>6716</v>
      </c>
      <c r="M639" s="92" t="s">
        <v>6717</v>
      </c>
      <c r="N639" s="93">
        <v>7110</v>
      </c>
      <c r="O639" s="94">
        <v>200000</v>
      </c>
      <c r="P639" s="94">
        <v>4000</v>
      </c>
      <c r="Q639" s="92" t="s">
        <v>3957</v>
      </c>
      <c r="R639" s="92" t="s">
        <v>6756</v>
      </c>
      <c r="S639" s="89" t="s">
        <v>6719</v>
      </c>
      <c r="T639" s="89" t="s">
        <v>6749</v>
      </c>
    </row>
    <row r="640" spans="1:20" ht="30" customHeight="1" x14ac:dyDescent="0.35">
      <c r="A640" s="88">
        <v>711191</v>
      </c>
      <c r="B640" s="89" t="s">
        <v>6757</v>
      </c>
      <c r="C640" s="89" t="s">
        <v>6758</v>
      </c>
      <c r="D640" s="90" t="s">
        <v>4077</v>
      </c>
      <c r="E640" s="89" t="s">
        <v>2959</v>
      </c>
      <c r="F640" s="89" t="s">
        <v>6759</v>
      </c>
      <c r="G640" s="89" t="s">
        <v>2960</v>
      </c>
      <c r="H640" s="91">
        <v>7110</v>
      </c>
      <c r="I640" s="89" t="s">
        <v>6714</v>
      </c>
      <c r="J640" s="92" t="s">
        <v>883</v>
      </c>
      <c r="K640" s="92" t="s">
        <v>6715</v>
      </c>
      <c r="L640" s="92" t="s">
        <v>6716</v>
      </c>
      <c r="M640" s="92" t="s">
        <v>6717</v>
      </c>
      <c r="N640" s="93">
        <v>7110</v>
      </c>
      <c r="O640" s="94">
        <v>200000</v>
      </c>
      <c r="P640" s="94">
        <v>4000</v>
      </c>
      <c r="Q640" s="92" t="s">
        <v>3957</v>
      </c>
      <c r="R640" s="92" t="s">
        <v>6760</v>
      </c>
      <c r="S640" s="89" t="s">
        <v>6719</v>
      </c>
      <c r="T640" s="89" t="s">
        <v>6761</v>
      </c>
    </row>
    <row r="641" spans="1:20" ht="30" customHeight="1" x14ac:dyDescent="0.35">
      <c r="A641" s="88">
        <v>711211</v>
      </c>
      <c r="B641" s="89" t="s">
        <v>6762</v>
      </c>
      <c r="C641" s="89" t="s">
        <v>6763</v>
      </c>
      <c r="D641" s="90" t="s">
        <v>4077</v>
      </c>
      <c r="E641" s="89" t="s">
        <v>2962</v>
      </c>
      <c r="F641" s="89"/>
      <c r="G641" s="89" t="s">
        <v>2963</v>
      </c>
      <c r="H641" s="91">
        <v>7110</v>
      </c>
      <c r="I641" s="89" t="s">
        <v>6714</v>
      </c>
      <c r="J641" s="92" t="s">
        <v>883</v>
      </c>
      <c r="K641" s="92" t="s">
        <v>6715</v>
      </c>
      <c r="L641" s="92" t="s">
        <v>6716</v>
      </c>
      <c r="M641" s="92" t="s">
        <v>6717</v>
      </c>
      <c r="N641" s="93">
        <v>7110</v>
      </c>
      <c r="O641" s="94">
        <v>200000</v>
      </c>
      <c r="P641" s="94">
        <v>4000</v>
      </c>
      <c r="Q641" s="92" t="s">
        <v>3957</v>
      </c>
      <c r="R641" s="92" t="s">
        <v>6764</v>
      </c>
      <c r="S641" s="89" t="s">
        <v>6719</v>
      </c>
      <c r="T641" s="91">
        <v>71165</v>
      </c>
    </row>
    <row r="642" spans="1:20" ht="30" customHeight="1" x14ac:dyDescent="0.35">
      <c r="A642" s="88">
        <v>711221</v>
      </c>
      <c r="B642" s="89" t="s">
        <v>6765</v>
      </c>
      <c r="C642" s="89" t="s">
        <v>6766</v>
      </c>
      <c r="D642" s="90" t="s">
        <v>4077</v>
      </c>
      <c r="E642" s="89" t="s">
        <v>2965</v>
      </c>
      <c r="F642" s="89"/>
      <c r="G642" s="89" t="s">
        <v>2966</v>
      </c>
      <c r="H642" s="91">
        <v>7110</v>
      </c>
      <c r="I642" s="89" t="s">
        <v>6714</v>
      </c>
      <c r="J642" s="92" t="s">
        <v>883</v>
      </c>
      <c r="K642" s="92" t="s">
        <v>6715</v>
      </c>
      <c r="L642" s="92" t="s">
        <v>6716</v>
      </c>
      <c r="M642" s="92" t="s">
        <v>6717</v>
      </c>
      <c r="N642" s="93">
        <v>7110</v>
      </c>
      <c r="O642" s="94">
        <v>200000</v>
      </c>
      <c r="P642" s="94">
        <v>4000</v>
      </c>
      <c r="Q642" s="92" t="s">
        <v>3957</v>
      </c>
      <c r="R642" s="92" t="s">
        <v>6767</v>
      </c>
      <c r="S642" s="89" t="s">
        <v>6719</v>
      </c>
      <c r="T642" s="89" t="s">
        <v>6768</v>
      </c>
    </row>
    <row r="643" spans="1:20" ht="30" customHeight="1" x14ac:dyDescent="0.35">
      <c r="A643" s="88">
        <v>711231</v>
      </c>
      <c r="B643" s="89" t="s">
        <v>6769</v>
      </c>
      <c r="C643" s="89" t="s">
        <v>6770</v>
      </c>
      <c r="D643" s="90" t="s">
        <v>4077</v>
      </c>
      <c r="E643" s="89" t="s">
        <v>2968</v>
      </c>
      <c r="F643" s="89" t="s">
        <v>6771</v>
      </c>
      <c r="G643" s="89" t="s">
        <v>2969</v>
      </c>
      <c r="H643" s="91">
        <v>7110</v>
      </c>
      <c r="I643" s="89" t="s">
        <v>6714</v>
      </c>
      <c r="J643" s="92" t="s">
        <v>883</v>
      </c>
      <c r="K643" s="92" t="s">
        <v>6715</v>
      </c>
      <c r="L643" s="92" t="s">
        <v>6716</v>
      </c>
      <c r="M643" s="92" t="s">
        <v>6717</v>
      </c>
      <c r="N643" s="93">
        <v>7110</v>
      </c>
      <c r="O643" s="94">
        <v>200000</v>
      </c>
      <c r="P643" s="94">
        <v>4000</v>
      </c>
      <c r="Q643" s="92" t="s">
        <v>3957</v>
      </c>
      <c r="R643" s="92" t="s">
        <v>6772</v>
      </c>
      <c r="S643" s="89" t="s">
        <v>6719</v>
      </c>
      <c r="T643" s="89" t="s">
        <v>6761</v>
      </c>
    </row>
    <row r="644" spans="1:20" ht="30" customHeight="1" x14ac:dyDescent="0.35">
      <c r="A644" s="88">
        <v>711311</v>
      </c>
      <c r="B644" s="89" t="s">
        <v>6773</v>
      </c>
      <c r="C644" s="89" t="s">
        <v>6774</v>
      </c>
      <c r="D644" s="90" t="s">
        <v>4077</v>
      </c>
      <c r="E644" s="89" t="s">
        <v>2971</v>
      </c>
      <c r="F644" s="89"/>
      <c r="G644" s="89" t="s">
        <v>2972</v>
      </c>
      <c r="H644" s="91">
        <v>7141</v>
      </c>
      <c r="I644" s="89" t="s">
        <v>6775</v>
      </c>
      <c r="J644" s="92" t="s">
        <v>883</v>
      </c>
      <c r="K644" s="92" t="s">
        <v>6776</v>
      </c>
      <c r="L644" s="92" t="s">
        <v>6777</v>
      </c>
      <c r="M644" s="92" t="s">
        <v>6778</v>
      </c>
      <c r="N644" s="93">
        <v>7141</v>
      </c>
      <c r="O644" s="94">
        <v>5100</v>
      </c>
      <c r="P644" s="94">
        <v>580</v>
      </c>
      <c r="Q644" s="92" t="s">
        <v>3957</v>
      </c>
      <c r="R644" s="92" t="s">
        <v>6779</v>
      </c>
      <c r="S644" s="89" t="s">
        <v>643</v>
      </c>
      <c r="T644" s="89" t="s">
        <v>643</v>
      </c>
    </row>
    <row r="645" spans="1:20" ht="30" customHeight="1" x14ac:dyDescent="0.35">
      <c r="A645" s="88">
        <v>711312</v>
      </c>
      <c r="B645" s="89" t="s">
        <v>6780</v>
      </c>
      <c r="C645" s="89" t="s">
        <v>6781</v>
      </c>
      <c r="D645" s="90" t="s">
        <v>3978</v>
      </c>
      <c r="E645" s="89" t="s">
        <v>6782</v>
      </c>
      <c r="F645" s="89"/>
      <c r="G645" s="89" t="s">
        <v>2975</v>
      </c>
      <c r="H645" s="91">
        <v>7147</v>
      </c>
      <c r="I645" s="89" t="s">
        <v>6783</v>
      </c>
      <c r="J645" s="92" t="s">
        <v>883</v>
      </c>
      <c r="K645" s="92" t="s">
        <v>6776</v>
      </c>
      <c r="L645" s="92" t="s">
        <v>6784</v>
      </c>
      <c r="M645" s="92" t="s">
        <v>6785</v>
      </c>
      <c r="N645" s="93">
        <v>7147</v>
      </c>
      <c r="O645" s="94">
        <v>6000</v>
      </c>
      <c r="P645" s="94">
        <v>470</v>
      </c>
      <c r="Q645" s="92" t="s">
        <v>3957</v>
      </c>
      <c r="R645" s="92" t="s">
        <v>6786</v>
      </c>
      <c r="S645" s="89" t="s">
        <v>643</v>
      </c>
      <c r="T645" s="89" t="s">
        <v>643</v>
      </c>
    </row>
    <row r="646" spans="1:20" ht="30" customHeight="1" x14ac:dyDescent="0.35">
      <c r="A646" s="88">
        <v>711560</v>
      </c>
      <c r="B646" s="89" t="s">
        <v>6787</v>
      </c>
      <c r="C646" s="89"/>
      <c r="D646" s="90" t="s">
        <v>4077</v>
      </c>
      <c r="E646" s="89" t="s">
        <v>2977</v>
      </c>
      <c r="F646" s="89"/>
      <c r="G646" s="89" t="s">
        <v>909</v>
      </c>
      <c r="H646" s="91">
        <v>7113</v>
      </c>
      <c r="I646" s="89" t="s">
        <v>6788</v>
      </c>
      <c r="J646" s="92" t="s">
        <v>883</v>
      </c>
      <c r="K646" s="92"/>
      <c r="L646" s="92"/>
      <c r="M646" s="92"/>
      <c r="N646" s="93"/>
      <c r="O646" s="94"/>
      <c r="P646" s="94"/>
      <c r="Q646" s="92"/>
      <c r="R646" s="92"/>
      <c r="S646" s="91"/>
      <c r="T646" s="91"/>
    </row>
    <row r="647" spans="1:20" ht="30" customHeight="1" x14ac:dyDescent="0.35">
      <c r="A647" s="88">
        <v>713352</v>
      </c>
      <c r="B647" s="89" t="s">
        <v>6789</v>
      </c>
      <c r="C647" s="89" t="s">
        <v>6790</v>
      </c>
      <c r="D647" s="90" t="s">
        <v>4077</v>
      </c>
      <c r="E647" s="89" t="s">
        <v>2979</v>
      </c>
      <c r="F647" s="89"/>
      <c r="G647" s="89" t="s">
        <v>2980</v>
      </c>
      <c r="H647" s="91">
        <v>7145</v>
      </c>
      <c r="I647" s="89" t="s">
        <v>6791</v>
      </c>
      <c r="J647" s="92" t="s">
        <v>883</v>
      </c>
      <c r="K647" s="92"/>
      <c r="L647" s="92" t="s">
        <v>6792</v>
      </c>
      <c r="M647" s="92" t="s">
        <v>6793</v>
      </c>
      <c r="N647" s="93">
        <v>7145</v>
      </c>
      <c r="O647" s="94">
        <v>2100</v>
      </c>
      <c r="P647" s="94">
        <v>2000</v>
      </c>
      <c r="Q647" s="92" t="s">
        <v>3957</v>
      </c>
      <c r="R647" s="92" t="s">
        <v>6794</v>
      </c>
      <c r="S647" s="91">
        <v>71450</v>
      </c>
      <c r="T647" s="89" t="s">
        <v>643</v>
      </c>
    </row>
    <row r="648" spans="1:20" ht="30" customHeight="1" x14ac:dyDescent="0.35">
      <c r="A648" s="88">
        <v>713366</v>
      </c>
      <c r="B648" s="89" t="s">
        <v>6795</v>
      </c>
      <c r="C648" s="89" t="s">
        <v>6796</v>
      </c>
      <c r="D648" s="90" t="s">
        <v>3949</v>
      </c>
      <c r="E648" s="89" t="s">
        <v>2982</v>
      </c>
      <c r="F648" s="89" t="s">
        <v>6797</v>
      </c>
      <c r="G648" s="89" t="s">
        <v>2983</v>
      </c>
      <c r="H648" s="91">
        <v>7130</v>
      </c>
      <c r="I648" s="89" t="s">
        <v>6798</v>
      </c>
      <c r="J648" s="92" t="s">
        <v>3953</v>
      </c>
      <c r="K648" s="92" t="s">
        <v>6715</v>
      </c>
      <c r="L648" s="92" t="s">
        <v>6799</v>
      </c>
      <c r="M648" s="92" t="s">
        <v>6800</v>
      </c>
      <c r="N648" s="93">
        <v>7130</v>
      </c>
      <c r="O648" s="94">
        <v>250</v>
      </c>
      <c r="P648" s="94">
        <v>240</v>
      </c>
      <c r="Q648" s="92" t="s">
        <v>3957</v>
      </c>
      <c r="R648" s="92" t="s">
        <v>6801</v>
      </c>
      <c r="S648" s="91">
        <v>71310</v>
      </c>
      <c r="T648" s="89" t="s">
        <v>6802</v>
      </c>
    </row>
    <row r="649" spans="1:20" ht="30" customHeight="1" x14ac:dyDescent="0.35">
      <c r="A649" s="88">
        <v>714310</v>
      </c>
      <c r="B649" s="89" t="s">
        <v>6803</v>
      </c>
      <c r="C649" s="89"/>
      <c r="D649" s="90" t="s">
        <v>4077</v>
      </c>
      <c r="E649" s="89" t="s">
        <v>2985</v>
      </c>
      <c r="F649" s="89"/>
      <c r="G649" s="89" t="s">
        <v>909</v>
      </c>
      <c r="H649" s="91">
        <v>7143</v>
      </c>
      <c r="I649" s="89" t="s">
        <v>6804</v>
      </c>
      <c r="J649" s="92" t="s">
        <v>883</v>
      </c>
      <c r="K649" s="92"/>
      <c r="L649" s="92"/>
      <c r="M649" s="92"/>
      <c r="N649" s="93"/>
      <c r="O649" s="94"/>
      <c r="P649" s="94"/>
      <c r="Q649" s="92"/>
      <c r="R649" s="92"/>
      <c r="S649" s="91"/>
      <c r="T649" s="91"/>
    </row>
    <row r="650" spans="1:20" ht="30" customHeight="1" x14ac:dyDescent="0.35">
      <c r="A650" s="88">
        <v>714431</v>
      </c>
      <c r="B650" s="89" t="s">
        <v>6805</v>
      </c>
      <c r="C650" s="89" t="s">
        <v>6806</v>
      </c>
      <c r="D650" s="90" t="s">
        <v>4077</v>
      </c>
      <c r="E650" s="89" t="s">
        <v>2987</v>
      </c>
      <c r="F650" s="89"/>
      <c r="G650" s="89" t="s">
        <v>2988</v>
      </c>
      <c r="H650" s="91">
        <v>7141</v>
      </c>
      <c r="I650" s="89" t="s">
        <v>6775</v>
      </c>
      <c r="J650" s="92" t="s">
        <v>883</v>
      </c>
      <c r="K650" s="92" t="s">
        <v>6776</v>
      </c>
      <c r="L650" s="92" t="s">
        <v>6777</v>
      </c>
      <c r="M650" s="92" t="s">
        <v>6778</v>
      </c>
      <c r="N650" s="93">
        <v>7141</v>
      </c>
      <c r="O650" s="94">
        <v>5100</v>
      </c>
      <c r="P650" s="94">
        <v>580</v>
      </c>
      <c r="Q650" s="92" t="s">
        <v>3957</v>
      </c>
      <c r="R650" s="92" t="s">
        <v>6807</v>
      </c>
      <c r="S650" s="91">
        <v>71410</v>
      </c>
      <c r="T650" s="91">
        <v>71410</v>
      </c>
    </row>
    <row r="651" spans="1:20" ht="30" customHeight="1" x14ac:dyDescent="0.35">
      <c r="A651" s="88">
        <v>714432</v>
      </c>
      <c r="B651" s="89" t="s">
        <v>6808</v>
      </c>
      <c r="C651" s="89" t="s">
        <v>6809</v>
      </c>
      <c r="D651" s="90" t="s">
        <v>3978</v>
      </c>
      <c r="E651" s="89" t="s">
        <v>2990</v>
      </c>
      <c r="F651" s="89"/>
      <c r="G651" s="89" t="s">
        <v>2991</v>
      </c>
      <c r="H651" s="91">
        <v>7147</v>
      </c>
      <c r="I651" s="89" t="s">
        <v>6783</v>
      </c>
      <c r="J651" s="92" t="s">
        <v>883</v>
      </c>
      <c r="K651" s="92" t="s">
        <v>6776</v>
      </c>
      <c r="L651" s="92" t="s">
        <v>6784</v>
      </c>
      <c r="M651" s="92" t="s">
        <v>6785</v>
      </c>
      <c r="N651" s="93">
        <v>7147</v>
      </c>
      <c r="O651" s="94">
        <v>6000</v>
      </c>
      <c r="P651" s="94">
        <v>470</v>
      </c>
      <c r="Q651" s="92" t="s">
        <v>3957</v>
      </c>
      <c r="R651" s="92" t="s">
        <v>6810</v>
      </c>
      <c r="S651" s="91">
        <v>71411</v>
      </c>
      <c r="T651" s="91">
        <v>71420</v>
      </c>
    </row>
    <row r="652" spans="1:20" ht="30" customHeight="1" x14ac:dyDescent="0.35">
      <c r="A652" s="88">
        <v>714433</v>
      </c>
      <c r="B652" s="89" t="s">
        <v>6811</v>
      </c>
      <c r="C652" s="89" t="s">
        <v>6812</v>
      </c>
      <c r="D652" s="90" t="s">
        <v>4077</v>
      </c>
      <c r="E652" s="89" t="s">
        <v>2993</v>
      </c>
      <c r="F652" s="89" t="s">
        <v>6813</v>
      </c>
      <c r="G652" s="89" t="s">
        <v>2994</v>
      </c>
      <c r="H652" s="91">
        <v>7142</v>
      </c>
      <c r="I652" s="89" t="s">
        <v>6814</v>
      </c>
      <c r="J652" s="92" t="s">
        <v>883</v>
      </c>
      <c r="K652" s="92"/>
      <c r="L652" s="92" t="s">
        <v>6815</v>
      </c>
      <c r="M652" s="92" t="s">
        <v>6816</v>
      </c>
      <c r="N652" s="93">
        <v>7142</v>
      </c>
      <c r="O652" s="94">
        <v>24000</v>
      </c>
      <c r="P652" s="94">
        <v>270</v>
      </c>
      <c r="Q652" s="92" t="s">
        <v>3957</v>
      </c>
      <c r="R652" s="92" t="s">
        <v>6817</v>
      </c>
      <c r="S652" s="91">
        <v>71420</v>
      </c>
      <c r="T652" s="91">
        <v>71477</v>
      </c>
    </row>
    <row r="653" spans="1:20" ht="30" customHeight="1" x14ac:dyDescent="0.35">
      <c r="A653" s="92">
        <v>720100</v>
      </c>
      <c r="B653" s="89" t="s">
        <v>2995</v>
      </c>
      <c r="C653" s="89" t="s">
        <v>6818</v>
      </c>
      <c r="D653" s="90" t="s">
        <v>4077</v>
      </c>
      <c r="E653" s="89" t="s">
        <v>2996</v>
      </c>
      <c r="F653" s="89"/>
      <c r="G653" s="89" t="s">
        <v>909</v>
      </c>
      <c r="H653" s="89">
        <v>7441</v>
      </c>
      <c r="I653" s="89" t="s">
        <v>6524</v>
      </c>
      <c r="J653" s="92" t="s">
        <v>883</v>
      </c>
      <c r="K653" s="92"/>
      <c r="L653" s="30">
        <v>336.39</v>
      </c>
      <c r="M653" s="30" t="s">
        <v>6819</v>
      </c>
      <c r="N653" s="31">
        <v>7441</v>
      </c>
      <c r="O653" s="31">
        <v>152000</v>
      </c>
      <c r="P653" s="31">
        <v>23000</v>
      </c>
      <c r="Q653" s="92" t="s">
        <v>3957</v>
      </c>
      <c r="R653" s="92" t="s">
        <v>6820</v>
      </c>
      <c r="S653" s="92" t="s">
        <v>3982</v>
      </c>
      <c r="T653" s="92" t="s">
        <v>3982</v>
      </c>
    </row>
    <row r="654" spans="1:20" ht="30" customHeight="1" x14ac:dyDescent="0.35">
      <c r="A654" s="88">
        <v>721121</v>
      </c>
      <c r="B654" s="89" t="s">
        <v>6821</v>
      </c>
      <c r="C654" s="89" t="s">
        <v>6822</v>
      </c>
      <c r="D654" s="90" t="s">
        <v>4077</v>
      </c>
      <c r="E654" s="89" t="s">
        <v>6823</v>
      </c>
      <c r="F654" s="89"/>
      <c r="G654" s="89" t="s">
        <v>6824</v>
      </c>
      <c r="H654" s="91">
        <v>7312</v>
      </c>
      <c r="I654" s="89" t="s">
        <v>6825</v>
      </c>
      <c r="J654" s="92" t="s">
        <v>883</v>
      </c>
      <c r="K654" s="92" t="s">
        <v>36</v>
      </c>
      <c r="L654" s="92" t="s">
        <v>6826</v>
      </c>
      <c r="M654" s="92" t="s">
        <v>6827</v>
      </c>
      <c r="N654" s="93">
        <v>7312</v>
      </c>
      <c r="O654" s="94">
        <v>220000</v>
      </c>
      <c r="P654" s="94">
        <v>22000</v>
      </c>
      <c r="Q654" s="92" t="s">
        <v>3957</v>
      </c>
      <c r="R654" s="92" t="s">
        <v>6828</v>
      </c>
      <c r="S654" s="91">
        <v>73015</v>
      </c>
      <c r="T654" s="89" t="s">
        <v>6829</v>
      </c>
    </row>
    <row r="655" spans="1:20" ht="30" customHeight="1" x14ac:dyDescent="0.35">
      <c r="A655" s="88">
        <v>721123</v>
      </c>
      <c r="B655" s="89" t="s">
        <v>6830</v>
      </c>
      <c r="C655" s="89" t="s">
        <v>6831</v>
      </c>
      <c r="D655" s="90" t="s">
        <v>4077</v>
      </c>
      <c r="E655" s="89" t="s">
        <v>2998</v>
      </c>
      <c r="F655" s="89" t="s">
        <v>6832</v>
      </c>
      <c r="G655" s="89" t="s">
        <v>2999</v>
      </c>
      <c r="H655" s="91">
        <v>7312</v>
      </c>
      <c r="I655" s="89" t="s">
        <v>6825</v>
      </c>
      <c r="J655" s="92" t="s">
        <v>883</v>
      </c>
      <c r="K655" s="92" t="s">
        <v>36</v>
      </c>
      <c r="L655" s="92" t="s">
        <v>6826</v>
      </c>
      <c r="M655" s="92" t="s">
        <v>6827</v>
      </c>
      <c r="N655" s="93">
        <v>7312</v>
      </c>
      <c r="O655" s="94">
        <v>220000</v>
      </c>
      <c r="P655" s="94">
        <v>22000</v>
      </c>
      <c r="Q655" s="92" t="s">
        <v>3957</v>
      </c>
      <c r="R655" s="92" t="s">
        <v>6833</v>
      </c>
      <c r="S655" s="91">
        <v>73015</v>
      </c>
      <c r="T655" s="91">
        <v>73015</v>
      </c>
    </row>
    <row r="656" spans="1:20" ht="30" customHeight="1" x14ac:dyDescent="0.35">
      <c r="A656" s="88">
        <v>721201</v>
      </c>
      <c r="B656" s="89" t="s">
        <v>6834</v>
      </c>
      <c r="C656" s="89" t="s">
        <v>6835</v>
      </c>
      <c r="D656" s="90" t="s">
        <v>4077</v>
      </c>
      <c r="E656" s="89" t="s">
        <v>6836</v>
      </c>
      <c r="F656" s="89" t="s">
        <v>6837</v>
      </c>
      <c r="G656" s="89" t="s">
        <v>3002</v>
      </c>
      <c r="H656" s="91">
        <v>7212</v>
      </c>
      <c r="I656" s="89" t="s">
        <v>6838</v>
      </c>
      <c r="J656" s="92" t="s">
        <v>883</v>
      </c>
      <c r="K656" s="92" t="s">
        <v>36</v>
      </c>
      <c r="L656" s="92" t="s">
        <v>6839</v>
      </c>
      <c r="M656" s="92" t="s">
        <v>6840</v>
      </c>
      <c r="N656" s="93">
        <v>7212</v>
      </c>
      <c r="O656" s="94">
        <v>200000</v>
      </c>
      <c r="P656" s="94">
        <v>5000</v>
      </c>
      <c r="Q656" s="92" t="s">
        <v>3957</v>
      </c>
      <c r="R656" s="92" t="s">
        <v>6841</v>
      </c>
      <c r="S656" s="89" t="s">
        <v>643</v>
      </c>
      <c r="T656" s="89" t="s">
        <v>6842</v>
      </c>
    </row>
    <row r="657" spans="1:20" ht="30" customHeight="1" x14ac:dyDescent="0.35">
      <c r="A657" s="88">
        <v>721215</v>
      </c>
      <c r="B657" s="89" t="s">
        <v>6843</v>
      </c>
      <c r="C657" s="89" t="s">
        <v>6844</v>
      </c>
      <c r="D657" s="90" t="s">
        <v>4077</v>
      </c>
      <c r="E657" s="89" t="s">
        <v>6845</v>
      </c>
      <c r="F657" s="89"/>
      <c r="G657" s="89" t="s">
        <v>3005</v>
      </c>
      <c r="H657" s="91">
        <v>7220</v>
      </c>
      <c r="I657" s="89" t="s">
        <v>6846</v>
      </c>
      <c r="J657" s="92" t="s">
        <v>883</v>
      </c>
      <c r="K657" s="92" t="s">
        <v>36</v>
      </c>
      <c r="L657" s="92" t="s">
        <v>6847</v>
      </c>
      <c r="M657" s="92" t="s">
        <v>6848</v>
      </c>
      <c r="N657" s="93">
        <v>7220</v>
      </c>
      <c r="O657" s="94">
        <v>110000</v>
      </c>
      <c r="P657" s="94">
        <v>16000</v>
      </c>
      <c r="Q657" s="92" t="s">
        <v>3957</v>
      </c>
      <c r="R657" s="92" t="s">
        <v>6849</v>
      </c>
      <c r="S657" s="89" t="s">
        <v>6850</v>
      </c>
      <c r="T657" s="89" t="s">
        <v>6851</v>
      </c>
    </row>
    <row r="658" spans="1:20" ht="30" customHeight="1" x14ac:dyDescent="0.35">
      <c r="A658" s="88">
        <v>721311</v>
      </c>
      <c r="B658" s="89" t="s">
        <v>6852</v>
      </c>
      <c r="C658" s="89" t="s">
        <v>6853</v>
      </c>
      <c r="D658" s="90" t="s">
        <v>4077</v>
      </c>
      <c r="E658" s="89" t="s">
        <v>3007</v>
      </c>
      <c r="F658" s="89"/>
      <c r="G658" s="89" t="s">
        <v>3008</v>
      </c>
      <c r="H658" s="91">
        <v>7218</v>
      </c>
      <c r="I658" s="89" t="s">
        <v>6854</v>
      </c>
      <c r="J658" s="92" t="s">
        <v>883</v>
      </c>
      <c r="K658" s="92" t="s">
        <v>36</v>
      </c>
      <c r="L658" s="92" t="s">
        <v>6855</v>
      </c>
      <c r="M658" s="92" t="s">
        <v>6856</v>
      </c>
      <c r="N658" s="93">
        <v>7218</v>
      </c>
      <c r="O658" s="94">
        <v>200000</v>
      </c>
      <c r="P658" s="94">
        <v>59000</v>
      </c>
      <c r="Q658" s="92" t="s">
        <v>3957</v>
      </c>
      <c r="R658" s="92" t="s">
        <v>6857</v>
      </c>
      <c r="S658" s="91">
        <v>72181</v>
      </c>
      <c r="T658" s="91">
        <v>72115</v>
      </c>
    </row>
    <row r="659" spans="1:20" ht="30" customHeight="1" x14ac:dyDescent="0.35">
      <c r="A659" s="88">
        <v>721312</v>
      </c>
      <c r="B659" s="89" t="s">
        <v>6858</v>
      </c>
      <c r="C659" s="89" t="s">
        <v>6859</v>
      </c>
      <c r="D659" s="90" t="s">
        <v>4077</v>
      </c>
      <c r="E659" s="89" t="s">
        <v>3010</v>
      </c>
      <c r="F659" s="89"/>
      <c r="G659" s="89" t="s">
        <v>3011</v>
      </c>
      <c r="H659" s="91">
        <v>7210</v>
      </c>
      <c r="I659" s="89" t="s">
        <v>6860</v>
      </c>
      <c r="J659" s="92" t="s">
        <v>883</v>
      </c>
      <c r="K659" s="92" t="s">
        <v>36</v>
      </c>
      <c r="L659" s="92" t="s">
        <v>6839</v>
      </c>
      <c r="M659" s="92" t="s">
        <v>6861</v>
      </c>
      <c r="N659" s="93">
        <v>7210</v>
      </c>
      <c r="O659" s="94">
        <v>330000</v>
      </c>
      <c r="P659" s="94">
        <v>30000</v>
      </c>
      <c r="Q659" s="92" t="s">
        <v>3957</v>
      </c>
      <c r="R659" s="92" t="s">
        <v>6862</v>
      </c>
      <c r="S659" s="91">
        <v>72111</v>
      </c>
      <c r="T659" s="91">
        <v>72111</v>
      </c>
    </row>
    <row r="660" spans="1:20" ht="30" customHeight="1" x14ac:dyDescent="0.35">
      <c r="A660" s="88">
        <v>721313</v>
      </c>
      <c r="B660" s="89" t="s">
        <v>6863</v>
      </c>
      <c r="C660" s="89" t="s">
        <v>6864</v>
      </c>
      <c r="D660" s="90" t="s">
        <v>4077</v>
      </c>
      <c r="E660" s="89" t="s">
        <v>3013</v>
      </c>
      <c r="F660" s="89"/>
      <c r="G660" s="89" t="s">
        <v>3014</v>
      </c>
      <c r="H660" s="91">
        <v>7210</v>
      </c>
      <c r="I660" s="89" t="s">
        <v>6860</v>
      </c>
      <c r="J660" s="92" t="s">
        <v>883</v>
      </c>
      <c r="K660" s="92" t="s">
        <v>36</v>
      </c>
      <c r="L660" s="92" t="s">
        <v>6839</v>
      </c>
      <c r="M660" s="92" t="s">
        <v>6861</v>
      </c>
      <c r="N660" s="93">
        <v>7210</v>
      </c>
      <c r="O660" s="94">
        <v>330000</v>
      </c>
      <c r="P660" s="94">
        <v>30000</v>
      </c>
      <c r="Q660" s="92" t="s">
        <v>3957</v>
      </c>
      <c r="R660" s="92" t="s">
        <v>6865</v>
      </c>
      <c r="S660" s="89" t="s">
        <v>6866</v>
      </c>
      <c r="T660" s="89" t="s">
        <v>6867</v>
      </c>
    </row>
    <row r="661" spans="1:20" ht="30" customHeight="1" x14ac:dyDescent="0.35">
      <c r="A661" s="88">
        <v>721314</v>
      </c>
      <c r="B661" s="89" t="s">
        <v>6868</v>
      </c>
      <c r="C661" s="89" t="s">
        <v>6869</v>
      </c>
      <c r="D661" s="90" t="s">
        <v>4077</v>
      </c>
      <c r="E661" s="89" t="s">
        <v>3016</v>
      </c>
      <c r="F661" s="89"/>
      <c r="G661" s="89" t="s">
        <v>3017</v>
      </c>
      <c r="H661" s="91">
        <v>7210</v>
      </c>
      <c r="I661" s="89" t="s">
        <v>6860</v>
      </c>
      <c r="J661" s="92" t="s">
        <v>883</v>
      </c>
      <c r="K661" s="92" t="s">
        <v>36</v>
      </c>
      <c r="L661" s="92" t="s">
        <v>6839</v>
      </c>
      <c r="M661" s="92" t="s">
        <v>6861</v>
      </c>
      <c r="N661" s="93">
        <v>7210</v>
      </c>
      <c r="O661" s="94">
        <v>330000</v>
      </c>
      <c r="P661" s="94">
        <v>30000</v>
      </c>
      <c r="Q661" s="92" t="s">
        <v>3957</v>
      </c>
      <c r="R661" s="92" t="s">
        <v>6870</v>
      </c>
      <c r="S661" s="89" t="s">
        <v>6866</v>
      </c>
      <c r="T661" s="89" t="s">
        <v>6871</v>
      </c>
    </row>
    <row r="662" spans="1:20" ht="30" customHeight="1" x14ac:dyDescent="0.35">
      <c r="A662" s="88">
        <v>721315</v>
      </c>
      <c r="B662" s="89" t="s">
        <v>6872</v>
      </c>
      <c r="C662" s="89" t="s">
        <v>6873</v>
      </c>
      <c r="D662" s="90" t="s">
        <v>4077</v>
      </c>
      <c r="E662" s="89" t="s">
        <v>6874</v>
      </c>
      <c r="F662" s="89"/>
      <c r="G662" s="89" t="s">
        <v>3020</v>
      </c>
      <c r="H662" s="91">
        <v>7212</v>
      </c>
      <c r="I662" s="89" t="s">
        <v>6838</v>
      </c>
      <c r="J662" s="92" t="s">
        <v>883</v>
      </c>
      <c r="K662" s="92" t="s">
        <v>36</v>
      </c>
      <c r="L662" s="92" t="s">
        <v>6839</v>
      </c>
      <c r="M662" s="92" t="s">
        <v>6840</v>
      </c>
      <c r="N662" s="93">
        <v>7212</v>
      </c>
      <c r="O662" s="94">
        <v>200000</v>
      </c>
      <c r="P662" s="94">
        <v>5000</v>
      </c>
      <c r="Q662" s="92" t="s">
        <v>3957</v>
      </c>
      <c r="R662" s="92" t="s">
        <v>6875</v>
      </c>
      <c r="S662" s="89" t="s">
        <v>643</v>
      </c>
      <c r="T662" s="89" t="s">
        <v>6842</v>
      </c>
    </row>
    <row r="663" spans="1:20" ht="30" customHeight="1" x14ac:dyDescent="0.35">
      <c r="A663" s="88">
        <v>721316</v>
      </c>
      <c r="B663" s="89" t="s">
        <v>6876</v>
      </c>
      <c r="C663" s="89" t="s">
        <v>6877</v>
      </c>
      <c r="D663" s="90" t="s">
        <v>4077</v>
      </c>
      <c r="E663" s="89" t="s">
        <v>3022</v>
      </c>
      <c r="F663" s="89"/>
      <c r="G663" s="89" t="s">
        <v>3023</v>
      </c>
      <c r="H663" s="91">
        <v>7215</v>
      </c>
      <c r="I663" s="89" t="s">
        <v>6878</v>
      </c>
      <c r="J663" s="92" t="s">
        <v>883</v>
      </c>
      <c r="K663" s="92" t="s">
        <v>36</v>
      </c>
      <c r="L663" s="92" t="s">
        <v>6879</v>
      </c>
      <c r="M663" s="92" t="s">
        <v>6880</v>
      </c>
      <c r="N663" s="93">
        <v>7215</v>
      </c>
      <c r="O663" s="94">
        <v>220000</v>
      </c>
      <c r="P663" s="94">
        <v>78000</v>
      </c>
      <c r="Q663" s="92" t="s">
        <v>3957</v>
      </c>
      <c r="R663" s="92" t="s">
        <v>6881</v>
      </c>
      <c r="S663" s="91">
        <v>72112</v>
      </c>
      <c r="T663" s="91">
        <v>72147</v>
      </c>
    </row>
    <row r="664" spans="1:20" ht="30" customHeight="1" x14ac:dyDescent="0.35">
      <c r="A664" s="88">
        <v>721321</v>
      </c>
      <c r="B664" s="89" t="s">
        <v>6834</v>
      </c>
      <c r="C664" s="89" t="s">
        <v>6835</v>
      </c>
      <c r="D664" s="90" t="s">
        <v>4077</v>
      </c>
      <c r="E664" s="89" t="s">
        <v>6882</v>
      </c>
      <c r="F664" s="89" t="s">
        <v>6883</v>
      </c>
      <c r="G664" s="89" t="s">
        <v>3026</v>
      </c>
      <c r="H664" s="91">
        <v>7213</v>
      </c>
      <c r="I664" s="89" t="s">
        <v>6884</v>
      </c>
      <c r="J664" s="92" t="s">
        <v>883</v>
      </c>
      <c r="K664" s="92" t="s">
        <v>36</v>
      </c>
      <c r="L664" s="92" t="s">
        <v>5045</v>
      </c>
      <c r="M664" s="92" t="s">
        <v>6885</v>
      </c>
      <c r="N664" s="93">
        <v>7213</v>
      </c>
      <c r="O664" s="94">
        <v>210000</v>
      </c>
      <c r="P664" s="94">
        <v>60000</v>
      </c>
      <c r="Q664" s="92" t="s">
        <v>3957</v>
      </c>
      <c r="R664" s="92" t="s">
        <v>6886</v>
      </c>
      <c r="S664" s="91">
        <v>72121</v>
      </c>
      <c r="T664" s="91">
        <v>72114</v>
      </c>
    </row>
    <row r="665" spans="1:20" ht="30" customHeight="1" x14ac:dyDescent="0.35">
      <c r="A665" s="88">
        <v>721322</v>
      </c>
      <c r="B665" s="89" t="s">
        <v>6887</v>
      </c>
      <c r="C665" s="89" t="s">
        <v>6888</v>
      </c>
      <c r="D665" s="90" t="s">
        <v>4077</v>
      </c>
      <c r="E665" s="89" t="s">
        <v>3028</v>
      </c>
      <c r="F665" s="89"/>
      <c r="G665" s="89" t="s">
        <v>3029</v>
      </c>
      <c r="H665" s="91">
        <v>7213</v>
      </c>
      <c r="I665" s="89" t="s">
        <v>6884</v>
      </c>
      <c r="J665" s="92" t="s">
        <v>883</v>
      </c>
      <c r="K665" s="92" t="s">
        <v>36</v>
      </c>
      <c r="L665" s="92" t="s">
        <v>5045</v>
      </c>
      <c r="M665" s="92" t="s">
        <v>6885</v>
      </c>
      <c r="N665" s="93">
        <v>7213</v>
      </c>
      <c r="O665" s="94">
        <v>210000</v>
      </c>
      <c r="P665" s="94">
        <v>60000</v>
      </c>
      <c r="Q665" s="92" t="s">
        <v>3957</v>
      </c>
      <c r="R665" s="92" t="s">
        <v>6889</v>
      </c>
      <c r="S665" s="91">
        <v>72122</v>
      </c>
      <c r="T665" s="91">
        <v>72114</v>
      </c>
    </row>
    <row r="666" spans="1:20" ht="30" customHeight="1" x14ac:dyDescent="0.35">
      <c r="A666" s="88">
        <v>721421</v>
      </c>
      <c r="B666" s="89" t="s">
        <v>6890</v>
      </c>
      <c r="C666" s="89" t="s">
        <v>6891</v>
      </c>
      <c r="D666" s="90" t="s">
        <v>4077</v>
      </c>
      <c r="E666" s="89" t="s">
        <v>6892</v>
      </c>
      <c r="F666" s="89"/>
      <c r="G666" s="89" t="s">
        <v>3032</v>
      </c>
      <c r="H666" s="91">
        <v>7214</v>
      </c>
      <c r="I666" s="89" t="s">
        <v>6893</v>
      </c>
      <c r="J666" s="92" t="s">
        <v>883</v>
      </c>
      <c r="K666" s="92" t="s">
        <v>6894</v>
      </c>
      <c r="L666" s="92" t="s">
        <v>5045</v>
      </c>
      <c r="M666" s="92" t="s">
        <v>6895</v>
      </c>
      <c r="N666" s="93">
        <v>7214</v>
      </c>
      <c r="O666" s="94">
        <v>88000</v>
      </c>
      <c r="P666" s="94">
        <v>6500</v>
      </c>
      <c r="Q666" s="92" t="s">
        <v>3957</v>
      </c>
      <c r="R666" s="92" t="s">
        <v>6896</v>
      </c>
      <c r="S666" s="89" t="s">
        <v>6897</v>
      </c>
      <c r="T666" s="89" t="s">
        <v>6898</v>
      </c>
    </row>
    <row r="667" spans="1:20" ht="30" customHeight="1" x14ac:dyDescent="0.35">
      <c r="A667" s="88">
        <v>722345</v>
      </c>
      <c r="B667" s="89" t="s">
        <v>6899</v>
      </c>
      <c r="C667" s="89" t="s">
        <v>6900</v>
      </c>
      <c r="D667" s="90" t="s">
        <v>4077</v>
      </c>
      <c r="E667" s="89" t="s">
        <v>3034</v>
      </c>
      <c r="F667" s="89" t="s">
        <v>6901</v>
      </c>
      <c r="G667" s="89" t="s">
        <v>3035</v>
      </c>
      <c r="H667" s="91">
        <v>7220</v>
      </c>
      <c r="I667" s="89" t="s">
        <v>6846</v>
      </c>
      <c r="J667" s="92" t="s">
        <v>883</v>
      </c>
      <c r="K667" s="92" t="s">
        <v>36</v>
      </c>
      <c r="L667" s="92" t="s">
        <v>6847</v>
      </c>
      <c r="M667" s="92" t="s">
        <v>6848</v>
      </c>
      <c r="N667" s="93">
        <v>7220</v>
      </c>
      <c r="O667" s="94">
        <v>110000</v>
      </c>
      <c r="P667" s="94">
        <v>16000</v>
      </c>
      <c r="Q667" s="92" t="s">
        <v>3957</v>
      </c>
      <c r="R667" s="92" t="s">
        <v>6902</v>
      </c>
      <c r="S667" s="89" t="s">
        <v>6850</v>
      </c>
      <c r="T667" s="91">
        <v>72231</v>
      </c>
    </row>
    <row r="668" spans="1:20" ht="30" customHeight="1" x14ac:dyDescent="0.35">
      <c r="A668" s="88">
        <v>722351</v>
      </c>
      <c r="B668" s="89" t="s">
        <v>6903</v>
      </c>
      <c r="C668" s="89" t="s">
        <v>6904</v>
      </c>
      <c r="D668" s="90" t="s">
        <v>4077</v>
      </c>
      <c r="E668" s="89" t="s">
        <v>6905</v>
      </c>
      <c r="F668" s="89"/>
      <c r="G668" s="89" t="s">
        <v>3038</v>
      </c>
      <c r="H668" s="91">
        <v>7220</v>
      </c>
      <c r="I668" s="89" t="s">
        <v>6846</v>
      </c>
      <c r="J668" s="92" t="s">
        <v>883</v>
      </c>
      <c r="K668" s="92" t="s">
        <v>36</v>
      </c>
      <c r="L668" s="92" t="s">
        <v>6847</v>
      </c>
      <c r="M668" s="92" t="s">
        <v>6848</v>
      </c>
      <c r="N668" s="93">
        <v>7220</v>
      </c>
      <c r="O668" s="94">
        <v>110000</v>
      </c>
      <c r="P668" s="94">
        <v>16000</v>
      </c>
      <c r="Q668" s="92" t="s">
        <v>3957</v>
      </c>
      <c r="R668" s="92" t="s">
        <v>6906</v>
      </c>
      <c r="S668" s="89" t="s">
        <v>6850</v>
      </c>
      <c r="T668" s="91">
        <v>72210</v>
      </c>
    </row>
    <row r="669" spans="1:20" ht="30" customHeight="1" x14ac:dyDescent="0.35">
      <c r="A669" s="88">
        <v>722356</v>
      </c>
      <c r="B669" s="89" t="s">
        <v>6907</v>
      </c>
      <c r="C669" s="89" t="s">
        <v>6908</v>
      </c>
      <c r="D669" s="90" t="s">
        <v>4077</v>
      </c>
      <c r="E669" s="89" t="s">
        <v>6909</v>
      </c>
      <c r="F669" s="89"/>
      <c r="G669" s="89" t="s">
        <v>3041</v>
      </c>
      <c r="H669" s="91">
        <v>7220</v>
      </c>
      <c r="I669" s="89" t="s">
        <v>6846</v>
      </c>
      <c r="J669" s="92" t="s">
        <v>883</v>
      </c>
      <c r="K669" s="92" t="s">
        <v>36</v>
      </c>
      <c r="L669" s="92" t="s">
        <v>6847</v>
      </c>
      <c r="M669" s="92" t="s">
        <v>6848</v>
      </c>
      <c r="N669" s="93">
        <v>7220</v>
      </c>
      <c r="O669" s="94">
        <v>110000</v>
      </c>
      <c r="P669" s="94">
        <v>16000</v>
      </c>
      <c r="Q669" s="92" t="s">
        <v>3957</v>
      </c>
      <c r="R669" s="92" t="s">
        <v>6910</v>
      </c>
      <c r="S669" s="89" t="s">
        <v>6850</v>
      </c>
      <c r="T669" s="91">
        <v>72241</v>
      </c>
    </row>
    <row r="670" spans="1:20" ht="30" customHeight="1" x14ac:dyDescent="0.35">
      <c r="A670" s="88">
        <v>723385</v>
      </c>
      <c r="B670" s="89" t="s">
        <v>6911</v>
      </c>
      <c r="C670" s="89" t="s">
        <v>6912</v>
      </c>
      <c r="D670" s="90" t="s">
        <v>4077</v>
      </c>
      <c r="E670" s="89" t="s">
        <v>3045</v>
      </c>
      <c r="F670" s="89"/>
      <c r="G670" s="89" t="s">
        <v>3046</v>
      </c>
      <c r="H670" s="91">
        <v>7233</v>
      </c>
      <c r="I670" s="89" t="s">
        <v>6457</v>
      </c>
      <c r="J670" s="92" t="s">
        <v>883</v>
      </c>
      <c r="K670" s="92"/>
      <c r="L670" s="92" t="s">
        <v>6458</v>
      </c>
      <c r="M670" s="92" t="s">
        <v>6459</v>
      </c>
      <c r="N670" s="93">
        <v>7233</v>
      </c>
      <c r="O670" s="94">
        <v>16000</v>
      </c>
      <c r="P670" s="94">
        <v>3500</v>
      </c>
      <c r="Q670" s="92" t="s">
        <v>3957</v>
      </c>
      <c r="R670" s="92" t="s">
        <v>6913</v>
      </c>
      <c r="S670" s="89" t="s">
        <v>643</v>
      </c>
      <c r="T670" s="91">
        <v>72250</v>
      </c>
    </row>
    <row r="671" spans="1:20" ht="30" customHeight="1" x14ac:dyDescent="0.35">
      <c r="A671" s="88">
        <v>723388</v>
      </c>
      <c r="B671" s="89" t="s">
        <v>6914</v>
      </c>
      <c r="C671" s="89" t="s">
        <v>6915</v>
      </c>
      <c r="D671" s="90" t="s">
        <v>4077</v>
      </c>
      <c r="E671" s="89" t="s">
        <v>3047</v>
      </c>
      <c r="F671" s="89"/>
      <c r="G671" s="89" t="s">
        <v>3048</v>
      </c>
      <c r="H671" s="91">
        <v>7233</v>
      </c>
      <c r="I671" s="89" t="s">
        <v>6457</v>
      </c>
      <c r="J671" s="92" t="s">
        <v>883</v>
      </c>
      <c r="K671" s="92"/>
      <c r="L671" s="92" t="s">
        <v>6458</v>
      </c>
      <c r="M671" s="92" t="s">
        <v>6459</v>
      </c>
      <c r="N671" s="93">
        <v>7233</v>
      </c>
      <c r="O671" s="94">
        <v>16000</v>
      </c>
      <c r="P671" s="94">
        <v>3500</v>
      </c>
      <c r="Q671" s="92" t="s">
        <v>3957</v>
      </c>
      <c r="R671" s="92" t="s">
        <v>6916</v>
      </c>
      <c r="S671" s="89" t="s">
        <v>643</v>
      </c>
      <c r="T671" s="91">
        <v>72250</v>
      </c>
    </row>
    <row r="672" spans="1:20" ht="30" customHeight="1" x14ac:dyDescent="0.35">
      <c r="A672" s="88">
        <v>723392</v>
      </c>
      <c r="B672" s="89" t="s">
        <v>6917</v>
      </c>
      <c r="C672" s="89" t="s">
        <v>6918</v>
      </c>
      <c r="D672" s="90" t="s">
        <v>4077</v>
      </c>
      <c r="E672" s="89" t="s">
        <v>3050</v>
      </c>
      <c r="F672" s="89"/>
      <c r="G672" s="89" t="s">
        <v>3051</v>
      </c>
      <c r="H672" s="91">
        <v>7234</v>
      </c>
      <c r="I672" s="89" t="s">
        <v>6919</v>
      </c>
      <c r="J672" s="92" t="s">
        <v>883</v>
      </c>
      <c r="K672" s="92"/>
      <c r="L672" s="92" t="s">
        <v>6920</v>
      </c>
      <c r="M672" s="92" t="s">
        <v>6921</v>
      </c>
      <c r="N672" s="93">
        <v>7234</v>
      </c>
      <c r="O672" s="94">
        <v>4000</v>
      </c>
      <c r="P672" s="94">
        <v>780</v>
      </c>
      <c r="Q672" s="92" t="s">
        <v>3957</v>
      </c>
      <c r="R672" s="92" t="s">
        <v>6922</v>
      </c>
      <c r="S672" s="89" t="s">
        <v>643</v>
      </c>
      <c r="T672" s="91">
        <v>72320</v>
      </c>
    </row>
    <row r="673" spans="1:20" ht="30" customHeight="1" x14ac:dyDescent="0.35">
      <c r="A673" s="88">
        <v>723510</v>
      </c>
      <c r="B673" s="89" t="s">
        <v>6923</v>
      </c>
      <c r="C673" s="89" t="s">
        <v>6923</v>
      </c>
      <c r="D673" s="90" t="s">
        <v>3978</v>
      </c>
      <c r="E673" s="89" t="s">
        <v>3053</v>
      </c>
      <c r="F673" s="89"/>
      <c r="G673" s="89" t="s">
        <v>909</v>
      </c>
      <c r="H673" s="91">
        <v>7236</v>
      </c>
      <c r="I673" s="89" t="s">
        <v>6924</v>
      </c>
      <c r="J673" s="92" t="s">
        <v>883</v>
      </c>
      <c r="K673" s="92" t="s">
        <v>6776</v>
      </c>
      <c r="L673" s="92" t="s">
        <v>6784</v>
      </c>
      <c r="M673" s="92" t="s">
        <v>6925</v>
      </c>
      <c r="N673" s="93">
        <v>7236</v>
      </c>
      <c r="O673" s="94">
        <v>6100</v>
      </c>
      <c r="P673" s="94">
        <v>1600</v>
      </c>
      <c r="Q673" s="92" t="s">
        <v>3957</v>
      </c>
      <c r="R673" s="92" t="s">
        <v>6926</v>
      </c>
      <c r="S673" s="89" t="s">
        <v>3982</v>
      </c>
      <c r="T673" s="89" t="s">
        <v>3982</v>
      </c>
    </row>
    <row r="674" spans="1:20" ht="30" customHeight="1" x14ac:dyDescent="0.35">
      <c r="A674" s="88">
        <v>723600</v>
      </c>
      <c r="B674" s="89" t="s">
        <v>6927</v>
      </c>
      <c r="C674" s="89"/>
      <c r="D674" s="90" t="s">
        <v>4077</v>
      </c>
      <c r="E674" s="89" t="s">
        <v>3055</v>
      </c>
      <c r="F674" s="89"/>
      <c r="G674" s="89" t="s">
        <v>909</v>
      </c>
      <c r="H674" s="91">
        <v>7231</v>
      </c>
      <c r="I674" s="89" t="s">
        <v>6928</v>
      </c>
      <c r="J674" s="92" t="s">
        <v>883</v>
      </c>
      <c r="K674" s="92"/>
      <c r="L674" s="92"/>
      <c r="M674" s="92"/>
      <c r="N674" s="93"/>
      <c r="O674" s="94"/>
      <c r="P674" s="94"/>
      <c r="Q674" s="92"/>
      <c r="R674" s="92"/>
      <c r="S674" s="91"/>
      <c r="T674" s="91"/>
    </row>
    <row r="675" spans="1:20" ht="30" customHeight="1" x14ac:dyDescent="0.35">
      <c r="A675" s="92">
        <v>723610</v>
      </c>
      <c r="B675" s="89" t="s">
        <v>6929</v>
      </c>
      <c r="C675" s="89" t="s">
        <v>6930</v>
      </c>
      <c r="D675" s="90" t="s">
        <v>3978</v>
      </c>
      <c r="E675" s="89" t="s">
        <v>3057</v>
      </c>
      <c r="F675" s="89"/>
      <c r="G675" s="89" t="s">
        <v>909</v>
      </c>
      <c r="H675" s="89">
        <v>7235</v>
      </c>
      <c r="I675" s="89" t="s">
        <v>6931</v>
      </c>
      <c r="J675" s="92" t="s">
        <v>4058</v>
      </c>
      <c r="K675" s="92"/>
      <c r="L675" s="30">
        <v>0</v>
      </c>
      <c r="M675" s="30" t="s">
        <v>6932</v>
      </c>
      <c r="N675" s="31">
        <v>7235</v>
      </c>
      <c r="O675" s="31">
        <v>8</v>
      </c>
      <c r="P675" s="31">
        <v>1</v>
      </c>
      <c r="Q675" s="92" t="s">
        <v>3957</v>
      </c>
      <c r="R675" s="92" t="s">
        <v>6933</v>
      </c>
      <c r="S675" s="92" t="s">
        <v>3982</v>
      </c>
      <c r="T675" s="92" t="s">
        <v>3982</v>
      </c>
    </row>
    <row r="676" spans="1:20" ht="30" customHeight="1" x14ac:dyDescent="0.35">
      <c r="A676" s="88">
        <v>724415</v>
      </c>
      <c r="B676" s="89" t="s">
        <v>6934</v>
      </c>
      <c r="C676" s="89" t="s">
        <v>6935</v>
      </c>
      <c r="D676" s="90" t="s">
        <v>4077</v>
      </c>
      <c r="E676" s="89" t="s">
        <v>3059</v>
      </c>
      <c r="F676" s="89" t="s">
        <v>6936</v>
      </c>
      <c r="G676" s="89" t="s">
        <v>3060</v>
      </c>
      <c r="H676" s="91">
        <v>7240</v>
      </c>
      <c r="I676" s="89" t="s">
        <v>6937</v>
      </c>
      <c r="J676" s="92" t="s">
        <v>883</v>
      </c>
      <c r="K676" s="92" t="s">
        <v>36</v>
      </c>
      <c r="L676" s="92" t="s">
        <v>6938</v>
      </c>
      <c r="M676" s="92" t="s">
        <v>6939</v>
      </c>
      <c r="N676" s="93">
        <v>7240</v>
      </c>
      <c r="O676" s="94">
        <v>98000</v>
      </c>
      <c r="P676" s="94">
        <v>3400</v>
      </c>
      <c r="Q676" s="92" t="s">
        <v>3957</v>
      </c>
      <c r="R676" s="92" t="s">
        <v>6940</v>
      </c>
      <c r="S676" s="91">
        <v>72410</v>
      </c>
      <c r="T676" s="89" t="s">
        <v>6941</v>
      </c>
    </row>
    <row r="677" spans="1:20" ht="30" customHeight="1" x14ac:dyDescent="0.35">
      <c r="A677" s="88">
        <v>724417</v>
      </c>
      <c r="B677" s="89" t="s">
        <v>6942</v>
      </c>
      <c r="C677" s="89" t="s">
        <v>6943</v>
      </c>
      <c r="D677" s="90" t="s">
        <v>4077</v>
      </c>
      <c r="E677" s="89" t="s">
        <v>3062</v>
      </c>
      <c r="F677" s="89" t="s">
        <v>6944</v>
      </c>
      <c r="G677" s="89" t="s">
        <v>3063</v>
      </c>
      <c r="H677" s="91">
        <v>7241</v>
      </c>
      <c r="I677" s="89" t="s">
        <v>6945</v>
      </c>
      <c r="J677" s="92" t="s">
        <v>883</v>
      </c>
      <c r="K677" s="92" t="s">
        <v>36</v>
      </c>
      <c r="L677" s="92" t="s">
        <v>6938</v>
      </c>
      <c r="M677" s="92" t="s">
        <v>6459</v>
      </c>
      <c r="N677" s="93">
        <v>7241</v>
      </c>
      <c r="O677" s="94">
        <v>190000</v>
      </c>
      <c r="P677" s="94">
        <v>18000</v>
      </c>
      <c r="Q677" s="92" t="s">
        <v>3957</v>
      </c>
      <c r="R677" s="92" t="s">
        <v>6946</v>
      </c>
      <c r="S677" s="91">
        <v>72412</v>
      </c>
      <c r="T677" s="89" t="s">
        <v>6941</v>
      </c>
    </row>
    <row r="678" spans="1:20" ht="30" customHeight="1" x14ac:dyDescent="0.35">
      <c r="A678" s="88">
        <v>724433</v>
      </c>
      <c r="B678" s="89" t="s">
        <v>6947</v>
      </c>
      <c r="C678" s="89" t="s">
        <v>6948</v>
      </c>
      <c r="D678" s="90" t="s">
        <v>4077</v>
      </c>
      <c r="E678" s="89" t="s">
        <v>3065</v>
      </c>
      <c r="F678" s="89"/>
      <c r="G678" s="89" t="s">
        <v>3066</v>
      </c>
      <c r="H678" s="91">
        <v>7242</v>
      </c>
      <c r="I678" s="89" t="s">
        <v>6949</v>
      </c>
      <c r="J678" s="92" t="s">
        <v>883</v>
      </c>
      <c r="K678" s="92" t="s">
        <v>36</v>
      </c>
      <c r="L678" s="92" t="s">
        <v>6950</v>
      </c>
      <c r="M678" s="92" t="s">
        <v>6939</v>
      </c>
      <c r="N678" s="93">
        <v>7242</v>
      </c>
      <c r="O678" s="94">
        <v>790000</v>
      </c>
      <c r="P678" s="94">
        <v>60000</v>
      </c>
      <c r="Q678" s="92" t="s">
        <v>3957</v>
      </c>
      <c r="R678" s="92" t="s">
        <v>6951</v>
      </c>
      <c r="S678" s="89" t="s">
        <v>643</v>
      </c>
      <c r="T678" s="89" t="s">
        <v>643</v>
      </c>
    </row>
    <row r="679" spans="1:20" ht="30" customHeight="1" x14ac:dyDescent="0.35">
      <c r="A679" s="92">
        <v>725100</v>
      </c>
      <c r="B679" s="89" t="s">
        <v>6952</v>
      </c>
      <c r="C679" s="89" t="s">
        <v>4491</v>
      </c>
      <c r="D679" s="90" t="s">
        <v>4077</v>
      </c>
      <c r="E679" s="89" t="s">
        <v>6953</v>
      </c>
      <c r="F679" s="89"/>
      <c r="G679" s="89" t="s">
        <v>909</v>
      </c>
      <c r="H679" s="89">
        <v>7250</v>
      </c>
      <c r="I679" s="89" t="s">
        <v>6954</v>
      </c>
      <c r="J679" s="92"/>
      <c r="K679" s="92"/>
      <c r="L679" s="92"/>
      <c r="M679" s="92"/>
      <c r="N679" s="90"/>
      <c r="O679" s="92"/>
      <c r="P679" s="92"/>
      <c r="Q679" s="92"/>
      <c r="R679" s="92"/>
      <c r="S679" s="89"/>
      <c r="T679" s="89"/>
    </row>
    <row r="680" spans="1:20" ht="30" customHeight="1" x14ac:dyDescent="0.35">
      <c r="A680" s="88">
        <v>725121</v>
      </c>
      <c r="B680" s="89" t="s">
        <v>6955</v>
      </c>
      <c r="C680" s="89" t="s">
        <v>6955</v>
      </c>
      <c r="D680" s="90" t="s">
        <v>3978</v>
      </c>
      <c r="E680" s="89" t="s">
        <v>3070</v>
      </c>
      <c r="F680" s="89"/>
      <c r="G680" s="89" t="s">
        <v>3071</v>
      </c>
      <c r="H680" s="91">
        <v>7251</v>
      </c>
      <c r="I680" s="89" t="s">
        <v>6956</v>
      </c>
      <c r="J680" s="92" t="s">
        <v>883</v>
      </c>
      <c r="K680" s="92"/>
      <c r="L680" s="92" t="s">
        <v>6957</v>
      </c>
      <c r="M680" s="92" t="s">
        <v>6397</v>
      </c>
      <c r="N680" s="93">
        <v>7251</v>
      </c>
      <c r="O680" s="94">
        <v>61000</v>
      </c>
      <c r="P680" s="94">
        <v>1500</v>
      </c>
      <c r="Q680" s="92" t="s">
        <v>3957</v>
      </c>
      <c r="R680" s="92" t="s">
        <v>6958</v>
      </c>
      <c r="S680" s="91">
        <v>72520</v>
      </c>
      <c r="T680" s="91">
        <v>72511</v>
      </c>
    </row>
    <row r="681" spans="1:20" ht="30" customHeight="1" x14ac:dyDescent="0.35">
      <c r="A681" s="88">
        <v>725513</v>
      </c>
      <c r="B681" s="89" t="s">
        <v>6959</v>
      </c>
      <c r="C681" s="89" t="s">
        <v>6960</v>
      </c>
      <c r="D681" s="90" t="s">
        <v>4077</v>
      </c>
      <c r="E681" s="89" t="s">
        <v>3073</v>
      </c>
      <c r="F681" s="89"/>
      <c r="G681" s="89" t="s">
        <v>3074</v>
      </c>
      <c r="H681" s="91">
        <v>7250</v>
      </c>
      <c r="I681" s="89" t="s">
        <v>6961</v>
      </c>
      <c r="J681" s="92" t="s">
        <v>883</v>
      </c>
      <c r="K681" s="92" t="s">
        <v>36</v>
      </c>
      <c r="L681" s="92" t="s">
        <v>6962</v>
      </c>
      <c r="M681" s="92" t="s">
        <v>6963</v>
      </c>
      <c r="N681" s="93">
        <v>7250</v>
      </c>
      <c r="O681" s="94">
        <v>63000</v>
      </c>
      <c r="P681" s="94">
        <v>3600</v>
      </c>
      <c r="Q681" s="92" t="s">
        <v>3957</v>
      </c>
      <c r="R681" s="92" t="s">
        <v>6964</v>
      </c>
      <c r="S681" s="91">
        <v>72510</v>
      </c>
      <c r="T681" s="89" t="s">
        <v>643</v>
      </c>
    </row>
    <row r="682" spans="1:20" ht="30" customHeight="1" x14ac:dyDescent="0.35">
      <c r="A682" s="88">
        <v>725517</v>
      </c>
      <c r="B682" s="89" t="s">
        <v>6965</v>
      </c>
      <c r="C682" s="89" t="s">
        <v>6966</v>
      </c>
      <c r="D682" s="90" t="s">
        <v>4077</v>
      </c>
      <c r="E682" s="89" t="s">
        <v>3076</v>
      </c>
      <c r="F682" s="89"/>
      <c r="G682" s="89" t="s">
        <v>3077</v>
      </c>
      <c r="H682" s="91">
        <v>7250</v>
      </c>
      <c r="I682" s="89" t="s">
        <v>6961</v>
      </c>
      <c r="J682" s="92" t="s">
        <v>883</v>
      </c>
      <c r="K682" s="92" t="s">
        <v>36</v>
      </c>
      <c r="L682" s="92" t="s">
        <v>6962</v>
      </c>
      <c r="M682" s="92" t="s">
        <v>6963</v>
      </c>
      <c r="N682" s="93">
        <v>7250</v>
      </c>
      <c r="O682" s="94">
        <v>63000</v>
      </c>
      <c r="P682" s="94">
        <v>3600</v>
      </c>
      <c r="Q682" s="92" t="s">
        <v>3957</v>
      </c>
      <c r="R682" s="92" t="s">
        <v>6967</v>
      </c>
      <c r="S682" s="91">
        <v>72510</v>
      </c>
      <c r="T682" s="91">
        <v>72510</v>
      </c>
    </row>
    <row r="683" spans="1:20" ht="30" customHeight="1" x14ac:dyDescent="0.35">
      <c r="A683" s="88">
        <v>730142</v>
      </c>
      <c r="B683" s="89" t="s">
        <v>6968</v>
      </c>
      <c r="C683" s="89" t="s">
        <v>6969</v>
      </c>
      <c r="D683" s="90" t="s">
        <v>4077</v>
      </c>
      <c r="E683" s="89" t="s">
        <v>6970</v>
      </c>
      <c r="F683" s="89"/>
      <c r="G683" s="89" t="s">
        <v>3080</v>
      </c>
      <c r="H683" s="91">
        <v>7311</v>
      </c>
      <c r="I683" s="89" t="s">
        <v>6971</v>
      </c>
      <c r="J683" s="92" t="s">
        <v>883</v>
      </c>
      <c r="K683" s="92"/>
      <c r="L683" s="92" t="s">
        <v>6972</v>
      </c>
      <c r="M683" s="92" t="s">
        <v>6973</v>
      </c>
      <c r="N683" s="93">
        <v>7311</v>
      </c>
      <c r="O683" s="94">
        <v>44000</v>
      </c>
      <c r="P683" s="94">
        <v>9900</v>
      </c>
      <c r="Q683" s="92" t="s">
        <v>3957</v>
      </c>
      <c r="R683" s="92" t="s">
        <v>6974</v>
      </c>
      <c r="S683" s="91">
        <v>73010</v>
      </c>
      <c r="T683" s="91">
        <v>73010</v>
      </c>
    </row>
    <row r="684" spans="1:20" ht="30" customHeight="1" x14ac:dyDescent="0.35">
      <c r="A684" s="88">
        <v>730145</v>
      </c>
      <c r="B684" s="89" t="s">
        <v>6975</v>
      </c>
      <c r="C684" s="89" t="s">
        <v>6976</v>
      </c>
      <c r="D684" s="90" t="s">
        <v>4077</v>
      </c>
      <c r="E684" s="89" t="s">
        <v>6977</v>
      </c>
      <c r="F684" s="89" t="s">
        <v>6978</v>
      </c>
      <c r="G684" s="89" t="s">
        <v>909</v>
      </c>
      <c r="H684" s="91">
        <v>1411</v>
      </c>
      <c r="I684" s="89" t="s">
        <v>4262</v>
      </c>
      <c r="J684" s="92" t="s">
        <v>883</v>
      </c>
      <c r="K684" s="92"/>
      <c r="L684" s="92" t="s">
        <v>4263</v>
      </c>
      <c r="M684" s="92" t="s">
        <v>4264</v>
      </c>
      <c r="N684" s="93">
        <v>1411</v>
      </c>
      <c r="O684" s="94">
        <v>36000</v>
      </c>
      <c r="P684" s="94">
        <v>13000</v>
      </c>
      <c r="Q684" s="92" t="s">
        <v>3957</v>
      </c>
      <c r="R684" s="92" t="s">
        <v>6979</v>
      </c>
      <c r="S684" s="91">
        <v>14111</v>
      </c>
      <c r="T684" s="89" t="s">
        <v>643</v>
      </c>
    </row>
    <row r="685" spans="1:20" ht="30" customHeight="1" x14ac:dyDescent="0.35">
      <c r="A685" s="88">
        <v>730147</v>
      </c>
      <c r="B685" s="89" t="s">
        <v>6980</v>
      </c>
      <c r="C685" s="89" t="s">
        <v>6981</v>
      </c>
      <c r="D685" s="90" t="s">
        <v>4077</v>
      </c>
      <c r="E685" s="89" t="s">
        <v>3084</v>
      </c>
      <c r="F685" s="89"/>
      <c r="G685" s="89" t="s">
        <v>3085</v>
      </c>
      <c r="H685" s="91">
        <v>4421</v>
      </c>
      <c r="I685" s="89" t="s">
        <v>5825</v>
      </c>
      <c r="J685" s="92" t="s">
        <v>883</v>
      </c>
      <c r="K685" s="92" t="s">
        <v>5539</v>
      </c>
      <c r="L685" s="92" t="s">
        <v>5826</v>
      </c>
      <c r="M685" s="92" t="s">
        <v>5827</v>
      </c>
      <c r="N685" s="93">
        <v>4421</v>
      </c>
      <c r="O685" s="94">
        <v>1500000</v>
      </c>
      <c r="P685" s="94">
        <v>18000</v>
      </c>
      <c r="Q685" s="92" t="s">
        <v>3957</v>
      </c>
      <c r="R685" s="92" t="s">
        <v>6982</v>
      </c>
      <c r="S685" s="89" t="s">
        <v>643</v>
      </c>
      <c r="T685" s="91">
        <v>44110</v>
      </c>
    </row>
    <row r="686" spans="1:20" ht="30" customHeight="1" x14ac:dyDescent="0.35">
      <c r="A686" s="88">
        <v>730151</v>
      </c>
      <c r="B686" s="89" t="s">
        <v>6983</v>
      </c>
      <c r="C686" s="89" t="s">
        <v>6984</v>
      </c>
      <c r="D686" s="90" t="s">
        <v>4077</v>
      </c>
      <c r="E686" s="89" t="s">
        <v>3087</v>
      </c>
      <c r="F686" s="89" t="s">
        <v>6985</v>
      </c>
      <c r="G686" s="89" t="s">
        <v>3088</v>
      </c>
      <c r="H686" s="91">
        <v>7381</v>
      </c>
      <c r="I686" s="89" t="s">
        <v>3086</v>
      </c>
      <c r="J686" s="92" t="s">
        <v>883</v>
      </c>
      <c r="K686" s="92"/>
      <c r="L686" s="92" t="s">
        <v>6986</v>
      </c>
      <c r="M686" s="92" t="s">
        <v>6987</v>
      </c>
      <c r="N686" s="93">
        <v>7381</v>
      </c>
      <c r="O686" s="94">
        <v>2000</v>
      </c>
      <c r="P686" s="94">
        <v>770</v>
      </c>
      <c r="Q686" s="92" t="s">
        <v>3957</v>
      </c>
      <c r="R686" s="92" t="s">
        <v>6988</v>
      </c>
      <c r="S686" s="91">
        <v>73012</v>
      </c>
      <c r="T686" s="89" t="s">
        <v>643</v>
      </c>
    </row>
    <row r="687" spans="1:20" ht="30" customHeight="1" x14ac:dyDescent="0.35">
      <c r="A687" s="88">
        <v>730182</v>
      </c>
      <c r="B687" s="89" t="s">
        <v>6989</v>
      </c>
      <c r="C687" s="89" t="s">
        <v>6990</v>
      </c>
      <c r="D687" s="90" t="s">
        <v>4077</v>
      </c>
      <c r="E687" s="89" t="s">
        <v>3090</v>
      </c>
      <c r="F687" s="89"/>
      <c r="G687" s="89" t="s">
        <v>3091</v>
      </c>
      <c r="H687" s="91">
        <v>7321</v>
      </c>
      <c r="I687" s="89" t="s">
        <v>6991</v>
      </c>
      <c r="J687" s="92" t="s">
        <v>883</v>
      </c>
      <c r="K687" s="92"/>
      <c r="L687" s="92" t="s">
        <v>6992</v>
      </c>
      <c r="M687" s="92" t="s">
        <v>6993</v>
      </c>
      <c r="N687" s="93">
        <v>7321</v>
      </c>
      <c r="O687" s="94">
        <v>45000</v>
      </c>
      <c r="P687" s="94">
        <v>1800</v>
      </c>
      <c r="Q687" s="92" t="s">
        <v>3957</v>
      </c>
      <c r="R687" s="92" t="s">
        <v>6994</v>
      </c>
      <c r="S687" s="91">
        <v>73021</v>
      </c>
      <c r="T687" s="91">
        <v>73030</v>
      </c>
    </row>
    <row r="688" spans="1:20" ht="30" customHeight="1" x14ac:dyDescent="0.35">
      <c r="A688" s="88">
        <v>730186</v>
      </c>
      <c r="B688" s="89" t="s">
        <v>6995</v>
      </c>
      <c r="C688" s="89" t="s">
        <v>6996</v>
      </c>
      <c r="D688" s="90" t="s">
        <v>4077</v>
      </c>
      <c r="E688" s="89" t="s">
        <v>3093</v>
      </c>
      <c r="F688" s="89"/>
      <c r="G688" s="89" t="s">
        <v>3094</v>
      </c>
      <c r="H688" s="91">
        <v>7321</v>
      </c>
      <c r="I688" s="89" t="s">
        <v>6991</v>
      </c>
      <c r="J688" s="92" t="s">
        <v>883</v>
      </c>
      <c r="K688" s="92"/>
      <c r="L688" s="92" t="s">
        <v>6992</v>
      </c>
      <c r="M688" s="92" t="s">
        <v>6993</v>
      </c>
      <c r="N688" s="93">
        <v>7321</v>
      </c>
      <c r="O688" s="94">
        <v>45000</v>
      </c>
      <c r="P688" s="94">
        <v>1800</v>
      </c>
      <c r="Q688" s="92" t="s">
        <v>3957</v>
      </c>
      <c r="R688" s="92" t="s">
        <v>6997</v>
      </c>
      <c r="S688" s="91">
        <v>73021</v>
      </c>
      <c r="T688" s="91">
        <v>73030</v>
      </c>
    </row>
    <row r="689" spans="1:20" ht="30" customHeight="1" x14ac:dyDescent="0.35">
      <c r="A689" s="88">
        <v>730275</v>
      </c>
      <c r="B689" s="89" t="s">
        <v>6998</v>
      </c>
      <c r="C689" s="89" t="s">
        <v>6999</v>
      </c>
      <c r="D689" s="90" t="s">
        <v>3978</v>
      </c>
      <c r="E689" s="89" t="s">
        <v>3096</v>
      </c>
      <c r="F689" s="89"/>
      <c r="G689" s="89" t="s">
        <v>3097</v>
      </c>
      <c r="H689" s="91">
        <v>7384</v>
      </c>
      <c r="I689" s="89" t="s">
        <v>7000</v>
      </c>
      <c r="J689" s="92" t="s">
        <v>883</v>
      </c>
      <c r="K689" s="92"/>
      <c r="L689" s="92" t="s">
        <v>7001</v>
      </c>
      <c r="M689" s="92" t="s">
        <v>4778</v>
      </c>
      <c r="N689" s="93">
        <v>7384</v>
      </c>
      <c r="O689" s="94">
        <v>15000</v>
      </c>
      <c r="P689" s="94">
        <v>300</v>
      </c>
      <c r="Q689" s="92" t="s">
        <v>3957</v>
      </c>
      <c r="R689" s="92" t="s">
        <v>7002</v>
      </c>
      <c r="S689" s="91">
        <v>73070</v>
      </c>
      <c r="T689" s="91">
        <v>73066</v>
      </c>
    </row>
    <row r="690" spans="1:20" ht="30" customHeight="1" x14ac:dyDescent="0.35">
      <c r="A690" s="88">
        <v>730277</v>
      </c>
      <c r="B690" s="89" t="s">
        <v>7003</v>
      </c>
      <c r="C690" s="89" t="s">
        <v>7004</v>
      </c>
      <c r="D690" s="90" t="s">
        <v>4077</v>
      </c>
      <c r="E690" s="89" t="s">
        <v>3099</v>
      </c>
      <c r="F690" s="89"/>
      <c r="G690" s="89" t="s">
        <v>3100</v>
      </c>
      <c r="H690" s="91">
        <v>7341</v>
      </c>
      <c r="I690" s="89" t="s">
        <v>3098</v>
      </c>
      <c r="J690" s="92" t="s">
        <v>883</v>
      </c>
      <c r="K690" s="92"/>
      <c r="L690" s="92" t="s">
        <v>7005</v>
      </c>
      <c r="M690" s="92" t="s">
        <v>7006</v>
      </c>
      <c r="N690" s="93">
        <v>7341</v>
      </c>
      <c r="O690" s="94">
        <v>1800</v>
      </c>
      <c r="P690" s="94">
        <v>300</v>
      </c>
      <c r="Q690" s="92" t="s">
        <v>3957</v>
      </c>
      <c r="R690" s="92" t="s">
        <v>7007</v>
      </c>
      <c r="S690" s="91">
        <v>73013</v>
      </c>
      <c r="T690" s="91">
        <v>73067</v>
      </c>
    </row>
    <row r="691" spans="1:20" ht="30" customHeight="1" x14ac:dyDescent="0.35">
      <c r="A691" s="88">
        <v>730441</v>
      </c>
      <c r="B691" s="89" t="s">
        <v>7008</v>
      </c>
      <c r="C691" s="89" t="s">
        <v>7009</v>
      </c>
      <c r="D691" s="90" t="s">
        <v>4077</v>
      </c>
      <c r="E691" s="89" t="s">
        <v>3102</v>
      </c>
      <c r="F691" s="89"/>
      <c r="G691" s="89" t="s">
        <v>3103</v>
      </c>
      <c r="H691" s="91">
        <v>7351</v>
      </c>
      <c r="I691" s="89" t="s">
        <v>3101</v>
      </c>
      <c r="J691" s="92" t="s">
        <v>883</v>
      </c>
      <c r="K691" s="92"/>
      <c r="L691" s="92" t="s">
        <v>7010</v>
      </c>
      <c r="M691" s="92" t="s">
        <v>7011</v>
      </c>
      <c r="N691" s="93">
        <v>7351</v>
      </c>
      <c r="O691" s="94">
        <v>100000</v>
      </c>
      <c r="P691" s="94">
        <v>16000</v>
      </c>
      <c r="Q691" s="92" t="s">
        <v>3957</v>
      </c>
      <c r="R691" s="92" t="s">
        <v>7012</v>
      </c>
      <c r="S691" s="91">
        <v>74025</v>
      </c>
      <c r="T691" s="91">
        <v>74088</v>
      </c>
    </row>
    <row r="692" spans="1:20" ht="30" customHeight="1" x14ac:dyDescent="0.35">
      <c r="A692" s="88">
        <v>730443</v>
      </c>
      <c r="B692" s="89" t="s">
        <v>7013</v>
      </c>
      <c r="C692" s="89" t="s">
        <v>7014</v>
      </c>
      <c r="D692" s="90" t="s">
        <v>4077</v>
      </c>
      <c r="E692" s="89" t="s">
        <v>3105</v>
      </c>
      <c r="F692" s="89"/>
      <c r="G692" s="89" t="s">
        <v>3106</v>
      </c>
      <c r="H692" s="91">
        <v>7344</v>
      </c>
      <c r="I692" s="89" t="s">
        <v>7015</v>
      </c>
      <c r="J692" s="92" t="s">
        <v>883</v>
      </c>
      <c r="K692" s="92"/>
      <c r="L692" s="92" t="s">
        <v>7016</v>
      </c>
      <c r="M692" s="92" t="s">
        <v>7017</v>
      </c>
      <c r="N692" s="93">
        <v>7344</v>
      </c>
      <c r="O692" s="94">
        <v>24000</v>
      </c>
      <c r="P692" s="94">
        <v>3500</v>
      </c>
      <c r="Q692" s="92" t="s">
        <v>3957</v>
      </c>
      <c r="R692" s="92" t="s">
        <v>7018</v>
      </c>
      <c r="S692" s="89" t="s">
        <v>7019</v>
      </c>
      <c r="T692" s="91">
        <v>73085</v>
      </c>
    </row>
    <row r="693" spans="1:20" ht="30" customHeight="1" x14ac:dyDescent="0.35">
      <c r="A693" s="88">
        <v>730551</v>
      </c>
      <c r="B693" s="89" t="s">
        <v>7020</v>
      </c>
      <c r="C693" s="89" t="s">
        <v>7021</v>
      </c>
      <c r="D693" s="90" t="s">
        <v>4077</v>
      </c>
      <c r="E693" s="89" t="s">
        <v>3108</v>
      </c>
      <c r="F693" s="89" t="s">
        <v>7022</v>
      </c>
      <c r="G693" s="89" t="s">
        <v>3109</v>
      </c>
      <c r="H693" s="91">
        <v>7342</v>
      </c>
      <c r="I693" s="89" t="s">
        <v>7023</v>
      </c>
      <c r="J693" s="92" t="s">
        <v>883</v>
      </c>
      <c r="K693" s="92"/>
      <c r="L693" s="92" t="s">
        <v>7024</v>
      </c>
      <c r="M693" s="92" t="s">
        <v>7025</v>
      </c>
      <c r="N693" s="93">
        <v>7342</v>
      </c>
      <c r="O693" s="94">
        <v>56000</v>
      </c>
      <c r="P693" s="94">
        <v>2800</v>
      </c>
      <c r="Q693" s="92" t="s">
        <v>3957</v>
      </c>
      <c r="R693" s="92" t="s">
        <v>7026</v>
      </c>
      <c r="S693" s="91">
        <v>73030</v>
      </c>
      <c r="T693" s="91">
        <v>73040</v>
      </c>
    </row>
    <row r="694" spans="1:20" ht="30" customHeight="1" x14ac:dyDescent="0.35">
      <c r="A694" s="88">
        <v>730652</v>
      </c>
      <c r="B694" s="89" t="s">
        <v>7027</v>
      </c>
      <c r="C694" s="89" t="s">
        <v>7028</v>
      </c>
      <c r="D694" s="90" t="s">
        <v>4077</v>
      </c>
      <c r="E694" s="89" t="s">
        <v>7029</v>
      </c>
      <c r="F694" s="89" t="s">
        <v>7022</v>
      </c>
      <c r="G694" s="89" t="s">
        <v>3112</v>
      </c>
      <c r="H694" s="91">
        <v>7342</v>
      </c>
      <c r="I694" s="89" t="s">
        <v>7023</v>
      </c>
      <c r="J694" s="92" t="s">
        <v>883</v>
      </c>
      <c r="K694" s="92"/>
      <c r="L694" s="92" t="s">
        <v>7024</v>
      </c>
      <c r="M694" s="92" t="s">
        <v>7025</v>
      </c>
      <c r="N694" s="93">
        <v>7342</v>
      </c>
      <c r="O694" s="94">
        <v>56000</v>
      </c>
      <c r="P694" s="94">
        <v>2800</v>
      </c>
      <c r="Q694" s="92" t="s">
        <v>3957</v>
      </c>
      <c r="R694" s="92" t="s">
        <v>7030</v>
      </c>
      <c r="S694" s="91">
        <v>73030</v>
      </c>
      <c r="T694" s="91">
        <v>73040</v>
      </c>
    </row>
    <row r="695" spans="1:20" ht="30" customHeight="1" x14ac:dyDescent="0.35">
      <c r="A695" s="88">
        <v>730660</v>
      </c>
      <c r="B695" s="89" t="s">
        <v>7031</v>
      </c>
      <c r="C695" s="89" t="s">
        <v>7031</v>
      </c>
      <c r="D695" s="90" t="s">
        <v>4077</v>
      </c>
      <c r="E695" s="89" t="s">
        <v>7032</v>
      </c>
      <c r="F695" s="89" t="s">
        <v>7033</v>
      </c>
      <c r="G695" s="89" t="s">
        <v>3115</v>
      </c>
      <c r="H695" s="91">
        <v>7383</v>
      </c>
      <c r="I695" s="89" t="s">
        <v>4544</v>
      </c>
      <c r="J695" s="92" t="s">
        <v>883</v>
      </c>
      <c r="K695" s="92" t="s">
        <v>36</v>
      </c>
      <c r="L695" s="92" t="s">
        <v>4545</v>
      </c>
      <c r="M695" s="92" t="s">
        <v>4546</v>
      </c>
      <c r="N695" s="93">
        <v>7383</v>
      </c>
      <c r="O695" s="94">
        <v>9300</v>
      </c>
      <c r="P695" s="94">
        <v>1100</v>
      </c>
      <c r="Q695" s="92" t="s">
        <v>3957</v>
      </c>
      <c r="R695" s="92" t="s">
        <v>7034</v>
      </c>
      <c r="S695" s="91">
        <v>73050</v>
      </c>
      <c r="T695" s="91">
        <v>73065</v>
      </c>
    </row>
    <row r="696" spans="1:20" ht="30" customHeight="1" x14ac:dyDescent="0.35">
      <c r="A696" s="88">
        <v>730711</v>
      </c>
      <c r="B696" s="89" t="s">
        <v>7035</v>
      </c>
      <c r="C696" s="89" t="s">
        <v>7036</v>
      </c>
      <c r="D696" s="90" t="s">
        <v>4077</v>
      </c>
      <c r="E696" s="89" t="s">
        <v>3117</v>
      </c>
      <c r="F696" s="89" t="s">
        <v>7037</v>
      </c>
      <c r="G696" s="89" t="s">
        <v>3118</v>
      </c>
      <c r="H696" s="91">
        <v>7342</v>
      </c>
      <c r="I696" s="89" t="s">
        <v>7023</v>
      </c>
      <c r="J696" s="92" t="s">
        <v>883</v>
      </c>
      <c r="K696" s="92"/>
      <c r="L696" s="92" t="s">
        <v>7024</v>
      </c>
      <c r="M696" s="92" t="s">
        <v>7025</v>
      </c>
      <c r="N696" s="93">
        <v>7342</v>
      </c>
      <c r="O696" s="94">
        <v>56000</v>
      </c>
      <c r="P696" s="94">
        <v>2800</v>
      </c>
      <c r="Q696" s="92" t="s">
        <v>3957</v>
      </c>
      <c r="R696" s="92" t="s">
        <v>7038</v>
      </c>
      <c r="S696" s="91">
        <v>73030</v>
      </c>
      <c r="T696" s="91">
        <v>73040</v>
      </c>
    </row>
    <row r="697" spans="1:20" ht="30" customHeight="1" x14ac:dyDescent="0.35">
      <c r="A697" s="88">
        <v>730713</v>
      </c>
      <c r="B697" s="89" t="s">
        <v>7039</v>
      </c>
      <c r="C697" s="89" t="s">
        <v>7040</v>
      </c>
      <c r="D697" s="90" t="s">
        <v>4077</v>
      </c>
      <c r="E697" s="89" t="s">
        <v>3120</v>
      </c>
      <c r="F697" s="89"/>
      <c r="G697" s="89" t="s">
        <v>3121</v>
      </c>
      <c r="H697" s="91">
        <v>7342</v>
      </c>
      <c r="I697" s="89" t="s">
        <v>7023</v>
      </c>
      <c r="J697" s="92" t="s">
        <v>883</v>
      </c>
      <c r="K697" s="92"/>
      <c r="L697" s="92" t="s">
        <v>7024</v>
      </c>
      <c r="M697" s="92" t="s">
        <v>7025</v>
      </c>
      <c r="N697" s="93">
        <v>7342</v>
      </c>
      <c r="O697" s="94">
        <v>56000</v>
      </c>
      <c r="P697" s="94">
        <v>2800</v>
      </c>
      <c r="Q697" s="92" t="s">
        <v>3957</v>
      </c>
      <c r="R697" s="92" t="s">
        <v>7041</v>
      </c>
      <c r="S697" s="91">
        <v>73030</v>
      </c>
      <c r="T697" s="91">
        <v>73040</v>
      </c>
    </row>
    <row r="698" spans="1:20" ht="30" customHeight="1" x14ac:dyDescent="0.35">
      <c r="A698" s="88">
        <v>730717</v>
      </c>
      <c r="B698" s="89" t="s">
        <v>7042</v>
      </c>
      <c r="C698" s="89" t="s">
        <v>7042</v>
      </c>
      <c r="D698" s="90" t="s">
        <v>4077</v>
      </c>
      <c r="E698" s="89" t="s">
        <v>3123</v>
      </c>
      <c r="F698" s="89" t="s">
        <v>7043</v>
      </c>
      <c r="G698" s="89" t="s">
        <v>3124</v>
      </c>
      <c r="H698" s="91">
        <v>7343</v>
      </c>
      <c r="I698" s="89" t="s">
        <v>7044</v>
      </c>
      <c r="J698" s="92" t="s">
        <v>883</v>
      </c>
      <c r="K698" s="92"/>
      <c r="L698" s="92" t="s">
        <v>7045</v>
      </c>
      <c r="M698" s="92" t="s">
        <v>4264</v>
      </c>
      <c r="N698" s="93">
        <v>7343</v>
      </c>
      <c r="O698" s="94">
        <v>20000</v>
      </c>
      <c r="P698" s="94">
        <v>5400</v>
      </c>
      <c r="Q698" s="92" t="s">
        <v>3957</v>
      </c>
      <c r="R698" s="92" t="s">
        <v>7046</v>
      </c>
      <c r="S698" s="91">
        <v>74020</v>
      </c>
      <c r="T698" s="91">
        <v>73013</v>
      </c>
    </row>
    <row r="699" spans="1:20" ht="30" customHeight="1" x14ac:dyDescent="0.35">
      <c r="A699" s="88">
        <v>730740</v>
      </c>
      <c r="B699" s="89" t="s">
        <v>7047</v>
      </c>
      <c r="C699" s="89"/>
      <c r="D699" s="90" t="s">
        <v>4077</v>
      </c>
      <c r="E699" s="89" t="s">
        <v>3126</v>
      </c>
      <c r="F699" s="89"/>
      <c r="G699" s="89" t="s">
        <v>909</v>
      </c>
      <c r="H699" s="91">
        <v>7389</v>
      </c>
      <c r="I699" s="89" t="s">
        <v>7048</v>
      </c>
      <c r="J699" s="92" t="s">
        <v>883</v>
      </c>
      <c r="K699" s="92"/>
      <c r="L699" s="92"/>
      <c r="M699" s="92"/>
      <c r="N699" s="93"/>
      <c r="O699" s="94"/>
      <c r="P699" s="94"/>
      <c r="Q699" s="92"/>
      <c r="R699" s="92"/>
      <c r="S699" s="91"/>
      <c r="T699" s="91"/>
    </row>
    <row r="700" spans="1:20" ht="30" customHeight="1" x14ac:dyDescent="0.35">
      <c r="A700" s="88">
        <v>730771</v>
      </c>
      <c r="B700" s="89" t="s">
        <v>7049</v>
      </c>
      <c r="C700" s="89" t="s">
        <v>7050</v>
      </c>
      <c r="D700" s="90" t="s">
        <v>4077</v>
      </c>
      <c r="E700" s="89" t="s">
        <v>7051</v>
      </c>
      <c r="F700" s="89" t="s">
        <v>7052</v>
      </c>
      <c r="G700" s="89" t="s">
        <v>3129</v>
      </c>
      <c r="H700" s="91">
        <v>7361</v>
      </c>
      <c r="I700" s="89" t="s">
        <v>7053</v>
      </c>
      <c r="J700" s="92" t="s">
        <v>883</v>
      </c>
      <c r="K700" s="92" t="s">
        <v>7054</v>
      </c>
      <c r="L700" s="92" t="s">
        <v>7055</v>
      </c>
      <c r="M700" s="92" t="s">
        <v>7056</v>
      </c>
      <c r="N700" s="93">
        <v>7361</v>
      </c>
      <c r="O700" s="94">
        <v>33000</v>
      </c>
      <c r="P700" s="94">
        <v>8286</v>
      </c>
      <c r="Q700" s="92" t="s">
        <v>3957</v>
      </c>
      <c r="R700" s="92" t="s">
        <v>7057</v>
      </c>
      <c r="S700" s="91">
        <v>73017</v>
      </c>
      <c r="T700" s="91">
        <v>73083</v>
      </c>
    </row>
    <row r="701" spans="1:20" ht="30" customHeight="1" x14ac:dyDescent="0.35">
      <c r="A701" s="88">
        <v>730772</v>
      </c>
      <c r="B701" s="89" t="s">
        <v>7058</v>
      </c>
      <c r="C701" s="89" t="s">
        <v>7059</v>
      </c>
      <c r="D701" s="90" t="s">
        <v>4077</v>
      </c>
      <c r="E701" s="89" t="s">
        <v>3131</v>
      </c>
      <c r="F701" s="89"/>
      <c r="G701" s="89" t="s">
        <v>3132</v>
      </c>
      <c r="H701" s="91">
        <v>7362</v>
      </c>
      <c r="I701" s="89" t="s">
        <v>3130</v>
      </c>
      <c r="J701" s="92" t="s">
        <v>883</v>
      </c>
      <c r="K701" s="92"/>
      <c r="L701" s="92" t="s">
        <v>7060</v>
      </c>
      <c r="M701" s="92" t="s">
        <v>7061</v>
      </c>
      <c r="N701" s="93">
        <v>7362</v>
      </c>
      <c r="O701" s="94">
        <v>28000</v>
      </c>
      <c r="P701" s="94">
        <v>94</v>
      </c>
      <c r="Q701" s="92" t="s">
        <v>3957</v>
      </c>
      <c r="R701" s="92" t="s">
        <v>7062</v>
      </c>
      <c r="S701" s="91">
        <v>73018</v>
      </c>
      <c r="T701" s="89" t="s">
        <v>643</v>
      </c>
    </row>
    <row r="702" spans="1:20" ht="30" customHeight="1" x14ac:dyDescent="0.35">
      <c r="A702" s="88">
        <v>730773</v>
      </c>
      <c r="B702" s="89" t="s">
        <v>7063</v>
      </c>
      <c r="C702" s="89" t="s">
        <v>7064</v>
      </c>
      <c r="D702" s="90" t="s">
        <v>4077</v>
      </c>
      <c r="E702" s="89" t="s">
        <v>3134</v>
      </c>
      <c r="F702" s="89"/>
      <c r="G702" s="89" t="s">
        <v>3135</v>
      </c>
      <c r="H702" s="91">
        <v>7361</v>
      </c>
      <c r="I702" s="89" t="s">
        <v>7053</v>
      </c>
      <c r="J702" s="92" t="s">
        <v>883</v>
      </c>
      <c r="K702" s="92" t="s">
        <v>7054</v>
      </c>
      <c r="L702" s="92" t="s">
        <v>7055</v>
      </c>
      <c r="M702" s="92" t="s">
        <v>7056</v>
      </c>
      <c r="N702" s="93">
        <v>7361</v>
      </c>
      <c r="O702" s="94">
        <v>33000</v>
      </c>
      <c r="P702" s="94">
        <v>8286</v>
      </c>
      <c r="Q702" s="92" t="s">
        <v>3957</v>
      </c>
      <c r="R702" s="92" t="s">
        <v>7065</v>
      </c>
      <c r="S702" s="91">
        <v>73017</v>
      </c>
      <c r="T702" s="91">
        <v>73083</v>
      </c>
    </row>
    <row r="703" spans="1:20" ht="30" customHeight="1" x14ac:dyDescent="0.35">
      <c r="A703" s="88">
        <v>730774</v>
      </c>
      <c r="B703" s="89" t="s">
        <v>7066</v>
      </c>
      <c r="C703" s="89" t="s">
        <v>7067</v>
      </c>
      <c r="D703" s="90" t="s">
        <v>4077</v>
      </c>
      <c r="E703" s="89" t="s">
        <v>3137</v>
      </c>
      <c r="F703" s="89"/>
      <c r="G703" s="89" t="s">
        <v>3138</v>
      </c>
      <c r="H703" s="91">
        <v>7361</v>
      </c>
      <c r="I703" s="89" t="s">
        <v>7053</v>
      </c>
      <c r="J703" s="92" t="s">
        <v>883</v>
      </c>
      <c r="K703" s="92" t="s">
        <v>7054</v>
      </c>
      <c r="L703" s="92" t="s">
        <v>7055</v>
      </c>
      <c r="M703" s="92" t="s">
        <v>7056</v>
      </c>
      <c r="N703" s="93">
        <v>7361</v>
      </c>
      <c r="O703" s="94">
        <v>33000</v>
      </c>
      <c r="P703" s="94">
        <v>8286</v>
      </c>
      <c r="Q703" s="92" t="s">
        <v>3957</v>
      </c>
      <c r="R703" s="92" t="s">
        <v>7068</v>
      </c>
      <c r="S703" s="91">
        <v>73017</v>
      </c>
      <c r="T703" s="91">
        <v>73083</v>
      </c>
    </row>
    <row r="704" spans="1:20" ht="30" customHeight="1" x14ac:dyDescent="0.35">
      <c r="A704" s="88">
        <v>730781</v>
      </c>
      <c r="B704" s="89" t="s">
        <v>7069</v>
      </c>
      <c r="C704" s="89" t="s">
        <v>7070</v>
      </c>
      <c r="D704" s="90" t="s">
        <v>4077</v>
      </c>
      <c r="E704" s="89" t="s">
        <v>3140</v>
      </c>
      <c r="F704" s="89"/>
      <c r="G704" s="89" t="s">
        <v>3141</v>
      </c>
      <c r="H704" s="91">
        <v>7353</v>
      </c>
      <c r="I704" s="89" t="s">
        <v>7071</v>
      </c>
      <c r="J704" s="92" t="s">
        <v>883</v>
      </c>
      <c r="K704" s="92" t="s">
        <v>36</v>
      </c>
      <c r="L704" s="92" t="s">
        <v>7072</v>
      </c>
      <c r="M704" s="92" t="s">
        <v>7073</v>
      </c>
      <c r="N704" s="93">
        <v>7353</v>
      </c>
      <c r="O704" s="94">
        <v>23100</v>
      </c>
      <c r="P704" s="94">
        <v>1100</v>
      </c>
      <c r="Q704" s="92" t="s">
        <v>3957</v>
      </c>
      <c r="R704" s="92" t="s">
        <v>7074</v>
      </c>
      <c r="S704" s="89" t="s">
        <v>643</v>
      </c>
      <c r="T704" s="89" t="s">
        <v>643</v>
      </c>
    </row>
    <row r="705" spans="1:20" ht="30" customHeight="1" x14ac:dyDescent="0.35">
      <c r="A705" s="88">
        <v>730782</v>
      </c>
      <c r="B705" s="89" t="s">
        <v>7075</v>
      </c>
      <c r="C705" s="89" t="s">
        <v>7076</v>
      </c>
      <c r="D705" s="90" t="s">
        <v>4077</v>
      </c>
      <c r="E705" s="89" t="s">
        <v>3143</v>
      </c>
      <c r="F705" s="89"/>
      <c r="G705" s="89" t="s">
        <v>3144</v>
      </c>
      <c r="H705" s="91">
        <v>7353</v>
      </c>
      <c r="I705" s="89" t="s">
        <v>7071</v>
      </c>
      <c r="J705" s="92" t="s">
        <v>883</v>
      </c>
      <c r="K705" s="92" t="s">
        <v>36</v>
      </c>
      <c r="L705" s="92" t="s">
        <v>7072</v>
      </c>
      <c r="M705" s="92" t="s">
        <v>7073</v>
      </c>
      <c r="N705" s="93">
        <v>7353</v>
      </c>
      <c r="O705" s="94">
        <v>23100</v>
      </c>
      <c r="P705" s="94">
        <v>1100</v>
      </c>
      <c r="Q705" s="92" t="s">
        <v>3957</v>
      </c>
      <c r="R705" s="92" t="s">
        <v>7077</v>
      </c>
      <c r="S705" s="89" t="s">
        <v>643</v>
      </c>
      <c r="T705" s="89" t="s">
        <v>643</v>
      </c>
    </row>
    <row r="706" spans="1:20" ht="30" customHeight="1" x14ac:dyDescent="0.35">
      <c r="A706" s="88">
        <v>730783</v>
      </c>
      <c r="B706" s="89" t="s">
        <v>7078</v>
      </c>
      <c r="C706" s="89" t="s">
        <v>7079</v>
      </c>
      <c r="D706" s="90" t="s">
        <v>4077</v>
      </c>
      <c r="E706" s="89" t="s">
        <v>3146</v>
      </c>
      <c r="F706" s="89"/>
      <c r="G706" s="89" t="s">
        <v>3147</v>
      </c>
      <c r="H706" s="91">
        <v>7353</v>
      </c>
      <c r="I706" s="89" t="s">
        <v>7071</v>
      </c>
      <c r="J706" s="92" t="s">
        <v>883</v>
      </c>
      <c r="K706" s="92" t="s">
        <v>36</v>
      </c>
      <c r="L706" s="92" t="s">
        <v>7072</v>
      </c>
      <c r="M706" s="92" t="s">
        <v>7073</v>
      </c>
      <c r="N706" s="93">
        <v>7353</v>
      </c>
      <c r="O706" s="94">
        <v>23100</v>
      </c>
      <c r="P706" s="94">
        <v>1100</v>
      </c>
      <c r="Q706" s="92" t="s">
        <v>3957</v>
      </c>
      <c r="R706" s="92" t="s">
        <v>7080</v>
      </c>
      <c r="S706" s="89" t="s">
        <v>643</v>
      </c>
      <c r="T706" s="89" t="s">
        <v>643</v>
      </c>
    </row>
    <row r="707" spans="1:20" ht="30" customHeight="1" x14ac:dyDescent="0.35">
      <c r="A707" s="88">
        <v>730787</v>
      </c>
      <c r="B707" s="89" t="s">
        <v>7081</v>
      </c>
      <c r="C707" s="89" t="s">
        <v>7082</v>
      </c>
      <c r="D707" s="90" t="s">
        <v>4077</v>
      </c>
      <c r="E707" s="89" t="s">
        <v>3149</v>
      </c>
      <c r="F707" s="89"/>
      <c r="G707" s="89" t="s">
        <v>3150</v>
      </c>
      <c r="H707" s="91">
        <v>7352</v>
      </c>
      <c r="I707" s="89" t="s">
        <v>7083</v>
      </c>
      <c r="J707" s="92" t="s">
        <v>883</v>
      </c>
      <c r="K707" s="92" t="s">
        <v>36</v>
      </c>
      <c r="L707" s="92" t="s">
        <v>7084</v>
      </c>
      <c r="M707" s="92" t="s">
        <v>7085</v>
      </c>
      <c r="N707" s="93">
        <v>7352</v>
      </c>
      <c r="O707" s="94">
        <v>280000</v>
      </c>
      <c r="P707" s="94">
        <v>30000</v>
      </c>
      <c r="Q707" s="92" t="s">
        <v>3957</v>
      </c>
      <c r="R707" s="92" t="s">
        <v>7086</v>
      </c>
      <c r="S707" s="91">
        <v>73046</v>
      </c>
      <c r="T707" s="91">
        <v>73061</v>
      </c>
    </row>
    <row r="708" spans="1:20" ht="30" customHeight="1" x14ac:dyDescent="0.35">
      <c r="A708" s="88">
        <v>730789</v>
      </c>
      <c r="B708" s="89" t="s">
        <v>7087</v>
      </c>
      <c r="C708" s="89" t="s">
        <v>7088</v>
      </c>
      <c r="D708" s="90" t="s">
        <v>4077</v>
      </c>
      <c r="E708" s="89" t="s">
        <v>3152</v>
      </c>
      <c r="F708" s="89"/>
      <c r="G708" s="89" t="s">
        <v>3153</v>
      </c>
      <c r="H708" s="91">
        <v>7371</v>
      </c>
      <c r="I708" s="89" t="s">
        <v>7089</v>
      </c>
      <c r="J708" s="92" t="s">
        <v>883</v>
      </c>
      <c r="K708" s="92" t="s">
        <v>36</v>
      </c>
      <c r="L708" s="92" t="s">
        <v>7090</v>
      </c>
      <c r="M708" s="92" t="s">
        <v>7006</v>
      </c>
      <c r="N708" s="93">
        <v>7371</v>
      </c>
      <c r="O708" s="94">
        <v>51000</v>
      </c>
      <c r="P708" s="94">
        <v>14000</v>
      </c>
      <c r="Q708" s="92" t="s">
        <v>3957</v>
      </c>
      <c r="R708" s="92" t="s">
        <v>7091</v>
      </c>
      <c r="S708" s="91">
        <v>74016</v>
      </c>
      <c r="T708" s="91">
        <v>73045</v>
      </c>
    </row>
    <row r="709" spans="1:20" ht="30" customHeight="1" x14ac:dyDescent="0.35">
      <c r="A709" s="88">
        <v>730831</v>
      </c>
      <c r="B709" s="89" t="s">
        <v>7092</v>
      </c>
      <c r="C709" s="89" t="s">
        <v>7093</v>
      </c>
      <c r="D709" s="90" t="s">
        <v>4077</v>
      </c>
      <c r="E709" s="89" t="s">
        <v>3157</v>
      </c>
      <c r="F709" s="89" t="s">
        <v>7094</v>
      </c>
      <c r="G709" s="89" t="s">
        <v>3158</v>
      </c>
      <c r="H709" s="91">
        <v>7312</v>
      </c>
      <c r="I709" s="89" t="s">
        <v>6825</v>
      </c>
      <c r="J709" s="92" t="s">
        <v>883</v>
      </c>
      <c r="K709" s="92" t="s">
        <v>36</v>
      </c>
      <c r="L709" s="92" t="s">
        <v>6826</v>
      </c>
      <c r="M709" s="92" t="s">
        <v>6827</v>
      </c>
      <c r="N709" s="93">
        <v>7312</v>
      </c>
      <c r="O709" s="94">
        <v>220000</v>
      </c>
      <c r="P709" s="94">
        <v>22000</v>
      </c>
      <c r="Q709" s="92" t="s">
        <v>3957</v>
      </c>
      <c r="R709" s="92" t="s">
        <v>7095</v>
      </c>
      <c r="S709" s="91">
        <v>73015</v>
      </c>
      <c r="T709" s="89" t="s">
        <v>6829</v>
      </c>
    </row>
    <row r="710" spans="1:20" ht="30" customHeight="1" x14ac:dyDescent="0.35">
      <c r="A710" s="88">
        <v>730832</v>
      </c>
      <c r="B710" s="89" t="s">
        <v>7096</v>
      </c>
      <c r="C710" s="89" t="s">
        <v>7097</v>
      </c>
      <c r="D710" s="90" t="s">
        <v>4077</v>
      </c>
      <c r="E710" s="89" t="s">
        <v>3160</v>
      </c>
      <c r="F710" s="89"/>
      <c r="G710" s="89" t="s">
        <v>3161</v>
      </c>
      <c r="H710" s="91">
        <v>7313</v>
      </c>
      <c r="I710" s="89" t="s">
        <v>7098</v>
      </c>
      <c r="J710" s="92" t="s">
        <v>883</v>
      </c>
      <c r="K710" s="92"/>
      <c r="L710" s="92" t="s">
        <v>7099</v>
      </c>
      <c r="M710" s="92" t="s">
        <v>7100</v>
      </c>
      <c r="N710" s="93">
        <v>7313</v>
      </c>
      <c r="O710" s="94">
        <v>51000</v>
      </c>
      <c r="P710" s="94">
        <v>5800</v>
      </c>
      <c r="Q710" s="92" t="s">
        <v>3957</v>
      </c>
      <c r="R710" s="92" t="s">
        <v>7101</v>
      </c>
      <c r="S710" s="91">
        <v>73016</v>
      </c>
      <c r="T710" s="91">
        <v>73020</v>
      </c>
    </row>
    <row r="711" spans="1:20" ht="30" customHeight="1" x14ac:dyDescent="0.35">
      <c r="A711" s="88">
        <v>730834</v>
      </c>
      <c r="B711" s="89" t="s">
        <v>7102</v>
      </c>
      <c r="C711" s="89" t="s">
        <v>7103</v>
      </c>
      <c r="D711" s="90" t="s">
        <v>4077</v>
      </c>
      <c r="E711" s="89" t="s">
        <v>7104</v>
      </c>
      <c r="F711" s="89" t="s">
        <v>7105</v>
      </c>
      <c r="G711" s="89" t="s">
        <v>3164</v>
      </c>
      <c r="H711" s="91">
        <v>1498</v>
      </c>
      <c r="I711" s="89" t="s">
        <v>7106</v>
      </c>
      <c r="J711" s="92" t="s">
        <v>883</v>
      </c>
      <c r="K711" s="92"/>
      <c r="L711" s="92" t="s">
        <v>7107</v>
      </c>
      <c r="M711" s="92" t="s">
        <v>6993</v>
      </c>
      <c r="N711" s="93">
        <v>1498</v>
      </c>
      <c r="O711" s="94">
        <v>12000</v>
      </c>
      <c r="P711" s="94">
        <v>430</v>
      </c>
      <c r="Q711" s="92" t="s">
        <v>3957</v>
      </c>
      <c r="R711" s="92" t="s">
        <v>7108</v>
      </c>
      <c r="S711" s="89" t="s">
        <v>643</v>
      </c>
      <c r="T711" s="91">
        <v>73021</v>
      </c>
    </row>
    <row r="712" spans="1:20" ht="30" customHeight="1" x14ac:dyDescent="0.35">
      <c r="A712" s="88">
        <v>730835</v>
      </c>
      <c r="B712" s="89" t="s">
        <v>7109</v>
      </c>
      <c r="C712" s="89" t="s">
        <v>7110</v>
      </c>
      <c r="D712" s="90" t="s">
        <v>4077</v>
      </c>
      <c r="E712" s="89" t="s">
        <v>3166</v>
      </c>
      <c r="F712" s="89" t="s">
        <v>7111</v>
      </c>
      <c r="G712" s="89" t="s">
        <v>3167</v>
      </c>
      <c r="H712" s="91">
        <v>7313</v>
      </c>
      <c r="I712" s="89" t="s">
        <v>7098</v>
      </c>
      <c r="J712" s="92" t="s">
        <v>883</v>
      </c>
      <c r="K712" s="92"/>
      <c r="L712" s="92" t="s">
        <v>7099</v>
      </c>
      <c r="M712" s="92" t="s">
        <v>7100</v>
      </c>
      <c r="N712" s="93">
        <v>7313</v>
      </c>
      <c r="O712" s="94">
        <v>51000</v>
      </c>
      <c r="P712" s="94">
        <v>5800</v>
      </c>
      <c r="Q712" s="92" t="s">
        <v>3957</v>
      </c>
      <c r="R712" s="92" t="s">
        <v>7112</v>
      </c>
      <c r="S712" s="91">
        <v>73016</v>
      </c>
      <c r="T712" s="91">
        <v>73020</v>
      </c>
    </row>
    <row r="713" spans="1:20" ht="30" customHeight="1" x14ac:dyDescent="0.35">
      <c r="A713" s="88">
        <v>730836</v>
      </c>
      <c r="B713" s="89" t="s">
        <v>7113</v>
      </c>
      <c r="C713" s="89" t="s">
        <v>7114</v>
      </c>
      <c r="D713" s="90" t="s">
        <v>4077</v>
      </c>
      <c r="E713" s="89" t="s">
        <v>3175</v>
      </c>
      <c r="F713" s="89"/>
      <c r="G713" s="89" t="s">
        <v>3170</v>
      </c>
      <c r="H713" s="91">
        <v>1446</v>
      </c>
      <c r="I713" s="89" t="s">
        <v>4769</v>
      </c>
      <c r="J713" s="92" t="s">
        <v>883</v>
      </c>
      <c r="K713" s="92"/>
      <c r="L713" s="92" t="s">
        <v>4770</v>
      </c>
      <c r="M713" s="92" t="s">
        <v>4771</v>
      </c>
      <c r="N713" s="93">
        <v>1446</v>
      </c>
      <c r="O713" s="94">
        <v>79000</v>
      </c>
      <c r="P713" s="94">
        <v>13000</v>
      </c>
      <c r="Q713" s="92" t="s">
        <v>3957</v>
      </c>
      <c r="R713" s="92" t="s">
        <v>7115</v>
      </c>
      <c r="S713" s="91">
        <v>14132</v>
      </c>
      <c r="T713" s="89" t="s">
        <v>643</v>
      </c>
    </row>
    <row r="714" spans="1:20" ht="30" customHeight="1" x14ac:dyDescent="0.35">
      <c r="A714" s="88">
        <v>730837</v>
      </c>
      <c r="B714" s="89" t="s">
        <v>7116</v>
      </c>
      <c r="C714" s="89" t="s">
        <v>7117</v>
      </c>
      <c r="D714" s="90" t="s">
        <v>4077</v>
      </c>
      <c r="E714" s="89" t="s">
        <v>7118</v>
      </c>
      <c r="F714" s="89"/>
      <c r="G714" s="89" t="s">
        <v>3173</v>
      </c>
      <c r="H714" s="91">
        <v>1498</v>
      </c>
      <c r="I714" s="89" t="s">
        <v>7106</v>
      </c>
      <c r="J714" s="92" t="s">
        <v>883</v>
      </c>
      <c r="K714" s="92"/>
      <c r="L714" s="92" t="s">
        <v>7107</v>
      </c>
      <c r="M714" s="92" t="s">
        <v>6993</v>
      </c>
      <c r="N714" s="93">
        <v>1498</v>
      </c>
      <c r="O714" s="94">
        <v>12000</v>
      </c>
      <c r="P714" s="94">
        <v>430</v>
      </c>
      <c r="Q714" s="92" t="s">
        <v>3957</v>
      </c>
      <c r="R714" s="92" t="s">
        <v>7119</v>
      </c>
      <c r="S714" s="91">
        <v>14113</v>
      </c>
      <c r="T714" s="91">
        <v>73025</v>
      </c>
    </row>
    <row r="715" spans="1:20" ht="30" customHeight="1" x14ac:dyDescent="0.35">
      <c r="A715" s="88">
        <v>730838</v>
      </c>
      <c r="B715" s="89" t="s">
        <v>7120</v>
      </c>
      <c r="C715" s="89" t="s">
        <v>7121</v>
      </c>
      <c r="D715" s="90" t="s">
        <v>4077</v>
      </c>
      <c r="E715" s="89" t="s">
        <v>3175</v>
      </c>
      <c r="F715" s="89"/>
      <c r="G715" s="89" t="s">
        <v>3176</v>
      </c>
      <c r="H715" s="91">
        <v>1498</v>
      </c>
      <c r="I715" s="89" t="s">
        <v>7106</v>
      </c>
      <c r="J715" s="92" t="s">
        <v>883</v>
      </c>
      <c r="K715" s="92"/>
      <c r="L715" s="92" t="s">
        <v>7107</v>
      </c>
      <c r="M715" s="92" t="s">
        <v>6993</v>
      </c>
      <c r="N715" s="93">
        <v>1498</v>
      </c>
      <c r="O715" s="94">
        <v>12000</v>
      </c>
      <c r="P715" s="94">
        <v>430</v>
      </c>
      <c r="Q715" s="92" t="s">
        <v>3957</v>
      </c>
      <c r="R715" s="92" t="s">
        <v>7122</v>
      </c>
      <c r="S715" s="91">
        <v>14113</v>
      </c>
      <c r="T715" s="91">
        <v>73025</v>
      </c>
    </row>
    <row r="716" spans="1:20" ht="30" customHeight="1" x14ac:dyDescent="0.35">
      <c r="A716" s="88">
        <v>730839</v>
      </c>
      <c r="B716" s="89" t="s">
        <v>7123</v>
      </c>
      <c r="C716" s="89" t="s">
        <v>7124</v>
      </c>
      <c r="D716" s="90" t="s">
        <v>4077</v>
      </c>
      <c r="E716" s="89" t="s">
        <v>7125</v>
      </c>
      <c r="F716" s="89" t="s">
        <v>7126</v>
      </c>
      <c r="G716" s="99" t="s">
        <v>3179</v>
      </c>
      <c r="H716" s="91">
        <v>1498</v>
      </c>
      <c r="I716" s="89" t="s">
        <v>7106</v>
      </c>
      <c r="J716" s="92" t="s">
        <v>883</v>
      </c>
      <c r="K716" s="92"/>
      <c r="L716" s="92" t="s">
        <v>7107</v>
      </c>
      <c r="M716" s="92" t="s">
        <v>6993</v>
      </c>
      <c r="N716" s="93">
        <v>1498</v>
      </c>
      <c r="O716" s="94">
        <v>12000</v>
      </c>
      <c r="P716" s="94">
        <v>430</v>
      </c>
      <c r="Q716" s="92" t="s">
        <v>3957</v>
      </c>
      <c r="R716" s="92" t="s">
        <v>7127</v>
      </c>
      <c r="S716" s="91">
        <v>14113</v>
      </c>
      <c r="T716" s="91">
        <v>73025</v>
      </c>
    </row>
    <row r="717" spans="1:20" ht="30" customHeight="1" x14ac:dyDescent="0.35">
      <c r="A717" s="88">
        <v>730841</v>
      </c>
      <c r="B717" s="89" t="s">
        <v>7128</v>
      </c>
      <c r="C717" s="89" t="s">
        <v>7129</v>
      </c>
      <c r="D717" s="90" t="s">
        <v>4077</v>
      </c>
      <c r="E717" s="89" t="s">
        <v>3181</v>
      </c>
      <c r="F717" s="89" t="s">
        <v>7130</v>
      </c>
      <c r="G717" s="89" t="s">
        <v>3182</v>
      </c>
      <c r="H717" s="91">
        <v>1445</v>
      </c>
      <c r="I717" s="89" t="s">
        <v>6640</v>
      </c>
      <c r="J717" s="92" t="s">
        <v>883</v>
      </c>
      <c r="K717" s="92"/>
      <c r="L717" s="92" t="s">
        <v>6641</v>
      </c>
      <c r="M717" s="92" t="s">
        <v>5803</v>
      </c>
      <c r="N717" s="93">
        <v>1445</v>
      </c>
      <c r="O717" s="94">
        <v>23000</v>
      </c>
      <c r="P717" s="94">
        <v>3800</v>
      </c>
      <c r="Q717" s="92" t="s">
        <v>3957</v>
      </c>
      <c r="R717" s="92" t="s">
        <v>7131</v>
      </c>
      <c r="S717" s="91">
        <v>14126</v>
      </c>
      <c r="T717" s="91">
        <v>73076</v>
      </c>
    </row>
    <row r="718" spans="1:20" ht="30" customHeight="1" x14ac:dyDescent="0.35">
      <c r="A718" s="88">
        <v>730842</v>
      </c>
      <c r="B718" s="89" t="s">
        <v>7132</v>
      </c>
      <c r="C718" s="89" t="s">
        <v>7133</v>
      </c>
      <c r="D718" s="90" t="s">
        <v>4077</v>
      </c>
      <c r="E718" s="89" t="s">
        <v>7134</v>
      </c>
      <c r="F718" s="89"/>
      <c r="G718" s="86" t="s">
        <v>7135</v>
      </c>
      <c r="H718" s="91">
        <v>1445</v>
      </c>
      <c r="I718" s="89" t="s">
        <v>6640</v>
      </c>
      <c r="J718" s="92" t="s">
        <v>883</v>
      </c>
      <c r="K718" s="92"/>
      <c r="L718" s="92" t="s">
        <v>6641</v>
      </c>
      <c r="M718" s="92" t="s">
        <v>5803</v>
      </c>
      <c r="N718" s="93">
        <v>1445</v>
      </c>
      <c r="O718" s="94">
        <v>23000</v>
      </c>
      <c r="P718" s="94">
        <v>3800</v>
      </c>
      <c r="Q718" s="92" t="s">
        <v>3957</v>
      </c>
      <c r="R718" s="92" t="s">
        <v>7136</v>
      </c>
      <c r="S718" s="91">
        <v>14126</v>
      </c>
      <c r="T718" s="91">
        <v>73076</v>
      </c>
    </row>
    <row r="719" spans="1:20" ht="30" customHeight="1" x14ac:dyDescent="0.35">
      <c r="A719" s="88">
        <v>730911</v>
      </c>
      <c r="B719" s="89" t="s">
        <v>7137</v>
      </c>
      <c r="C719" s="89" t="s">
        <v>7137</v>
      </c>
      <c r="D719" s="90" t="s">
        <v>4077</v>
      </c>
      <c r="E719" s="89" t="s">
        <v>3184</v>
      </c>
      <c r="F719" s="89"/>
      <c r="G719" s="89" t="s">
        <v>3185</v>
      </c>
      <c r="H719" s="91">
        <v>5303</v>
      </c>
      <c r="I719" s="89" t="s">
        <v>7138</v>
      </c>
      <c r="J719" s="92" t="s">
        <v>883</v>
      </c>
      <c r="K719" s="92"/>
      <c r="L719" s="92" t="s">
        <v>7139</v>
      </c>
      <c r="M719" s="92" t="s">
        <v>7140</v>
      </c>
      <c r="N719" s="93">
        <v>5303</v>
      </c>
      <c r="O719" s="94">
        <v>14000</v>
      </c>
      <c r="P719" s="94">
        <v>12000</v>
      </c>
      <c r="Q719" s="92" t="s">
        <v>3957</v>
      </c>
      <c r="R719" s="92" t="s">
        <v>7141</v>
      </c>
      <c r="S719" s="91">
        <v>53030</v>
      </c>
      <c r="T719" s="91">
        <v>53030</v>
      </c>
    </row>
    <row r="720" spans="1:20" ht="30" customHeight="1" x14ac:dyDescent="0.35">
      <c r="A720" s="88">
        <v>731421</v>
      </c>
      <c r="B720" s="89" t="s">
        <v>7142</v>
      </c>
      <c r="C720" s="89" t="s">
        <v>7143</v>
      </c>
      <c r="D720" s="90" t="s">
        <v>4077</v>
      </c>
      <c r="E720" s="89" t="s">
        <v>3187</v>
      </c>
      <c r="F720" s="89"/>
      <c r="G720" s="89" t="s">
        <v>3188</v>
      </c>
      <c r="H720" s="91">
        <v>7314</v>
      </c>
      <c r="I720" s="89" t="s">
        <v>7144</v>
      </c>
      <c r="J720" s="92" t="s">
        <v>883</v>
      </c>
      <c r="K720" s="92"/>
      <c r="L720" s="92" t="s">
        <v>7145</v>
      </c>
      <c r="M720" s="92" t="s">
        <v>7146</v>
      </c>
      <c r="N720" s="93">
        <v>7314</v>
      </c>
      <c r="O720" s="94">
        <v>18000</v>
      </c>
      <c r="P720" s="94">
        <v>3400</v>
      </c>
      <c r="Q720" s="92" t="s">
        <v>3957</v>
      </c>
      <c r="R720" s="92" t="s">
        <v>7147</v>
      </c>
      <c r="S720" s="91">
        <v>73028</v>
      </c>
      <c r="T720" s="89" t="s">
        <v>643</v>
      </c>
    </row>
    <row r="721" spans="1:20" ht="30" customHeight="1" x14ac:dyDescent="0.35">
      <c r="A721" s="88">
        <v>738401</v>
      </c>
      <c r="B721" s="89" t="s">
        <v>7148</v>
      </c>
      <c r="C721" s="89" t="s">
        <v>7149</v>
      </c>
      <c r="D721" s="90" t="s">
        <v>3978</v>
      </c>
      <c r="E721" s="89" t="s">
        <v>3190</v>
      </c>
      <c r="F721" s="89" t="s">
        <v>7150</v>
      </c>
      <c r="G721" s="89" t="s">
        <v>3191</v>
      </c>
      <c r="H721" s="91">
        <v>7384</v>
      </c>
      <c r="I721" s="89" t="s">
        <v>7000</v>
      </c>
      <c r="J721" s="92" t="s">
        <v>883</v>
      </c>
      <c r="K721" s="92"/>
      <c r="L721" s="92" t="s">
        <v>7001</v>
      </c>
      <c r="M721" s="92" t="s">
        <v>4778</v>
      </c>
      <c r="N721" s="93">
        <v>7384</v>
      </c>
      <c r="O721" s="94">
        <v>15000</v>
      </c>
      <c r="P721" s="94">
        <v>300</v>
      </c>
      <c r="Q721" s="92" t="s">
        <v>3957</v>
      </c>
      <c r="R721" s="92" t="s">
        <v>7151</v>
      </c>
      <c r="S721" s="91">
        <v>73070</v>
      </c>
      <c r="T721" s="91">
        <v>73066</v>
      </c>
    </row>
    <row r="722" spans="1:20" ht="30" customHeight="1" x14ac:dyDescent="0.35">
      <c r="A722" s="88">
        <v>738421</v>
      </c>
      <c r="B722" s="89" t="s">
        <v>7152</v>
      </c>
      <c r="C722" s="89" t="s">
        <v>7152</v>
      </c>
      <c r="D722" s="90" t="s">
        <v>3978</v>
      </c>
      <c r="E722" s="89" t="s">
        <v>3193</v>
      </c>
      <c r="F722" s="89"/>
      <c r="G722" s="89" t="s">
        <v>3194</v>
      </c>
      <c r="H722" s="91">
        <v>7384</v>
      </c>
      <c r="I722" s="89" t="s">
        <v>7000</v>
      </c>
      <c r="J722" s="92" t="s">
        <v>883</v>
      </c>
      <c r="K722" s="92"/>
      <c r="L722" s="92" t="s">
        <v>7001</v>
      </c>
      <c r="M722" s="92" t="s">
        <v>4778</v>
      </c>
      <c r="N722" s="93">
        <v>7384</v>
      </c>
      <c r="O722" s="94">
        <v>15000</v>
      </c>
      <c r="P722" s="94">
        <v>300</v>
      </c>
      <c r="Q722" s="92" t="s">
        <v>3957</v>
      </c>
      <c r="R722" s="92" t="s">
        <v>7153</v>
      </c>
      <c r="S722" s="91">
        <v>73056</v>
      </c>
      <c r="T722" s="91">
        <v>74093</v>
      </c>
    </row>
    <row r="723" spans="1:20" ht="30" customHeight="1" x14ac:dyDescent="0.35">
      <c r="A723" s="88">
        <v>738499</v>
      </c>
      <c r="B723" s="89" t="s">
        <v>7154</v>
      </c>
      <c r="C723" s="89" t="s">
        <v>7155</v>
      </c>
      <c r="D723" s="90" t="s">
        <v>3978</v>
      </c>
      <c r="E723" s="89" t="s">
        <v>3196</v>
      </c>
      <c r="F723" s="89" t="s">
        <v>7156</v>
      </c>
      <c r="G723" s="89" t="s">
        <v>3197</v>
      </c>
      <c r="H723" s="91">
        <v>7384</v>
      </c>
      <c r="I723" s="89" t="s">
        <v>7000</v>
      </c>
      <c r="J723" s="92" t="s">
        <v>883</v>
      </c>
      <c r="K723" s="92"/>
      <c r="L723" s="92" t="s">
        <v>7001</v>
      </c>
      <c r="M723" s="92" t="s">
        <v>4778</v>
      </c>
      <c r="N723" s="93">
        <v>7384</v>
      </c>
      <c r="O723" s="94">
        <v>15000</v>
      </c>
      <c r="P723" s="94">
        <v>300</v>
      </c>
      <c r="Q723" s="92" t="s">
        <v>3957</v>
      </c>
      <c r="R723" s="92" t="s">
        <v>7157</v>
      </c>
      <c r="S723" s="91">
        <v>73070</v>
      </c>
      <c r="T723" s="91">
        <v>73066</v>
      </c>
    </row>
    <row r="724" spans="1:20" ht="30" customHeight="1" x14ac:dyDescent="0.35">
      <c r="A724" s="88">
        <v>738521</v>
      </c>
      <c r="B724" s="89" t="s">
        <v>7158</v>
      </c>
      <c r="C724" s="89" t="s">
        <v>7159</v>
      </c>
      <c r="D724" s="90" t="s">
        <v>4077</v>
      </c>
      <c r="E724" s="89" t="s">
        <v>3199</v>
      </c>
      <c r="F724" s="89" t="s">
        <v>7160</v>
      </c>
      <c r="G724" s="89" t="s">
        <v>3200</v>
      </c>
      <c r="H724" s="91">
        <v>7385</v>
      </c>
      <c r="I724" s="89" t="s">
        <v>7161</v>
      </c>
      <c r="J724" s="92" t="s">
        <v>883</v>
      </c>
      <c r="K724" s="92"/>
      <c r="L724" s="92" t="s">
        <v>7162</v>
      </c>
      <c r="M724" s="92" t="s">
        <v>7163</v>
      </c>
      <c r="N724" s="93">
        <v>7385</v>
      </c>
      <c r="O724" s="94">
        <v>11000</v>
      </c>
      <c r="P724" s="94">
        <v>540</v>
      </c>
      <c r="Q724" s="92" t="s">
        <v>3957</v>
      </c>
      <c r="R724" s="92" t="s">
        <v>7164</v>
      </c>
      <c r="S724" s="91">
        <v>73075</v>
      </c>
      <c r="T724" s="89" t="s">
        <v>7165</v>
      </c>
    </row>
    <row r="725" spans="1:20" ht="30" customHeight="1" x14ac:dyDescent="0.35">
      <c r="A725" s="88">
        <v>740111</v>
      </c>
      <c r="B725" s="89" t="s">
        <v>7166</v>
      </c>
      <c r="C725" s="89" t="s">
        <v>7166</v>
      </c>
      <c r="D725" s="90" t="s">
        <v>4077</v>
      </c>
      <c r="E725" s="89" t="s">
        <v>7167</v>
      </c>
      <c r="F725" s="89"/>
      <c r="G725" s="89" t="s">
        <v>3203</v>
      </c>
      <c r="H725" s="91">
        <v>7346</v>
      </c>
      <c r="I725" s="89" t="s">
        <v>7168</v>
      </c>
      <c r="J725" s="92" t="s">
        <v>883</v>
      </c>
      <c r="K725" s="92"/>
      <c r="L725" s="92" t="s">
        <v>7045</v>
      </c>
      <c r="M725" s="92" t="s">
        <v>6880</v>
      </c>
      <c r="N725" s="93">
        <v>7346</v>
      </c>
      <c r="O725" s="94">
        <v>240000</v>
      </c>
      <c r="P725" s="94">
        <v>20000</v>
      </c>
      <c r="Q725" s="92" t="s">
        <v>3957</v>
      </c>
      <c r="R725" s="92" t="s">
        <v>7169</v>
      </c>
      <c r="S725" s="89" t="s">
        <v>643</v>
      </c>
      <c r="T725" s="89" t="s">
        <v>7170</v>
      </c>
    </row>
    <row r="726" spans="1:20" ht="30" customHeight="1" x14ac:dyDescent="0.35">
      <c r="A726" s="88">
        <v>740153</v>
      </c>
      <c r="B726" s="89" t="s">
        <v>7171</v>
      </c>
      <c r="C726" s="89" t="s">
        <v>7171</v>
      </c>
      <c r="D726" s="90" t="s">
        <v>4077</v>
      </c>
      <c r="E726" s="89" t="s">
        <v>3205</v>
      </c>
      <c r="F726" s="89"/>
      <c r="G726" s="89" t="s">
        <v>3206</v>
      </c>
      <c r="H726" s="91">
        <v>7347</v>
      </c>
      <c r="I726" s="89" t="s">
        <v>7172</v>
      </c>
      <c r="J726" s="92" t="s">
        <v>883</v>
      </c>
      <c r="K726" s="92"/>
      <c r="L726" s="92" t="s">
        <v>7173</v>
      </c>
      <c r="M726" s="92" t="s">
        <v>5714</v>
      </c>
      <c r="N726" s="93">
        <v>7347</v>
      </c>
      <c r="O726" s="94">
        <v>24000</v>
      </c>
      <c r="P726" s="94">
        <v>2000</v>
      </c>
      <c r="Q726" s="92" t="s">
        <v>3957</v>
      </c>
      <c r="R726" s="92" t="s">
        <v>7174</v>
      </c>
      <c r="S726" s="91">
        <v>74006</v>
      </c>
      <c r="T726" s="91">
        <v>74018</v>
      </c>
    </row>
    <row r="727" spans="1:20" ht="30" customHeight="1" x14ac:dyDescent="0.35">
      <c r="A727" s="88">
        <v>740155</v>
      </c>
      <c r="B727" s="89" t="s">
        <v>7175</v>
      </c>
      <c r="C727" s="89" t="s">
        <v>7175</v>
      </c>
      <c r="D727" s="90" t="s">
        <v>4077</v>
      </c>
      <c r="E727" s="89" t="s">
        <v>3208</v>
      </c>
      <c r="F727" s="89"/>
      <c r="G727" s="89" t="s">
        <v>3209</v>
      </c>
      <c r="H727" s="91">
        <v>7347</v>
      </c>
      <c r="I727" s="89" t="s">
        <v>7172</v>
      </c>
      <c r="J727" s="92" t="s">
        <v>883</v>
      </c>
      <c r="K727" s="92"/>
      <c r="L727" s="92" t="s">
        <v>7173</v>
      </c>
      <c r="M727" s="92" t="s">
        <v>5714</v>
      </c>
      <c r="N727" s="93">
        <v>7347</v>
      </c>
      <c r="O727" s="94">
        <v>24000</v>
      </c>
      <c r="P727" s="94">
        <v>2000</v>
      </c>
      <c r="Q727" s="92" t="s">
        <v>3957</v>
      </c>
      <c r="R727" s="92" t="s">
        <v>7176</v>
      </c>
      <c r="S727" s="91">
        <v>74023</v>
      </c>
      <c r="T727" s="91">
        <v>74019</v>
      </c>
    </row>
    <row r="728" spans="1:20" ht="30" customHeight="1" x14ac:dyDescent="0.35">
      <c r="A728" s="88">
        <v>740253</v>
      </c>
      <c r="B728" s="89" t="s">
        <v>7177</v>
      </c>
      <c r="C728" s="89" t="s">
        <v>7178</v>
      </c>
      <c r="D728" s="90" t="s">
        <v>4077</v>
      </c>
      <c r="E728" s="89" t="s">
        <v>3211</v>
      </c>
      <c r="F728" s="89"/>
      <c r="G728" s="89" t="s">
        <v>3212</v>
      </c>
      <c r="H728" s="91">
        <v>7372</v>
      </c>
      <c r="I728" s="89" t="s">
        <v>7179</v>
      </c>
      <c r="J728" s="92" t="s">
        <v>883</v>
      </c>
      <c r="K728" s="92"/>
      <c r="L728" s="92" t="s">
        <v>7180</v>
      </c>
      <c r="M728" s="92" t="s">
        <v>5046</v>
      </c>
      <c r="N728" s="93">
        <v>7372</v>
      </c>
      <c r="O728" s="94">
        <v>35000</v>
      </c>
      <c r="P728" s="94">
        <v>7000</v>
      </c>
      <c r="Q728" s="92" t="s">
        <v>3957</v>
      </c>
      <c r="R728" s="92" t="s">
        <v>7181</v>
      </c>
      <c r="S728" s="91">
        <v>74033</v>
      </c>
      <c r="T728" s="91">
        <v>74025</v>
      </c>
    </row>
    <row r="729" spans="1:20" ht="30" customHeight="1" x14ac:dyDescent="0.35">
      <c r="A729" s="88">
        <v>740255</v>
      </c>
      <c r="B729" s="89" t="s">
        <v>7182</v>
      </c>
      <c r="C729" s="89" t="s">
        <v>7182</v>
      </c>
      <c r="D729" s="90" t="s">
        <v>4077</v>
      </c>
      <c r="E729" s="89" t="s">
        <v>3214</v>
      </c>
      <c r="F729" s="89"/>
      <c r="G729" s="89" t="s">
        <v>3215</v>
      </c>
      <c r="H729" s="91">
        <v>7340</v>
      </c>
      <c r="I729" s="89" t="s">
        <v>7183</v>
      </c>
      <c r="J729" s="92" t="s">
        <v>883</v>
      </c>
      <c r="K729" s="92"/>
      <c r="L729" s="92" t="s">
        <v>7184</v>
      </c>
      <c r="M729" s="92" t="s">
        <v>7185</v>
      </c>
      <c r="N729" s="93">
        <v>7340</v>
      </c>
      <c r="O729" s="94">
        <v>24000</v>
      </c>
      <c r="P729" s="94">
        <v>4000</v>
      </c>
      <c r="Q729" s="92" t="s">
        <v>3957</v>
      </c>
      <c r="R729" s="92" t="s">
        <v>7186</v>
      </c>
      <c r="S729" s="91">
        <v>74078</v>
      </c>
      <c r="T729" s="91">
        <v>74034</v>
      </c>
    </row>
    <row r="730" spans="1:20" ht="30" customHeight="1" x14ac:dyDescent="0.35">
      <c r="A730" s="88">
        <v>740262</v>
      </c>
      <c r="B730" s="89" t="s">
        <v>7187</v>
      </c>
      <c r="C730" s="89" t="s">
        <v>7187</v>
      </c>
      <c r="D730" s="90" t="s">
        <v>4077</v>
      </c>
      <c r="E730" s="89" t="s">
        <v>3217</v>
      </c>
      <c r="F730" s="89"/>
      <c r="G730" s="89" t="s">
        <v>909</v>
      </c>
      <c r="H730" s="91">
        <v>7346</v>
      </c>
      <c r="I730" s="89" t="s">
        <v>7168</v>
      </c>
      <c r="J730" s="92" t="s">
        <v>883</v>
      </c>
      <c r="K730" s="92"/>
      <c r="L730" s="92" t="s">
        <v>7045</v>
      </c>
      <c r="M730" s="92" t="s">
        <v>6880</v>
      </c>
      <c r="N730" s="93">
        <v>7346</v>
      </c>
      <c r="O730" s="94">
        <v>240000</v>
      </c>
      <c r="P730" s="94">
        <v>20000</v>
      </c>
      <c r="Q730" s="92" t="s">
        <v>3957</v>
      </c>
      <c r="R730" s="92" t="s">
        <v>7188</v>
      </c>
      <c r="S730" s="91">
        <v>74058</v>
      </c>
      <c r="T730" s="91">
        <v>74009</v>
      </c>
    </row>
    <row r="731" spans="1:20" ht="30" customHeight="1" x14ac:dyDescent="0.35">
      <c r="A731" s="88">
        <v>740266</v>
      </c>
      <c r="B731" s="89" t="s">
        <v>7189</v>
      </c>
      <c r="C731" s="89" t="s">
        <v>7189</v>
      </c>
      <c r="D731" s="90" t="s">
        <v>4077</v>
      </c>
      <c r="E731" s="89" t="s">
        <v>3219</v>
      </c>
      <c r="F731" s="89"/>
      <c r="G731" s="89" t="s">
        <v>3220</v>
      </c>
      <c r="H731" s="91">
        <v>7349</v>
      </c>
      <c r="I731" s="89" t="s">
        <v>7190</v>
      </c>
      <c r="J731" s="92" t="s">
        <v>883</v>
      </c>
      <c r="K731" s="92"/>
      <c r="L731" s="92" t="s">
        <v>7191</v>
      </c>
      <c r="M731" s="92" t="s">
        <v>7192</v>
      </c>
      <c r="N731" s="93">
        <v>7349</v>
      </c>
      <c r="O731" s="94">
        <v>130000</v>
      </c>
      <c r="P731" s="94">
        <v>52000</v>
      </c>
      <c r="Q731" s="92" t="s">
        <v>3957</v>
      </c>
      <c r="R731" s="92" t="s">
        <v>7193</v>
      </c>
      <c r="S731" s="91">
        <v>74021</v>
      </c>
      <c r="T731" s="91">
        <v>74023</v>
      </c>
    </row>
    <row r="732" spans="1:20" ht="30" customHeight="1" x14ac:dyDescent="0.35">
      <c r="A732" s="88">
        <v>740267</v>
      </c>
      <c r="B732" s="89" t="s">
        <v>7194</v>
      </c>
      <c r="C732" s="89" t="s">
        <v>7195</v>
      </c>
      <c r="D732" s="90" t="s">
        <v>4077</v>
      </c>
      <c r="E732" s="89" t="s">
        <v>3222</v>
      </c>
      <c r="F732" s="89" t="s">
        <v>7196</v>
      </c>
      <c r="G732" s="89" t="s">
        <v>3223</v>
      </c>
      <c r="H732" s="91">
        <v>7346</v>
      </c>
      <c r="I732" s="89" t="s">
        <v>7168</v>
      </c>
      <c r="J732" s="92" t="s">
        <v>883</v>
      </c>
      <c r="K732" s="92"/>
      <c r="L732" s="92" t="s">
        <v>7045</v>
      </c>
      <c r="M732" s="92" t="s">
        <v>6880</v>
      </c>
      <c r="N732" s="93">
        <v>7346</v>
      </c>
      <c r="O732" s="94">
        <v>240000</v>
      </c>
      <c r="P732" s="94">
        <v>20000</v>
      </c>
      <c r="Q732" s="92" t="s">
        <v>3957</v>
      </c>
      <c r="R732" s="92" t="s">
        <v>7197</v>
      </c>
      <c r="S732" s="91">
        <v>74058</v>
      </c>
      <c r="T732" s="91">
        <v>74009</v>
      </c>
    </row>
    <row r="733" spans="1:20" ht="30" customHeight="1" x14ac:dyDescent="0.35">
      <c r="A733" s="88">
        <v>740269</v>
      </c>
      <c r="B733" s="89" t="s">
        <v>7198</v>
      </c>
      <c r="C733" s="89" t="s">
        <v>7199</v>
      </c>
      <c r="D733" s="90" t="s">
        <v>4077</v>
      </c>
      <c r="E733" s="89" t="s">
        <v>3225</v>
      </c>
      <c r="F733" s="89"/>
      <c r="G733" s="89" t="s">
        <v>3226</v>
      </c>
      <c r="H733" s="91">
        <v>7346</v>
      </c>
      <c r="I733" s="89" t="s">
        <v>7168</v>
      </c>
      <c r="J733" s="92" t="s">
        <v>883</v>
      </c>
      <c r="K733" s="92"/>
      <c r="L733" s="92" t="s">
        <v>7045</v>
      </c>
      <c r="M733" s="92" t="s">
        <v>6880</v>
      </c>
      <c r="N733" s="93">
        <v>7346</v>
      </c>
      <c r="O733" s="94">
        <v>240000</v>
      </c>
      <c r="P733" s="94">
        <v>20000</v>
      </c>
      <c r="Q733" s="92" t="s">
        <v>3957</v>
      </c>
      <c r="R733" s="92" t="s">
        <v>7200</v>
      </c>
      <c r="S733" s="91">
        <v>74058</v>
      </c>
      <c r="T733" s="91">
        <v>74071</v>
      </c>
    </row>
    <row r="734" spans="1:20" ht="30" customHeight="1" x14ac:dyDescent="0.35">
      <c r="A734" s="88">
        <v>740270</v>
      </c>
      <c r="B734" s="89" t="s">
        <v>7201</v>
      </c>
      <c r="C734" s="89" t="s">
        <v>7201</v>
      </c>
      <c r="D734" s="90" t="s">
        <v>4077</v>
      </c>
      <c r="E734" s="89" t="s">
        <v>3228</v>
      </c>
      <c r="F734" s="89"/>
      <c r="G734" s="89" t="s">
        <v>3229</v>
      </c>
      <c r="H734" s="91">
        <v>5304</v>
      </c>
      <c r="I734" s="89" t="s">
        <v>6517</v>
      </c>
      <c r="J734" s="92" t="s">
        <v>883</v>
      </c>
      <c r="K734" s="92"/>
      <c r="L734" s="92" t="s">
        <v>6518</v>
      </c>
      <c r="M734" s="92" t="s">
        <v>6519</v>
      </c>
      <c r="N734" s="93">
        <v>5304</v>
      </c>
      <c r="O734" s="94">
        <v>22000</v>
      </c>
      <c r="P734" s="94">
        <v>2800</v>
      </c>
      <c r="Q734" s="92" t="s">
        <v>3957</v>
      </c>
      <c r="R734" s="92" t="s">
        <v>7202</v>
      </c>
      <c r="S734" s="91">
        <v>53043</v>
      </c>
      <c r="T734" s="91">
        <v>53045</v>
      </c>
    </row>
    <row r="735" spans="1:20" ht="30" customHeight="1" x14ac:dyDescent="0.35">
      <c r="A735" s="88">
        <v>740315</v>
      </c>
      <c r="B735" s="89" t="s">
        <v>7203</v>
      </c>
      <c r="C735" s="89" t="s">
        <v>7204</v>
      </c>
      <c r="D735" s="90" t="s">
        <v>4077</v>
      </c>
      <c r="E735" s="89" t="s">
        <v>3231</v>
      </c>
      <c r="F735" s="89"/>
      <c r="G735" s="89" t="s">
        <v>3232</v>
      </c>
      <c r="H735" s="91">
        <v>7414</v>
      </c>
      <c r="I735" s="89" t="s">
        <v>7205</v>
      </c>
      <c r="J735" s="92" t="s">
        <v>883</v>
      </c>
      <c r="K735" s="92"/>
      <c r="L735" s="92" t="s">
        <v>7206</v>
      </c>
      <c r="M735" s="92" t="s">
        <v>7207</v>
      </c>
      <c r="N735" s="93">
        <v>7414</v>
      </c>
      <c r="O735" s="94">
        <v>23000</v>
      </c>
      <c r="P735" s="94">
        <v>2800</v>
      </c>
      <c r="Q735" s="92" t="s">
        <v>3957</v>
      </c>
      <c r="R735" s="92" t="s">
        <v>7208</v>
      </c>
      <c r="S735" s="91">
        <v>74085</v>
      </c>
      <c r="T735" s="89" t="s">
        <v>643</v>
      </c>
    </row>
    <row r="736" spans="1:20" ht="30" customHeight="1" x14ac:dyDescent="0.35">
      <c r="A736" s="88">
        <v>740316</v>
      </c>
      <c r="B736" s="89" t="s">
        <v>7209</v>
      </c>
      <c r="C736" s="89" t="s">
        <v>7209</v>
      </c>
      <c r="D736" s="90" t="s">
        <v>4077</v>
      </c>
      <c r="E736" s="89" t="s">
        <v>7210</v>
      </c>
      <c r="F736" s="89"/>
      <c r="G736" s="89" t="s">
        <v>3235</v>
      </c>
      <c r="H736" s="91">
        <v>7417</v>
      </c>
      <c r="I736" s="89" t="s">
        <v>7211</v>
      </c>
      <c r="J736" s="92" t="s">
        <v>883</v>
      </c>
      <c r="K736" s="92"/>
      <c r="L736" s="92" t="s">
        <v>7212</v>
      </c>
      <c r="M736" s="92" t="s">
        <v>7213</v>
      </c>
      <c r="N736" s="93">
        <v>7417</v>
      </c>
      <c r="O736" s="94">
        <v>43000</v>
      </c>
      <c r="P736" s="94">
        <v>7400</v>
      </c>
      <c r="Q736" s="92" t="s">
        <v>3957</v>
      </c>
      <c r="R736" s="92" t="s">
        <v>7214</v>
      </c>
      <c r="S736" s="91">
        <v>74068</v>
      </c>
      <c r="T736" s="91">
        <v>74042</v>
      </c>
    </row>
    <row r="737" spans="1:20" ht="30" customHeight="1" x14ac:dyDescent="0.35">
      <c r="A737" s="88">
        <v>740317</v>
      </c>
      <c r="B737" s="89" t="s">
        <v>7215</v>
      </c>
      <c r="C737" s="89" t="s">
        <v>7216</v>
      </c>
      <c r="D737" s="90" t="s">
        <v>4077</v>
      </c>
      <c r="E737" s="89" t="s">
        <v>3237</v>
      </c>
      <c r="F737" s="89"/>
      <c r="G737" s="89" t="s">
        <v>3238</v>
      </c>
      <c r="H737" s="91">
        <v>7414</v>
      </c>
      <c r="I737" s="89" t="s">
        <v>7205</v>
      </c>
      <c r="J737" s="92" t="s">
        <v>883</v>
      </c>
      <c r="K737" s="92"/>
      <c r="L737" s="92" t="s">
        <v>7206</v>
      </c>
      <c r="M737" s="92" t="s">
        <v>7207</v>
      </c>
      <c r="N737" s="93">
        <v>7414</v>
      </c>
      <c r="O737" s="94">
        <v>23000</v>
      </c>
      <c r="P737" s="94">
        <v>2800</v>
      </c>
      <c r="Q737" s="92" t="s">
        <v>3957</v>
      </c>
      <c r="R737" s="92" t="s">
        <v>7217</v>
      </c>
      <c r="S737" s="91">
        <v>74085</v>
      </c>
      <c r="T737" s="91">
        <v>74075</v>
      </c>
    </row>
    <row r="738" spans="1:20" ht="30" customHeight="1" x14ac:dyDescent="0.35">
      <c r="A738" s="92">
        <v>740320</v>
      </c>
      <c r="B738" s="89" t="s">
        <v>7218</v>
      </c>
      <c r="C738" s="89" t="s">
        <v>7219</v>
      </c>
      <c r="D738" s="90" t="s">
        <v>4077</v>
      </c>
      <c r="E738" s="89" t="s">
        <v>7220</v>
      </c>
      <c r="F738" s="89"/>
      <c r="G738" s="89" t="s">
        <v>909</v>
      </c>
      <c r="H738" s="89">
        <v>7348</v>
      </c>
      <c r="I738" s="89" t="s">
        <v>7221</v>
      </c>
      <c r="J738" s="92" t="s">
        <v>883</v>
      </c>
      <c r="K738" s="92"/>
      <c r="L738" s="30">
        <v>0</v>
      </c>
      <c r="M738" s="30" t="s">
        <v>7222</v>
      </c>
      <c r="N738" s="31">
        <v>7348</v>
      </c>
      <c r="O738" s="31">
        <v>6300</v>
      </c>
      <c r="P738" s="31">
        <v>1700</v>
      </c>
      <c r="Q738" s="92" t="s">
        <v>3957</v>
      </c>
      <c r="R738" s="92" t="s">
        <v>7223</v>
      </c>
      <c r="S738" s="92" t="s">
        <v>3982</v>
      </c>
      <c r="T738" s="92" t="s">
        <v>3982</v>
      </c>
    </row>
    <row r="739" spans="1:20" ht="30" customHeight="1" x14ac:dyDescent="0.35">
      <c r="A739" s="92">
        <v>740370</v>
      </c>
      <c r="B739" s="89" t="s">
        <v>7224</v>
      </c>
      <c r="C739" s="89" t="s">
        <v>7225</v>
      </c>
      <c r="D739" s="90" t="s">
        <v>4077</v>
      </c>
      <c r="E739" s="89" t="s">
        <v>3242</v>
      </c>
      <c r="F739" s="89"/>
      <c r="G739" s="89" t="s">
        <v>909</v>
      </c>
      <c r="H739" s="89">
        <v>7446</v>
      </c>
      <c r="I739" s="89" t="s">
        <v>7226</v>
      </c>
      <c r="J739" s="92" t="s">
        <v>883</v>
      </c>
      <c r="K739" s="92"/>
      <c r="L739" s="30">
        <v>0</v>
      </c>
      <c r="M739" s="30" t="s">
        <v>7227</v>
      </c>
      <c r="N739" s="31">
        <v>7446</v>
      </c>
      <c r="O739" s="31">
        <v>32000</v>
      </c>
      <c r="P739" s="31">
        <v>3000</v>
      </c>
      <c r="Q739" s="92" t="s">
        <v>3957</v>
      </c>
      <c r="R739" s="92" t="s">
        <v>7228</v>
      </c>
      <c r="S739" s="92" t="s">
        <v>3982</v>
      </c>
      <c r="T739" s="92" t="s">
        <v>3982</v>
      </c>
    </row>
    <row r="740" spans="1:20" ht="30" customHeight="1" x14ac:dyDescent="0.35">
      <c r="A740" s="88">
        <v>740379</v>
      </c>
      <c r="B740" s="89" t="s">
        <v>7229</v>
      </c>
      <c r="C740" s="89" t="s">
        <v>7230</v>
      </c>
      <c r="D740" s="90" t="s">
        <v>4077</v>
      </c>
      <c r="E740" s="89" t="s">
        <v>3244</v>
      </c>
      <c r="F740" s="89" t="s">
        <v>7156</v>
      </c>
      <c r="G740" s="89" t="s">
        <v>3245</v>
      </c>
      <c r="H740" s="91">
        <v>7346</v>
      </c>
      <c r="I740" s="89" t="s">
        <v>7168</v>
      </c>
      <c r="J740" s="92" t="s">
        <v>883</v>
      </c>
      <c r="K740" s="92"/>
      <c r="L740" s="92" t="s">
        <v>7045</v>
      </c>
      <c r="M740" s="92" t="s">
        <v>6880</v>
      </c>
      <c r="N740" s="93">
        <v>7346</v>
      </c>
      <c r="O740" s="94">
        <v>240000</v>
      </c>
      <c r="P740" s="94">
        <v>20000</v>
      </c>
      <c r="Q740" s="92" t="s">
        <v>3957</v>
      </c>
      <c r="R740" s="92" t="s">
        <v>7231</v>
      </c>
      <c r="S740" s="91">
        <v>74058</v>
      </c>
      <c r="T740" s="91">
        <v>74009</v>
      </c>
    </row>
    <row r="741" spans="1:20" ht="30" customHeight="1" x14ac:dyDescent="0.35">
      <c r="A741" s="88">
        <v>740381</v>
      </c>
      <c r="B741" s="89" t="s">
        <v>7232</v>
      </c>
      <c r="C741" s="89" t="s">
        <v>7233</v>
      </c>
      <c r="D741" s="90" t="s">
        <v>4077</v>
      </c>
      <c r="E741" s="89" t="s">
        <v>7234</v>
      </c>
      <c r="F741" s="89" t="s">
        <v>7235</v>
      </c>
      <c r="G741" s="89" t="s">
        <v>3248</v>
      </c>
      <c r="H741" s="91">
        <v>7331</v>
      </c>
      <c r="I741" s="89" t="s">
        <v>7236</v>
      </c>
      <c r="J741" s="92" t="s">
        <v>883</v>
      </c>
      <c r="K741" s="92" t="s">
        <v>7054</v>
      </c>
      <c r="L741" s="92" t="s">
        <v>7237</v>
      </c>
      <c r="M741" s="92" t="s">
        <v>7238</v>
      </c>
      <c r="N741" s="93">
        <v>7331</v>
      </c>
      <c r="O741" s="94">
        <v>26000</v>
      </c>
      <c r="P741" s="94">
        <v>4300</v>
      </c>
      <c r="Q741" s="92" t="s">
        <v>3957</v>
      </c>
      <c r="R741" s="92" t="s">
        <v>7239</v>
      </c>
      <c r="S741" s="89" t="s">
        <v>7240</v>
      </c>
      <c r="T741" s="91">
        <v>74004</v>
      </c>
    </row>
    <row r="742" spans="1:20" ht="30" customHeight="1" x14ac:dyDescent="0.35">
      <c r="A742" s="88">
        <v>740382</v>
      </c>
      <c r="B742" s="89" t="s">
        <v>7241</v>
      </c>
      <c r="C742" s="89" t="s">
        <v>7242</v>
      </c>
      <c r="D742" s="90" t="s">
        <v>4077</v>
      </c>
      <c r="E742" s="89" t="s">
        <v>7243</v>
      </c>
      <c r="F742" s="89" t="s">
        <v>7244</v>
      </c>
      <c r="G742" s="89" t="s">
        <v>3251</v>
      </c>
      <c r="H742" s="91">
        <v>7346</v>
      </c>
      <c r="I742" s="89" t="s">
        <v>7168</v>
      </c>
      <c r="J742" s="92" t="s">
        <v>883</v>
      </c>
      <c r="K742" s="92"/>
      <c r="L742" s="92" t="s">
        <v>7045</v>
      </c>
      <c r="M742" s="92" t="s">
        <v>6880</v>
      </c>
      <c r="N742" s="93">
        <v>7346</v>
      </c>
      <c r="O742" s="94">
        <v>240000</v>
      </c>
      <c r="P742" s="94">
        <v>20000</v>
      </c>
      <c r="Q742" s="92" t="s">
        <v>3957</v>
      </c>
      <c r="R742" s="92" t="s">
        <v>7245</v>
      </c>
      <c r="S742" s="91">
        <v>74050</v>
      </c>
      <c r="T742" s="91">
        <v>74002</v>
      </c>
    </row>
    <row r="743" spans="1:20" ht="30" customHeight="1" x14ac:dyDescent="0.35">
      <c r="A743" s="88">
        <v>740383</v>
      </c>
      <c r="B743" s="89" t="s">
        <v>7246</v>
      </c>
      <c r="C743" s="89" t="s">
        <v>7247</v>
      </c>
      <c r="D743" s="90" t="s">
        <v>4077</v>
      </c>
      <c r="E743" s="89" t="s">
        <v>3253</v>
      </c>
      <c r="F743" s="89" t="s">
        <v>7156</v>
      </c>
      <c r="G743" s="89" t="s">
        <v>3254</v>
      </c>
      <c r="H743" s="91">
        <v>7345</v>
      </c>
      <c r="I743" s="89" t="s">
        <v>7248</v>
      </c>
      <c r="J743" s="92" t="s">
        <v>883</v>
      </c>
      <c r="K743" s="92"/>
      <c r="L743" s="92" t="s">
        <v>7249</v>
      </c>
      <c r="M743" s="92" t="s">
        <v>7250</v>
      </c>
      <c r="N743" s="93">
        <v>7345</v>
      </c>
      <c r="O743" s="94">
        <v>18000</v>
      </c>
      <c r="P743" s="94">
        <v>4200</v>
      </c>
      <c r="Q743" s="92" t="s">
        <v>3957</v>
      </c>
      <c r="R743" s="92" t="s">
        <v>7251</v>
      </c>
      <c r="S743" s="91">
        <v>74052</v>
      </c>
      <c r="T743" s="91">
        <v>74030</v>
      </c>
    </row>
    <row r="744" spans="1:20" ht="30" customHeight="1" x14ac:dyDescent="0.35">
      <c r="A744" s="88">
        <v>740384</v>
      </c>
      <c r="B744" s="89" t="s">
        <v>7252</v>
      </c>
      <c r="C744" s="89" t="s">
        <v>7253</v>
      </c>
      <c r="D744" s="90" t="s">
        <v>4077</v>
      </c>
      <c r="E744" s="89" t="s">
        <v>3256</v>
      </c>
      <c r="F744" s="89" t="s">
        <v>7156</v>
      </c>
      <c r="G744" s="89" t="s">
        <v>3257</v>
      </c>
      <c r="H744" s="91">
        <v>7342</v>
      </c>
      <c r="I744" s="89" t="s">
        <v>7023</v>
      </c>
      <c r="J744" s="92" t="s">
        <v>883</v>
      </c>
      <c r="K744" s="92"/>
      <c r="L744" s="92" t="s">
        <v>7024</v>
      </c>
      <c r="M744" s="92" t="s">
        <v>7025</v>
      </c>
      <c r="N744" s="93">
        <v>7342</v>
      </c>
      <c r="O744" s="94">
        <v>56000</v>
      </c>
      <c r="P744" s="94">
        <v>2800</v>
      </c>
      <c r="Q744" s="92" t="s">
        <v>3957</v>
      </c>
      <c r="R744" s="92" t="s">
        <v>7254</v>
      </c>
      <c r="S744" s="91">
        <v>73030</v>
      </c>
      <c r="T744" s="91">
        <v>74013</v>
      </c>
    </row>
    <row r="745" spans="1:20" ht="30" customHeight="1" x14ac:dyDescent="0.35">
      <c r="A745" s="88">
        <v>740385</v>
      </c>
      <c r="B745" s="89" t="s">
        <v>7255</v>
      </c>
      <c r="C745" s="89" t="s">
        <v>7256</v>
      </c>
      <c r="D745" s="90" t="s">
        <v>4077</v>
      </c>
      <c r="E745" s="89" t="s">
        <v>3259</v>
      </c>
      <c r="F745" s="89" t="s">
        <v>7156</v>
      </c>
      <c r="G745" s="89" t="s">
        <v>3260</v>
      </c>
      <c r="H745" s="91">
        <v>7387</v>
      </c>
      <c r="I745" s="89" t="s">
        <v>7257</v>
      </c>
      <c r="J745" s="92" t="s">
        <v>883</v>
      </c>
      <c r="K745" s="92"/>
      <c r="L745" s="92" t="s">
        <v>7258</v>
      </c>
      <c r="M745" s="92" t="s">
        <v>7259</v>
      </c>
      <c r="N745" s="93">
        <v>7387</v>
      </c>
      <c r="O745" s="94">
        <v>39000</v>
      </c>
      <c r="P745" s="94">
        <v>7800</v>
      </c>
      <c r="Q745" s="92" t="s">
        <v>3957</v>
      </c>
      <c r="R745" s="92" t="s">
        <v>7260</v>
      </c>
      <c r="S745" s="91">
        <v>74054</v>
      </c>
      <c r="T745" s="91">
        <v>74016</v>
      </c>
    </row>
    <row r="746" spans="1:20" ht="30" customHeight="1" x14ac:dyDescent="0.35">
      <c r="A746" s="88">
        <v>740386</v>
      </c>
      <c r="B746" s="89" t="s">
        <v>7261</v>
      </c>
      <c r="C746" s="89" t="s">
        <v>7262</v>
      </c>
      <c r="D746" s="90" t="s">
        <v>4077</v>
      </c>
      <c r="E746" s="89" t="s">
        <v>3262</v>
      </c>
      <c r="F746" s="89" t="s">
        <v>7263</v>
      </c>
      <c r="G746" s="89" t="s">
        <v>3263</v>
      </c>
      <c r="H746" s="91">
        <v>7387</v>
      </c>
      <c r="I746" s="89" t="s">
        <v>7257</v>
      </c>
      <c r="J746" s="92" t="s">
        <v>883</v>
      </c>
      <c r="K746" s="92"/>
      <c r="L746" s="92" t="s">
        <v>7258</v>
      </c>
      <c r="M746" s="92" t="s">
        <v>7259</v>
      </c>
      <c r="N746" s="93">
        <v>7387</v>
      </c>
      <c r="O746" s="94">
        <v>39000</v>
      </c>
      <c r="P746" s="94">
        <v>7800</v>
      </c>
      <c r="Q746" s="92" t="s">
        <v>3957</v>
      </c>
      <c r="R746" s="92" t="s">
        <v>7264</v>
      </c>
      <c r="S746" s="89" t="s">
        <v>643</v>
      </c>
      <c r="T746" s="91">
        <v>74003</v>
      </c>
    </row>
    <row r="747" spans="1:20" ht="30" customHeight="1" x14ac:dyDescent="0.35">
      <c r="A747" s="88">
        <v>740387</v>
      </c>
      <c r="B747" s="89" t="s">
        <v>7265</v>
      </c>
      <c r="C747" s="89" t="s">
        <v>7266</v>
      </c>
      <c r="D747" s="90" t="s">
        <v>4077</v>
      </c>
      <c r="E747" s="89" t="s">
        <v>3265</v>
      </c>
      <c r="F747" s="89" t="s">
        <v>7156</v>
      </c>
      <c r="G747" s="89" t="s">
        <v>3266</v>
      </c>
      <c r="H747" s="91">
        <v>7388</v>
      </c>
      <c r="I747" s="89" t="s">
        <v>7267</v>
      </c>
      <c r="J747" s="92" t="s">
        <v>883</v>
      </c>
      <c r="K747" s="92"/>
      <c r="L747" s="92" t="s">
        <v>7268</v>
      </c>
      <c r="M747" s="92" t="s">
        <v>7269</v>
      </c>
      <c r="N747" s="93">
        <v>7388</v>
      </c>
      <c r="O747" s="94">
        <v>470000</v>
      </c>
      <c r="P747" s="94">
        <v>58000</v>
      </c>
      <c r="Q747" s="92" t="s">
        <v>3957</v>
      </c>
      <c r="R747" s="92" t="s">
        <v>7270</v>
      </c>
      <c r="S747" s="91">
        <v>74055</v>
      </c>
      <c r="T747" s="91">
        <v>74086</v>
      </c>
    </row>
    <row r="748" spans="1:20" ht="30" customHeight="1" x14ac:dyDescent="0.35">
      <c r="A748" s="88">
        <v>740388</v>
      </c>
      <c r="B748" s="89" t="s">
        <v>7271</v>
      </c>
      <c r="C748" s="89" t="s">
        <v>7272</v>
      </c>
      <c r="D748" s="90" t="s">
        <v>4077</v>
      </c>
      <c r="E748" s="89" t="s">
        <v>3268</v>
      </c>
      <c r="F748" s="89" t="s">
        <v>7156</v>
      </c>
      <c r="G748" s="89" t="s">
        <v>3269</v>
      </c>
      <c r="H748" s="91">
        <v>7346</v>
      </c>
      <c r="I748" s="89" t="s">
        <v>7168</v>
      </c>
      <c r="J748" s="92" t="s">
        <v>883</v>
      </c>
      <c r="K748" s="92"/>
      <c r="L748" s="92" t="s">
        <v>7045</v>
      </c>
      <c r="M748" s="92" t="s">
        <v>6880</v>
      </c>
      <c r="N748" s="93">
        <v>7346</v>
      </c>
      <c r="O748" s="94">
        <v>240000</v>
      </c>
      <c r="P748" s="94">
        <v>20000</v>
      </c>
      <c r="Q748" s="92" t="s">
        <v>3957</v>
      </c>
      <c r="R748" s="92" t="s">
        <v>7273</v>
      </c>
      <c r="S748" s="91">
        <v>74053</v>
      </c>
      <c r="T748" s="91">
        <v>74011</v>
      </c>
    </row>
    <row r="749" spans="1:20" ht="30" customHeight="1" x14ac:dyDescent="0.35">
      <c r="A749" s="88">
        <v>740389</v>
      </c>
      <c r="B749" s="89" t="s">
        <v>7274</v>
      </c>
      <c r="C749" s="89" t="s">
        <v>7275</v>
      </c>
      <c r="D749" s="90" t="s">
        <v>4077</v>
      </c>
      <c r="E749" s="89" t="s">
        <v>3271</v>
      </c>
      <c r="F749" s="89" t="s">
        <v>7156</v>
      </c>
      <c r="G749" s="89" t="s">
        <v>3272</v>
      </c>
      <c r="H749" s="91">
        <v>7346</v>
      </c>
      <c r="I749" s="89" t="s">
        <v>7168</v>
      </c>
      <c r="J749" s="92" t="s">
        <v>883</v>
      </c>
      <c r="K749" s="92"/>
      <c r="L749" s="92" t="s">
        <v>7045</v>
      </c>
      <c r="M749" s="92" t="s">
        <v>6880</v>
      </c>
      <c r="N749" s="93">
        <v>7346</v>
      </c>
      <c r="O749" s="94">
        <v>240000</v>
      </c>
      <c r="P749" s="94">
        <v>20000</v>
      </c>
      <c r="Q749" s="92" t="s">
        <v>3957</v>
      </c>
      <c r="R749" s="92" t="s">
        <v>7276</v>
      </c>
      <c r="S749" s="91">
        <v>74056</v>
      </c>
      <c r="T749" s="91">
        <v>74009</v>
      </c>
    </row>
    <row r="750" spans="1:20" ht="30" customHeight="1" x14ac:dyDescent="0.35">
      <c r="A750" s="88">
        <v>740396</v>
      </c>
      <c r="B750" s="89" t="s">
        <v>7277</v>
      </c>
      <c r="C750" s="89" t="s">
        <v>7278</v>
      </c>
      <c r="D750" s="90" t="s">
        <v>4077</v>
      </c>
      <c r="E750" s="89" t="s">
        <v>3274</v>
      </c>
      <c r="F750" s="89" t="s">
        <v>7156</v>
      </c>
      <c r="G750" s="89" t="s">
        <v>3275</v>
      </c>
      <c r="H750" s="91">
        <v>7387</v>
      </c>
      <c r="I750" s="89" t="s">
        <v>7257</v>
      </c>
      <c r="J750" s="92" t="s">
        <v>883</v>
      </c>
      <c r="K750" s="92"/>
      <c r="L750" s="92" t="s">
        <v>7258</v>
      </c>
      <c r="M750" s="92" t="s">
        <v>7259</v>
      </c>
      <c r="N750" s="93">
        <v>7387</v>
      </c>
      <c r="O750" s="94">
        <v>39000</v>
      </c>
      <c r="P750" s="94">
        <v>7800</v>
      </c>
      <c r="Q750" s="92" t="s">
        <v>3957</v>
      </c>
      <c r="R750" s="92" t="s">
        <v>7279</v>
      </c>
      <c r="S750" s="89" t="s">
        <v>643</v>
      </c>
      <c r="T750" s="91">
        <v>74003</v>
      </c>
    </row>
    <row r="751" spans="1:20" ht="30" customHeight="1" x14ac:dyDescent="0.35">
      <c r="A751" s="88">
        <v>740397</v>
      </c>
      <c r="B751" s="89" t="s">
        <v>7280</v>
      </c>
      <c r="C751" s="89" t="s">
        <v>7281</v>
      </c>
      <c r="D751" s="90" t="s">
        <v>4077</v>
      </c>
      <c r="E751" s="89" t="s">
        <v>3277</v>
      </c>
      <c r="F751" s="89" t="s">
        <v>7156</v>
      </c>
      <c r="G751" s="89" t="s">
        <v>3266</v>
      </c>
      <c r="H751" s="91">
        <v>7388</v>
      </c>
      <c r="I751" s="89" t="s">
        <v>7267</v>
      </c>
      <c r="J751" s="92" t="s">
        <v>883</v>
      </c>
      <c r="K751" s="92"/>
      <c r="L751" s="92" t="s">
        <v>7268</v>
      </c>
      <c r="M751" s="92" t="s">
        <v>7269</v>
      </c>
      <c r="N751" s="93">
        <v>7388</v>
      </c>
      <c r="O751" s="94">
        <v>470000</v>
      </c>
      <c r="P751" s="94">
        <v>58000</v>
      </c>
      <c r="Q751" s="92" t="s">
        <v>3957</v>
      </c>
      <c r="R751" s="92" t="s">
        <v>7282</v>
      </c>
      <c r="S751" s="91">
        <v>74055</v>
      </c>
      <c r="T751" s="91">
        <v>74085</v>
      </c>
    </row>
    <row r="752" spans="1:20" ht="30" customHeight="1" x14ac:dyDescent="0.35">
      <c r="A752" s="88">
        <v>740398</v>
      </c>
      <c r="B752" s="89" t="s">
        <v>7283</v>
      </c>
      <c r="C752" s="89" t="s">
        <v>7284</v>
      </c>
      <c r="D752" s="90" t="s">
        <v>4077</v>
      </c>
      <c r="E752" s="89" t="s">
        <v>7285</v>
      </c>
      <c r="F752" s="89" t="s">
        <v>7156</v>
      </c>
      <c r="G752" s="89" t="s">
        <v>3280</v>
      </c>
      <c r="H752" s="91">
        <v>7387</v>
      </c>
      <c r="I752" s="89" t="s">
        <v>7257</v>
      </c>
      <c r="J752" s="92" t="s">
        <v>883</v>
      </c>
      <c r="K752" s="92"/>
      <c r="L752" s="92" t="s">
        <v>7258</v>
      </c>
      <c r="M752" s="92" t="s">
        <v>7259</v>
      </c>
      <c r="N752" s="93">
        <v>7387</v>
      </c>
      <c r="O752" s="94">
        <v>39000</v>
      </c>
      <c r="P752" s="94">
        <v>7800</v>
      </c>
      <c r="Q752" s="92" t="s">
        <v>3957</v>
      </c>
      <c r="R752" s="92" t="s">
        <v>7286</v>
      </c>
      <c r="S752" s="89" t="s">
        <v>643</v>
      </c>
      <c r="T752" s="89" t="s">
        <v>643</v>
      </c>
    </row>
    <row r="753" spans="1:20" ht="30" customHeight="1" x14ac:dyDescent="0.35">
      <c r="A753" s="88">
        <v>740443</v>
      </c>
      <c r="B753" s="89" t="s">
        <v>7287</v>
      </c>
      <c r="C753" s="89" t="s">
        <v>7288</v>
      </c>
      <c r="D753" s="90" t="s">
        <v>4077</v>
      </c>
      <c r="E753" s="89" t="s">
        <v>3282</v>
      </c>
      <c r="F753" s="89"/>
      <c r="G753" s="89" t="s">
        <v>3283</v>
      </c>
      <c r="H753" s="91">
        <v>7441</v>
      </c>
      <c r="I753" s="89" t="s">
        <v>6524</v>
      </c>
      <c r="J753" s="92" t="s">
        <v>883</v>
      </c>
      <c r="K753" s="92"/>
      <c r="L753" s="92" t="s">
        <v>7289</v>
      </c>
      <c r="M753" s="92" t="s">
        <v>7290</v>
      </c>
      <c r="N753" s="93">
        <v>7441</v>
      </c>
      <c r="O753" s="94">
        <v>152000</v>
      </c>
      <c r="P753" s="94">
        <v>23000</v>
      </c>
      <c r="Q753" s="92" t="s">
        <v>3957</v>
      </c>
      <c r="R753" s="92" t="s">
        <v>7291</v>
      </c>
      <c r="S753" s="91">
        <v>72010</v>
      </c>
      <c r="T753" s="89" t="s">
        <v>7292</v>
      </c>
    </row>
    <row r="754" spans="1:20" ht="30" customHeight="1" x14ac:dyDescent="0.35">
      <c r="A754" s="88">
        <v>740450</v>
      </c>
      <c r="B754" s="89" t="s">
        <v>7293</v>
      </c>
      <c r="C754" s="89"/>
      <c r="D754" s="90" t="s">
        <v>4077</v>
      </c>
      <c r="E754" s="89" t="s">
        <v>7294</v>
      </c>
      <c r="F754" s="89"/>
      <c r="G754" s="89" t="s">
        <v>909</v>
      </c>
      <c r="H754" s="91">
        <v>7421</v>
      </c>
      <c r="I754" s="89" t="s">
        <v>7295</v>
      </c>
      <c r="J754" s="92" t="s">
        <v>883</v>
      </c>
      <c r="K754" s="92"/>
      <c r="L754" s="92"/>
      <c r="M754" s="92"/>
      <c r="N754" s="93"/>
      <c r="O754" s="94"/>
      <c r="P754" s="94"/>
      <c r="Q754" s="92"/>
      <c r="R754" s="92"/>
      <c r="S754" s="91"/>
      <c r="T754" s="91"/>
    </row>
    <row r="755" spans="1:20" ht="30" customHeight="1" x14ac:dyDescent="0.35">
      <c r="A755" s="88">
        <v>740457</v>
      </c>
      <c r="B755" s="89" t="s">
        <v>7296</v>
      </c>
      <c r="C755" s="89" t="s">
        <v>7297</v>
      </c>
      <c r="D755" s="90" t="s">
        <v>4077</v>
      </c>
      <c r="E755" s="89" t="s">
        <v>3287</v>
      </c>
      <c r="F755" s="89"/>
      <c r="G755" s="89" t="s">
        <v>3288</v>
      </c>
      <c r="H755" s="91">
        <v>7441</v>
      </c>
      <c r="I755" s="89" t="s">
        <v>6524</v>
      </c>
      <c r="J755" s="92" t="s">
        <v>883</v>
      </c>
      <c r="K755" s="92"/>
      <c r="L755" s="92" t="s">
        <v>7289</v>
      </c>
      <c r="M755" s="92" t="s">
        <v>7290</v>
      </c>
      <c r="N755" s="93">
        <v>7441</v>
      </c>
      <c r="O755" s="94">
        <v>152000</v>
      </c>
      <c r="P755" s="94">
        <v>23000</v>
      </c>
      <c r="Q755" s="92" t="s">
        <v>3957</v>
      </c>
      <c r="R755" s="92" t="s">
        <v>7298</v>
      </c>
      <c r="S755" s="91">
        <v>72010</v>
      </c>
      <c r="T755" s="91">
        <v>74020</v>
      </c>
    </row>
    <row r="756" spans="1:20" ht="30" customHeight="1" x14ac:dyDescent="0.35">
      <c r="A756" s="88">
        <v>740459</v>
      </c>
      <c r="B756" s="89" t="s">
        <v>7299</v>
      </c>
      <c r="C756" s="89" t="s">
        <v>7300</v>
      </c>
      <c r="D756" s="90" t="s">
        <v>4077</v>
      </c>
      <c r="E756" s="89" t="s">
        <v>7301</v>
      </c>
      <c r="F756" s="89"/>
      <c r="G756" s="89" t="s">
        <v>3291</v>
      </c>
      <c r="H756" s="91">
        <v>7443</v>
      </c>
      <c r="I756" s="89" t="s">
        <v>7302</v>
      </c>
      <c r="J756" s="92" t="s">
        <v>883</v>
      </c>
      <c r="K756" s="92"/>
      <c r="L756" s="92" t="s">
        <v>7303</v>
      </c>
      <c r="M756" s="92" t="s">
        <v>7304</v>
      </c>
      <c r="N756" s="93">
        <v>7443</v>
      </c>
      <c r="O756" s="94">
        <v>16000</v>
      </c>
      <c r="P756" s="94">
        <v>1700</v>
      </c>
      <c r="Q756" s="92" t="s">
        <v>3957</v>
      </c>
      <c r="R756" s="92" t="s">
        <v>7305</v>
      </c>
      <c r="S756" s="91">
        <v>74087</v>
      </c>
      <c r="T756" s="91">
        <v>74092</v>
      </c>
    </row>
    <row r="757" spans="1:20" ht="30" customHeight="1" x14ac:dyDescent="0.35">
      <c r="A757" s="88">
        <v>740612</v>
      </c>
      <c r="B757" s="89" t="s">
        <v>7306</v>
      </c>
      <c r="C757" s="89" t="s">
        <v>7307</v>
      </c>
      <c r="D757" s="90" t="s">
        <v>4077</v>
      </c>
      <c r="E757" s="89" t="s">
        <v>3293</v>
      </c>
      <c r="F757" s="89"/>
      <c r="G757" s="89" t="s">
        <v>3294</v>
      </c>
      <c r="H757" s="91">
        <v>7333</v>
      </c>
      <c r="I757" s="89" t="s">
        <v>7308</v>
      </c>
      <c r="J757" s="92" t="s">
        <v>883</v>
      </c>
      <c r="K757" s="92" t="s">
        <v>7054</v>
      </c>
      <c r="L757" s="92" t="s">
        <v>7309</v>
      </c>
      <c r="M757" s="92" t="s">
        <v>7310</v>
      </c>
      <c r="N757" s="93">
        <v>7333</v>
      </c>
      <c r="O757" s="94">
        <v>70000</v>
      </c>
      <c r="P757" s="94">
        <v>15000</v>
      </c>
      <c r="Q757" s="92" t="s">
        <v>3957</v>
      </c>
      <c r="R757" s="92" t="s">
        <v>7311</v>
      </c>
      <c r="S757" s="91">
        <v>74047</v>
      </c>
      <c r="T757" s="89" t="s">
        <v>643</v>
      </c>
    </row>
    <row r="758" spans="1:20" ht="30" customHeight="1" x14ac:dyDescent="0.35">
      <c r="A758" s="88">
        <v>740615</v>
      </c>
      <c r="B758" s="89" t="s">
        <v>7312</v>
      </c>
      <c r="C758" s="89" t="s">
        <v>7313</v>
      </c>
      <c r="D758" s="90" t="s">
        <v>4077</v>
      </c>
      <c r="E758" s="89" t="s">
        <v>7314</v>
      </c>
      <c r="F758" s="89"/>
      <c r="G758" s="89" t="s">
        <v>3297</v>
      </c>
      <c r="H758" s="91">
        <v>7333</v>
      </c>
      <c r="I758" s="89" t="s">
        <v>7308</v>
      </c>
      <c r="J758" s="92" t="s">
        <v>883</v>
      </c>
      <c r="K758" s="92" t="s">
        <v>7054</v>
      </c>
      <c r="L758" s="92" t="s">
        <v>7309</v>
      </c>
      <c r="M758" s="92" t="s">
        <v>7310</v>
      </c>
      <c r="N758" s="93">
        <v>7333</v>
      </c>
      <c r="O758" s="94">
        <v>70000</v>
      </c>
      <c r="P758" s="94">
        <v>15000</v>
      </c>
      <c r="Q758" s="92" t="s">
        <v>3957</v>
      </c>
      <c r="R758" s="92" t="s">
        <v>7315</v>
      </c>
      <c r="S758" s="91">
        <v>74046</v>
      </c>
      <c r="T758" s="91">
        <v>74067</v>
      </c>
    </row>
    <row r="759" spans="1:20" ht="30" customHeight="1" x14ac:dyDescent="0.35">
      <c r="A759" s="88">
        <v>740617</v>
      </c>
      <c r="B759" s="89" t="s">
        <v>7316</v>
      </c>
      <c r="C759" s="89" t="s">
        <v>7317</v>
      </c>
      <c r="D759" s="90" t="s">
        <v>4077</v>
      </c>
      <c r="E759" s="89" t="s">
        <v>3299</v>
      </c>
      <c r="F759" s="89"/>
      <c r="G759" s="89" t="s">
        <v>3300</v>
      </c>
      <c r="H759" s="91">
        <v>7333</v>
      </c>
      <c r="I759" s="89" t="s">
        <v>7308</v>
      </c>
      <c r="J759" s="92" t="s">
        <v>883</v>
      </c>
      <c r="K759" s="92" t="s">
        <v>7054</v>
      </c>
      <c r="L759" s="92" t="s">
        <v>7309</v>
      </c>
      <c r="M759" s="92" t="s">
        <v>7310</v>
      </c>
      <c r="N759" s="93">
        <v>7333</v>
      </c>
      <c r="O759" s="94">
        <v>70000</v>
      </c>
      <c r="P759" s="94">
        <v>15000</v>
      </c>
      <c r="Q759" s="92" t="s">
        <v>3957</v>
      </c>
      <c r="R759" s="92" t="s">
        <v>7318</v>
      </c>
      <c r="S759" s="91">
        <v>74047</v>
      </c>
      <c r="T759" s="89" t="s">
        <v>643</v>
      </c>
    </row>
    <row r="760" spans="1:20" ht="30" customHeight="1" x14ac:dyDescent="0.35">
      <c r="A760" s="88">
        <v>740618</v>
      </c>
      <c r="B760" s="89" t="s">
        <v>7319</v>
      </c>
      <c r="C760" s="89" t="s">
        <v>7320</v>
      </c>
      <c r="D760" s="90" t="s">
        <v>4077</v>
      </c>
      <c r="E760" s="89" t="s">
        <v>3302</v>
      </c>
      <c r="F760" s="89"/>
      <c r="G760" s="89" t="s">
        <v>3303</v>
      </c>
      <c r="H760" s="91">
        <v>7333</v>
      </c>
      <c r="I760" s="89" t="s">
        <v>7308</v>
      </c>
      <c r="J760" s="92" t="s">
        <v>883</v>
      </c>
      <c r="K760" s="92" t="s">
        <v>7054</v>
      </c>
      <c r="L760" s="92" t="s">
        <v>7309</v>
      </c>
      <c r="M760" s="92" t="s">
        <v>7310</v>
      </c>
      <c r="N760" s="93">
        <v>7333</v>
      </c>
      <c r="O760" s="94">
        <v>70000</v>
      </c>
      <c r="P760" s="94">
        <v>15000</v>
      </c>
      <c r="Q760" s="92" t="s">
        <v>3957</v>
      </c>
      <c r="R760" s="92" t="s">
        <v>7321</v>
      </c>
      <c r="S760" s="91">
        <v>74048</v>
      </c>
      <c r="T760" s="89" t="s">
        <v>643</v>
      </c>
    </row>
    <row r="761" spans="1:20" ht="30" customHeight="1" x14ac:dyDescent="0.35">
      <c r="A761" s="88">
        <v>740657</v>
      </c>
      <c r="B761" s="89" t="s">
        <v>7322</v>
      </c>
      <c r="C761" s="89" t="s">
        <v>7323</v>
      </c>
      <c r="D761" s="90" t="s">
        <v>3978</v>
      </c>
      <c r="E761" s="89" t="s">
        <v>3305</v>
      </c>
      <c r="F761" s="89"/>
      <c r="G761" s="89" t="s">
        <v>3306</v>
      </c>
      <c r="H761" s="91">
        <v>1321</v>
      </c>
      <c r="I761" s="89" t="s">
        <v>4341</v>
      </c>
      <c r="J761" s="92" t="s">
        <v>4058</v>
      </c>
      <c r="K761" s="92"/>
      <c r="L761" s="92" t="s">
        <v>4342</v>
      </c>
      <c r="M761" s="92" t="s">
        <v>4343</v>
      </c>
      <c r="N761" s="93">
        <v>1321</v>
      </c>
      <c r="O761" s="94">
        <v>360</v>
      </c>
      <c r="P761" s="94">
        <v>1</v>
      </c>
      <c r="Q761" s="92" t="s">
        <v>3957</v>
      </c>
      <c r="R761" s="92" t="s">
        <v>7324</v>
      </c>
      <c r="S761" s="91">
        <v>13220</v>
      </c>
      <c r="T761" s="91">
        <v>13210</v>
      </c>
    </row>
    <row r="762" spans="1:20" ht="30" customHeight="1" x14ac:dyDescent="0.35">
      <c r="A762" s="88">
        <v>740664</v>
      </c>
      <c r="B762" s="89" t="s">
        <v>7325</v>
      </c>
      <c r="C762" s="89" t="s">
        <v>7326</v>
      </c>
      <c r="D762" s="90" t="s">
        <v>4077</v>
      </c>
      <c r="E762" s="89" t="s">
        <v>3308</v>
      </c>
      <c r="F762" s="89"/>
      <c r="G762" s="89" t="s">
        <v>3309</v>
      </c>
      <c r="H762" s="91">
        <v>7411</v>
      </c>
      <c r="I762" s="89" t="s">
        <v>7327</v>
      </c>
      <c r="J762" s="92" t="s">
        <v>883</v>
      </c>
      <c r="K762" s="92"/>
      <c r="L762" s="92" t="s">
        <v>7328</v>
      </c>
      <c r="M762" s="92" t="s">
        <v>7329</v>
      </c>
      <c r="N762" s="93">
        <v>7411</v>
      </c>
      <c r="O762" s="94">
        <v>20000</v>
      </c>
      <c r="P762" s="94">
        <v>7200</v>
      </c>
      <c r="Q762" s="92" t="s">
        <v>3957</v>
      </c>
      <c r="R762" s="92" t="s">
        <v>7330</v>
      </c>
      <c r="S762" s="91">
        <v>74022</v>
      </c>
      <c r="T762" s="91">
        <v>74036</v>
      </c>
    </row>
    <row r="763" spans="1:20" ht="30" customHeight="1" x14ac:dyDescent="0.35">
      <c r="A763" s="88">
        <v>740665</v>
      </c>
      <c r="B763" s="89" t="s">
        <v>7331</v>
      </c>
      <c r="C763" s="89" t="s">
        <v>7332</v>
      </c>
      <c r="D763" s="90" t="s">
        <v>4077</v>
      </c>
      <c r="E763" s="89" t="s">
        <v>3311</v>
      </c>
      <c r="F763" s="89"/>
      <c r="G763" s="89" t="s">
        <v>3312</v>
      </c>
      <c r="H763" s="91">
        <v>7412</v>
      </c>
      <c r="I763" s="89" t="s">
        <v>7333</v>
      </c>
      <c r="J763" s="92" t="s">
        <v>883</v>
      </c>
      <c r="K763" s="92"/>
      <c r="L763" s="92" t="s">
        <v>7334</v>
      </c>
      <c r="M763" s="92" t="s">
        <v>7335</v>
      </c>
      <c r="N763" s="93">
        <v>7412</v>
      </c>
      <c r="O763" s="94">
        <v>29000</v>
      </c>
      <c r="P763" s="94">
        <v>5500</v>
      </c>
      <c r="Q763" s="92" t="s">
        <v>3957</v>
      </c>
      <c r="R763" s="92" t="s">
        <v>7336</v>
      </c>
      <c r="S763" s="91">
        <v>74024</v>
      </c>
      <c r="T763" s="91">
        <v>74038</v>
      </c>
    </row>
    <row r="764" spans="1:20" ht="30" customHeight="1" x14ac:dyDescent="0.35">
      <c r="A764" s="88">
        <v>740666</v>
      </c>
      <c r="B764" s="89" t="s">
        <v>7337</v>
      </c>
      <c r="C764" s="89" t="s">
        <v>7338</v>
      </c>
      <c r="D764" s="90" t="s">
        <v>4077</v>
      </c>
      <c r="E764" s="89" t="s">
        <v>3314</v>
      </c>
      <c r="F764" s="89"/>
      <c r="G764" s="89" t="s">
        <v>3315</v>
      </c>
      <c r="H764" s="91">
        <v>7442</v>
      </c>
      <c r="I764" s="89" t="s">
        <v>7339</v>
      </c>
      <c r="J764" s="92" t="s">
        <v>883</v>
      </c>
      <c r="K764" s="92"/>
      <c r="L764" s="92" t="s">
        <v>7340</v>
      </c>
      <c r="M764" s="92" t="s">
        <v>7341</v>
      </c>
      <c r="N764" s="93">
        <v>7442</v>
      </c>
      <c r="O764" s="94">
        <v>90000</v>
      </c>
      <c r="P764" s="94">
        <v>1900</v>
      </c>
      <c r="Q764" s="92" t="s">
        <v>3957</v>
      </c>
      <c r="R764" s="92" t="s">
        <v>7342</v>
      </c>
      <c r="S764" s="91">
        <v>74036</v>
      </c>
      <c r="T764" s="91">
        <v>74081</v>
      </c>
    </row>
    <row r="765" spans="1:20" ht="30" customHeight="1" x14ac:dyDescent="0.35">
      <c r="A765" s="88">
        <v>740668</v>
      </c>
      <c r="B765" s="89" t="s">
        <v>7343</v>
      </c>
      <c r="C765" s="89" t="s">
        <v>7344</v>
      </c>
      <c r="D765" s="90" t="s">
        <v>4077</v>
      </c>
      <c r="E765" s="89" t="s">
        <v>7345</v>
      </c>
      <c r="F765" s="89"/>
      <c r="G765" s="89" t="s">
        <v>3318</v>
      </c>
      <c r="H765" s="91">
        <v>7417</v>
      </c>
      <c r="I765" s="89" t="s">
        <v>7211</v>
      </c>
      <c r="J765" s="92" t="s">
        <v>883</v>
      </c>
      <c r="K765" s="92"/>
      <c r="L765" s="92" t="s">
        <v>7212</v>
      </c>
      <c r="M765" s="92" t="s">
        <v>7213</v>
      </c>
      <c r="N765" s="93">
        <v>7417</v>
      </c>
      <c r="O765" s="94">
        <v>43000</v>
      </c>
      <c r="P765" s="94">
        <v>7400</v>
      </c>
      <c r="Q765" s="92" t="s">
        <v>3957</v>
      </c>
      <c r="R765" s="92" t="s">
        <v>7346</v>
      </c>
      <c r="S765" s="91">
        <v>74068</v>
      </c>
      <c r="T765" s="91">
        <v>74028</v>
      </c>
    </row>
    <row r="766" spans="1:20" ht="30" customHeight="1" x14ac:dyDescent="0.35">
      <c r="A766" s="88">
        <v>740669</v>
      </c>
      <c r="B766" s="89" t="s">
        <v>7347</v>
      </c>
      <c r="C766" s="89" t="s">
        <v>7348</v>
      </c>
      <c r="D766" s="90" t="s">
        <v>4077</v>
      </c>
      <c r="E766" s="89" t="s">
        <v>7349</v>
      </c>
      <c r="F766" s="89"/>
      <c r="G766" s="89" t="s">
        <v>7350</v>
      </c>
      <c r="H766" s="91">
        <v>7417</v>
      </c>
      <c r="I766" s="89" t="s">
        <v>7211</v>
      </c>
      <c r="J766" s="92" t="s">
        <v>883</v>
      </c>
      <c r="K766" s="92"/>
      <c r="L766" s="92" t="s">
        <v>7212</v>
      </c>
      <c r="M766" s="92" t="s">
        <v>7213</v>
      </c>
      <c r="N766" s="93">
        <v>7417</v>
      </c>
      <c r="O766" s="94">
        <v>43000</v>
      </c>
      <c r="P766" s="94">
        <v>7400</v>
      </c>
      <c r="Q766" s="92" t="s">
        <v>3957</v>
      </c>
      <c r="R766" s="92" t="s">
        <v>7351</v>
      </c>
      <c r="S766" s="91">
        <v>74068</v>
      </c>
      <c r="T766" s="91">
        <v>74028</v>
      </c>
    </row>
    <row r="767" spans="1:20" ht="30" customHeight="1" x14ac:dyDescent="0.35">
      <c r="A767" s="88">
        <v>740671</v>
      </c>
      <c r="B767" s="89" t="s">
        <v>7352</v>
      </c>
      <c r="C767" s="89" t="s">
        <v>7353</v>
      </c>
      <c r="D767" s="90" t="s">
        <v>4077</v>
      </c>
      <c r="E767" s="89" t="s">
        <v>3319</v>
      </c>
      <c r="F767" s="89" t="s">
        <v>7354</v>
      </c>
      <c r="G767" s="89" t="s">
        <v>3320</v>
      </c>
      <c r="H767" s="91">
        <v>7415</v>
      </c>
      <c r="I767" s="89" t="s">
        <v>594</v>
      </c>
      <c r="J767" s="92" t="s">
        <v>883</v>
      </c>
      <c r="K767" s="92" t="s">
        <v>7355</v>
      </c>
      <c r="L767" s="92" t="s">
        <v>7356</v>
      </c>
      <c r="M767" s="92" t="s">
        <v>7357</v>
      </c>
      <c r="N767" s="93">
        <v>7415</v>
      </c>
      <c r="O767" s="94">
        <v>44000</v>
      </c>
      <c r="P767" s="94">
        <v>19000</v>
      </c>
      <c r="Q767" s="92" t="s">
        <v>3957</v>
      </c>
      <c r="R767" s="92" t="s">
        <v>7358</v>
      </c>
      <c r="S767" s="91">
        <v>74011</v>
      </c>
      <c r="T767" s="91">
        <v>74040</v>
      </c>
    </row>
    <row r="768" spans="1:20" ht="30" customHeight="1" x14ac:dyDescent="0.35">
      <c r="A768" s="88">
        <v>740672</v>
      </c>
      <c r="B768" s="89" t="s">
        <v>7359</v>
      </c>
      <c r="C768" s="89" t="s">
        <v>7360</v>
      </c>
      <c r="D768" s="90" t="s">
        <v>4077</v>
      </c>
      <c r="E768" s="89" t="s">
        <v>3322</v>
      </c>
      <c r="F768" s="89" t="s">
        <v>7361</v>
      </c>
      <c r="G768" s="89" t="s">
        <v>3323</v>
      </c>
      <c r="H768" s="91">
        <v>7447</v>
      </c>
      <c r="I768" s="89" t="s">
        <v>7362</v>
      </c>
      <c r="J768" s="92" t="s">
        <v>883</v>
      </c>
      <c r="K768" s="92"/>
      <c r="L768" s="92" t="s">
        <v>7363</v>
      </c>
      <c r="M768" s="92" t="s">
        <v>7364</v>
      </c>
      <c r="N768" s="93">
        <v>7447</v>
      </c>
      <c r="O768" s="94">
        <v>33000</v>
      </c>
      <c r="P768" s="94">
        <v>3800</v>
      </c>
      <c r="Q768" s="92" t="s">
        <v>3957</v>
      </c>
      <c r="R768" s="92" t="s">
        <v>7365</v>
      </c>
      <c r="S768" s="91">
        <v>74080</v>
      </c>
      <c r="T768" s="89" t="s">
        <v>643</v>
      </c>
    </row>
    <row r="769" spans="1:20" ht="30" customHeight="1" x14ac:dyDescent="0.35">
      <c r="A769" s="88">
        <v>740674</v>
      </c>
      <c r="B769" s="89" t="s">
        <v>7366</v>
      </c>
      <c r="C769" s="89" t="s">
        <v>7366</v>
      </c>
      <c r="D769" s="90" t="s">
        <v>4077</v>
      </c>
      <c r="E769" s="89" t="s">
        <v>3324</v>
      </c>
      <c r="F769" s="89"/>
      <c r="G769" s="89" t="s">
        <v>3325</v>
      </c>
      <c r="H769" s="91">
        <v>7421</v>
      </c>
      <c r="I769" s="89" t="s">
        <v>7295</v>
      </c>
      <c r="J769" s="92" t="s">
        <v>883</v>
      </c>
      <c r="K769" s="92"/>
      <c r="L769" s="92" t="s">
        <v>4970</v>
      </c>
      <c r="M769" s="92" t="s">
        <v>7367</v>
      </c>
      <c r="N769" s="93">
        <v>7421</v>
      </c>
      <c r="O769" s="94">
        <v>115000</v>
      </c>
      <c r="P769" s="94">
        <v>18000</v>
      </c>
      <c r="Q769" s="92" t="s">
        <v>3957</v>
      </c>
      <c r="R769" s="92" t="s">
        <v>7368</v>
      </c>
      <c r="S769" s="89" t="s">
        <v>7369</v>
      </c>
      <c r="T769" s="89" t="s">
        <v>7370</v>
      </c>
    </row>
    <row r="770" spans="1:20" ht="30" customHeight="1" x14ac:dyDescent="0.35">
      <c r="A770" s="88">
        <v>740675</v>
      </c>
      <c r="B770" s="89" t="s">
        <v>7371</v>
      </c>
      <c r="C770" s="89" t="s">
        <v>7372</v>
      </c>
      <c r="D770" s="90" t="s">
        <v>4077</v>
      </c>
      <c r="E770" s="89" t="s">
        <v>3326</v>
      </c>
      <c r="F770" s="89"/>
      <c r="G770" s="89" t="s">
        <v>3327</v>
      </c>
      <c r="H770" s="91">
        <v>7416</v>
      </c>
      <c r="I770" s="89" t="s">
        <v>7373</v>
      </c>
      <c r="J770" s="92" t="s">
        <v>883</v>
      </c>
      <c r="K770" s="92"/>
      <c r="L770" s="92" t="s">
        <v>7374</v>
      </c>
      <c r="M770" s="92" t="s">
        <v>7375</v>
      </c>
      <c r="N770" s="93">
        <v>7416</v>
      </c>
      <c r="O770" s="94">
        <v>47000</v>
      </c>
      <c r="P770" s="94">
        <v>11000</v>
      </c>
      <c r="Q770" s="92" t="s">
        <v>3957</v>
      </c>
      <c r="R770" s="92" t="s">
        <v>7376</v>
      </c>
      <c r="S770" s="91">
        <v>74041</v>
      </c>
      <c r="T770" s="91">
        <v>74076</v>
      </c>
    </row>
    <row r="771" spans="1:20" ht="30" customHeight="1" x14ac:dyDescent="0.35">
      <c r="A771" s="88">
        <v>740677</v>
      </c>
      <c r="B771" s="89" t="s">
        <v>7377</v>
      </c>
      <c r="C771" s="89" t="s">
        <v>7378</v>
      </c>
      <c r="D771" s="90" t="s">
        <v>4077</v>
      </c>
      <c r="E771" s="89" t="s">
        <v>3329</v>
      </c>
      <c r="F771" s="89"/>
      <c r="G771" s="89" t="s">
        <v>3330</v>
      </c>
      <c r="H771" s="91">
        <v>7422</v>
      </c>
      <c r="I771" s="89" t="s">
        <v>7379</v>
      </c>
      <c r="J771" s="92" t="s">
        <v>883</v>
      </c>
      <c r="K771" s="92"/>
      <c r="L771" s="92" t="s">
        <v>7380</v>
      </c>
      <c r="M771" s="92" t="s">
        <v>7381</v>
      </c>
      <c r="N771" s="93">
        <v>7422</v>
      </c>
      <c r="O771" s="94">
        <v>45000</v>
      </c>
      <c r="P771" s="94">
        <v>13000</v>
      </c>
      <c r="Q771" s="92" t="s">
        <v>3957</v>
      </c>
      <c r="R771" s="92" t="s">
        <v>7382</v>
      </c>
      <c r="S771" s="91">
        <v>74072</v>
      </c>
      <c r="T771" s="91">
        <v>74053</v>
      </c>
    </row>
    <row r="772" spans="1:20" ht="30" customHeight="1" x14ac:dyDescent="0.35">
      <c r="A772" s="88">
        <v>740678</v>
      </c>
      <c r="B772" s="89" t="s">
        <v>7383</v>
      </c>
      <c r="C772" s="89" t="s">
        <v>7384</v>
      </c>
      <c r="D772" s="90" t="s">
        <v>4077</v>
      </c>
      <c r="E772" s="89" t="s">
        <v>3332</v>
      </c>
      <c r="F772" s="89"/>
      <c r="G772" s="89" t="s">
        <v>3333</v>
      </c>
      <c r="H772" s="91">
        <v>7418</v>
      </c>
      <c r="I772" s="89" t="s">
        <v>7385</v>
      </c>
      <c r="J772" s="92" t="s">
        <v>883</v>
      </c>
      <c r="K772" s="92"/>
      <c r="L772" s="92" t="s">
        <v>7386</v>
      </c>
      <c r="M772" s="92" t="s">
        <v>7387</v>
      </c>
      <c r="N772" s="93">
        <v>7418</v>
      </c>
      <c r="O772" s="94">
        <v>20000</v>
      </c>
      <c r="P772" s="94">
        <v>12000</v>
      </c>
      <c r="Q772" s="92" t="s">
        <v>3957</v>
      </c>
      <c r="R772" s="92" t="s">
        <v>7388</v>
      </c>
      <c r="S772" s="89" t="s">
        <v>7389</v>
      </c>
      <c r="T772" s="91">
        <v>74046</v>
      </c>
    </row>
    <row r="773" spans="1:20" ht="30" customHeight="1" x14ac:dyDescent="0.35">
      <c r="A773" s="88">
        <v>740681</v>
      </c>
      <c r="B773" s="89" t="s">
        <v>7390</v>
      </c>
      <c r="C773" s="89" t="s">
        <v>7391</v>
      </c>
      <c r="D773" s="90" t="s">
        <v>4077</v>
      </c>
      <c r="E773" s="89" t="s">
        <v>3335</v>
      </c>
      <c r="F773" s="89" t="s">
        <v>7196</v>
      </c>
      <c r="G773" s="89" t="s">
        <v>3336</v>
      </c>
      <c r="H773" s="91">
        <v>7417</v>
      </c>
      <c r="I773" s="89" t="s">
        <v>7211</v>
      </c>
      <c r="J773" s="92" t="s">
        <v>883</v>
      </c>
      <c r="K773" s="92"/>
      <c r="L773" s="92" t="s">
        <v>7212</v>
      </c>
      <c r="M773" s="92" t="s">
        <v>7213</v>
      </c>
      <c r="N773" s="93">
        <v>7417</v>
      </c>
      <c r="O773" s="94">
        <v>43000</v>
      </c>
      <c r="P773" s="94">
        <v>7400</v>
      </c>
      <c r="Q773" s="92" t="s">
        <v>3957</v>
      </c>
      <c r="R773" s="92" t="s">
        <v>7392</v>
      </c>
      <c r="S773" s="91">
        <v>74068</v>
      </c>
      <c r="T773" s="91">
        <v>74054</v>
      </c>
    </row>
    <row r="774" spans="1:20" ht="30" customHeight="1" x14ac:dyDescent="0.35">
      <c r="A774" s="88">
        <v>740717</v>
      </c>
      <c r="B774" s="89" t="s">
        <v>7393</v>
      </c>
      <c r="C774" s="89" t="s">
        <v>7393</v>
      </c>
      <c r="D774" s="90" t="s">
        <v>4077</v>
      </c>
      <c r="E774" s="89" t="s">
        <v>3338</v>
      </c>
      <c r="F774" s="89" t="s">
        <v>7394</v>
      </c>
      <c r="G774" s="89" t="s">
        <v>3339</v>
      </c>
      <c r="H774" s="91">
        <v>6100</v>
      </c>
      <c r="I774" s="89" t="s">
        <v>5001</v>
      </c>
      <c r="J774" s="92" t="s">
        <v>883</v>
      </c>
      <c r="K774" s="92"/>
      <c r="L774" s="92" t="s">
        <v>5002</v>
      </c>
      <c r="M774" s="92" t="s">
        <v>5003</v>
      </c>
      <c r="N774" s="93">
        <v>6100</v>
      </c>
      <c r="O774" s="94">
        <v>1000000</v>
      </c>
      <c r="P774" s="94">
        <v>8400</v>
      </c>
      <c r="Q774" s="92" t="s">
        <v>3957</v>
      </c>
      <c r="R774" s="92" t="s">
        <v>7395</v>
      </c>
      <c r="S774" s="91">
        <v>61070</v>
      </c>
      <c r="T774" s="91">
        <v>74012</v>
      </c>
    </row>
    <row r="775" spans="1:20" ht="30" customHeight="1" x14ac:dyDescent="0.35">
      <c r="A775" s="88">
        <v>740732</v>
      </c>
      <c r="B775" s="89" t="s">
        <v>7396</v>
      </c>
      <c r="C775" s="89" t="s">
        <v>7397</v>
      </c>
      <c r="D775" s="90" t="s">
        <v>4077</v>
      </c>
      <c r="E775" s="89" t="s">
        <v>7398</v>
      </c>
      <c r="F775" s="89"/>
      <c r="G775" s="89" t="s">
        <v>3342</v>
      </c>
      <c r="H775" s="91">
        <v>7417</v>
      </c>
      <c r="I775" s="89" t="s">
        <v>7211</v>
      </c>
      <c r="J775" s="92" t="s">
        <v>883</v>
      </c>
      <c r="K775" s="92"/>
      <c r="L775" s="92" t="s">
        <v>7212</v>
      </c>
      <c r="M775" s="92" t="s">
        <v>7213</v>
      </c>
      <c r="N775" s="93">
        <v>7417</v>
      </c>
      <c r="O775" s="94">
        <v>43000</v>
      </c>
      <c r="P775" s="94">
        <v>7400</v>
      </c>
      <c r="Q775" s="92" t="s">
        <v>3957</v>
      </c>
      <c r="R775" s="92" t="s">
        <v>7399</v>
      </c>
      <c r="S775" s="91">
        <v>74068</v>
      </c>
      <c r="T775" s="91">
        <v>74028</v>
      </c>
    </row>
    <row r="776" spans="1:20" ht="30" customHeight="1" x14ac:dyDescent="0.35">
      <c r="A776" s="88">
        <v>740733</v>
      </c>
      <c r="B776" s="89" t="s">
        <v>7400</v>
      </c>
      <c r="C776" s="89" t="s">
        <v>7401</v>
      </c>
      <c r="D776" s="90" t="s">
        <v>4077</v>
      </c>
      <c r="E776" s="89" t="s">
        <v>3344</v>
      </c>
      <c r="F776" s="89"/>
      <c r="G776" s="89" t="s">
        <v>3345</v>
      </c>
      <c r="H776" s="91">
        <v>7417</v>
      </c>
      <c r="I776" s="89" t="s">
        <v>7211</v>
      </c>
      <c r="J776" s="92" t="s">
        <v>883</v>
      </c>
      <c r="K776" s="92"/>
      <c r="L776" s="92" t="s">
        <v>7212</v>
      </c>
      <c r="M776" s="92" t="s">
        <v>7213</v>
      </c>
      <c r="N776" s="93">
        <v>7417</v>
      </c>
      <c r="O776" s="94">
        <v>43000</v>
      </c>
      <c r="P776" s="94">
        <v>7400</v>
      </c>
      <c r="Q776" s="92" t="s">
        <v>3957</v>
      </c>
      <c r="R776" s="92" t="s">
        <v>7402</v>
      </c>
      <c r="S776" s="91">
        <v>74068</v>
      </c>
      <c r="T776" s="91">
        <v>74028</v>
      </c>
    </row>
    <row r="777" spans="1:20" ht="30" customHeight="1" x14ac:dyDescent="0.35">
      <c r="A777" s="88">
        <v>740735</v>
      </c>
      <c r="B777" s="89" t="s">
        <v>7403</v>
      </c>
      <c r="C777" s="89" t="s">
        <v>7403</v>
      </c>
      <c r="D777" s="90" t="s">
        <v>4077</v>
      </c>
      <c r="E777" s="89" t="s">
        <v>3347</v>
      </c>
      <c r="F777" s="89" t="s">
        <v>7404</v>
      </c>
      <c r="G777" s="89" t="s">
        <v>3348</v>
      </c>
      <c r="H777" s="91">
        <v>7332</v>
      </c>
      <c r="I777" s="89" t="s">
        <v>7405</v>
      </c>
      <c r="J777" s="92" t="s">
        <v>883</v>
      </c>
      <c r="K777" s="92" t="s">
        <v>7054</v>
      </c>
      <c r="L777" s="92" t="s">
        <v>7237</v>
      </c>
      <c r="M777" s="92" t="s">
        <v>7406</v>
      </c>
      <c r="N777" s="93">
        <v>7332</v>
      </c>
      <c r="O777" s="94">
        <v>34000</v>
      </c>
      <c r="P777" s="94">
        <v>3400</v>
      </c>
      <c r="Q777" s="92" t="s">
        <v>3957</v>
      </c>
      <c r="R777" s="92" t="s">
        <v>7407</v>
      </c>
      <c r="S777" s="89" t="s">
        <v>7408</v>
      </c>
      <c r="T777" s="91">
        <v>74026</v>
      </c>
    </row>
    <row r="778" spans="1:20" ht="30" customHeight="1" x14ac:dyDescent="0.35">
      <c r="A778" s="88">
        <v>740870</v>
      </c>
      <c r="B778" s="89" t="s">
        <v>7409</v>
      </c>
      <c r="C778" s="89"/>
      <c r="D778" s="90" t="s">
        <v>4077</v>
      </c>
      <c r="E778" s="89" t="s">
        <v>3350</v>
      </c>
      <c r="F778" s="89"/>
      <c r="G778" s="89" t="s">
        <v>909</v>
      </c>
      <c r="H778" s="91">
        <v>7445</v>
      </c>
      <c r="I778" s="89" t="s">
        <v>7410</v>
      </c>
      <c r="J778" s="92" t="s">
        <v>883</v>
      </c>
      <c r="K778" s="92"/>
      <c r="L778" s="92"/>
      <c r="M778" s="92"/>
      <c r="N778" s="93"/>
      <c r="O778" s="94"/>
      <c r="P778" s="94"/>
      <c r="Q778" s="92"/>
      <c r="R778" s="92"/>
      <c r="S778" s="91"/>
      <c r="T778" s="91"/>
    </row>
    <row r="779" spans="1:20" ht="30" customHeight="1" x14ac:dyDescent="0.35">
      <c r="A779" s="88">
        <v>740873</v>
      </c>
      <c r="B779" s="89" t="s">
        <v>7411</v>
      </c>
      <c r="C779" s="89" t="s">
        <v>7412</v>
      </c>
      <c r="D779" s="90" t="s">
        <v>4077</v>
      </c>
      <c r="E779" s="89" t="s">
        <v>7413</v>
      </c>
      <c r="F779" s="89"/>
      <c r="G779" s="89" t="s">
        <v>3353</v>
      </c>
      <c r="H779" s="91">
        <v>7431</v>
      </c>
      <c r="I779" s="89" t="s">
        <v>7414</v>
      </c>
      <c r="J779" s="92" t="s">
        <v>883</v>
      </c>
      <c r="K779" s="92" t="s">
        <v>7054</v>
      </c>
      <c r="L779" s="92" t="s">
        <v>7415</v>
      </c>
      <c r="M779" s="92" t="s">
        <v>7416</v>
      </c>
      <c r="N779" s="93">
        <v>7431</v>
      </c>
      <c r="O779" s="94">
        <v>39000</v>
      </c>
      <c r="P779" s="94">
        <v>6700</v>
      </c>
      <c r="Q779" s="92" t="s">
        <v>3957</v>
      </c>
      <c r="R779" s="92" t="s">
        <v>7417</v>
      </c>
      <c r="S779" s="91">
        <v>74010</v>
      </c>
      <c r="T779" s="91">
        <v>74056</v>
      </c>
    </row>
    <row r="780" spans="1:20" ht="30" customHeight="1" x14ac:dyDescent="0.35">
      <c r="A780" s="88">
        <v>740874</v>
      </c>
      <c r="B780" s="89" t="s">
        <v>7418</v>
      </c>
      <c r="C780" s="89" t="s">
        <v>7419</v>
      </c>
      <c r="D780" s="90" t="s">
        <v>4077</v>
      </c>
      <c r="E780" s="89" t="s">
        <v>7420</v>
      </c>
      <c r="F780" s="89" t="s">
        <v>7421</v>
      </c>
      <c r="G780" s="89" t="s">
        <v>909</v>
      </c>
      <c r="H780" s="91">
        <v>7440</v>
      </c>
      <c r="I780" s="89" t="s">
        <v>7422</v>
      </c>
      <c r="J780" s="92" t="s">
        <v>883</v>
      </c>
      <c r="K780" s="92"/>
      <c r="L780" s="92" t="s">
        <v>7423</v>
      </c>
      <c r="M780" s="92" t="s">
        <v>7424</v>
      </c>
      <c r="N780" s="93">
        <v>7440</v>
      </c>
      <c r="O780" s="94">
        <v>53000</v>
      </c>
      <c r="P780" s="94">
        <v>10000</v>
      </c>
      <c r="Q780" s="92" t="s">
        <v>3957</v>
      </c>
      <c r="R780" s="92" t="s">
        <v>7425</v>
      </c>
      <c r="S780" s="91">
        <v>74034</v>
      </c>
      <c r="T780" s="91">
        <v>71432</v>
      </c>
    </row>
    <row r="781" spans="1:20" ht="30" customHeight="1" x14ac:dyDescent="0.35">
      <c r="A781" s="88">
        <v>740883</v>
      </c>
      <c r="B781" s="89" t="s">
        <v>7426</v>
      </c>
      <c r="C781" s="89" t="s">
        <v>7427</v>
      </c>
      <c r="D781" s="90" t="s">
        <v>4077</v>
      </c>
      <c r="E781" s="89" t="s">
        <v>3357</v>
      </c>
      <c r="F781" s="89"/>
      <c r="G781" s="89" t="s">
        <v>3358</v>
      </c>
      <c r="H781" s="91">
        <v>7417</v>
      </c>
      <c r="I781" s="89" t="s">
        <v>7211</v>
      </c>
      <c r="J781" s="92" t="s">
        <v>883</v>
      </c>
      <c r="K781" s="92"/>
      <c r="L781" s="92" t="s">
        <v>7212</v>
      </c>
      <c r="M781" s="92" t="s">
        <v>7213</v>
      </c>
      <c r="N781" s="93">
        <v>7417</v>
      </c>
      <c r="O781" s="94">
        <v>43000</v>
      </c>
      <c r="P781" s="94">
        <v>7400</v>
      </c>
      <c r="Q781" s="92" t="s">
        <v>3957</v>
      </c>
      <c r="R781" s="92" t="s">
        <v>7428</v>
      </c>
      <c r="S781" s="91">
        <v>74066</v>
      </c>
      <c r="T781" s="91">
        <v>74055</v>
      </c>
    </row>
    <row r="782" spans="1:20" ht="30" customHeight="1" x14ac:dyDescent="0.35">
      <c r="A782" s="88">
        <v>740884</v>
      </c>
      <c r="B782" s="89" t="s">
        <v>7429</v>
      </c>
      <c r="C782" s="89" t="s">
        <v>7430</v>
      </c>
      <c r="D782" s="90" t="s">
        <v>4077</v>
      </c>
      <c r="E782" s="89" t="s">
        <v>3359</v>
      </c>
      <c r="F782" s="89" t="s">
        <v>7431</v>
      </c>
      <c r="G782" s="89" t="s">
        <v>3360</v>
      </c>
      <c r="H782" s="91">
        <v>7371</v>
      </c>
      <c r="I782" s="89" t="s">
        <v>7089</v>
      </c>
      <c r="J782" s="92" t="s">
        <v>883</v>
      </c>
      <c r="K782" s="92" t="s">
        <v>36</v>
      </c>
      <c r="L782" s="92" t="s">
        <v>7090</v>
      </c>
      <c r="M782" s="92" t="s">
        <v>7006</v>
      </c>
      <c r="N782" s="93">
        <v>7371</v>
      </c>
      <c r="O782" s="94">
        <v>51000</v>
      </c>
      <c r="P782" s="94">
        <v>14000</v>
      </c>
      <c r="Q782" s="92" t="s">
        <v>3957</v>
      </c>
      <c r="R782" s="92" t="s">
        <v>7432</v>
      </c>
      <c r="S782" s="91">
        <v>74017</v>
      </c>
      <c r="T782" s="91">
        <v>74074</v>
      </c>
    </row>
    <row r="783" spans="1:20" ht="30" customHeight="1" x14ac:dyDescent="0.35">
      <c r="A783" s="88">
        <v>744701</v>
      </c>
      <c r="B783" s="89" t="s">
        <v>7433</v>
      </c>
      <c r="C783" s="89" t="s">
        <v>7433</v>
      </c>
      <c r="D783" s="90" t="s">
        <v>4077</v>
      </c>
      <c r="E783" s="89" t="s">
        <v>3362</v>
      </c>
      <c r="F783" s="89"/>
      <c r="G783" s="89" t="s">
        <v>3363</v>
      </c>
      <c r="H783" s="91">
        <v>7449</v>
      </c>
      <c r="I783" s="89" t="s">
        <v>7434</v>
      </c>
      <c r="J783" s="92" t="s">
        <v>883</v>
      </c>
      <c r="K783" s="92"/>
      <c r="L783" s="92" t="s">
        <v>7435</v>
      </c>
      <c r="M783" s="92" t="s">
        <v>7436</v>
      </c>
      <c r="N783" s="93">
        <v>7449</v>
      </c>
      <c r="O783" s="94">
        <v>4500</v>
      </c>
      <c r="P783" s="94">
        <v>2700</v>
      </c>
      <c r="Q783" s="92" t="s">
        <v>3957</v>
      </c>
      <c r="R783" s="92" t="s">
        <v>7437</v>
      </c>
      <c r="S783" s="91">
        <v>74076</v>
      </c>
      <c r="T783" s="91">
        <v>73074</v>
      </c>
    </row>
    <row r="784" spans="1:20" ht="30" customHeight="1" x14ac:dyDescent="0.35">
      <c r="A784" s="88">
        <v>750172</v>
      </c>
      <c r="B784" s="89" t="s">
        <v>7438</v>
      </c>
      <c r="C784" s="89" t="s">
        <v>7439</v>
      </c>
      <c r="D784" s="90" t="s">
        <v>3978</v>
      </c>
      <c r="E784" s="89" t="s">
        <v>3365</v>
      </c>
      <c r="F784" s="89"/>
      <c r="G784" s="89" t="s">
        <v>3366</v>
      </c>
      <c r="H784" s="91">
        <v>7522</v>
      </c>
      <c r="I784" s="89" t="s">
        <v>7440</v>
      </c>
      <c r="J784" s="92" t="s">
        <v>4058</v>
      </c>
      <c r="K784" s="92"/>
      <c r="L784" s="92" t="s">
        <v>7441</v>
      </c>
      <c r="M784" s="92" t="s">
        <v>7442</v>
      </c>
      <c r="N784" s="93">
        <v>7522</v>
      </c>
      <c r="O784" s="94">
        <v>17</v>
      </c>
      <c r="P784" s="94">
        <v>1</v>
      </c>
      <c r="Q784" s="92" t="s">
        <v>3957</v>
      </c>
      <c r="R784" s="92" t="s">
        <v>7443</v>
      </c>
      <c r="S784" s="91">
        <v>75020</v>
      </c>
      <c r="T784" s="91">
        <v>75020</v>
      </c>
    </row>
    <row r="785" spans="1:20" ht="30" customHeight="1" x14ac:dyDescent="0.35">
      <c r="A785" s="88">
        <v>750175</v>
      </c>
      <c r="B785" s="89" t="s">
        <v>7444</v>
      </c>
      <c r="C785" s="89" t="s">
        <v>7445</v>
      </c>
      <c r="D785" s="90" t="s">
        <v>3978</v>
      </c>
      <c r="E785" s="89" t="s">
        <v>3368</v>
      </c>
      <c r="F785" s="89"/>
      <c r="G785" s="89" t="s">
        <v>3369</v>
      </c>
      <c r="H785" s="91">
        <v>7522</v>
      </c>
      <c r="I785" s="89" t="s">
        <v>7440</v>
      </c>
      <c r="J785" s="92" t="s">
        <v>4058</v>
      </c>
      <c r="K785" s="92" t="s">
        <v>7054</v>
      </c>
      <c r="L785" s="92" t="s">
        <v>7441</v>
      </c>
      <c r="M785" s="92" t="s">
        <v>7442</v>
      </c>
      <c r="N785" s="93">
        <v>7522</v>
      </c>
      <c r="O785" s="94">
        <v>17</v>
      </c>
      <c r="P785" s="94">
        <v>1</v>
      </c>
      <c r="Q785" s="92" t="s">
        <v>3957</v>
      </c>
      <c r="R785" s="92" t="s">
        <v>7446</v>
      </c>
      <c r="S785" s="91">
        <v>75022</v>
      </c>
      <c r="T785" s="91">
        <v>75020</v>
      </c>
    </row>
    <row r="786" spans="1:20" ht="30" customHeight="1" x14ac:dyDescent="0.35">
      <c r="A786" s="88">
        <v>750177</v>
      </c>
      <c r="B786" s="89" t="s">
        <v>7447</v>
      </c>
      <c r="C786" s="89" t="s">
        <v>7448</v>
      </c>
      <c r="D786" s="90" t="s">
        <v>3978</v>
      </c>
      <c r="E786" s="89" t="s">
        <v>3371</v>
      </c>
      <c r="F786" s="89" t="s">
        <v>7449</v>
      </c>
      <c r="G786" s="89" t="s">
        <v>3372</v>
      </c>
      <c r="H786" s="91">
        <v>7523</v>
      </c>
      <c r="I786" s="89" t="s">
        <v>7450</v>
      </c>
      <c r="J786" s="92" t="s">
        <v>4058</v>
      </c>
      <c r="K786" s="92"/>
      <c r="L786" s="92" t="s">
        <v>7451</v>
      </c>
      <c r="M786" s="92" t="s">
        <v>7452</v>
      </c>
      <c r="N786" s="93">
        <v>7523</v>
      </c>
      <c r="O786" s="94">
        <v>1</v>
      </c>
      <c r="P786" s="94">
        <v>1</v>
      </c>
      <c r="Q786" s="92" t="s">
        <v>3957</v>
      </c>
      <c r="R786" s="92" t="s">
        <v>7453</v>
      </c>
      <c r="S786" s="91">
        <v>75027</v>
      </c>
      <c r="T786" s="89" t="s">
        <v>643</v>
      </c>
    </row>
    <row r="787" spans="1:20" ht="30" customHeight="1" x14ac:dyDescent="0.35">
      <c r="A787" s="88">
        <v>750178</v>
      </c>
      <c r="B787" s="89" t="s">
        <v>7454</v>
      </c>
      <c r="C787" s="89" t="s">
        <v>7455</v>
      </c>
      <c r="D787" s="90" t="s">
        <v>3978</v>
      </c>
      <c r="E787" s="89" t="s">
        <v>3374</v>
      </c>
      <c r="F787" s="89"/>
      <c r="G787" s="89" t="s">
        <v>3375</v>
      </c>
      <c r="H787" s="91">
        <v>7522</v>
      </c>
      <c r="I787" s="89" t="s">
        <v>7440</v>
      </c>
      <c r="J787" s="92" t="s">
        <v>4058</v>
      </c>
      <c r="K787" s="92"/>
      <c r="L787" s="92" t="s">
        <v>7441</v>
      </c>
      <c r="M787" s="92" t="s">
        <v>7442</v>
      </c>
      <c r="N787" s="93">
        <v>7522</v>
      </c>
      <c r="O787" s="94">
        <v>17</v>
      </c>
      <c r="P787" s="94">
        <v>1</v>
      </c>
      <c r="Q787" s="92" t="s">
        <v>3957</v>
      </c>
      <c r="R787" s="92" t="s">
        <v>7456</v>
      </c>
      <c r="S787" s="91">
        <v>75021</v>
      </c>
      <c r="T787" s="91">
        <v>75020</v>
      </c>
    </row>
    <row r="788" spans="1:20" ht="30" customHeight="1" x14ac:dyDescent="0.35">
      <c r="A788" s="88">
        <v>750179</v>
      </c>
      <c r="B788" s="89" t="s">
        <v>7457</v>
      </c>
      <c r="C788" s="89" t="s">
        <v>7458</v>
      </c>
      <c r="D788" s="90" t="s">
        <v>3978</v>
      </c>
      <c r="E788" s="89" t="s">
        <v>3377</v>
      </c>
      <c r="F788" s="89"/>
      <c r="G788" s="89" t="s">
        <v>3378</v>
      </c>
      <c r="H788" s="91">
        <v>7522</v>
      </c>
      <c r="I788" s="89" t="s">
        <v>7440</v>
      </c>
      <c r="J788" s="92" t="s">
        <v>4058</v>
      </c>
      <c r="K788" s="92"/>
      <c r="L788" s="92" t="s">
        <v>7441</v>
      </c>
      <c r="M788" s="92" t="s">
        <v>7442</v>
      </c>
      <c r="N788" s="93">
        <v>7522</v>
      </c>
      <c r="O788" s="94">
        <v>17</v>
      </c>
      <c r="P788" s="94">
        <v>1</v>
      </c>
      <c r="Q788" s="92" t="s">
        <v>3957</v>
      </c>
      <c r="R788" s="92" t="s">
        <v>7459</v>
      </c>
      <c r="S788" s="89" t="s">
        <v>7460</v>
      </c>
      <c r="T788" s="91">
        <v>75020</v>
      </c>
    </row>
    <row r="789" spans="1:20" ht="30" customHeight="1" x14ac:dyDescent="0.35">
      <c r="A789" s="88">
        <v>750211</v>
      </c>
      <c r="B789" s="89" t="s">
        <v>7461</v>
      </c>
      <c r="C789" s="89" t="s">
        <v>7461</v>
      </c>
      <c r="D789" s="90" t="s">
        <v>3978</v>
      </c>
      <c r="E789" s="89" t="s">
        <v>3380</v>
      </c>
      <c r="F789" s="89" t="s">
        <v>7196</v>
      </c>
      <c r="G789" s="89" t="s">
        <v>3381</v>
      </c>
      <c r="H789" s="91">
        <v>7524</v>
      </c>
      <c r="I789" s="89" t="s">
        <v>3379</v>
      </c>
      <c r="J789" s="92" t="s">
        <v>4058</v>
      </c>
      <c r="K789" s="92"/>
      <c r="L789" s="92" t="s">
        <v>7462</v>
      </c>
      <c r="M789" s="92" t="s">
        <v>7463</v>
      </c>
      <c r="N789" s="93">
        <v>7524</v>
      </c>
      <c r="O789" s="94">
        <v>1</v>
      </c>
      <c r="P789" s="94">
        <v>1</v>
      </c>
      <c r="Q789" s="92" t="s">
        <v>3957</v>
      </c>
      <c r="R789" s="92" t="s">
        <v>7464</v>
      </c>
      <c r="S789" s="91">
        <v>75060</v>
      </c>
      <c r="T789" s="89" t="s">
        <v>643</v>
      </c>
    </row>
    <row r="790" spans="1:20" ht="30" customHeight="1" x14ac:dyDescent="0.35">
      <c r="A790" s="88">
        <v>750347</v>
      </c>
      <c r="B790" s="89" t="s">
        <v>7465</v>
      </c>
      <c r="C790" s="89" t="s">
        <v>7466</v>
      </c>
      <c r="D790" s="90" t="s">
        <v>3978</v>
      </c>
      <c r="E790" s="89" t="s">
        <v>3385</v>
      </c>
      <c r="F790" s="89"/>
      <c r="G790" s="89" t="s">
        <v>3386</v>
      </c>
      <c r="H790" s="91">
        <v>7521</v>
      </c>
      <c r="I790" s="89" t="s">
        <v>7467</v>
      </c>
      <c r="J790" s="92" t="s">
        <v>4058</v>
      </c>
      <c r="K790" s="92"/>
      <c r="L790" s="92" t="s">
        <v>7468</v>
      </c>
      <c r="M790" s="92" t="s">
        <v>7452</v>
      </c>
      <c r="N790" s="93">
        <v>7521</v>
      </c>
      <c r="O790" s="94">
        <v>32</v>
      </c>
      <c r="P790" s="94">
        <v>1</v>
      </c>
      <c r="Q790" s="92" t="s">
        <v>3957</v>
      </c>
      <c r="R790" s="92" t="s">
        <v>7469</v>
      </c>
      <c r="S790" s="91">
        <v>75011</v>
      </c>
      <c r="T790" s="91">
        <v>75010</v>
      </c>
    </row>
    <row r="791" spans="1:20" ht="30" customHeight="1" x14ac:dyDescent="0.35">
      <c r="A791" s="88">
        <v>750348</v>
      </c>
      <c r="B791" s="89" t="s">
        <v>7470</v>
      </c>
      <c r="C791" s="89" t="s">
        <v>7470</v>
      </c>
      <c r="D791" s="90" t="s">
        <v>3978</v>
      </c>
      <c r="E791" s="89" t="s">
        <v>7471</v>
      </c>
      <c r="F791" s="89"/>
      <c r="G791" s="89" t="s">
        <v>909</v>
      </c>
      <c r="H791" s="91">
        <v>7521</v>
      </c>
      <c r="I791" s="89" t="s">
        <v>7467</v>
      </c>
      <c r="J791" s="92" t="s">
        <v>4058</v>
      </c>
      <c r="K791" s="92"/>
      <c r="L791" s="92" t="s">
        <v>7468</v>
      </c>
      <c r="M791" s="92" t="s">
        <v>7452</v>
      </c>
      <c r="N791" s="93">
        <v>7521</v>
      </c>
      <c r="O791" s="94">
        <v>32</v>
      </c>
      <c r="P791" s="94">
        <v>1</v>
      </c>
      <c r="Q791" s="92" t="s">
        <v>3957</v>
      </c>
      <c r="R791" s="92" t="s">
        <v>7472</v>
      </c>
      <c r="S791" s="91">
        <v>75011</v>
      </c>
      <c r="T791" s="91">
        <v>75010</v>
      </c>
    </row>
    <row r="792" spans="1:20" ht="30" customHeight="1" x14ac:dyDescent="0.35">
      <c r="A792" s="88">
        <v>750349</v>
      </c>
      <c r="B792" s="89" t="s">
        <v>7473</v>
      </c>
      <c r="C792" s="89" t="s">
        <v>7474</v>
      </c>
      <c r="D792" s="90" t="s">
        <v>3978</v>
      </c>
      <c r="E792" s="89" t="s">
        <v>3390</v>
      </c>
      <c r="F792" s="89" t="s">
        <v>7475</v>
      </c>
      <c r="G792" s="89" t="s">
        <v>3391</v>
      </c>
      <c r="H792" s="91">
        <v>7521</v>
      </c>
      <c r="I792" s="89" t="s">
        <v>7467</v>
      </c>
      <c r="J792" s="92" t="s">
        <v>4058</v>
      </c>
      <c r="K792" s="92"/>
      <c r="L792" s="92" t="s">
        <v>7468</v>
      </c>
      <c r="M792" s="92" t="s">
        <v>7452</v>
      </c>
      <c r="N792" s="93">
        <v>7521</v>
      </c>
      <c r="O792" s="94">
        <v>32</v>
      </c>
      <c r="P792" s="94">
        <v>1</v>
      </c>
      <c r="Q792" s="92" t="s">
        <v>3957</v>
      </c>
      <c r="R792" s="92" t="s">
        <v>7476</v>
      </c>
      <c r="S792" s="91">
        <v>75011</v>
      </c>
      <c r="T792" s="91">
        <v>75010</v>
      </c>
    </row>
    <row r="793" spans="1:20" ht="30" customHeight="1" x14ac:dyDescent="0.35">
      <c r="A793" s="88">
        <v>750371</v>
      </c>
      <c r="B793" s="89" t="s">
        <v>7477</v>
      </c>
      <c r="C793" s="89" t="s">
        <v>7478</v>
      </c>
      <c r="D793" s="90" t="s">
        <v>3978</v>
      </c>
      <c r="E793" s="89" t="s">
        <v>7479</v>
      </c>
      <c r="F793" s="89" t="s">
        <v>7480</v>
      </c>
      <c r="G793" s="89" t="s">
        <v>3394</v>
      </c>
      <c r="H793" s="91">
        <v>7531</v>
      </c>
      <c r="I793" s="89" t="s">
        <v>7481</v>
      </c>
      <c r="J793" s="92" t="s">
        <v>883</v>
      </c>
      <c r="K793" s="92"/>
      <c r="L793" s="92" t="s">
        <v>7482</v>
      </c>
      <c r="M793" s="92" t="s">
        <v>7483</v>
      </c>
      <c r="N793" s="93">
        <v>7531</v>
      </c>
      <c r="O793" s="94">
        <v>45000</v>
      </c>
      <c r="P793" s="94">
        <v>790</v>
      </c>
      <c r="Q793" s="92" t="s">
        <v>3957</v>
      </c>
      <c r="R793" s="92" t="s">
        <v>7484</v>
      </c>
      <c r="S793" s="91">
        <v>75052</v>
      </c>
      <c r="T793" s="91">
        <v>74078</v>
      </c>
    </row>
    <row r="794" spans="1:20" ht="30" customHeight="1" x14ac:dyDescent="0.35">
      <c r="A794" s="88">
        <v>750422</v>
      </c>
      <c r="B794" s="89" t="s">
        <v>7485</v>
      </c>
      <c r="C794" s="89" t="s">
        <v>7486</v>
      </c>
      <c r="D794" s="90" t="s">
        <v>4077</v>
      </c>
      <c r="E794" s="89" t="s">
        <v>3395</v>
      </c>
      <c r="F794" s="89"/>
      <c r="G794" s="89" t="s">
        <v>3396</v>
      </c>
      <c r="H794" s="91">
        <v>7413</v>
      </c>
      <c r="I794" s="89" t="s">
        <v>7487</v>
      </c>
      <c r="J794" s="92" t="s">
        <v>883</v>
      </c>
      <c r="K794" s="92"/>
      <c r="L794" s="92" t="s">
        <v>7488</v>
      </c>
      <c r="M794" s="92" t="s">
        <v>7489</v>
      </c>
      <c r="N794" s="93">
        <v>7413</v>
      </c>
      <c r="O794" s="94">
        <v>24000</v>
      </c>
      <c r="P794" s="94">
        <v>4600</v>
      </c>
      <c r="Q794" s="92" t="s">
        <v>3957</v>
      </c>
      <c r="R794" s="92" t="s">
        <v>7490</v>
      </c>
      <c r="S794" s="91">
        <v>74030</v>
      </c>
      <c r="T794" s="91">
        <v>74080</v>
      </c>
    </row>
    <row r="795" spans="1:20" ht="30" customHeight="1" x14ac:dyDescent="0.35">
      <c r="A795" s="88">
        <v>750423</v>
      </c>
      <c r="B795" s="89" t="s">
        <v>7491</v>
      </c>
      <c r="C795" s="89" t="s">
        <v>7492</v>
      </c>
      <c r="D795" s="90" t="s">
        <v>4077</v>
      </c>
      <c r="E795" s="89" t="s">
        <v>3398</v>
      </c>
      <c r="F795" s="89"/>
      <c r="G795" s="89" t="s">
        <v>3399</v>
      </c>
      <c r="H795" s="91">
        <v>7413</v>
      </c>
      <c r="I795" s="89" t="s">
        <v>7487</v>
      </c>
      <c r="J795" s="92" t="s">
        <v>883</v>
      </c>
      <c r="K795" s="92"/>
      <c r="L795" s="92" t="s">
        <v>7488</v>
      </c>
      <c r="M795" s="92" t="s">
        <v>7489</v>
      </c>
      <c r="N795" s="93">
        <v>7413</v>
      </c>
      <c r="O795" s="94">
        <v>24000</v>
      </c>
      <c r="P795" s="94">
        <v>4600</v>
      </c>
      <c r="Q795" s="92" t="s">
        <v>3957</v>
      </c>
      <c r="R795" s="92" t="s">
        <v>7493</v>
      </c>
      <c r="S795" s="91">
        <v>74031</v>
      </c>
      <c r="T795" s="89" t="s">
        <v>643</v>
      </c>
    </row>
    <row r="796" spans="1:20" ht="30" customHeight="1" x14ac:dyDescent="0.35">
      <c r="A796" s="88">
        <v>750426</v>
      </c>
      <c r="B796" s="89" t="s">
        <v>7494</v>
      </c>
      <c r="C796" s="89" t="s">
        <v>7495</v>
      </c>
      <c r="D796" s="90" t="s">
        <v>3978</v>
      </c>
      <c r="E796" s="89" t="s">
        <v>3401</v>
      </c>
      <c r="F796" s="89"/>
      <c r="G796" s="89" t="s">
        <v>3402</v>
      </c>
      <c r="H796" s="91">
        <v>7513</v>
      </c>
      <c r="I796" s="89" t="s">
        <v>7496</v>
      </c>
      <c r="J796" s="92" t="s">
        <v>4058</v>
      </c>
      <c r="K796" s="92"/>
      <c r="L796" s="92" t="s">
        <v>7497</v>
      </c>
      <c r="M796" s="92" t="s">
        <v>7498</v>
      </c>
      <c r="N796" s="93">
        <v>7513</v>
      </c>
      <c r="O796" s="94">
        <v>1</v>
      </c>
      <c r="P796" s="94">
        <v>1</v>
      </c>
      <c r="Q796" s="92" t="s">
        <v>3957</v>
      </c>
      <c r="R796" s="92" t="s">
        <v>7499</v>
      </c>
      <c r="S796" s="91">
        <v>75041</v>
      </c>
      <c r="T796" s="91">
        <v>75040</v>
      </c>
    </row>
    <row r="797" spans="1:20" ht="30" customHeight="1" x14ac:dyDescent="0.35">
      <c r="A797" s="88">
        <v>750427</v>
      </c>
      <c r="B797" s="89" t="s">
        <v>7500</v>
      </c>
      <c r="C797" s="89" t="s">
        <v>7501</v>
      </c>
      <c r="D797" s="90" t="s">
        <v>3978</v>
      </c>
      <c r="E797" s="89" t="s">
        <v>3404</v>
      </c>
      <c r="F797" s="89"/>
      <c r="G797" s="89" t="s">
        <v>3405</v>
      </c>
      <c r="H797" s="91">
        <v>7513</v>
      </c>
      <c r="I797" s="89" t="s">
        <v>7496</v>
      </c>
      <c r="J797" s="92" t="s">
        <v>4058</v>
      </c>
      <c r="K797" s="92"/>
      <c r="L797" s="92" t="s">
        <v>7497</v>
      </c>
      <c r="M797" s="92" t="s">
        <v>7498</v>
      </c>
      <c r="N797" s="93">
        <v>7513</v>
      </c>
      <c r="O797" s="94">
        <v>1</v>
      </c>
      <c r="P797" s="94">
        <v>1</v>
      </c>
      <c r="Q797" s="92" t="s">
        <v>3957</v>
      </c>
      <c r="R797" s="92" t="s">
        <v>7502</v>
      </c>
      <c r="S797" s="91">
        <v>75040</v>
      </c>
      <c r="T797" s="91">
        <v>75040</v>
      </c>
    </row>
    <row r="798" spans="1:20" ht="30" customHeight="1" x14ac:dyDescent="0.35">
      <c r="A798" s="88">
        <v>750429</v>
      </c>
      <c r="B798" s="89" t="s">
        <v>7503</v>
      </c>
      <c r="C798" s="89" t="s">
        <v>7503</v>
      </c>
      <c r="D798" s="90" t="s">
        <v>3978</v>
      </c>
      <c r="E798" s="89" t="s">
        <v>3407</v>
      </c>
      <c r="F798" s="89"/>
      <c r="G798" s="89" t="s">
        <v>3408</v>
      </c>
      <c r="H798" s="91">
        <v>7514</v>
      </c>
      <c r="I798" s="89" t="s">
        <v>3406</v>
      </c>
      <c r="J798" s="92" t="s">
        <v>4058</v>
      </c>
      <c r="K798" s="92"/>
      <c r="L798" s="92" t="s">
        <v>7504</v>
      </c>
      <c r="M798" s="92" t="s">
        <v>7505</v>
      </c>
      <c r="N798" s="93">
        <v>7514</v>
      </c>
      <c r="O798" s="94">
        <v>1</v>
      </c>
      <c r="P798" s="94">
        <v>1</v>
      </c>
      <c r="Q798" s="92" t="s">
        <v>3957</v>
      </c>
      <c r="R798" s="92" t="s">
        <v>7506</v>
      </c>
      <c r="S798" s="91">
        <v>75042</v>
      </c>
      <c r="T798" s="91">
        <v>75056</v>
      </c>
    </row>
    <row r="799" spans="1:20" ht="30" customHeight="1" x14ac:dyDescent="0.35">
      <c r="A799" s="88">
        <v>750440</v>
      </c>
      <c r="B799" s="89" t="s">
        <v>7507</v>
      </c>
      <c r="C799" s="89" t="s">
        <v>7508</v>
      </c>
      <c r="D799" s="90" t="s">
        <v>3978</v>
      </c>
      <c r="E799" s="89" t="s">
        <v>3410</v>
      </c>
      <c r="F799" s="89"/>
      <c r="G799" s="89" t="s">
        <v>909</v>
      </c>
      <c r="H799" s="91">
        <v>7515</v>
      </c>
      <c r="I799" s="89" t="s">
        <v>7509</v>
      </c>
      <c r="J799" s="92" t="s">
        <v>4058</v>
      </c>
      <c r="K799" s="92"/>
      <c r="L799" s="92" t="s">
        <v>7510</v>
      </c>
      <c r="M799" s="92" t="s">
        <v>7511</v>
      </c>
      <c r="N799" s="93">
        <v>7515</v>
      </c>
      <c r="O799" s="94">
        <v>1</v>
      </c>
      <c r="P799" s="94">
        <v>1</v>
      </c>
      <c r="Q799" s="92" t="s">
        <v>3957</v>
      </c>
      <c r="R799" s="92" t="s">
        <v>7512</v>
      </c>
      <c r="S799" s="89" t="s">
        <v>7513</v>
      </c>
      <c r="T799" s="89" t="s">
        <v>643</v>
      </c>
    </row>
    <row r="800" spans="1:20" ht="30" customHeight="1" x14ac:dyDescent="0.35">
      <c r="A800" s="88">
        <v>750570</v>
      </c>
      <c r="B800" s="89" t="s">
        <v>7514</v>
      </c>
      <c r="C800" s="89" t="s">
        <v>7515</v>
      </c>
      <c r="D800" s="90" t="s">
        <v>3978</v>
      </c>
      <c r="E800" s="89" t="s">
        <v>3412</v>
      </c>
      <c r="F800" s="89"/>
      <c r="G800" s="89" t="s">
        <v>909</v>
      </c>
      <c r="H800" s="91">
        <v>7516</v>
      </c>
      <c r="I800" s="89" t="s">
        <v>7516</v>
      </c>
      <c r="J800" s="92" t="s">
        <v>4058</v>
      </c>
      <c r="K800" s="92"/>
      <c r="L800" s="92" t="s">
        <v>4455</v>
      </c>
      <c r="M800" s="92" t="s">
        <v>4455</v>
      </c>
      <c r="N800" s="93">
        <v>7516</v>
      </c>
      <c r="O800" s="94">
        <v>1</v>
      </c>
      <c r="P800" s="94">
        <v>1</v>
      </c>
      <c r="Q800" s="92" t="s">
        <v>3957</v>
      </c>
      <c r="R800" s="92" t="s">
        <v>7517</v>
      </c>
      <c r="S800" s="89" t="s">
        <v>3982</v>
      </c>
      <c r="T800" s="91">
        <v>75057</v>
      </c>
    </row>
    <row r="801" spans="1:20" ht="30" customHeight="1" x14ac:dyDescent="0.35">
      <c r="A801" s="88">
        <v>750581</v>
      </c>
      <c r="B801" s="89" t="s">
        <v>7518</v>
      </c>
      <c r="C801" s="89" t="s">
        <v>7519</v>
      </c>
      <c r="D801" s="90" t="s">
        <v>3978</v>
      </c>
      <c r="E801" s="89" t="s">
        <v>7520</v>
      </c>
      <c r="F801" s="89" t="s">
        <v>7521</v>
      </c>
      <c r="G801" s="89" t="s">
        <v>3415</v>
      </c>
      <c r="H801" s="91">
        <v>7542</v>
      </c>
      <c r="I801" s="89" t="s">
        <v>7522</v>
      </c>
      <c r="J801" s="92" t="s">
        <v>4058</v>
      </c>
      <c r="K801" s="92"/>
      <c r="L801" s="92" t="s">
        <v>7523</v>
      </c>
      <c r="M801" s="92" t="s">
        <v>7524</v>
      </c>
      <c r="N801" s="93">
        <v>7542</v>
      </c>
      <c r="O801" s="94">
        <v>35</v>
      </c>
      <c r="P801" s="94">
        <v>1</v>
      </c>
      <c r="Q801" s="92" t="s">
        <v>3957</v>
      </c>
      <c r="R801" s="92" t="s">
        <v>7525</v>
      </c>
      <c r="S801" s="89" t="s">
        <v>7526</v>
      </c>
      <c r="T801" s="89" t="s">
        <v>7527</v>
      </c>
    </row>
    <row r="802" spans="1:20" ht="30" customHeight="1" x14ac:dyDescent="0.35">
      <c r="A802" s="88">
        <v>750582</v>
      </c>
      <c r="B802" s="89" t="s">
        <v>7528</v>
      </c>
      <c r="C802" s="89" t="s">
        <v>7529</v>
      </c>
      <c r="D802" s="90" t="s">
        <v>3978</v>
      </c>
      <c r="E802" s="89" t="s">
        <v>3417</v>
      </c>
      <c r="F802" s="89"/>
      <c r="G802" s="89" t="s">
        <v>3418</v>
      </c>
      <c r="H802" s="91">
        <v>7542</v>
      </c>
      <c r="I802" s="89" t="s">
        <v>7522</v>
      </c>
      <c r="J802" s="92" t="s">
        <v>4058</v>
      </c>
      <c r="K802" s="92"/>
      <c r="L802" s="92" t="s">
        <v>7523</v>
      </c>
      <c r="M802" s="92" t="s">
        <v>7524</v>
      </c>
      <c r="N802" s="93">
        <v>7542</v>
      </c>
      <c r="O802" s="94">
        <v>35</v>
      </c>
      <c r="P802" s="94">
        <v>1</v>
      </c>
      <c r="Q802" s="92" t="s">
        <v>3957</v>
      </c>
      <c r="R802" s="92" t="s">
        <v>7530</v>
      </c>
      <c r="S802" s="89" t="s">
        <v>643</v>
      </c>
      <c r="T802" s="89" t="s">
        <v>7527</v>
      </c>
    </row>
    <row r="803" spans="1:20" ht="30" customHeight="1" x14ac:dyDescent="0.35">
      <c r="A803" s="88">
        <v>750583</v>
      </c>
      <c r="B803" s="89" t="s">
        <v>7531</v>
      </c>
      <c r="C803" s="89" t="s">
        <v>7531</v>
      </c>
      <c r="D803" s="90" t="s">
        <v>4077</v>
      </c>
      <c r="E803" s="89" t="s">
        <v>3419</v>
      </c>
      <c r="F803" s="89"/>
      <c r="G803" s="89" t="s">
        <v>3420</v>
      </c>
      <c r="H803" s="91">
        <v>7444</v>
      </c>
      <c r="I803" s="89" t="s">
        <v>7532</v>
      </c>
      <c r="J803" s="92" t="s">
        <v>883</v>
      </c>
      <c r="K803" s="92"/>
      <c r="L803" s="92" t="s">
        <v>7533</v>
      </c>
      <c r="M803" s="92" t="s">
        <v>7534</v>
      </c>
      <c r="N803" s="93">
        <v>7444</v>
      </c>
      <c r="O803" s="94">
        <v>18000</v>
      </c>
      <c r="P803" s="94">
        <v>2600</v>
      </c>
      <c r="Q803" s="92" t="s">
        <v>3957</v>
      </c>
      <c r="R803" s="92" t="s">
        <v>7535</v>
      </c>
      <c r="S803" s="91">
        <v>74049</v>
      </c>
      <c r="T803" s="91">
        <v>74079</v>
      </c>
    </row>
    <row r="804" spans="1:20" ht="182.15" customHeight="1" x14ac:dyDescent="0.35">
      <c r="A804" s="88">
        <v>750600</v>
      </c>
      <c r="B804" s="89" t="s">
        <v>7536</v>
      </c>
      <c r="C804" s="89" t="s">
        <v>7537</v>
      </c>
      <c r="D804" s="90" t="s">
        <v>3978</v>
      </c>
      <c r="E804" s="89" t="s">
        <v>7538</v>
      </c>
      <c r="F804" s="89"/>
      <c r="G804" s="89" t="s">
        <v>909</v>
      </c>
      <c r="H804" s="91">
        <v>7518</v>
      </c>
      <c r="I804" s="89" t="s">
        <v>7539</v>
      </c>
      <c r="J804" s="92" t="s">
        <v>4058</v>
      </c>
      <c r="K804" s="92"/>
      <c r="L804" s="92" t="s">
        <v>4455</v>
      </c>
      <c r="M804" s="92" t="s">
        <v>4455</v>
      </c>
      <c r="N804" s="93">
        <v>7518</v>
      </c>
      <c r="O804" s="94">
        <v>1</v>
      </c>
      <c r="P804" s="94">
        <v>1</v>
      </c>
      <c r="Q804" s="92" t="s">
        <v>3957</v>
      </c>
      <c r="R804" s="92" t="s">
        <v>7540</v>
      </c>
      <c r="S804" s="89" t="s">
        <v>3982</v>
      </c>
      <c r="T804" s="91">
        <v>75060</v>
      </c>
    </row>
    <row r="805" spans="1:20" ht="30" customHeight="1" x14ac:dyDescent="0.35">
      <c r="A805" s="88">
        <v>750611</v>
      </c>
      <c r="B805" s="89" t="s">
        <v>7541</v>
      </c>
      <c r="C805" s="89" t="s">
        <v>7542</v>
      </c>
      <c r="D805" s="90" t="s">
        <v>3978</v>
      </c>
      <c r="E805" s="89" t="s">
        <v>3424</v>
      </c>
      <c r="F805" s="89" t="s">
        <v>7543</v>
      </c>
      <c r="G805" s="89" t="s">
        <v>3425</v>
      </c>
      <c r="H805" s="91">
        <v>7541</v>
      </c>
      <c r="I805" s="89" t="s">
        <v>7544</v>
      </c>
      <c r="J805" s="92" t="s">
        <v>4058</v>
      </c>
      <c r="K805" s="92"/>
      <c r="L805" s="92" t="s">
        <v>7545</v>
      </c>
      <c r="M805" s="92" t="s">
        <v>7546</v>
      </c>
      <c r="N805" s="93">
        <v>7541</v>
      </c>
      <c r="O805" s="94">
        <v>1</v>
      </c>
      <c r="P805" s="94">
        <v>1</v>
      </c>
      <c r="Q805" s="92" t="s">
        <v>3957</v>
      </c>
      <c r="R805" s="92" t="s">
        <v>7547</v>
      </c>
      <c r="S805" s="91">
        <v>75086</v>
      </c>
      <c r="T805" s="89" t="s">
        <v>7548</v>
      </c>
    </row>
    <row r="806" spans="1:20" ht="30" customHeight="1" x14ac:dyDescent="0.35">
      <c r="A806" s="88">
        <v>750612</v>
      </c>
      <c r="B806" s="89" t="s">
        <v>7549</v>
      </c>
      <c r="C806" s="89" t="s">
        <v>7550</v>
      </c>
      <c r="D806" s="90" t="s">
        <v>4077</v>
      </c>
      <c r="E806" s="89" t="s">
        <v>3427</v>
      </c>
      <c r="F806" s="89"/>
      <c r="G806" s="89" t="s">
        <v>3428</v>
      </c>
      <c r="H806" s="91">
        <v>7385</v>
      </c>
      <c r="I806" s="89" t="s">
        <v>7161</v>
      </c>
      <c r="J806" s="92" t="s">
        <v>883</v>
      </c>
      <c r="K806" s="92"/>
      <c r="L806" s="92" t="s">
        <v>7162</v>
      </c>
      <c r="M806" s="92" t="s">
        <v>7163</v>
      </c>
      <c r="N806" s="93">
        <v>7385</v>
      </c>
      <c r="O806" s="94">
        <v>11000</v>
      </c>
      <c r="P806" s="94">
        <v>540</v>
      </c>
      <c r="Q806" s="92" t="s">
        <v>3957</v>
      </c>
      <c r="R806" s="92" t="s">
        <v>7551</v>
      </c>
      <c r="S806" s="89" t="s">
        <v>643</v>
      </c>
      <c r="T806" s="89" t="s">
        <v>7165</v>
      </c>
    </row>
    <row r="807" spans="1:20" ht="30" customHeight="1" x14ac:dyDescent="0.35">
      <c r="A807" s="88">
        <v>750663</v>
      </c>
      <c r="B807" s="89" t="s">
        <v>7552</v>
      </c>
      <c r="C807" s="89" t="s">
        <v>7553</v>
      </c>
      <c r="D807" s="90" t="s">
        <v>3978</v>
      </c>
      <c r="E807" s="89" t="s">
        <v>3430</v>
      </c>
      <c r="F807" s="89"/>
      <c r="G807" s="89" t="s">
        <v>3431</v>
      </c>
      <c r="H807" s="91">
        <v>7350</v>
      </c>
      <c r="I807" s="89" t="s">
        <v>7554</v>
      </c>
      <c r="J807" s="92" t="s">
        <v>883</v>
      </c>
      <c r="K807" s="92"/>
      <c r="L807" s="92" t="s">
        <v>7555</v>
      </c>
      <c r="M807" s="92" t="s">
        <v>4455</v>
      </c>
      <c r="N807" s="93">
        <v>7350</v>
      </c>
      <c r="O807" s="94">
        <v>11000</v>
      </c>
      <c r="P807" s="94">
        <v>1400</v>
      </c>
      <c r="Q807" s="92" t="s">
        <v>3957</v>
      </c>
      <c r="R807" s="92" t="s">
        <v>7556</v>
      </c>
      <c r="S807" s="89" t="s">
        <v>643</v>
      </c>
      <c r="T807" s="91">
        <v>72350</v>
      </c>
    </row>
    <row r="808" spans="1:20" ht="30" customHeight="1" x14ac:dyDescent="0.35">
      <c r="A808" s="88">
        <v>750811</v>
      </c>
      <c r="B808" s="89" t="s">
        <v>7557</v>
      </c>
      <c r="C808" s="89" t="s">
        <v>7558</v>
      </c>
      <c r="D808" s="90" t="s">
        <v>4077</v>
      </c>
      <c r="E808" s="89" t="s">
        <v>3433</v>
      </c>
      <c r="F808" s="89"/>
      <c r="G808" s="89" t="s">
        <v>3434</v>
      </c>
      <c r="H808" s="91">
        <v>7385</v>
      </c>
      <c r="I808" s="89" t="s">
        <v>7161</v>
      </c>
      <c r="J808" s="92" t="s">
        <v>883</v>
      </c>
      <c r="K808" s="92"/>
      <c r="L808" s="92" t="s">
        <v>7162</v>
      </c>
      <c r="M808" s="92" t="s">
        <v>7163</v>
      </c>
      <c r="N808" s="93">
        <v>7385</v>
      </c>
      <c r="O808" s="94">
        <v>11000</v>
      </c>
      <c r="P808" s="94">
        <v>540</v>
      </c>
      <c r="Q808" s="92" t="s">
        <v>3957</v>
      </c>
      <c r="R808" s="92" t="s">
        <v>7559</v>
      </c>
      <c r="S808" s="89" t="s">
        <v>643</v>
      </c>
      <c r="T808" s="91">
        <v>74089</v>
      </c>
    </row>
    <row r="809" spans="1:20" ht="30" customHeight="1" x14ac:dyDescent="0.35">
      <c r="A809" s="88">
        <v>750812</v>
      </c>
      <c r="B809" s="97" t="s">
        <v>7560</v>
      </c>
      <c r="C809" s="89" t="s">
        <v>7561</v>
      </c>
      <c r="D809" s="90" t="s">
        <v>3978</v>
      </c>
      <c r="E809" s="97" t="s">
        <v>3436</v>
      </c>
      <c r="F809" s="89" t="s">
        <v>7562</v>
      </c>
      <c r="G809" s="89" t="s">
        <v>3437</v>
      </c>
      <c r="H809" s="91">
        <v>7512</v>
      </c>
      <c r="I809" s="89" t="s">
        <v>7563</v>
      </c>
      <c r="J809" s="92" t="s">
        <v>4058</v>
      </c>
      <c r="K809" s="92"/>
      <c r="L809" s="92" t="s">
        <v>7564</v>
      </c>
      <c r="M809" s="92" t="s">
        <v>5403</v>
      </c>
      <c r="N809" s="93">
        <v>7512</v>
      </c>
      <c r="O809" s="94">
        <v>1</v>
      </c>
      <c r="P809" s="94">
        <v>1</v>
      </c>
      <c r="Q809" s="92" t="s">
        <v>3957</v>
      </c>
      <c r="R809" s="92" t="s">
        <v>7565</v>
      </c>
      <c r="S809" s="89" t="s">
        <v>7566</v>
      </c>
      <c r="T809" s="89" t="s">
        <v>7567</v>
      </c>
    </row>
    <row r="810" spans="1:20" ht="30" customHeight="1" x14ac:dyDescent="0.35">
      <c r="A810" s="88">
        <v>750819</v>
      </c>
      <c r="B810" s="89" t="s">
        <v>7568</v>
      </c>
      <c r="C810" s="89" t="s">
        <v>7569</v>
      </c>
      <c r="D810" s="90" t="s">
        <v>4077</v>
      </c>
      <c r="E810" s="89" t="s">
        <v>3439</v>
      </c>
      <c r="F810" s="89"/>
      <c r="G810" s="89" t="s">
        <v>3440</v>
      </c>
      <c r="H810" s="91">
        <v>7448</v>
      </c>
      <c r="I810" s="89" t="s">
        <v>7570</v>
      </c>
      <c r="J810" s="92" t="s">
        <v>883</v>
      </c>
      <c r="K810" s="92"/>
      <c r="L810" s="92" t="s">
        <v>7571</v>
      </c>
      <c r="M810" s="92" t="s">
        <v>6793</v>
      </c>
      <c r="N810" s="93">
        <v>7448</v>
      </c>
      <c r="O810" s="94">
        <v>20000</v>
      </c>
      <c r="P810" s="94">
        <v>1200</v>
      </c>
      <c r="Q810" s="92" t="s">
        <v>3957</v>
      </c>
      <c r="R810" s="92" t="s">
        <v>7572</v>
      </c>
      <c r="S810" s="91">
        <v>74089</v>
      </c>
      <c r="T810" s="91">
        <v>74090</v>
      </c>
    </row>
    <row r="811" spans="1:20" ht="30" customHeight="1" x14ac:dyDescent="0.35">
      <c r="A811" s="88">
        <v>750835</v>
      </c>
      <c r="B811" s="89" t="s">
        <v>7573</v>
      </c>
      <c r="C811" s="89" t="s">
        <v>7574</v>
      </c>
      <c r="D811" s="90" t="s">
        <v>3978</v>
      </c>
      <c r="E811" s="89" t="s">
        <v>3442</v>
      </c>
      <c r="F811" s="89" t="s">
        <v>7575</v>
      </c>
      <c r="G811" s="89" t="s">
        <v>3443</v>
      </c>
      <c r="H811" s="91">
        <v>7532</v>
      </c>
      <c r="I811" s="89" t="s">
        <v>7576</v>
      </c>
      <c r="J811" s="92" t="s">
        <v>4058</v>
      </c>
      <c r="K811" s="92"/>
      <c r="L811" s="92" t="s">
        <v>7577</v>
      </c>
      <c r="M811" s="92" t="s">
        <v>7578</v>
      </c>
      <c r="N811" s="93">
        <v>7532</v>
      </c>
      <c r="O811" s="94">
        <v>1</v>
      </c>
      <c r="P811" s="94">
        <v>1</v>
      </c>
      <c r="Q811" s="92" t="s">
        <v>3957</v>
      </c>
      <c r="R811" s="92" t="s">
        <v>7579</v>
      </c>
      <c r="S811" s="91">
        <v>75050</v>
      </c>
      <c r="T811" s="91">
        <v>75050</v>
      </c>
    </row>
    <row r="812" spans="1:20" ht="30" customHeight="1" x14ac:dyDescent="0.35">
      <c r="A812" s="88">
        <v>751121</v>
      </c>
      <c r="B812" s="89" t="s">
        <v>7580</v>
      </c>
      <c r="C812" s="89" t="s">
        <v>7581</v>
      </c>
      <c r="D812" s="90" t="s">
        <v>3978</v>
      </c>
      <c r="E812" s="89" t="s">
        <v>3445</v>
      </c>
      <c r="F812" s="89" t="s">
        <v>7582</v>
      </c>
      <c r="G812" s="89" t="s">
        <v>909</v>
      </c>
      <c r="H812" s="91">
        <v>7511</v>
      </c>
      <c r="I812" s="89" t="s">
        <v>7583</v>
      </c>
      <c r="J812" s="92" t="s">
        <v>4058</v>
      </c>
      <c r="K812" s="92"/>
      <c r="L812" s="92" t="s">
        <v>7584</v>
      </c>
      <c r="M812" s="92" t="s">
        <v>7585</v>
      </c>
      <c r="N812" s="93">
        <v>7511</v>
      </c>
      <c r="O812" s="94">
        <v>50</v>
      </c>
      <c r="P812" s="94">
        <v>1</v>
      </c>
      <c r="Q812" s="92" t="s">
        <v>765</v>
      </c>
      <c r="R812" s="92" t="s">
        <v>7586</v>
      </c>
      <c r="S812" s="91">
        <v>75018</v>
      </c>
      <c r="T812" s="91">
        <v>75110</v>
      </c>
    </row>
    <row r="813" spans="1:20" ht="30" customHeight="1" x14ac:dyDescent="0.35">
      <c r="A813" s="88">
        <v>751721</v>
      </c>
      <c r="B813" s="89" t="s">
        <v>7587</v>
      </c>
      <c r="C813" s="89" t="s">
        <v>7588</v>
      </c>
      <c r="D813" s="90" t="s">
        <v>3978</v>
      </c>
      <c r="E813" s="89" t="s">
        <v>3447</v>
      </c>
      <c r="F813" s="89"/>
      <c r="G813" s="89" t="s">
        <v>909</v>
      </c>
      <c r="H813" s="91">
        <v>7517</v>
      </c>
      <c r="I813" s="89" t="s">
        <v>3448</v>
      </c>
      <c r="J813" s="92" t="s">
        <v>4058</v>
      </c>
      <c r="K813" s="92"/>
      <c r="L813" s="92" t="s">
        <v>7589</v>
      </c>
      <c r="M813" s="92" t="s">
        <v>7590</v>
      </c>
      <c r="N813" s="93">
        <v>7517</v>
      </c>
      <c r="O813" s="94">
        <v>1</v>
      </c>
      <c r="P813" s="94">
        <v>1</v>
      </c>
      <c r="Q813" s="92" t="s">
        <v>3957</v>
      </c>
      <c r="R813" s="92" t="s">
        <v>7591</v>
      </c>
      <c r="S813" s="91">
        <v>75070</v>
      </c>
      <c r="T813" s="91">
        <v>75061</v>
      </c>
    </row>
    <row r="814" spans="1:20" ht="30" customHeight="1" x14ac:dyDescent="0.35">
      <c r="A814" s="88">
        <v>754221</v>
      </c>
      <c r="B814" s="89" t="s">
        <v>7592</v>
      </c>
      <c r="C814" s="89" t="s">
        <v>7588</v>
      </c>
      <c r="D814" s="90" t="s">
        <v>3978</v>
      </c>
      <c r="E814" s="89" t="s">
        <v>3449</v>
      </c>
      <c r="F814" s="89" t="s">
        <v>7593</v>
      </c>
      <c r="G814" s="89" t="s">
        <v>909</v>
      </c>
      <c r="H814" s="91">
        <v>7542</v>
      </c>
      <c r="I814" s="89" t="s">
        <v>7522</v>
      </c>
      <c r="J814" s="92" t="s">
        <v>4058</v>
      </c>
      <c r="K814" s="92"/>
      <c r="L814" s="92" t="s">
        <v>7523</v>
      </c>
      <c r="M814" s="92" t="s">
        <v>7524</v>
      </c>
      <c r="N814" s="93">
        <v>7542</v>
      </c>
      <c r="O814" s="94">
        <v>35</v>
      </c>
      <c r="P814" s="94">
        <v>1</v>
      </c>
      <c r="Q814" s="92" t="s">
        <v>3957</v>
      </c>
      <c r="R814" s="92" t="s">
        <v>7594</v>
      </c>
      <c r="S814" s="89" t="s">
        <v>643</v>
      </c>
      <c r="T814" s="91">
        <v>75037</v>
      </c>
    </row>
    <row r="815" spans="1:20" ht="44.25" customHeight="1" x14ac:dyDescent="0.35">
      <c r="A815" s="88">
        <v>760111</v>
      </c>
      <c r="B815" s="89" t="s">
        <v>7595</v>
      </c>
      <c r="C815" s="89" t="s">
        <v>7596</v>
      </c>
      <c r="D815" s="90" t="s">
        <v>4077</v>
      </c>
      <c r="E815" s="89" t="s">
        <v>3451</v>
      </c>
      <c r="F815" s="89"/>
      <c r="G815" s="89" t="s">
        <v>3452</v>
      </c>
      <c r="H815" s="91">
        <v>7601</v>
      </c>
      <c r="I815" s="89" t="s">
        <v>4961</v>
      </c>
      <c r="J815" s="92" t="s">
        <v>883</v>
      </c>
      <c r="K815" s="92"/>
      <c r="L815" s="92" t="s">
        <v>4962</v>
      </c>
      <c r="M815" s="92" t="s">
        <v>4963</v>
      </c>
      <c r="N815" s="93">
        <v>7601</v>
      </c>
      <c r="O815" s="94">
        <v>86000</v>
      </c>
      <c r="P815" s="94">
        <v>19000</v>
      </c>
      <c r="Q815" s="92" t="s">
        <v>3957</v>
      </c>
      <c r="R815" s="92" t="s">
        <v>7597</v>
      </c>
      <c r="S815" s="91">
        <v>76010</v>
      </c>
      <c r="T815" s="91">
        <v>76010</v>
      </c>
    </row>
    <row r="816" spans="1:20" ht="30" customHeight="1" x14ac:dyDescent="0.35">
      <c r="A816" s="92">
        <v>760130</v>
      </c>
      <c r="B816" s="89" t="s">
        <v>7598</v>
      </c>
      <c r="C816" s="89" t="s">
        <v>7599</v>
      </c>
      <c r="D816" s="90" t="s">
        <v>4077</v>
      </c>
      <c r="E816" s="89" t="s">
        <v>3454</v>
      </c>
      <c r="F816" s="89"/>
      <c r="G816" s="89" t="s">
        <v>909</v>
      </c>
      <c r="H816" s="89">
        <v>7601</v>
      </c>
      <c r="I816" s="89" t="s">
        <v>4961</v>
      </c>
      <c r="J816" s="92" t="s">
        <v>883</v>
      </c>
      <c r="K816" s="92"/>
      <c r="L816" s="30">
        <v>284.39999999999998</v>
      </c>
      <c r="M816" s="30" t="s">
        <v>7375</v>
      </c>
      <c r="N816" s="31">
        <v>7601</v>
      </c>
      <c r="O816" s="31">
        <v>86000</v>
      </c>
      <c r="P816" s="31">
        <v>19000</v>
      </c>
      <c r="Q816" s="92" t="s">
        <v>3957</v>
      </c>
      <c r="R816" s="92" t="s">
        <v>7600</v>
      </c>
      <c r="S816" s="92" t="s">
        <v>3982</v>
      </c>
      <c r="T816" s="92" t="s">
        <v>3982</v>
      </c>
    </row>
    <row r="817" spans="1:20" ht="30" customHeight="1" x14ac:dyDescent="0.35">
      <c r="A817" s="88">
        <v>760330</v>
      </c>
      <c r="B817" s="89" t="s">
        <v>7601</v>
      </c>
      <c r="C817" s="89" t="s">
        <v>7602</v>
      </c>
      <c r="D817" s="90" t="s">
        <v>3978</v>
      </c>
      <c r="E817" s="89" t="s">
        <v>3456</v>
      </c>
      <c r="F817" s="89"/>
      <c r="G817" s="89" t="s">
        <v>909</v>
      </c>
      <c r="H817" s="91">
        <v>7603</v>
      </c>
      <c r="I817" s="89" t="s">
        <v>3459</v>
      </c>
      <c r="J817" s="92" t="s">
        <v>4058</v>
      </c>
      <c r="K817" s="92"/>
      <c r="L817" s="92" t="s">
        <v>4455</v>
      </c>
      <c r="M817" s="92" t="s">
        <v>4455</v>
      </c>
      <c r="N817" s="93">
        <v>7603</v>
      </c>
      <c r="O817" s="94">
        <v>1</v>
      </c>
      <c r="P817" s="94">
        <v>1</v>
      </c>
      <c r="Q817" s="92" t="s">
        <v>3957</v>
      </c>
      <c r="R817" s="92" t="s">
        <v>7603</v>
      </c>
      <c r="S817" s="91">
        <v>76033</v>
      </c>
      <c r="T817" s="91">
        <v>76030</v>
      </c>
    </row>
    <row r="818" spans="1:20" ht="30" customHeight="1" x14ac:dyDescent="0.35">
      <c r="A818" s="88">
        <v>760350</v>
      </c>
      <c r="B818" s="89" t="s">
        <v>7604</v>
      </c>
      <c r="C818" s="89" t="s">
        <v>7604</v>
      </c>
      <c r="D818" s="90" t="s">
        <v>3978</v>
      </c>
      <c r="E818" s="89" t="s">
        <v>7605</v>
      </c>
      <c r="F818" s="89"/>
      <c r="G818" s="89" t="s">
        <v>909</v>
      </c>
      <c r="H818" s="91">
        <v>7604</v>
      </c>
      <c r="I818" s="89" t="s">
        <v>3457</v>
      </c>
      <c r="J818" s="92" t="s">
        <v>5539</v>
      </c>
      <c r="K818" s="92"/>
      <c r="L818" s="92" t="s">
        <v>4962</v>
      </c>
      <c r="M818" s="92" t="s">
        <v>4455</v>
      </c>
      <c r="N818" s="93">
        <v>7604</v>
      </c>
      <c r="O818" s="94">
        <v>750</v>
      </c>
      <c r="P818" s="94">
        <v>1</v>
      </c>
      <c r="Q818" s="92" t="s">
        <v>3957</v>
      </c>
      <c r="R818" s="92" t="s">
        <v>7606</v>
      </c>
      <c r="S818" s="89" t="s">
        <v>7607</v>
      </c>
      <c r="T818" s="89" t="s">
        <v>643</v>
      </c>
    </row>
    <row r="819" spans="1:20" ht="30" customHeight="1" x14ac:dyDescent="0.35">
      <c r="A819" s="88">
        <v>760511</v>
      </c>
      <c r="B819" s="89" t="s">
        <v>7602</v>
      </c>
      <c r="C819" s="89" t="s">
        <v>7602</v>
      </c>
      <c r="D819" s="90" t="s">
        <v>3978</v>
      </c>
      <c r="E819" s="89" t="s">
        <v>3460</v>
      </c>
      <c r="F819" s="89" t="s">
        <v>7608</v>
      </c>
      <c r="G819" s="89" t="s">
        <v>3461</v>
      </c>
      <c r="H819" s="91">
        <v>7603</v>
      </c>
      <c r="I819" s="89" t="s">
        <v>3459</v>
      </c>
      <c r="J819" s="92" t="s">
        <v>4058</v>
      </c>
      <c r="K819" s="92"/>
      <c r="L819" s="92" t="s">
        <v>4455</v>
      </c>
      <c r="M819" s="92" t="s">
        <v>4455</v>
      </c>
      <c r="N819" s="93">
        <v>7603</v>
      </c>
      <c r="O819" s="94">
        <v>1</v>
      </c>
      <c r="P819" s="94">
        <v>1</v>
      </c>
      <c r="Q819" s="92" t="s">
        <v>3957</v>
      </c>
      <c r="R819" s="92" t="s">
        <v>7609</v>
      </c>
      <c r="S819" s="89" t="s">
        <v>7610</v>
      </c>
      <c r="T819" s="91">
        <v>76030</v>
      </c>
    </row>
    <row r="820" spans="1:20" ht="30" customHeight="1" x14ac:dyDescent="0.35">
      <c r="A820" s="88">
        <v>760512</v>
      </c>
      <c r="B820" s="89" t="s">
        <v>7611</v>
      </c>
      <c r="C820" s="89" t="s">
        <v>7612</v>
      </c>
      <c r="D820" s="90" t="s">
        <v>3978</v>
      </c>
      <c r="E820" s="89" t="s">
        <v>3463</v>
      </c>
      <c r="F820" s="89" t="s">
        <v>7613</v>
      </c>
      <c r="G820" s="89" t="s">
        <v>3464</v>
      </c>
      <c r="H820" s="91">
        <v>7602</v>
      </c>
      <c r="I820" s="89" t="s">
        <v>7614</v>
      </c>
      <c r="J820" s="92" t="s">
        <v>4058</v>
      </c>
      <c r="K820" s="92"/>
      <c r="L820" s="92" t="s">
        <v>7615</v>
      </c>
      <c r="M820" s="92" t="s">
        <v>7616</v>
      </c>
      <c r="N820" s="93">
        <v>7602</v>
      </c>
      <c r="O820" s="94">
        <v>100</v>
      </c>
      <c r="P820" s="94">
        <v>1</v>
      </c>
      <c r="Q820" s="92" t="s">
        <v>3957</v>
      </c>
      <c r="R820" s="92" t="s">
        <v>7617</v>
      </c>
      <c r="S820" s="91">
        <v>76020</v>
      </c>
      <c r="T820" s="91">
        <v>76020</v>
      </c>
    </row>
    <row r="821" spans="1:20" ht="30" customHeight="1" x14ac:dyDescent="0.35">
      <c r="A821" s="88">
        <v>811143</v>
      </c>
      <c r="B821" s="89" t="s">
        <v>7618</v>
      </c>
      <c r="C821" s="89" t="s">
        <v>7619</v>
      </c>
      <c r="D821" s="90" t="s">
        <v>3978</v>
      </c>
      <c r="E821" s="89" t="s">
        <v>7620</v>
      </c>
      <c r="F821" s="89" t="s">
        <v>7621</v>
      </c>
      <c r="G821" s="89" t="s">
        <v>909</v>
      </c>
      <c r="H821" s="91">
        <v>8115</v>
      </c>
      <c r="I821" s="89" t="s">
        <v>7622</v>
      </c>
      <c r="J821" s="92" t="s">
        <v>7623</v>
      </c>
      <c r="K821" s="92"/>
      <c r="L821" s="92" t="s">
        <v>7624</v>
      </c>
      <c r="M821" s="92" t="s">
        <v>7625</v>
      </c>
      <c r="N821" s="93">
        <v>8115</v>
      </c>
      <c r="O821" s="94">
        <v>16000</v>
      </c>
      <c r="P821" s="94">
        <v>400</v>
      </c>
      <c r="Q821" s="92" t="s">
        <v>3957</v>
      </c>
      <c r="R821" s="92" t="s">
        <v>7626</v>
      </c>
      <c r="S821" s="91">
        <v>81122</v>
      </c>
      <c r="T821" s="91">
        <v>81150</v>
      </c>
    </row>
    <row r="822" spans="1:20" ht="30" customHeight="1" x14ac:dyDescent="0.35">
      <c r="A822" s="88">
        <v>811144</v>
      </c>
      <c r="B822" s="89" t="s">
        <v>7627</v>
      </c>
      <c r="C822" s="89" t="s">
        <v>7628</v>
      </c>
      <c r="D822" s="90" t="s">
        <v>4077</v>
      </c>
      <c r="E822" s="89" t="s">
        <v>3466</v>
      </c>
      <c r="F822" s="89"/>
      <c r="G822" s="89" t="s">
        <v>3468</v>
      </c>
      <c r="H822" s="91">
        <v>8910</v>
      </c>
      <c r="I822" s="89" t="s">
        <v>7629</v>
      </c>
      <c r="J822" s="92" t="s">
        <v>883</v>
      </c>
      <c r="K822" s="92"/>
      <c r="L822" s="92" t="s">
        <v>7630</v>
      </c>
      <c r="M822" s="92" t="s">
        <v>5788</v>
      </c>
      <c r="N822" s="93">
        <v>8910</v>
      </c>
      <c r="O822" s="94">
        <v>150000</v>
      </c>
      <c r="P822" s="94">
        <v>1300</v>
      </c>
      <c r="Q822" s="92" t="s">
        <v>3957</v>
      </c>
      <c r="R822" s="92" t="s">
        <v>7631</v>
      </c>
      <c r="S822" s="91">
        <v>89120</v>
      </c>
      <c r="T822" s="91">
        <v>81109</v>
      </c>
    </row>
    <row r="823" spans="1:20" ht="30" customHeight="1" x14ac:dyDescent="0.35">
      <c r="A823" s="88">
        <v>811145</v>
      </c>
      <c r="B823" s="89" t="s">
        <v>7632</v>
      </c>
      <c r="C823" s="89" t="s">
        <v>7633</v>
      </c>
      <c r="D823" s="90" t="s">
        <v>3978</v>
      </c>
      <c r="E823" s="89" t="s">
        <v>7634</v>
      </c>
      <c r="F823" s="89" t="s">
        <v>7635</v>
      </c>
      <c r="G823" s="89" t="s">
        <v>3471</v>
      </c>
      <c r="H823" s="91">
        <v>8115</v>
      </c>
      <c r="I823" s="89" t="s">
        <v>7622</v>
      </c>
      <c r="J823" s="92" t="s">
        <v>7623</v>
      </c>
      <c r="K823" s="92"/>
      <c r="L823" s="92" t="s">
        <v>7624</v>
      </c>
      <c r="M823" s="92" t="s">
        <v>7625</v>
      </c>
      <c r="N823" s="93">
        <v>8115</v>
      </c>
      <c r="O823" s="94">
        <v>16000</v>
      </c>
      <c r="P823" s="94">
        <v>400</v>
      </c>
      <c r="Q823" s="92" t="s">
        <v>3957</v>
      </c>
      <c r="R823" s="92" t="s">
        <v>7636</v>
      </c>
      <c r="S823" s="91">
        <v>81122</v>
      </c>
      <c r="T823" s="91">
        <v>81150</v>
      </c>
    </row>
    <row r="824" spans="1:20" ht="30" customHeight="1" x14ac:dyDescent="0.35">
      <c r="A824" s="88">
        <v>811146</v>
      </c>
      <c r="B824" s="89" t="s">
        <v>7637</v>
      </c>
      <c r="C824" s="89" t="s">
        <v>7637</v>
      </c>
      <c r="D824" s="90" t="s">
        <v>3978</v>
      </c>
      <c r="E824" s="89" t="s">
        <v>3473</v>
      </c>
      <c r="F824" s="89" t="s">
        <v>7638</v>
      </c>
      <c r="G824" s="89" t="s">
        <v>909</v>
      </c>
      <c r="H824" s="91">
        <v>8114</v>
      </c>
      <c r="I824" s="89" t="s">
        <v>7639</v>
      </c>
      <c r="J824" s="92" t="s">
        <v>7623</v>
      </c>
      <c r="K824" s="92"/>
      <c r="L824" s="92" t="s">
        <v>7640</v>
      </c>
      <c r="M824" s="92" t="s">
        <v>7641</v>
      </c>
      <c r="N824" s="93">
        <v>8114</v>
      </c>
      <c r="O824" s="94">
        <v>1500</v>
      </c>
      <c r="P824" s="94">
        <v>500</v>
      </c>
      <c r="Q824" s="92" t="s">
        <v>3957</v>
      </c>
      <c r="R824" s="92" t="s">
        <v>7642</v>
      </c>
      <c r="S824" s="91">
        <v>81146</v>
      </c>
      <c r="T824" s="91">
        <v>81146</v>
      </c>
    </row>
    <row r="825" spans="1:20" ht="30" customHeight="1" x14ac:dyDescent="0.35">
      <c r="A825" s="88">
        <v>811147</v>
      </c>
      <c r="B825" s="89" t="s">
        <v>7643</v>
      </c>
      <c r="C825" s="89" t="s">
        <v>7644</v>
      </c>
      <c r="D825" s="90" t="s">
        <v>3978</v>
      </c>
      <c r="E825" s="89" t="s">
        <v>3475</v>
      </c>
      <c r="F825" s="89" t="s">
        <v>7645</v>
      </c>
      <c r="G825" s="89" t="s">
        <v>3476</v>
      </c>
      <c r="H825" s="91">
        <v>8112</v>
      </c>
      <c r="I825" s="89" t="s">
        <v>7646</v>
      </c>
      <c r="J825" s="92" t="s">
        <v>7623</v>
      </c>
      <c r="K825" s="92"/>
      <c r="L825" s="92" t="s">
        <v>7647</v>
      </c>
      <c r="M825" s="92" t="s">
        <v>7641</v>
      </c>
      <c r="N825" s="93">
        <v>8112</v>
      </c>
      <c r="O825" s="94">
        <v>14000</v>
      </c>
      <c r="P825" s="94">
        <v>300</v>
      </c>
      <c r="Q825" s="92" t="s">
        <v>3957</v>
      </c>
      <c r="R825" s="92" t="s">
        <v>7648</v>
      </c>
      <c r="S825" s="91">
        <v>81160</v>
      </c>
      <c r="T825" s="91">
        <v>81160</v>
      </c>
    </row>
    <row r="826" spans="1:20" ht="30" customHeight="1" x14ac:dyDescent="0.35">
      <c r="A826" s="88">
        <v>811149</v>
      </c>
      <c r="B826" s="89" t="s">
        <v>7649</v>
      </c>
      <c r="C826" s="89" t="s">
        <v>7650</v>
      </c>
      <c r="D826" s="90" t="s">
        <v>4077</v>
      </c>
      <c r="E826" s="89" t="s">
        <v>3478</v>
      </c>
      <c r="F826" s="89" t="s">
        <v>7651</v>
      </c>
      <c r="G826" s="89" t="s">
        <v>3479</v>
      </c>
      <c r="H826" s="91">
        <v>8910</v>
      </c>
      <c r="I826" s="89" t="s">
        <v>7629</v>
      </c>
      <c r="J826" s="92" t="s">
        <v>883</v>
      </c>
      <c r="K826" s="92"/>
      <c r="L826" s="92" t="s">
        <v>7630</v>
      </c>
      <c r="M826" s="92" t="s">
        <v>5788</v>
      </c>
      <c r="N826" s="93">
        <v>8910</v>
      </c>
      <c r="O826" s="94">
        <v>150000</v>
      </c>
      <c r="P826" s="94">
        <v>1300</v>
      </c>
      <c r="Q826" s="92" t="s">
        <v>3957</v>
      </c>
      <c r="R826" s="92" t="s">
        <v>7652</v>
      </c>
      <c r="S826" s="89" t="s">
        <v>7653</v>
      </c>
      <c r="T826" s="89" t="s">
        <v>7654</v>
      </c>
    </row>
    <row r="827" spans="1:20" ht="30" customHeight="1" x14ac:dyDescent="0.35">
      <c r="A827" s="88">
        <v>811600</v>
      </c>
      <c r="B827" s="89" t="s">
        <v>7655</v>
      </c>
      <c r="C827" s="89"/>
      <c r="D827" s="90" t="s">
        <v>3978</v>
      </c>
      <c r="E827" s="89" t="s">
        <v>3481</v>
      </c>
      <c r="F827" s="89"/>
      <c r="G827" s="89" t="s">
        <v>909</v>
      </c>
      <c r="H827" s="91">
        <v>8112</v>
      </c>
      <c r="I827" s="89" t="s">
        <v>7646</v>
      </c>
      <c r="J827" s="92" t="s">
        <v>7623</v>
      </c>
      <c r="K827" s="92"/>
      <c r="L827" s="92"/>
      <c r="M827" s="92"/>
      <c r="N827" s="93"/>
      <c r="O827" s="94"/>
      <c r="P827" s="94"/>
      <c r="Q827" s="92"/>
      <c r="R827" s="92"/>
      <c r="S827" s="89"/>
      <c r="T827" s="89"/>
    </row>
    <row r="828" spans="1:20" ht="30" customHeight="1" x14ac:dyDescent="0.35">
      <c r="A828" s="88">
        <v>811601</v>
      </c>
      <c r="B828" s="89" t="s">
        <v>7656</v>
      </c>
      <c r="C828" s="89"/>
      <c r="D828" s="90" t="s">
        <v>3978</v>
      </c>
      <c r="E828" s="89" t="s">
        <v>7657</v>
      </c>
      <c r="F828" s="89"/>
      <c r="G828" s="89" t="s">
        <v>909</v>
      </c>
      <c r="H828" s="91">
        <v>8116</v>
      </c>
      <c r="I828" s="89" t="s">
        <v>7658</v>
      </c>
      <c r="J828" s="92" t="s">
        <v>7659</v>
      </c>
      <c r="K828" s="92"/>
      <c r="L828" s="92"/>
      <c r="M828" s="92"/>
      <c r="N828" s="93"/>
      <c r="O828" s="94"/>
      <c r="P828" s="94"/>
      <c r="Q828" s="92"/>
      <c r="R828" s="92"/>
      <c r="S828" s="89"/>
      <c r="T828" s="89"/>
    </row>
    <row r="829" spans="1:20" ht="30" customHeight="1" x14ac:dyDescent="0.35">
      <c r="A829" s="88">
        <v>812223</v>
      </c>
      <c r="B829" s="89" t="s">
        <v>7660</v>
      </c>
      <c r="C829" s="89" t="s">
        <v>7661</v>
      </c>
      <c r="D829" s="90" t="s">
        <v>3949</v>
      </c>
      <c r="E829" s="89" t="s">
        <v>7662</v>
      </c>
      <c r="F829" s="89" t="s">
        <v>7663</v>
      </c>
      <c r="G829" s="89" t="s">
        <v>3486</v>
      </c>
      <c r="H829" s="91">
        <v>8121</v>
      </c>
      <c r="I829" s="89" t="s">
        <v>7664</v>
      </c>
      <c r="J829" s="92" t="s">
        <v>3954</v>
      </c>
      <c r="K829" s="92"/>
      <c r="L829" s="92" t="s">
        <v>7665</v>
      </c>
      <c r="M829" s="92" t="s">
        <v>7666</v>
      </c>
      <c r="N829" s="93">
        <v>8121</v>
      </c>
      <c r="O829" s="94">
        <v>1300000</v>
      </c>
      <c r="P829" s="94">
        <v>18000</v>
      </c>
      <c r="Q829" s="92" t="s">
        <v>765</v>
      </c>
      <c r="R829" s="92" t="s">
        <v>7667</v>
      </c>
      <c r="S829" s="91">
        <v>81241</v>
      </c>
      <c r="T829" s="91">
        <v>81231</v>
      </c>
    </row>
    <row r="830" spans="1:20" ht="30" customHeight="1" x14ac:dyDescent="0.35">
      <c r="A830" s="88">
        <v>812224</v>
      </c>
      <c r="B830" s="89" t="s">
        <v>7668</v>
      </c>
      <c r="C830" s="89" t="s">
        <v>7669</v>
      </c>
      <c r="D830" s="90" t="s">
        <v>3949</v>
      </c>
      <c r="E830" s="89" t="s">
        <v>3488</v>
      </c>
      <c r="F830" s="89"/>
      <c r="G830" s="89" t="s">
        <v>3489</v>
      </c>
      <c r="H830" s="91">
        <v>8121</v>
      </c>
      <c r="I830" s="89" t="s">
        <v>7664</v>
      </c>
      <c r="J830" s="92" t="s">
        <v>3954</v>
      </c>
      <c r="K830" s="92"/>
      <c r="L830" s="92" t="s">
        <v>7665</v>
      </c>
      <c r="M830" s="92" t="s">
        <v>7666</v>
      </c>
      <c r="N830" s="93">
        <v>8121</v>
      </c>
      <c r="O830" s="94">
        <v>1300000</v>
      </c>
      <c r="P830" s="94">
        <v>18000</v>
      </c>
      <c r="Q830" s="92" t="s">
        <v>765</v>
      </c>
      <c r="R830" s="92" t="s">
        <v>7670</v>
      </c>
      <c r="S830" s="91">
        <v>81241</v>
      </c>
      <c r="T830" s="91">
        <v>81231</v>
      </c>
    </row>
    <row r="831" spans="1:20" ht="30" customHeight="1" x14ac:dyDescent="0.35">
      <c r="A831" s="88">
        <v>812225</v>
      </c>
      <c r="B831" s="89" t="s">
        <v>7671</v>
      </c>
      <c r="C831" s="89" t="s">
        <v>7672</v>
      </c>
      <c r="D831" s="90" t="s">
        <v>3949</v>
      </c>
      <c r="E831" s="89" t="s">
        <v>7673</v>
      </c>
      <c r="F831" s="89" t="s">
        <v>7674</v>
      </c>
      <c r="G831" s="89" t="s">
        <v>3492</v>
      </c>
      <c r="H831" s="91">
        <v>8123</v>
      </c>
      <c r="I831" s="89" t="s">
        <v>7675</v>
      </c>
      <c r="J831" s="92" t="s">
        <v>3954</v>
      </c>
      <c r="K831" s="92"/>
      <c r="L831" s="92" t="s">
        <v>7676</v>
      </c>
      <c r="M831" s="92" t="s">
        <v>7677</v>
      </c>
      <c r="N831" s="93">
        <v>8123</v>
      </c>
      <c r="O831" s="94">
        <v>1200000</v>
      </c>
      <c r="P831" s="94">
        <v>5700</v>
      </c>
      <c r="Q831" s="92" t="s">
        <v>765</v>
      </c>
      <c r="R831" s="92" t="s">
        <v>7678</v>
      </c>
      <c r="S831" s="91">
        <v>81242</v>
      </c>
      <c r="T831" s="91">
        <v>81232</v>
      </c>
    </row>
    <row r="832" spans="1:20" ht="30" customHeight="1" x14ac:dyDescent="0.35">
      <c r="A832" s="88">
        <v>812226</v>
      </c>
      <c r="B832" s="89" t="s">
        <v>7679</v>
      </c>
      <c r="C832" s="89" t="s">
        <v>7680</v>
      </c>
      <c r="D832" s="90" t="s">
        <v>3949</v>
      </c>
      <c r="E832" s="89" t="s">
        <v>7681</v>
      </c>
      <c r="F832" s="89"/>
      <c r="G832" s="89" t="s">
        <v>3495</v>
      </c>
      <c r="H832" s="91">
        <v>8123</v>
      </c>
      <c r="I832" s="89" t="s">
        <v>7675</v>
      </c>
      <c r="J832" s="92" t="s">
        <v>3954</v>
      </c>
      <c r="K832" s="92"/>
      <c r="L832" s="92" t="s">
        <v>7676</v>
      </c>
      <c r="M832" s="92" t="s">
        <v>7677</v>
      </c>
      <c r="N832" s="93">
        <v>8123</v>
      </c>
      <c r="O832" s="94">
        <v>1200000</v>
      </c>
      <c r="P832" s="94">
        <v>5700</v>
      </c>
      <c r="Q832" s="92" t="s">
        <v>765</v>
      </c>
      <c r="R832" s="92" t="s">
        <v>7682</v>
      </c>
      <c r="S832" s="91">
        <v>81242</v>
      </c>
      <c r="T832" s="91">
        <v>81232</v>
      </c>
    </row>
    <row r="833" spans="1:20" ht="30" customHeight="1" x14ac:dyDescent="0.35">
      <c r="A833" s="88">
        <v>812926</v>
      </c>
      <c r="B833" s="89" t="s">
        <v>7683</v>
      </c>
      <c r="C833" s="89" t="s">
        <v>7684</v>
      </c>
      <c r="D833" s="90" t="s">
        <v>3978</v>
      </c>
      <c r="E833" s="89" t="s">
        <v>3503</v>
      </c>
      <c r="F833" s="89" t="s">
        <v>7685</v>
      </c>
      <c r="G833" s="89" t="s">
        <v>3504</v>
      </c>
      <c r="H833" s="91">
        <v>8122</v>
      </c>
      <c r="I833" s="89" t="s">
        <v>7686</v>
      </c>
      <c r="J833" s="92" t="s">
        <v>4058</v>
      </c>
      <c r="K833" s="92"/>
      <c r="L833" s="92" t="s">
        <v>7687</v>
      </c>
      <c r="M833" s="92" t="s">
        <v>7688</v>
      </c>
      <c r="N833" s="93">
        <v>8122</v>
      </c>
      <c r="O833" s="94">
        <v>10000</v>
      </c>
      <c r="P833" s="94">
        <v>30</v>
      </c>
      <c r="Q833" s="92" t="s">
        <v>765</v>
      </c>
      <c r="R833" s="92" t="s">
        <v>7689</v>
      </c>
      <c r="S833" s="91">
        <v>81230</v>
      </c>
      <c r="T833" s="89" t="s">
        <v>7690</v>
      </c>
    </row>
    <row r="834" spans="1:20" ht="30" customHeight="1" x14ac:dyDescent="0.35">
      <c r="A834" s="88">
        <v>812928</v>
      </c>
      <c r="B834" s="89" t="s">
        <v>7691</v>
      </c>
      <c r="C834" s="89" t="s">
        <v>7691</v>
      </c>
      <c r="D834" s="90" t="s">
        <v>3978</v>
      </c>
      <c r="E834" s="89" t="s">
        <v>3506</v>
      </c>
      <c r="F834" s="89"/>
      <c r="G834" s="89" t="s">
        <v>909</v>
      </c>
      <c r="H834" s="91">
        <v>8541</v>
      </c>
      <c r="I834" s="89" t="s">
        <v>7692</v>
      </c>
      <c r="J834" s="92" t="s">
        <v>4058</v>
      </c>
      <c r="K834" s="92"/>
      <c r="L834" s="92" t="s">
        <v>7693</v>
      </c>
      <c r="M834" s="92" t="s">
        <v>7694</v>
      </c>
      <c r="N834" s="93">
        <v>8541</v>
      </c>
      <c r="O834" s="94">
        <v>250</v>
      </c>
      <c r="P834" s="94">
        <v>4</v>
      </c>
      <c r="Q834" s="92" t="s">
        <v>765</v>
      </c>
      <c r="R834" s="92" t="s">
        <v>7695</v>
      </c>
      <c r="S834" s="91">
        <v>89230</v>
      </c>
      <c r="T834" s="91">
        <v>85123</v>
      </c>
    </row>
    <row r="835" spans="1:20" ht="30" customHeight="1" x14ac:dyDescent="0.35">
      <c r="A835" s="88">
        <v>813228</v>
      </c>
      <c r="B835" s="89" t="s">
        <v>7696</v>
      </c>
      <c r="C835" s="89" t="s">
        <v>7697</v>
      </c>
      <c r="D835" s="90" t="s">
        <v>3978</v>
      </c>
      <c r="E835" s="89" t="s">
        <v>3508</v>
      </c>
      <c r="F835" s="89"/>
      <c r="G835" s="89" t="s">
        <v>3509</v>
      </c>
      <c r="H835" s="91">
        <v>8132</v>
      </c>
      <c r="I835" s="89" t="s">
        <v>7698</v>
      </c>
      <c r="J835" s="92" t="s">
        <v>7699</v>
      </c>
      <c r="K835" s="92"/>
      <c r="L835" s="92" t="s">
        <v>7700</v>
      </c>
      <c r="M835" s="92" t="s">
        <v>7701</v>
      </c>
      <c r="N835" s="93">
        <v>8132</v>
      </c>
      <c r="O835" s="94">
        <v>320000</v>
      </c>
      <c r="P835" s="94">
        <v>13000</v>
      </c>
      <c r="Q835" s="92" t="s">
        <v>3957</v>
      </c>
      <c r="R835" s="92" t="s">
        <v>7702</v>
      </c>
      <c r="S835" s="91">
        <v>81350</v>
      </c>
      <c r="T835" s="91">
        <v>81330</v>
      </c>
    </row>
    <row r="836" spans="1:20" ht="30" customHeight="1" x14ac:dyDescent="0.35">
      <c r="A836" s="88">
        <v>813231</v>
      </c>
      <c r="B836" s="89" t="s">
        <v>7703</v>
      </c>
      <c r="C836" s="89" t="s">
        <v>7704</v>
      </c>
      <c r="D836" s="90" t="s">
        <v>3978</v>
      </c>
      <c r="E836" s="89" t="s">
        <v>7705</v>
      </c>
      <c r="F836" s="89"/>
      <c r="G836" s="89" t="s">
        <v>3512</v>
      </c>
      <c r="H836" s="91">
        <v>8131</v>
      </c>
      <c r="I836" s="89" t="s">
        <v>7706</v>
      </c>
      <c r="J836" s="92" t="s">
        <v>7699</v>
      </c>
      <c r="K836" s="92"/>
      <c r="L836" s="92" t="s">
        <v>7707</v>
      </c>
      <c r="M836" s="92" t="s">
        <v>7708</v>
      </c>
      <c r="N836" s="93">
        <v>8131</v>
      </c>
      <c r="O836" s="94">
        <v>100000</v>
      </c>
      <c r="P836" s="94">
        <v>2100</v>
      </c>
      <c r="Q836" s="92" t="s">
        <v>3957</v>
      </c>
      <c r="R836" s="92" t="s">
        <v>7709</v>
      </c>
      <c r="S836" s="91">
        <v>81320</v>
      </c>
      <c r="T836" s="91">
        <v>81320</v>
      </c>
    </row>
    <row r="837" spans="1:20" ht="30" customHeight="1" x14ac:dyDescent="0.35">
      <c r="A837" s="88">
        <v>813301</v>
      </c>
      <c r="B837" s="97" t="s">
        <v>7710</v>
      </c>
      <c r="C837" s="89" t="s">
        <v>7711</v>
      </c>
      <c r="D837" s="90" t="s">
        <v>3978</v>
      </c>
      <c r="E837" s="89" t="s">
        <v>7712</v>
      </c>
      <c r="F837" s="89"/>
      <c r="G837" s="89" t="s">
        <v>909</v>
      </c>
      <c r="H837" s="91">
        <v>8133</v>
      </c>
      <c r="I837" s="89" t="s">
        <v>7713</v>
      </c>
      <c r="J837" s="92" t="s">
        <v>7699</v>
      </c>
      <c r="K837" s="92"/>
      <c r="L837" s="92" t="s">
        <v>7714</v>
      </c>
      <c r="M837" s="92" t="s">
        <v>7715</v>
      </c>
      <c r="N837" s="93">
        <v>8133</v>
      </c>
      <c r="O837" s="94">
        <v>290000</v>
      </c>
      <c r="P837" s="94">
        <v>910</v>
      </c>
      <c r="Q837" s="92" t="s">
        <v>765</v>
      </c>
      <c r="R837" s="92" t="s">
        <v>7716</v>
      </c>
      <c r="S837" s="91">
        <v>81360</v>
      </c>
      <c r="T837" s="91">
        <v>81212</v>
      </c>
    </row>
    <row r="838" spans="1:20" ht="30" customHeight="1" x14ac:dyDescent="0.35">
      <c r="A838" s="88">
        <v>813321</v>
      </c>
      <c r="B838" s="89" t="s">
        <v>7717</v>
      </c>
      <c r="C838" s="89" t="s">
        <v>7717</v>
      </c>
      <c r="D838" s="90" t="s">
        <v>3978</v>
      </c>
      <c r="E838" s="89" t="s">
        <v>3516</v>
      </c>
      <c r="F838" s="89"/>
      <c r="G838" s="89" t="s">
        <v>909</v>
      </c>
      <c r="H838" s="91">
        <v>8133</v>
      </c>
      <c r="I838" s="89" t="s">
        <v>7713</v>
      </c>
      <c r="J838" s="92" t="s">
        <v>7699</v>
      </c>
      <c r="K838" s="92"/>
      <c r="L838" s="92" t="s">
        <v>7714</v>
      </c>
      <c r="M838" s="92" t="s">
        <v>7715</v>
      </c>
      <c r="N838" s="93">
        <v>8133</v>
      </c>
      <c r="O838" s="94">
        <v>290000</v>
      </c>
      <c r="P838" s="94">
        <v>910</v>
      </c>
      <c r="Q838" s="92" t="s">
        <v>765</v>
      </c>
      <c r="R838" s="92" t="s">
        <v>7718</v>
      </c>
      <c r="S838" s="91">
        <v>81360</v>
      </c>
      <c r="T838" s="91">
        <v>81212</v>
      </c>
    </row>
    <row r="839" spans="1:20" ht="30" customHeight="1" x14ac:dyDescent="0.35">
      <c r="A839" s="88">
        <v>813400</v>
      </c>
      <c r="B839" s="89" t="s">
        <v>7719</v>
      </c>
      <c r="C839" s="89" t="s">
        <v>7720</v>
      </c>
      <c r="D839" s="90" t="s">
        <v>3978</v>
      </c>
      <c r="E839" s="89" t="s">
        <v>3518</v>
      </c>
      <c r="F839" s="89"/>
      <c r="G839" s="89" t="s">
        <v>909</v>
      </c>
      <c r="H839" s="91">
        <v>8134</v>
      </c>
      <c r="I839" s="89" t="s">
        <v>3517</v>
      </c>
      <c r="J839" s="92" t="s">
        <v>4058</v>
      </c>
      <c r="K839" s="92"/>
      <c r="L839" s="92" t="s">
        <v>7721</v>
      </c>
      <c r="M839" s="92" t="s">
        <v>7722</v>
      </c>
      <c r="N839" s="93">
        <v>8134</v>
      </c>
      <c r="O839" s="94">
        <v>4</v>
      </c>
      <c r="P839" s="94">
        <v>1</v>
      </c>
      <c r="Q839" s="92" t="s">
        <v>3957</v>
      </c>
      <c r="R839" s="92" t="s">
        <v>7723</v>
      </c>
      <c r="S839" s="91">
        <v>89280</v>
      </c>
      <c r="T839" s="91">
        <v>81340</v>
      </c>
    </row>
    <row r="840" spans="1:20" ht="30" customHeight="1" x14ac:dyDescent="0.35">
      <c r="A840" s="88">
        <v>821111</v>
      </c>
      <c r="B840" s="89" t="s">
        <v>7724</v>
      </c>
      <c r="C840" s="89" t="s">
        <v>7724</v>
      </c>
      <c r="D840" s="90" t="s">
        <v>3949</v>
      </c>
      <c r="E840" s="89" t="s">
        <v>3520</v>
      </c>
      <c r="F840" s="89"/>
      <c r="G840" s="89" t="s">
        <v>3521</v>
      </c>
      <c r="H840" s="91">
        <v>8526</v>
      </c>
      <c r="I840" s="89" t="s">
        <v>4348</v>
      </c>
      <c r="J840" s="92" t="s">
        <v>3953</v>
      </c>
      <c r="K840" s="92"/>
      <c r="L840" s="92" t="s">
        <v>4349</v>
      </c>
      <c r="M840" s="92" t="s">
        <v>4350</v>
      </c>
      <c r="N840" s="93">
        <v>8526</v>
      </c>
      <c r="O840" s="94">
        <v>160000</v>
      </c>
      <c r="P840" s="94">
        <v>530</v>
      </c>
      <c r="Q840" s="92" t="s">
        <v>3957</v>
      </c>
      <c r="R840" s="92" t="s">
        <v>7725</v>
      </c>
      <c r="S840" s="89" t="s">
        <v>643</v>
      </c>
      <c r="T840" s="89" t="s">
        <v>7726</v>
      </c>
    </row>
    <row r="841" spans="1:20" ht="30" customHeight="1" x14ac:dyDescent="0.35">
      <c r="A841" s="88">
        <v>821112</v>
      </c>
      <c r="B841" s="89" t="s">
        <v>7727</v>
      </c>
      <c r="C841" s="89" t="s">
        <v>7728</v>
      </c>
      <c r="D841" s="90" t="s">
        <v>3978</v>
      </c>
      <c r="E841" s="89" t="s">
        <v>3523</v>
      </c>
      <c r="F841" s="89"/>
      <c r="G841" s="89" t="s">
        <v>3524</v>
      </c>
      <c r="H841" s="91">
        <v>1244</v>
      </c>
      <c r="I841" s="89" t="s">
        <v>4155</v>
      </c>
      <c r="J841" s="92" t="s">
        <v>4126</v>
      </c>
      <c r="K841" s="92"/>
      <c r="L841" s="92" t="s">
        <v>4156</v>
      </c>
      <c r="M841" s="92" t="s">
        <v>4157</v>
      </c>
      <c r="N841" s="93">
        <v>1244</v>
      </c>
      <c r="O841" s="94">
        <v>430000</v>
      </c>
      <c r="P841" s="94">
        <v>7800</v>
      </c>
      <c r="Q841" s="92" t="s">
        <v>3957</v>
      </c>
      <c r="R841" s="92" t="s">
        <v>7729</v>
      </c>
      <c r="S841" s="91">
        <v>12470</v>
      </c>
      <c r="T841" s="89" t="s">
        <v>7730</v>
      </c>
    </row>
    <row r="842" spans="1:20" ht="30" customHeight="1" x14ac:dyDescent="0.35">
      <c r="A842" s="88">
        <v>821113</v>
      </c>
      <c r="B842" s="89" t="s">
        <v>7731</v>
      </c>
      <c r="C842" s="89" t="s">
        <v>7732</v>
      </c>
      <c r="D842" s="90" t="s">
        <v>4077</v>
      </c>
      <c r="E842" s="89" t="s">
        <v>7733</v>
      </c>
      <c r="F842" s="89" t="s">
        <v>7734</v>
      </c>
      <c r="G842" s="89" t="s">
        <v>3527</v>
      </c>
      <c r="H842" s="91">
        <v>8910</v>
      </c>
      <c r="I842" s="89" t="s">
        <v>7629</v>
      </c>
      <c r="J842" s="92" t="s">
        <v>883</v>
      </c>
      <c r="K842" s="92"/>
      <c r="L842" s="92" t="s">
        <v>7630</v>
      </c>
      <c r="M842" s="92" t="s">
        <v>5788</v>
      </c>
      <c r="N842" s="93">
        <v>8910</v>
      </c>
      <c r="O842" s="94">
        <v>150000</v>
      </c>
      <c r="P842" s="94">
        <v>1300</v>
      </c>
      <c r="Q842" s="92" t="s">
        <v>3957</v>
      </c>
      <c r="R842" s="92" t="s">
        <v>7735</v>
      </c>
      <c r="S842" s="91">
        <v>89121</v>
      </c>
      <c r="T842" s="91">
        <v>82109</v>
      </c>
    </row>
    <row r="843" spans="1:20" ht="30" customHeight="1" x14ac:dyDescent="0.35">
      <c r="A843" s="88">
        <v>821115</v>
      </c>
      <c r="B843" s="89" t="s">
        <v>7736</v>
      </c>
      <c r="C843" s="89" t="s">
        <v>7737</v>
      </c>
      <c r="D843" s="90" t="s">
        <v>3978</v>
      </c>
      <c r="E843" s="89" t="s">
        <v>3529</v>
      </c>
      <c r="F843" s="89"/>
      <c r="G843" s="89" t="s">
        <v>3530</v>
      </c>
      <c r="H843" s="91">
        <v>8211</v>
      </c>
      <c r="I843" s="89" t="s">
        <v>7738</v>
      </c>
      <c r="J843" s="92" t="s">
        <v>7739</v>
      </c>
      <c r="K843" s="92"/>
      <c r="L843" s="92" t="s">
        <v>7740</v>
      </c>
      <c r="M843" s="92" t="s">
        <v>7741</v>
      </c>
      <c r="N843" s="93">
        <v>8211</v>
      </c>
      <c r="O843" s="94">
        <v>520000000</v>
      </c>
      <c r="P843" s="94">
        <v>50000000</v>
      </c>
      <c r="Q843" s="92" t="s">
        <v>3957</v>
      </c>
      <c r="R843" s="92" t="s">
        <v>7742</v>
      </c>
      <c r="S843" s="89" t="s">
        <v>7743</v>
      </c>
      <c r="T843" s="89" t="s">
        <v>7744</v>
      </c>
    </row>
    <row r="844" spans="1:20" ht="30" customHeight="1" x14ac:dyDescent="0.35">
      <c r="A844" s="88">
        <v>821117</v>
      </c>
      <c r="B844" s="89" t="s">
        <v>7745</v>
      </c>
      <c r="C844" s="89" t="s">
        <v>7746</v>
      </c>
      <c r="D844" s="90" t="s">
        <v>4077</v>
      </c>
      <c r="E844" s="89" t="s">
        <v>3532</v>
      </c>
      <c r="F844" s="89"/>
      <c r="G844" s="89" t="s">
        <v>3533</v>
      </c>
      <c r="H844" s="91">
        <v>8910</v>
      </c>
      <c r="I844" s="89" t="s">
        <v>7629</v>
      </c>
      <c r="J844" s="92" t="s">
        <v>883</v>
      </c>
      <c r="K844" s="92"/>
      <c r="L844" s="92" t="s">
        <v>7630</v>
      </c>
      <c r="M844" s="92" t="s">
        <v>5788</v>
      </c>
      <c r="N844" s="93">
        <v>8910</v>
      </c>
      <c r="O844" s="94">
        <v>150000</v>
      </c>
      <c r="P844" s="94">
        <v>1300</v>
      </c>
      <c r="Q844" s="92" t="s">
        <v>3957</v>
      </c>
      <c r="R844" s="92" t="s">
        <v>7747</v>
      </c>
      <c r="S844" s="91">
        <v>89121</v>
      </c>
      <c r="T844" s="91">
        <v>82209</v>
      </c>
    </row>
    <row r="845" spans="1:20" ht="30" customHeight="1" x14ac:dyDescent="0.35">
      <c r="A845" s="88">
        <v>821155</v>
      </c>
      <c r="B845" s="89" t="s">
        <v>7748</v>
      </c>
      <c r="C845" s="89" t="s">
        <v>7749</v>
      </c>
      <c r="D845" s="90" t="s">
        <v>3978</v>
      </c>
      <c r="E845" s="89" t="s">
        <v>3535</v>
      </c>
      <c r="F845" s="89"/>
      <c r="G845" s="89" t="s">
        <v>3536</v>
      </c>
      <c r="H845" s="91">
        <v>8211</v>
      </c>
      <c r="I845" s="89" t="s">
        <v>7738</v>
      </c>
      <c r="J845" s="92" t="s">
        <v>7739</v>
      </c>
      <c r="K845" s="92"/>
      <c r="L845" s="92" t="s">
        <v>7740</v>
      </c>
      <c r="M845" s="92" t="s">
        <v>7741</v>
      </c>
      <c r="N845" s="93">
        <v>8211</v>
      </c>
      <c r="O845" s="94">
        <v>520000000</v>
      </c>
      <c r="P845" s="94">
        <v>50000000</v>
      </c>
      <c r="Q845" s="92" t="s">
        <v>3957</v>
      </c>
      <c r="R845" s="92" t="s">
        <v>7750</v>
      </c>
      <c r="S845" s="91">
        <v>82150</v>
      </c>
      <c r="T845" s="89" t="s">
        <v>7751</v>
      </c>
    </row>
    <row r="846" spans="1:20" ht="30" customHeight="1" x14ac:dyDescent="0.35">
      <c r="A846" s="88">
        <v>821156</v>
      </c>
      <c r="B846" s="89" t="s">
        <v>7752</v>
      </c>
      <c r="C846" s="89" t="s">
        <v>7753</v>
      </c>
      <c r="D846" s="90" t="s">
        <v>4077</v>
      </c>
      <c r="E846" s="89" t="s">
        <v>7754</v>
      </c>
      <c r="F846" s="89"/>
      <c r="G846" s="89" t="s">
        <v>3539</v>
      </c>
      <c r="H846" s="91">
        <v>8910</v>
      </c>
      <c r="I846" s="89" t="s">
        <v>7629</v>
      </c>
      <c r="J846" s="92" t="s">
        <v>883</v>
      </c>
      <c r="K846" s="92"/>
      <c r="L846" s="92" t="s">
        <v>7630</v>
      </c>
      <c r="M846" s="92" t="s">
        <v>5788</v>
      </c>
      <c r="N846" s="93">
        <v>8910</v>
      </c>
      <c r="O846" s="94">
        <v>150000</v>
      </c>
      <c r="P846" s="94">
        <v>1300</v>
      </c>
      <c r="Q846" s="92" t="s">
        <v>3957</v>
      </c>
      <c r="R846" s="92" t="s">
        <v>7755</v>
      </c>
      <c r="S846" s="89" t="s">
        <v>643</v>
      </c>
      <c r="T846" s="91">
        <v>82209</v>
      </c>
    </row>
    <row r="847" spans="1:20" ht="30" customHeight="1" x14ac:dyDescent="0.35">
      <c r="A847" s="88">
        <v>821157</v>
      </c>
      <c r="B847" s="89" t="s">
        <v>7756</v>
      </c>
      <c r="C847" s="89" t="s">
        <v>7757</v>
      </c>
      <c r="D847" s="90" t="s">
        <v>3978</v>
      </c>
      <c r="E847" s="89" t="s">
        <v>7758</v>
      </c>
      <c r="F847" s="89"/>
      <c r="G847" s="89" t="s">
        <v>909</v>
      </c>
      <c r="H847" s="91">
        <v>8211</v>
      </c>
      <c r="I847" s="89" t="s">
        <v>7738</v>
      </c>
      <c r="J847" s="92" t="s">
        <v>7739</v>
      </c>
      <c r="K847" s="92"/>
      <c r="L847" s="92" t="s">
        <v>7740</v>
      </c>
      <c r="M847" s="92" t="s">
        <v>7741</v>
      </c>
      <c r="N847" s="93">
        <v>8211</v>
      </c>
      <c r="O847" s="94">
        <v>520000000</v>
      </c>
      <c r="P847" s="94">
        <v>50000000</v>
      </c>
      <c r="Q847" s="92" t="s">
        <v>3957</v>
      </c>
      <c r="R847" s="92" t="s">
        <v>7759</v>
      </c>
      <c r="S847" s="89" t="s">
        <v>3982</v>
      </c>
      <c r="T847" s="89" t="s">
        <v>3982</v>
      </c>
    </row>
    <row r="848" spans="1:20" ht="30" customHeight="1" x14ac:dyDescent="0.35">
      <c r="A848" s="88">
        <v>822245</v>
      </c>
      <c r="B848" s="89" t="s">
        <v>7760</v>
      </c>
      <c r="C848" s="89" t="s">
        <v>7761</v>
      </c>
      <c r="D848" s="90" t="s">
        <v>3949</v>
      </c>
      <c r="E848" s="89" t="s">
        <v>3543</v>
      </c>
      <c r="F848" s="89"/>
      <c r="G848" s="89" t="s">
        <v>3544</v>
      </c>
      <c r="H848" s="91">
        <v>8221</v>
      </c>
      <c r="I848" s="89" t="s">
        <v>7762</v>
      </c>
      <c r="J848" s="92" t="s">
        <v>3954</v>
      </c>
      <c r="K848" s="92"/>
      <c r="L848" s="92" t="s">
        <v>7763</v>
      </c>
      <c r="M848" s="92" t="s">
        <v>7764</v>
      </c>
      <c r="N848" s="93">
        <v>8221</v>
      </c>
      <c r="O848" s="94">
        <v>190000</v>
      </c>
      <c r="P848" s="94">
        <v>8400</v>
      </c>
      <c r="Q848" s="92" t="s">
        <v>765</v>
      </c>
      <c r="R848" s="92" t="s">
        <v>7765</v>
      </c>
      <c r="S848" s="89" t="s">
        <v>7766</v>
      </c>
      <c r="T848" s="89" t="s">
        <v>7767</v>
      </c>
    </row>
    <row r="849" spans="1:20" ht="30" customHeight="1" x14ac:dyDescent="0.35">
      <c r="A849" s="88">
        <v>822248</v>
      </c>
      <c r="B849" s="89" t="s">
        <v>7768</v>
      </c>
      <c r="C849" s="89" t="s">
        <v>7769</v>
      </c>
      <c r="D849" s="90" t="s">
        <v>3978</v>
      </c>
      <c r="E849" s="89" t="s">
        <v>3546</v>
      </c>
      <c r="F849" s="89"/>
      <c r="G849" s="89" t="s">
        <v>3547</v>
      </c>
      <c r="H849" s="91">
        <v>8924</v>
      </c>
      <c r="I849" s="89" t="s">
        <v>7770</v>
      </c>
      <c r="J849" s="92" t="s">
        <v>4058</v>
      </c>
      <c r="K849" s="92"/>
      <c r="L849" s="92" t="s">
        <v>7771</v>
      </c>
      <c r="M849" s="92" t="s">
        <v>7772</v>
      </c>
      <c r="N849" s="93">
        <v>8924</v>
      </c>
      <c r="O849" s="94">
        <v>1</v>
      </c>
      <c r="P849" s="94">
        <v>1</v>
      </c>
      <c r="Q849" s="92" t="s">
        <v>3957</v>
      </c>
      <c r="R849" s="92" t="s">
        <v>7773</v>
      </c>
      <c r="S849" s="89" t="s">
        <v>643</v>
      </c>
      <c r="T849" s="89" t="s">
        <v>643</v>
      </c>
    </row>
    <row r="850" spans="1:20" ht="30" customHeight="1" x14ac:dyDescent="0.35">
      <c r="A850" s="88">
        <v>822265</v>
      </c>
      <c r="B850" s="89" t="s">
        <v>7774</v>
      </c>
      <c r="C850" s="89" t="s">
        <v>7775</v>
      </c>
      <c r="D850" s="90" t="s">
        <v>3949</v>
      </c>
      <c r="E850" s="89" t="s">
        <v>3549</v>
      </c>
      <c r="F850" s="89"/>
      <c r="G850" s="89" t="s">
        <v>3550</v>
      </c>
      <c r="H850" s="91">
        <v>8221</v>
      </c>
      <c r="I850" s="89" t="s">
        <v>7762</v>
      </c>
      <c r="J850" s="92" t="s">
        <v>3954</v>
      </c>
      <c r="K850" s="92"/>
      <c r="L850" s="92" t="s">
        <v>7763</v>
      </c>
      <c r="M850" s="92" t="s">
        <v>7764</v>
      </c>
      <c r="N850" s="93">
        <v>8221</v>
      </c>
      <c r="O850" s="94">
        <v>190000</v>
      </c>
      <c r="P850" s="94">
        <v>8400</v>
      </c>
      <c r="Q850" s="92" t="s">
        <v>765</v>
      </c>
      <c r="R850" s="92" t="s">
        <v>7776</v>
      </c>
      <c r="S850" s="89" t="s">
        <v>7777</v>
      </c>
      <c r="T850" s="91">
        <v>82212</v>
      </c>
    </row>
    <row r="851" spans="1:20" ht="30" customHeight="1" x14ac:dyDescent="0.35">
      <c r="A851" s="88">
        <v>822268</v>
      </c>
      <c r="B851" s="89" t="s">
        <v>7778</v>
      </c>
      <c r="C851" s="89" t="s">
        <v>7779</v>
      </c>
      <c r="D851" s="90" t="s">
        <v>3978</v>
      </c>
      <c r="E851" s="89" t="s">
        <v>3552</v>
      </c>
      <c r="F851" s="89"/>
      <c r="G851" s="89" t="s">
        <v>3553</v>
      </c>
      <c r="H851" s="91">
        <v>8924</v>
      </c>
      <c r="I851" s="89" t="s">
        <v>7770</v>
      </c>
      <c r="J851" s="92" t="s">
        <v>4058</v>
      </c>
      <c r="K851" s="92"/>
      <c r="L851" s="92" t="s">
        <v>7771</v>
      </c>
      <c r="M851" s="92" t="s">
        <v>7772</v>
      </c>
      <c r="N851" s="93">
        <v>8924</v>
      </c>
      <c r="O851" s="94">
        <v>1</v>
      </c>
      <c r="P851" s="94">
        <v>1</v>
      </c>
      <c r="Q851" s="92" t="s">
        <v>3957</v>
      </c>
      <c r="R851" s="92" t="s">
        <v>7780</v>
      </c>
      <c r="S851" s="89" t="s">
        <v>643</v>
      </c>
      <c r="T851" s="91">
        <v>82210</v>
      </c>
    </row>
    <row r="852" spans="1:20" ht="30" customHeight="1" x14ac:dyDescent="0.35">
      <c r="A852" s="88">
        <v>823111</v>
      </c>
      <c r="B852" s="89" t="s">
        <v>7781</v>
      </c>
      <c r="C852" s="89" t="s">
        <v>7782</v>
      </c>
      <c r="D852" s="90" t="s">
        <v>3978</v>
      </c>
      <c r="E852" s="89" t="s">
        <v>3555</v>
      </c>
      <c r="F852" s="89"/>
      <c r="G852" s="89" t="s">
        <v>3556</v>
      </c>
      <c r="H852" s="91">
        <v>8231</v>
      </c>
      <c r="I852" s="89" t="s">
        <v>7783</v>
      </c>
      <c r="J852" s="92" t="s">
        <v>7739</v>
      </c>
      <c r="K852" s="92"/>
      <c r="L852" s="92" t="s">
        <v>7740</v>
      </c>
      <c r="M852" s="92" t="s">
        <v>7741</v>
      </c>
      <c r="N852" s="93">
        <v>8231</v>
      </c>
      <c r="O852" s="94">
        <v>150000000</v>
      </c>
      <c r="P852" s="94">
        <v>62000000</v>
      </c>
      <c r="Q852" s="92" t="s">
        <v>3957</v>
      </c>
      <c r="R852" s="92" t="s">
        <v>7784</v>
      </c>
      <c r="S852" s="91">
        <v>82310</v>
      </c>
      <c r="T852" s="91">
        <v>82310</v>
      </c>
    </row>
    <row r="853" spans="1:20" ht="30" customHeight="1" x14ac:dyDescent="0.35">
      <c r="A853" s="88">
        <v>823243</v>
      </c>
      <c r="B853" s="89" t="s">
        <v>7785</v>
      </c>
      <c r="C853" s="89" t="s">
        <v>7786</v>
      </c>
      <c r="D853" s="90" t="s">
        <v>4077</v>
      </c>
      <c r="E853" s="89" t="s">
        <v>3558</v>
      </c>
      <c r="F853" s="89"/>
      <c r="G853" s="89" t="s">
        <v>3559</v>
      </c>
      <c r="H853" s="91">
        <v>8910</v>
      </c>
      <c r="I853" s="89" t="s">
        <v>7629</v>
      </c>
      <c r="J853" s="92" t="s">
        <v>883</v>
      </c>
      <c r="K853" s="92"/>
      <c r="L853" s="92" t="s">
        <v>7630</v>
      </c>
      <c r="M853" s="92" t="s">
        <v>5788</v>
      </c>
      <c r="N853" s="93">
        <v>8910</v>
      </c>
      <c r="O853" s="94">
        <v>150000</v>
      </c>
      <c r="P853" s="94">
        <v>1300</v>
      </c>
      <c r="Q853" s="92" t="s">
        <v>3957</v>
      </c>
      <c r="R853" s="92" t="s">
        <v>7787</v>
      </c>
      <c r="S853" s="89" t="s">
        <v>643</v>
      </c>
      <c r="T853" s="89" t="s">
        <v>643</v>
      </c>
    </row>
    <row r="854" spans="1:20" ht="30" customHeight="1" x14ac:dyDescent="0.35">
      <c r="A854" s="88">
        <v>823244</v>
      </c>
      <c r="B854" s="89" t="s">
        <v>7788</v>
      </c>
      <c r="C854" s="89" t="s">
        <v>7789</v>
      </c>
      <c r="D854" s="90" t="s">
        <v>3978</v>
      </c>
      <c r="E854" s="89" t="s">
        <v>3561</v>
      </c>
      <c r="F854" s="89"/>
      <c r="G854" s="89" t="s">
        <v>3562</v>
      </c>
      <c r="H854" s="91">
        <v>8232</v>
      </c>
      <c r="I854" s="89" t="s">
        <v>7790</v>
      </c>
      <c r="J854" s="92" t="s">
        <v>4058</v>
      </c>
      <c r="K854" s="92"/>
      <c r="L854" s="92" t="s">
        <v>7791</v>
      </c>
      <c r="M854" s="92" t="s">
        <v>7792</v>
      </c>
      <c r="N854" s="93">
        <v>8232</v>
      </c>
      <c r="O854" s="94">
        <v>1</v>
      </c>
      <c r="P854" s="94">
        <v>1</v>
      </c>
      <c r="Q854" s="92" t="s">
        <v>3957</v>
      </c>
      <c r="R854" s="92" t="s">
        <v>7793</v>
      </c>
      <c r="S854" s="89" t="s">
        <v>643</v>
      </c>
      <c r="T854" s="91">
        <v>82320</v>
      </c>
    </row>
    <row r="855" spans="1:20" ht="30" customHeight="1" x14ac:dyDescent="0.35">
      <c r="A855" s="88">
        <v>823248</v>
      </c>
      <c r="B855" s="89" t="s">
        <v>7794</v>
      </c>
      <c r="C855" s="89" t="s">
        <v>7795</v>
      </c>
      <c r="D855" s="90" t="s">
        <v>4077</v>
      </c>
      <c r="E855" s="89" t="s">
        <v>3564</v>
      </c>
      <c r="F855" s="89"/>
      <c r="G855" s="89" t="s">
        <v>3565</v>
      </c>
      <c r="H855" s="91">
        <v>8910</v>
      </c>
      <c r="I855" s="89" t="s">
        <v>7629</v>
      </c>
      <c r="J855" s="92" t="s">
        <v>883</v>
      </c>
      <c r="K855" s="92"/>
      <c r="L855" s="92" t="s">
        <v>7630</v>
      </c>
      <c r="M855" s="92" t="s">
        <v>5788</v>
      </c>
      <c r="N855" s="93">
        <v>8910</v>
      </c>
      <c r="O855" s="94">
        <v>150000</v>
      </c>
      <c r="P855" s="94">
        <v>1300</v>
      </c>
      <c r="Q855" s="92" t="s">
        <v>3957</v>
      </c>
      <c r="R855" s="92" t="s">
        <v>7796</v>
      </c>
      <c r="S855" s="89" t="s">
        <v>643</v>
      </c>
      <c r="T855" s="89" t="s">
        <v>643</v>
      </c>
    </row>
    <row r="856" spans="1:20" ht="30" customHeight="1" x14ac:dyDescent="0.35">
      <c r="A856" s="88">
        <v>824462</v>
      </c>
      <c r="B856" s="89" t="s">
        <v>7797</v>
      </c>
      <c r="C856" s="89" t="s">
        <v>7798</v>
      </c>
      <c r="D856" s="90" t="s">
        <v>4077</v>
      </c>
      <c r="E856" s="89" t="s">
        <v>3567</v>
      </c>
      <c r="F856" s="89"/>
      <c r="G856" s="89" t="s">
        <v>3568</v>
      </c>
      <c r="H856" s="91">
        <v>8910</v>
      </c>
      <c r="I856" s="89" t="s">
        <v>7629</v>
      </c>
      <c r="J856" s="92" t="s">
        <v>883</v>
      </c>
      <c r="K856" s="92"/>
      <c r="L856" s="92" t="s">
        <v>7630</v>
      </c>
      <c r="M856" s="92" t="s">
        <v>5788</v>
      </c>
      <c r="N856" s="93">
        <v>8910</v>
      </c>
      <c r="O856" s="94">
        <v>150000</v>
      </c>
      <c r="P856" s="94">
        <v>1300</v>
      </c>
      <c r="Q856" s="92" t="s">
        <v>3957</v>
      </c>
      <c r="R856" s="92" t="s">
        <v>7799</v>
      </c>
      <c r="S856" s="89" t="s">
        <v>643</v>
      </c>
      <c r="T856" s="89" t="s">
        <v>643</v>
      </c>
    </row>
    <row r="857" spans="1:20" ht="30" customHeight="1" x14ac:dyDescent="0.35">
      <c r="A857" s="88">
        <v>824464</v>
      </c>
      <c r="B857" s="89" t="s">
        <v>7800</v>
      </c>
      <c r="C857" s="89" t="s">
        <v>7800</v>
      </c>
      <c r="D857" s="90" t="s">
        <v>3949</v>
      </c>
      <c r="E857" s="89" t="s">
        <v>3570</v>
      </c>
      <c r="F857" s="89"/>
      <c r="G857" s="89" t="s">
        <v>3571</v>
      </c>
      <c r="H857" s="91">
        <v>8241</v>
      </c>
      <c r="I857" s="89" t="s">
        <v>7801</v>
      </c>
      <c r="J857" s="92" t="s">
        <v>3954</v>
      </c>
      <c r="K857" s="92"/>
      <c r="L857" s="92" t="s">
        <v>7802</v>
      </c>
      <c r="M857" s="92" t="s">
        <v>7803</v>
      </c>
      <c r="N857" s="93">
        <v>8241</v>
      </c>
      <c r="O857" s="94">
        <v>320000</v>
      </c>
      <c r="P857" s="94">
        <v>3700</v>
      </c>
      <c r="Q857" s="92" t="s">
        <v>765</v>
      </c>
      <c r="R857" s="92" t="s">
        <v>7804</v>
      </c>
      <c r="S857" s="91">
        <v>82410</v>
      </c>
      <c r="T857" s="91">
        <v>82410</v>
      </c>
    </row>
    <row r="858" spans="1:20" ht="30" customHeight="1" x14ac:dyDescent="0.35">
      <c r="A858" s="88">
        <v>824466</v>
      </c>
      <c r="B858" s="89" t="s">
        <v>7805</v>
      </c>
      <c r="C858" s="89" t="s">
        <v>7806</v>
      </c>
      <c r="D858" s="90" t="s">
        <v>4077</v>
      </c>
      <c r="E858" s="89" t="s">
        <v>3573</v>
      </c>
      <c r="F858" s="89"/>
      <c r="G858" s="89" t="s">
        <v>3574</v>
      </c>
      <c r="H858" s="91">
        <v>8910</v>
      </c>
      <c r="I858" s="89" t="s">
        <v>7629</v>
      </c>
      <c r="J858" s="92" t="s">
        <v>883</v>
      </c>
      <c r="K858" s="92"/>
      <c r="L858" s="92" t="s">
        <v>7630</v>
      </c>
      <c r="M858" s="92" t="s">
        <v>5788</v>
      </c>
      <c r="N858" s="93">
        <v>8910</v>
      </c>
      <c r="O858" s="94">
        <v>150000</v>
      </c>
      <c r="P858" s="94">
        <v>1300</v>
      </c>
      <c r="Q858" s="92" t="s">
        <v>3957</v>
      </c>
      <c r="R858" s="92" t="s">
        <v>7807</v>
      </c>
      <c r="S858" s="89" t="s">
        <v>643</v>
      </c>
      <c r="T858" s="89" t="s">
        <v>643</v>
      </c>
    </row>
    <row r="859" spans="1:20" ht="30" customHeight="1" x14ac:dyDescent="0.35">
      <c r="A859" s="88">
        <v>824468</v>
      </c>
      <c r="B859" s="89" t="s">
        <v>7808</v>
      </c>
      <c r="C859" s="89" t="s">
        <v>7809</v>
      </c>
      <c r="D859" s="90" t="s">
        <v>4077</v>
      </c>
      <c r="E859" s="89" t="s">
        <v>3576</v>
      </c>
      <c r="F859" s="89"/>
      <c r="G859" s="89" t="s">
        <v>3577</v>
      </c>
      <c r="H859" s="91">
        <v>8910</v>
      </c>
      <c r="I859" s="89" t="s">
        <v>7629</v>
      </c>
      <c r="J859" s="92" t="s">
        <v>883</v>
      </c>
      <c r="K859" s="92"/>
      <c r="L859" s="92" t="s">
        <v>7630</v>
      </c>
      <c r="M859" s="92" t="s">
        <v>5788</v>
      </c>
      <c r="N859" s="93">
        <v>8910</v>
      </c>
      <c r="O859" s="94">
        <v>150000</v>
      </c>
      <c r="P859" s="94">
        <v>1300</v>
      </c>
      <c r="Q859" s="92" t="s">
        <v>3957</v>
      </c>
      <c r="R859" s="92" t="s">
        <v>7810</v>
      </c>
      <c r="S859" s="89" t="s">
        <v>643</v>
      </c>
      <c r="T859" s="89" t="s">
        <v>643</v>
      </c>
    </row>
    <row r="860" spans="1:20" ht="30" customHeight="1" x14ac:dyDescent="0.35">
      <c r="A860" s="88">
        <v>826121</v>
      </c>
      <c r="B860" s="89" t="s">
        <v>7811</v>
      </c>
      <c r="C860" s="89" t="s">
        <v>7812</v>
      </c>
      <c r="D860" s="90" t="s">
        <v>3978</v>
      </c>
      <c r="E860" s="89" t="s">
        <v>3579</v>
      </c>
      <c r="F860" s="89"/>
      <c r="G860" s="89" t="s">
        <v>909</v>
      </c>
      <c r="H860" s="91">
        <v>8261</v>
      </c>
      <c r="I860" s="89" t="s">
        <v>7813</v>
      </c>
      <c r="J860" s="92" t="s">
        <v>6163</v>
      </c>
      <c r="K860" s="92"/>
      <c r="L860" s="92" t="s">
        <v>7814</v>
      </c>
      <c r="M860" s="92" t="s">
        <v>7815</v>
      </c>
      <c r="N860" s="93">
        <v>8261</v>
      </c>
      <c r="O860" s="94">
        <v>4600</v>
      </c>
      <c r="P860" s="94">
        <v>260</v>
      </c>
      <c r="Q860" s="92" t="s">
        <v>3957</v>
      </c>
      <c r="R860" s="92" t="s">
        <v>7816</v>
      </c>
      <c r="S860" s="91">
        <v>82610</v>
      </c>
      <c r="T860" s="91">
        <v>82620</v>
      </c>
    </row>
    <row r="861" spans="1:20" ht="30" customHeight="1" x14ac:dyDescent="0.35">
      <c r="A861" s="88">
        <v>826123</v>
      </c>
      <c r="B861" s="89" t="s">
        <v>7817</v>
      </c>
      <c r="C861" s="89" t="s">
        <v>7818</v>
      </c>
      <c r="D861" s="90" t="s">
        <v>3978</v>
      </c>
      <c r="E861" s="89" t="s">
        <v>3581</v>
      </c>
      <c r="F861" s="89"/>
      <c r="G861" s="89" t="s">
        <v>3582</v>
      </c>
      <c r="H861" s="91">
        <v>8261</v>
      </c>
      <c r="I861" s="89" t="s">
        <v>7813</v>
      </c>
      <c r="J861" s="92" t="s">
        <v>6163</v>
      </c>
      <c r="K861" s="92"/>
      <c r="L861" s="92" t="s">
        <v>7814</v>
      </c>
      <c r="M861" s="92" t="s">
        <v>7815</v>
      </c>
      <c r="N861" s="93">
        <v>8261</v>
      </c>
      <c r="O861" s="94">
        <v>4600</v>
      </c>
      <c r="P861" s="94">
        <v>260</v>
      </c>
      <c r="Q861" s="92" t="s">
        <v>3957</v>
      </c>
      <c r="R861" s="92" t="s">
        <v>7819</v>
      </c>
      <c r="S861" s="91">
        <v>82610</v>
      </c>
      <c r="T861" s="91">
        <v>82620</v>
      </c>
    </row>
    <row r="862" spans="1:20" ht="30" customHeight="1" x14ac:dyDescent="0.35">
      <c r="A862" s="88">
        <v>827111</v>
      </c>
      <c r="B862" s="89" t="s">
        <v>7820</v>
      </c>
      <c r="C862" s="89" t="s">
        <v>7821</v>
      </c>
      <c r="D862" s="90" t="s">
        <v>3949</v>
      </c>
      <c r="E862" s="89" t="s">
        <v>3584</v>
      </c>
      <c r="F862" s="89"/>
      <c r="G862" s="89" t="s">
        <v>3585</v>
      </c>
      <c r="H862" s="91">
        <v>8271</v>
      </c>
      <c r="I862" s="89" t="s">
        <v>7822</v>
      </c>
      <c r="J862" s="92" t="s">
        <v>3954</v>
      </c>
      <c r="K862" s="92"/>
      <c r="L862" s="92" t="s">
        <v>7823</v>
      </c>
      <c r="M862" s="92" t="s">
        <v>7824</v>
      </c>
      <c r="N862" s="93">
        <v>8271</v>
      </c>
      <c r="O862" s="94">
        <v>18000</v>
      </c>
      <c r="P862" s="94">
        <v>1700</v>
      </c>
      <c r="Q862" s="92" t="s">
        <v>3957</v>
      </c>
      <c r="R862" s="92" t="s">
        <v>7825</v>
      </c>
      <c r="S862" s="91">
        <v>82710</v>
      </c>
      <c r="T862" s="91">
        <v>82720</v>
      </c>
    </row>
    <row r="863" spans="1:20" ht="30" customHeight="1" x14ac:dyDescent="0.35">
      <c r="A863" s="88">
        <v>831155</v>
      </c>
      <c r="B863" s="89" t="s">
        <v>7826</v>
      </c>
      <c r="C863" s="89" t="s">
        <v>7827</v>
      </c>
      <c r="D863" s="90" t="s">
        <v>3978</v>
      </c>
      <c r="E863" s="89" t="s">
        <v>3587</v>
      </c>
      <c r="F863" s="89" t="s">
        <v>7828</v>
      </c>
      <c r="G863" s="89" t="s">
        <v>3588</v>
      </c>
      <c r="H863" s="91">
        <v>8312</v>
      </c>
      <c r="I863" s="89" t="s">
        <v>7829</v>
      </c>
      <c r="J863" s="92" t="s">
        <v>7830</v>
      </c>
      <c r="K863" s="92"/>
      <c r="L863" s="92" t="s">
        <v>7831</v>
      </c>
      <c r="M863" s="92" t="s">
        <v>7832</v>
      </c>
      <c r="N863" s="93">
        <v>8312</v>
      </c>
      <c r="O863" s="94">
        <v>3000</v>
      </c>
      <c r="P863" s="94">
        <v>300</v>
      </c>
      <c r="Q863" s="92" t="s">
        <v>3957</v>
      </c>
      <c r="R863" s="92" t="s">
        <v>7833</v>
      </c>
      <c r="S863" s="91">
        <v>83140</v>
      </c>
      <c r="T863" s="91">
        <v>83115</v>
      </c>
    </row>
    <row r="864" spans="1:20" ht="30" customHeight="1" x14ac:dyDescent="0.35">
      <c r="A864" s="88">
        <v>831157</v>
      </c>
      <c r="B864" s="89" t="s">
        <v>7834</v>
      </c>
      <c r="C864" s="89" t="s">
        <v>7835</v>
      </c>
      <c r="D864" s="90" t="s">
        <v>3978</v>
      </c>
      <c r="E864" s="89" t="s">
        <v>7836</v>
      </c>
      <c r="F864" s="89"/>
      <c r="G864" s="89" t="s">
        <v>3591</v>
      </c>
      <c r="H864" s="91">
        <v>8313</v>
      </c>
      <c r="I864" s="89" t="s">
        <v>7837</v>
      </c>
      <c r="J864" s="92" t="s">
        <v>7830</v>
      </c>
      <c r="K864" s="92"/>
      <c r="L864" s="92" t="s">
        <v>7838</v>
      </c>
      <c r="M864" s="92" t="s">
        <v>7839</v>
      </c>
      <c r="N864" s="93">
        <v>8313</v>
      </c>
      <c r="O864" s="94">
        <v>10400</v>
      </c>
      <c r="P864" s="94">
        <v>220</v>
      </c>
      <c r="Q864" s="92" t="s">
        <v>3957</v>
      </c>
      <c r="R864" s="92" t="s">
        <v>7840</v>
      </c>
      <c r="S864" s="89" t="s">
        <v>7841</v>
      </c>
      <c r="T864" s="89" t="s">
        <v>7842</v>
      </c>
    </row>
    <row r="865" spans="1:20" ht="30" customHeight="1" x14ac:dyDescent="0.35">
      <c r="A865" s="88">
        <v>831165</v>
      </c>
      <c r="B865" s="89" t="s">
        <v>7843</v>
      </c>
      <c r="C865" s="89" t="s">
        <v>7844</v>
      </c>
      <c r="D865" s="90" t="s">
        <v>3978</v>
      </c>
      <c r="E865" s="89" t="s">
        <v>3593</v>
      </c>
      <c r="F865" s="89"/>
      <c r="G865" s="89" t="s">
        <v>3594</v>
      </c>
      <c r="H865" s="91">
        <v>8311</v>
      </c>
      <c r="I865" s="89" t="s">
        <v>7845</v>
      </c>
      <c r="J865" s="92" t="s">
        <v>7830</v>
      </c>
      <c r="K865" s="92"/>
      <c r="L865" s="92" t="s">
        <v>7831</v>
      </c>
      <c r="M865" s="92" t="s">
        <v>7832</v>
      </c>
      <c r="N865" s="93">
        <v>8311</v>
      </c>
      <c r="O865" s="94">
        <v>15000</v>
      </c>
      <c r="P865" s="94">
        <v>860</v>
      </c>
      <c r="Q865" s="92" t="s">
        <v>3957</v>
      </c>
      <c r="R865" s="92" t="s">
        <v>7846</v>
      </c>
      <c r="S865" s="89" t="s">
        <v>7847</v>
      </c>
      <c r="T865" s="91">
        <v>83110</v>
      </c>
    </row>
    <row r="866" spans="1:20" ht="30" customHeight="1" x14ac:dyDescent="0.35">
      <c r="A866" s="88">
        <v>831168</v>
      </c>
      <c r="B866" s="89" t="s">
        <v>7848</v>
      </c>
      <c r="C866" s="89" t="s">
        <v>7849</v>
      </c>
      <c r="D866" s="90" t="s">
        <v>4077</v>
      </c>
      <c r="E866" s="89" t="s">
        <v>3596</v>
      </c>
      <c r="F866" s="89"/>
      <c r="G866" s="89" t="s">
        <v>3597</v>
      </c>
      <c r="H866" s="91">
        <v>8910</v>
      </c>
      <c r="I866" s="89" t="s">
        <v>7629</v>
      </c>
      <c r="J866" s="92" t="s">
        <v>883</v>
      </c>
      <c r="K866" s="92"/>
      <c r="L866" s="92" t="s">
        <v>7630</v>
      </c>
      <c r="M866" s="92" t="s">
        <v>5788</v>
      </c>
      <c r="N866" s="93">
        <v>8910</v>
      </c>
      <c r="O866" s="94">
        <v>150000</v>
      </c>
      <c r="P866" s="94">
        <v>1300</v>
      </c>
      <c r="Q866" s="92" t="s">
        <v>3957</v>
      </c>
      <c r="R866" s="92" t="s">
        <v>7850</v>
      </c>
      <c r="S866" s="89" t="s">
        <v>7851</v>
      </c>
      <c r="T866" s="89" t="s">
        <v>7852</v>
      </c>
    </row>
    <row r="867" spans="1:20" ht="30" customHeight="1" x14ac:dyDescent="0.35">
      <c r="A867" s="88">
        <v>831169</v>
      </c>
      <c r="B867" s="89" t="s">
        <v>7853</v>
      </c>
      <c r="C867" s="89" t="s">
        <v>7853</v>
      </c>
      <c r="D867" s="90" t="s">
        <v>3978</v>
      </c>
      <c r="E867" s="89" t="s">
        <v>3599</v>
      </c>
      <c r="F867" s="89" t="s">
        <v>7854</v>
      </c>
      <c r="G867" s="89" t="s">
        <v>3600</v>
      </c>
      <c r="H867" s="91">
        <v>8314</v>
      </c>
      <c r="I867" s="89" t="s">
        <v>7855</v>
      </c>
      <c r="J867" s="92" t="s">
        <v>4126</v>
      </c>
      <c r="K867" s="92"/>
      <c r="L867" s="92" t="s">
        <v>7856</v>
      </c>
      <c r="M867" s="92" t="s">
        <v>7857</v>
      </c>
      <c r="N867" s="93">
        <v>8314</v>
      </c>
      <c r="O867" s="94">
        <v>750000</v>
      </c>
      <c r="P867" s="94">
        <v>19000</v>
      </c>
      <c r="Q867" s="92" t="s">
        <v>3957</v>
      </c>
      <c r="R867" s="92" t="s">
        <v>7858</v>
      </c>
      <c r="S867" s="91">
        <v>83120</v>
      </c>
      <c r="T867" s="91">
        <v>83130</v>
      </c>
    </row>
    <row r="868" spans="1:20" ht="30" customHeight="1" x14ac:dyDescent="0.35">
      <c r="A868" s="88">
        <v>831171</v>
      </c>
      <c r="B868" s="89" t="s">
        <v>7859</v>
      </c>
      <c r="C868" s="89" t="s">
        <v>7860</v>
      </c>
      <c r="D868" s="90" t="s">
        <v>3978</v>
      </c>
      <c r="E868" s="89" t="s">
        <v>3602</v>
      </c>
      <c r="F868" s="89"/>
      <c r="G868" s="89" t="s">
        <v>3603</v>
      </c>
      <c r="H868" s="91">
        <v>8926</v>
      </c>
      <c r="I868" s="89" t="s">
        <v>6405</v>
      </c>
      <c r="J868" s="92" t="s">
        <v>4058</v>
      </c>
      <c r="K868" s="92"/>
      <c r="L868" s="92" t="s">
        <v>7861</v>
      </c>
      <c r="M868" s="92" t="s">
        <v>7862</v>
      </c>
      <c r="N868" s="93">
        <v>8926</v>
      </c>
      <c r="O868" s="94">
        <v>1</v>
      </c>
      <c r="P868" s="94">
        <v>1</v>
      </c>
      <c r="Q868" s="92" t="s">
        <v>3957</v>
      </c>
      <c r="R868" s="92" t="s">
        <v>7863</v>
      </c>
      <c r="S868" s="89" t="s">
        <v>643</v>
      </c>
      <c r="T868" s="91">
        <v>83140</v>
      </c>
    </row>
    <row r="869" spans="1:20" ht="30" customHeight="1" x14ac:dyDescent="0.35">
      <c r="A869" s="88">
        <v>831172</v>
      </c>
      <c r="B869" s="89" t="s">
        <v>7864</v>
      </c>
      <c r="C869" s="89" t="s">
        <v>7865</v>
      </c>
      <c r="D869" s="90" t="s">
        <v>3978</v>
      </c>
      <c r="E869" s="89" t="s">
        <v>3605</v>
      </c>
      <c r="F869" s="89"/>
      <c r="G869" s="89" t="s">
        <v>3606</v>
      </c>
      <c r="H869" s="91">
        <v>8926</v>
      </c>
      <c r="I869" s="89" t="s">
        <v>6405</v>
      </c>
      <c r="J869" s="92" t="s">
        <v>4058</v>
      </c>
      <c r="K869" s="92"/>
      <c r="L869" s="92" t="s">
        <v>7861</v>
      </c>
      <c r="M869" s="92" t="s">
        <v>7862</v>
      </c>
      <c r="N869" s="93">
        <v>8926</v>
      </c>
      <c r="O869" s="94">
        <v>1</v>
      </c>
      <c r="P869" s="94">
        <v>1</v>
      </c>
      <c r="Q869" s="92" t="s">
        <v>3957</v>
      </c>
      <c r="R869" s="92" t="s">
        <v>7866</v>
      </c>
      <c r="S869" s="89" t="s">
        <v>643</v>
      </c>
      <c r="T869" s="91">
        <v>83140</v>
      </c>
    </row>
    <row r="870" spans="1:20" ht="30" customHeight="1" x14ac:dyDescent="0.35">
      <c r="A870" s="88">
        <v>831173</v>
      </c>
      <c r="B870" s="89" t="s">
        <v>7867</v>
      </c>
      <c r="C870" s="89" t="s">
        <v>7868</v>
      </c>
      <c r="D870" s="90" t="s">
        <v>3978</v>
      </c>
      <c r="E870" s="89" t="s">
        <v>3608</v>
      </c>
      <c r="F870" s="89"/>
      <c r="G870" s="89" t="s">
        <v>3609</v>
      </c>
      <c r="H870" s="91">
        <v>8926</v>
      </c>
      <c r="I870" s="89" t="s">
        <v>6405</v>
      </c>
      <c r="J870" s="92" t="s">
        <v>4058</v>
      </c>
      <c r="K870" s="92"/>
      <c r="L870" s="92" t="s">
        <v>7861</v>
      </c>
      <c r="M870" s="92" t="s">
        <v>7862</v>
      </c>
      <c r="N870" s="93">
        <v>8926</v>
      </c>
      <c r="O870" s="94">
        <v>1</v>
      </c>
      <c r="P870" s="94">
        <v>1</v>
      </c>
      <c r="Q870" s="92" t="s">
        <v>3957</v>
      </c>
      <c r="R870" s="92" t="s">
        <v>7869</v>
      </c>
      <c r="S870" s="89" t="s">
        <v>643</v>
      </c>
      <c r="T870" s="89" t="s">
        <v>7870</v>
      </c>
    </row>
    <row r="871" spans="1:20" ht="30" customHeight="1" x14ac:dyDescent="0.35">
      <c r="A871" s="88">
        <v>831410</v>
      </c>
      <c r="B871" s="89" t="s">
        <v>7871</v>
      </c>
      <c r="C871" s="89" t="s">
        <v>7872</v>
      </c>
      <c r="D871" s="90" t="s">
        <v>3978</v>
      </c>
      <c r="E871" s="89" t="s">
        <v>7873</v>
      </c>
      <c r="F871" s="89"/>
      <c r="G871" s="89" t="s">
        <v>909</v>
      </c>
      <c r="H871" s="91">
        <v>8926</v>
      </c>
      <c r="I871" s="89" t="s">
        <v>6405</v>
      </c>
      <c r="J871" s="92" t="s">
        <v>4058</v>
      </c>
      <c r="K871" s="92"/>
      <c r="L871" s="92" t="s">
        <v>7861</v>
      </c>
      <c r="M871" s="92" t="s">
        <v>7862</v>
      </c>
      <c r="N871" s="93">
        <v>8926</v>
      </c>
      <c r="O871" s="94">
        <v>1</v>
      </c>
      <c r="P871" s="94">
        <v>1</v>
      </c>
      <c r="Q871" s="92" t="s">
        <v>3957</v>
      </c>
      <c r="R871" s="92" t="s">
        <v>7874</v>
      </c>
      <c r="S871" s="89" t="s">
        <v>3982</v>
      </c>
      <c r="T871" s="89" t="s">
        <v>3982</v>
      </c>
    </row>
    <row r="872" spans="1:20" ht="30" customHeight="1" x14ac:dyDescent="0.35">
      <c r="A872" s="88">
        <v>831511</v>
      </c>
      <c r="B872" s="89" t="s">
        <v>7875</v>
      </c>
      <c r="C872" s="89" t="s">
        <v>7876</v>
      </c>
      <c r="D872" s="90" t="s">
        <v>3978</v>
      </c>
      <c r="E872" s="89" t="s">
        <v>3613</v>
      </c>
      <c r="F872" s="89" t="s">
        <v>7877</v>
      </c>
      <c r="G872" s="89" t="s">
        <v>909</v>
      </c>
      <c r="H872" s="91">
        <v>8315</v>
      </c>
      <c r="I872" s="89" t="s">
        <v>7878</v>
      </c>
      <c r="J872" s="92" t="s">
        <v>4126</v>
      </c>
      <c r="K872" s="92"/>
      <c r="L872" s="92" t="s">
        <v>7879</v>
      </c>
      <c r="M872" s="92" t="s">
        <v>7741</v>
      </c>
      <c r="N872" s="93">
        <v>8315</v>
      </c>
      <c r="O872" s="94">
        <v>1300000</v>
      </c>
      <c r="P872" s="94">
        <v>540000</v>
      </c>
      <c r="Q872" s="92" t="s">
        <v>3957</v>
      </c>
      <c r="R872" s="92" t="s">
        <v>7880</v>
      </c>
      <c r="S872" s="91">
        <v>83130</v>
      </c>
      <c r="T872" s="91">
        <v>83131</v>
      </c>
    </row>
    <row r="873" spans="1:20" ht="30" customHeight="1" x14ac:dyDescent="0.35">
      <c r="A873" s="88">
        <v>832255</v>
      </c>
      <c r="B873" s="89" t="s">
        <v>7881</v>
      </c>
      <c r="C873" s="89" t="s">
        <v>7882</v>
      </c>
      <c r="D873" s="90" t="s">
        <v>3949</v>
      </c>
      <c r="E873" s="89" t="s">
        <v>3615</v>
      </c>
      <c r="F873" s="89"/>
      <c r="G873" s="89" t="s">
        <v>3616</v>
      </c>
      <c r="H873" s="91">
        <v>8321</v>
      </c>
      <c r="I873" s="89" t="s">
        <v>7883</v>
      </c>
      <c r="J873" s="92" t="s">
        <v>3954</v>
      </c>
      <c r="K873" s="92"/>
      <c r="L873" s="92" t="s">
        <v>7884</v>
      </c>
      <c r="M873" s="92" t="s">
        <v>7885</v>
      </c>
      <c r="N873" s="93">
        <v>8321</v>
      </c>
      <c r="O873" s="94">
        <v>500000</v>
      </c>
      <c r="P873" s="94">
        <v>4000</v>
      </c>
      <c r="Q873" s="92" t="s">
        <v>765</v>
      </c>
      <c r="R873" s="92" t="s">
        <v>7886</v>
      </c>
      <c r="S873" s="91">
        <v>83240</v>
      </c>
      <c r="T873" s="91">
        <v>83240</v>
      </c>
    </row>
    <row r="874" spans="1:20" ht="30" customHeight="1" x14ac:dyDescent="0.35">
      <c r="A874" s="88">
        <v>832266</v>
      </c>
      <c r="B874" s="89" t="s">
        <v>7887</v>
      </c>
      <c r="C874" s="89" t="s">
        <v>7888</v>
      </c>
      <c r="D874" s="90" t="s">
        <v>3949</v>
      </c>
      <c r="E874" s="89" t="s">
        <v>3618</v>
      </c>
      <c r="F874" s="89"/>
      <c r="G874" s="89" t="s">
        <v>3619</v>
      </c>
      <c r="H874" s="91">
        <v>8321</v>
      </c>
      <c r="I874" s="89" t="s">
        <v>7883</v>
      </c>
      <c r="J874" s="92" t="s">
        <v>3954</v>
      </c>
      <c r="K874" s="92"/>
      <c r="L874" s="92" t="s">
        <v>7884</v>
      </c>
      <c r="M874" s="92" t="s">
        <v>7885</v>
      </c>
      <c r="N874" s="93">
        <v>8321</v>
      </c>
      <c r="O874" s="94">
        <v>500000</v>
      </c>
      <c r="P874" s="94">
        <v>4000</v>
      </c>
      <c r="Q874" s="92" t="s">
        <v>765</v>
      </c>
      <c r="R874" s="92" t="s">
        <v>7889</v>
      </c>
      <c r="S874" s="89" t="s">
        <v>7890</v>
      </c>
      <c r="T874" s="91">
        <v>83210</v>
      </c>
    </row>
    <row r="875" spans="1:20" ht="32.25" customHeight="1" x14ac:dyDescent="0.35">
      <c r="A875" s="88">
        <v>832267</v>
      </c>
      <c r="B875" s="89" t="s">
        <v>7891</v>
      </c>
      <c r="C875" s="89" t="s">
        <v>7892</v>
      </c>
      <c r="D875" s="90" t="s">
        <v>3978</v>
      </c>
      <c r="E875" s="89" t="s">
        <v>3621</v>
      </c>
      <c r="F875" s="89" t="s">
        <v>7893</v>
      </c>
      <c r="G875" s="89" t="s">
        <v>3622</v>
      </c>
      <c r="H875" s="91">
        <v>8316</v>
      </c>
      <c r="I875" s="89" t="s">
        <v>7894</v>
      </c>
      <c r="J875" s="92" t="s">
        <v>4058</v>
      </c>
      <c r="K875" s="92"/>
      <c r="L875" s="92" t="s">
        <v>7895</v>
      </c>
      <c r="M875" s="92" t="s">
        <v>7896</v>
      </c>
      <c r="N875" s="93">
        <v>8316</v>
      </c>
      <c r="O875" s="94">
        <v>12</v>
      </c>
      <c r="P875" s="94">
        <v>1</v>
      </c>
      <c r="Q875" s="92" t="s">
        <v>3957</v>
      </c>
      <c r="R875" s="92" t="s">
        <v>7897</v>
      </c>
      <c r="S875" s="91">
        <v>83150</v>
      </c>
      <c r="T875" s="89" t="s">
        <v>7898</v>
      </c>
    </row>
    <row r="876" spans="1:20" ht="30" customHeight="1" x14ac:dyDescent="0.35">
      <c r="A876" s="88">
        <v>833101</v>
      </c>
      <c r="B876" s="89" t="s">
        <v>7899</v>
      </c>
      <c r="C876" s="89" t="s">
        <v>7899</v>
      </c>
      <c r="D876" s="90" t="s">
        <v>3978</v>
      </c>
      <c r="E876" s="89" t="s">
        <v>3624</v>
      </c>
      <c r="F876" s="89"/>
      <c r="G876" s="89" t="s">
        <v>909</v>
      </c>
      <c r="H876" s="91">
        <v>8331</v>
      </c>
      <c r="I876" s="89" t="s">
        <v>7900</v>
      </c>
      <c r="J876" s="92" t="s">
        <v>4058</v>
      </c>
      <c r="K876" s="92"/>
      <c r="L876" s="92" t="s">
        <v>7901</v>
      </c>
      <c r="M876" s="92" t="s">
        <v>7902</v>
      </c>
      <c r="N876" s="93">
        <v>8331</v>
      </c>
      <c r="O876" s="94">
        <v>1</v>
      </c>
      <c r="P876" s="94">
        <v>1</v>
      </c>
      <c r="Q876" s="92" t="s">
        <v>3957</v>
      </c>
      <c r="R876" s="92" t="s">
        <v>7903</v>
      </c>
      <c r="S876" s="91">
        <v>83320</v>
      </c>
      <c r="T876" s="91">
        <v>73082</v>
      </c>
    </row>
    <row r="877" spans="1:20" ht="30" customHeight="1" x14ac:dyDescent="0.35">
      <c r="A877" s="88">
        <v>833221</v>
      </c>
      <c r="B877" s="89" t="s">
        <v>7904</v>
      </c>
      <c r="C877" s="89" t="s">
        <v>7905</v>
      </c>
      <c r="D877" s="90" t="s">
        <v>3978</v>
      </c>
      <c r="E877" s="89" t="s">
        <v>7906</v>
      </c>
      <c r="F877" s="89" t="s">
        <v>7907</v>
      </c>
      <c r="G877" s="89" t="s">
        <v>909</v>
      </c>
      <c r="H877" s="91">
        <v>8332</v>
      </c>
      <c r="I877" s="89" t="s">
        <v>7908</v>
      </c>
      <c r="J877" s="92" t="s">
        <v>7909</v>
      </c>
      <c r="K877" s="92"/>
      <c r="L877" s="92" t="s">
        <v>7910</v>
      </c>
      <c r="M877" s="92" t="s">
        <v>7911</v>
      </c>
      <c r="N877" s="93">
        <v>8332</v>
      </c>
      <c r="O877" s="94">
        <v>33</v>
      </c>
      <c r="P877" s="94">
        <v>7</v>
      </c>
      <c r="Q877" s="92" t="s">
        <v>3957</v>
      </c>
      <c r="R877" s="92" t="s">
        <v>7912</v>
      </c>
      <c r="S877" s="91">
        <v>83310</v>
      </c>
      <c r="T877" s="89" t="s">
        <v>7913</v>
      </c>
    </row>
    <row r="878" spans="1:20" ht="30" customHeight="1" x14ac:dyDescent="0.35">
      <c r="A878" s="88">
        <v>833300</v>
      </c>
      <c r="B878" s="89" t="s">
        <v>7914</v>
      </c>
      <c r="C878" s="89" t="s">
        <v>7914</v>
      </c>
      <c r="D878" s="90" t="s">
        <v>3949</v>
      </c>
      <c r="E878" s="89" t="s">
        <v>3628</v>
      </c>
      <c r="F878" s="89"/>
      <c r="G878" s="89" t="s">
        <v>909</v>
      </c>
      <c r="H878" s="91">
        <v>8526</v>
      </c>
      <c r="I878" s="89" t="s">
        <v>4348</v>
      </c>
      <c r="J878" s="92" t="s">
        <v>3953</v>
      </c>
      <c r="K878" s="92"/>
      <c r="L878" s="92" t="s">
        <v>4349</v>
      </c>
      <c r="M878" s="92" t="s">
        <v>4350</v>
      </c>
      <c r="N878" s="93">
        <v>8526</v>
      </c>
      <c r="O878" s="94">
        <v>160000</v>
      </c>
      <c r="P878" s="94">
        <v>530</v>
      </c>
      <c r="Q878" s="92" t="s">
        <v>765</v>
      </c>
      <c r="R878" s="92" t="s">
        <v>7915</v>
      </c>
      <c r="S878" s="91">
        <v>85225</v>
      </c>
      <c r="T878" s="91">
        <v>83330</v>
      </c>
    </row>
    <row r="879" spans="1:20" ht="30" customHeight="1" x14ac:dyDescent="0.35">
      <c r="A879" s="88">
        <v>833354</v>
      </c>
      <c r="B879" s="89" t="s">
        <v>7916</v>
      </c>
      <c r="C879" s="89" t="s">
        <v>7917</v>
      </c>
      <c r="D879" s="90" t="s">
        <v>3978</v>
      </c>
      <c r="E879" s="89" t="s">
        <v>3630</v>
      </c>
      <c r="F879" s="89"/>
      <c r="G879" s="89" t="s">
        <v>3631</v>
      </c>
      <c r="H879" s="91">
        <v>8331</v>
      </c>
      <c r="I879" s="89" t="s">
        <v>7900</v>
      </c>
      <c r="J879" s="92" t="s">
        <v>4058</v>
      </c>
      <c r="K879" s="92"/>
      <c r="L879" s="92" t="s">
        <v>7901</v>
      </c>
      <c r="M879" s="92" t="s">
        <v>7902</v>
      </c>
      <c r="N879" s="93">
        <v>8331</v>
      </c>
      <c r="O879" s="94">
        <v>1</v>
      </c>
      <c r="P879" s="94">
        <v>1</v>
      </c>
      <c r="Q879" s="92" t="s">
        <v>3957</v>
      </c>
      <c r="R879" s="92" t="s">
        <v>7918</v>
      </c>
      <c r="S879" s="91">
        <v>83312</v>
      </c>
      <c r="T879" s="89" t="s">
        <v>7919</v>
      </c>
    </row>
    <row r="880" spans="1:20" ht="30" customHeight="1" x14ac:dyDescent="0.35">
      <c r="A880" s="88">
        <v>833356</v>
      </c>
      <c r="B880" s="89" t="s">
        <v>7920</v>
      </c>
      <c r="C880" s="89" t="s">
        <v>7921</v>
      </c>
      <c r="D880" s="90" t="s">
        <v>3978</v>
      </c>
      <c r="E880" s="89" t="s">
        <v>3633</v>
      </c>
      <c r="F880" s="89"/>
      <c r="G880" s="89" t="s">
        <v>3634</v>
      </c>
      <c r="H880" s="91">
        <v>8331</v>
      </c>
      <c r="I880" s="89" t="s">
        <v>7900</v>
      </c>
      <c r="J880" s="92" t="s">
        <v>4058</v>
      </c>
      <c r="K880" s="92"/>
      <c r="L880" s="92" t="s">
        <v>7901</v>
      </c>
      <c r="M880" s="92" t="s">
        <v>7902</v>
      </c>
      <c r="N880" s="93">
        <v>8331</v>
      </c>
      <c r="O880" s="94">
        <v>1</v>
      </c>
      <c r="P880" s="94">
        <v>1</v>
      </c>
      <c r="Q880" s="92" t="s">
        <v>3957</v>
      </c>
      <c r="R880" s="92" t="s">
        <v>7922</v>
      </c>
      <c r="S880" s="91">
        <v>83312</v>
      </c>
      <c r="T880" s="89" t="s">
        <v>7919</v>
      </c>
    </row>
    <row r="881" spans="1:20" ht="30" customHeight="1" x14ac:dyDescent="0.35">
      <c r="A881" s="88">
        <v>833358</v>
      </c>
      <c r="B881" s="89" t="s">
        <v>7923</v>
      </c>
      <c r="C881" s="89" t="s">
        <v>7924</v>
      </c>
      <c r="D881" s="90" t="s">
        <v>3978</v>
      </c>
      <c r="E881" s="89" t="s">
        <v>3636</v>
      </c>
      <c r="F881" s="89"/>
      <c r="G881" s="89" t="s">
        <v>3637</v>
      </c>
      <c r="H881" s="91">
        <v>2145</v>
      </c>
      <c r="I881" s="89" t="s">
        <v>5675</v>
      </c>
      <c r="J881" s="92" t="s">
        <v>883</v>
      </c>
      <c r="K881" s="92"/>
      <c r="L881" s="92" t="s">
        <v>5676</v>
      </c>
      <c r="M881" s="92" t="s">
        <v>5677</v>
      </c>
      <c r="N881" s="93">
        <v>2145</v>
      </c>
      <c r="O881" s="94">
        <v>23</v>
      </c>
      <c r="P881" s="94">
        <v>1</v>
      </c>
      <c r="Q881" s="92" t="s">
        <v>3957</v>
      </c>
      <c r="R881" s="92" t="s">
        <v>7925</v>
      </c>
      <c r="S881" s="91">
        <v>14963</v>
      </c>
      <c r="T881" s="89" t="s">
        <v>643</v>
      </c>
    </row>
    <row r="882" spans="1:20" ht="30" customHeight="1" x14ac:dyDescent="0.35">
      <c r="A882" s="88">
        <v>833360</v>
      </c>
      <c r="B882" s="89" t="s">
        <v>7926</v>
      </c>
      <c r="C882" s="89" t="s">
        <v>7927</v>
      </c>
      <c r="D882" s="90" t="s">
        <v>3978</v>
      </c>
      <c r="E882" s="89" t="s">
        <v>3639</v>
      </c>
      <c r="F882" s="89" t="s">
        <v>7928</v>
      </c>
      <c r="G882" s="89" t="s">
        <v>909</v>
      </c>
      <c r="H882" s="91">
        <v>8333</v>
      </c>
      <c r="I882" s="89" t="s">
        <v>7929</v>
      </c>
      <c r="J882" s="92" t="s">
        <v>5157</v>
      </c>
      <c r="K882" s="92"/>
      <c r="L882" s="92" t="s">
        <v>7930</v>
      </c>
      <c r="M882" s="92" t="s">
        <v>7931</v>
      </c>
      <c r="N882" s="93">
        <v>8333</v>
      </c>
      <c r="O882" s="94">
        <v>400</v>
      </c>
      <c r="P882" s="94">
        <v>20</v>
      </c>
      <c r="Q882" s="92" t="s">
        <v>3957</v>
      </c>
      <c r="R882" s="92" t="s">
        <v>7932</v>
      </c>
      <c r="S882" s="91">
        <v>83410</v>
      </c>
      <c r="T882" s="91">
        <v>83315</v>
      </c>
    </row>
    <row r="883" spans="1:20" ht="30" customHeight="1" x14ac:dyDescent="0.35">
      <c r="A883" s="88">
        <v>833361</v>
      </c>
      <c r="B883" s="89" t="s">
        <v>7933</v>
      </c>
      <c r="C883" s="89" t="s">
        <v>7934</v>
      </c>
      <c r="D883" s="90" t="s">
        <v>3978</v>
      </c>
      <c r="E883" s="89" t="s">
        <v>3641</v>
      </c>
      <c r="F883" s="89" t="s">
        <v>7935</v>
      </c>
      <c r="G883" s="89" t="s">
        <v>3642</v>
      </c>
      <c r="H883" s="91">
        <v>8334</v>
      </c>
      <c r="I883" s="89" t="s">
        <v>7936</v>
      </c>
      <c r="J883" s="92" t="s">
        <v>5157</v>
      </c>
      <c r="K883" s="92"/>
      <c r="L883" s="92" t="s">
        <v>7930</v>
      </c>
      <c r="M883" s="92" t="s">
        <v>7931</v>
      </c>
      <c r="N883" s="93">
        <v>8334</v>
      </c>
      <c r="O883" s="94">
        <v>25</v>
      </c>
      <c r="P883" s="94">
        <v>5</v>
      </c>
      <c r="Q883" s="92" t="s">
        <v>3957</v>
      </c>
      <c r="R883" s="92" t="s">
        <v>7937</v>
      </c>
      <c r="S883" s="91">
        <v>83420</v>
      </c>
      <c r="T883" s="89" t="s">
        <v>643</v>
      </c>
    </row>
    <row r="884" spans="1:20" ht="30" customHeight="1" x14ac:dyDescent="0.35">
      <c r="A884" s="88">
        <v>841161</v>
      </c>
      <c r="B884" s="89" t="s">
        <v>7938</v>
      </c>
      <c r="C884" s="89" t="s">
        <v>7939</v>
      </c>
      <c r="D884" s="90" t="s">
        <v>3949</v>
      </c>
      <c r="E884" s="89" t="s">
        <v>7940</v>
      </c>
      <c r="F884" s="89"/>
      <c r="G884" s="89" t="s">
        <v>3645</v>
      </c>
      <c r="H884" s="91">
        <v>8421</v>
      </c>
      <c r="I884" s="89" t="s">
        <v>3672</v>
      </c>
      <c r="J884" s="92" t="s">
        <v>3954</v>
      </c>
      <c r="K884" s="92"/>
      <c r="L884" s="92" t="s">
        <v>7941</v>
      </c>
      <c r="M884" s="92" t="s">
        <v>7942</v>
      </c>
      <c r="N884" s="93">
        <v>8421</v>
      </c>
      <c r="O884" s="94">
        <v>440000</v>
      </c>
      <c r="P884" s="94">
        <v>6700</v>
      </c>
      <c r="Q884" s="92" t="s">
        <v>765</v>
      </c>
      <c r="R884" s="92" t="s">
        <v>7943</v>
      </c>
      <c r="S884" s="91">
        <v>84215</v>
      </c>
      <c r="T884" s="91">
        <v>84120</v>
      </c>
    </row>
    <row r="885" spans="1:20" ht="30" customHeight="1" x14ac:dyDescent="0.35">
      <c r="A885" s="88">
        <v>841162</v>
      </c>
      <c r="B885" s="89" t="s">
        <v>7944</v>
      </c>
      <c r="C885" s="89" t="s">
        <v>7945</v>
      </c>
      <c r="D885" s="90" t="s">
        <v>3978</v>
      </c>
      <c r="E885" s="89" t="s">
        <v>3647</v>
      </c>
      <c r="F885" s="89"/>
      <c r="G885" s="89" t="s">
        <v>3648</v>
      </c>
      <c r="H885" s="91">
        <v>8414</v>
      </c>
      <c r="I885" s="89" t="s">
        <v>7946</v>
      </c>
      <c r="J885" s="92" t="s">
        <v>7830</v>
      </c>
      <c r="K885" s="92"/>
      <c r="L885" s="92" t="s">
        <v>4455</v>
      </c>
      <c r="M885" s="92" t="s">
        <v>4455</v>
      </c>
      <c r="N885" s="93">
        <v>8411</v>
      </c>
      <c r="O885" s="94">
        <v>3100</v>
      </c>
      <c r="P885" s="94">
        <v>950</v>
      </c>
      <c r="Q885" s="92" t="s">
        <v>3957</v>
      </c>
      <c r="R885" s="92" t="s">
        <v>7947</v>
      </c>
      <c r="S885" s="89" t="s">
        <v>643</v>
      </c>
      <c r="T885" s="89" t="s">
        <v>643</v>
      </c>
    </row>
    <row r="886" spans="1:20" ht="30" customHeight="1" x14ac:dyDescent="0.35">
      <c r="A886" s="88">
        <v>841163</v>
      </c>
      <c r="B886" s="89" t="s">
        <v>7948</v>
      </c>
      <c r="C886" s="89" t="s">
        <v>7949</v>
      </c>
      <c r="D886" s="90" t="s">
        <v>3978</v>
      </c>
      <c r="E886" s="89" t="s">
        <v>3650</v>
      </c>
      <c r="F886" s="89"/>
      <c r="G886" s="89" t="s">
        <v>3651</v>
      </c>
      <c r="H886" s="91">
        <v>8414</v>
      </c>
      <c r="I886" s="89" t="s">
        <v>7946</v>
      </c>
      <c r="J886" s="92" t="s">
        <v>7830</v>
      </c>
      <c r="K886" s="92"/>
      <c r="L886" s="92"/>
      <c r="M886" s="92" t="s">
        <v>7950</v>
      </c>
      <c r="N886" s="93">
        <v>8414</v>
      </c>
      <c r="O886" s="94">
        <v>8000</v>
      </c>
      <c r="P886" s="94">
        <v>440</v>
      </c>
      <c r="Q886" s="92" t="s">
        <v>3957</v>
      </c>
      <c r="R886" s="92" t="s">
        <v>7951</v>
      </c>
      <c r="S886" s="89" t="s">
        <v>643</v>
      </c>
      <c r="T886" s="89" t="s">
        <v>643</v>
      </c>
    </row>
    <row r="887" spans="1:20" ht="30" customHeight="1" x14ac:dyDescent="0.35">
      <c r="A887" s="88">
        <v>841165</v>
      </c>
      <c r="B887" s="89" t="s">
        <v>7952</v>
      </c>
      <c r="C887" s="89" t="s">
        <v>7953</v>
      </c>
      <c r="D887" s="90" t="s">
        <v>3978</v>
      </c>
      <c r="E887" s="89" t="s">
        <v>3653</v>
      </c>
      <c r="F887" s="89"/>
      <c r="G887" s="89" t="s">
        <v>3654</v>
      </c>
      <c r="H887" s="91">
        <v>8412</v>
      </c>
      <c r="I887" s="89" t="s">
        <v>7954</v>
      </c>
      <c r="J887" s="92" t="s">
        <v>7830</v>
      </c>
      <c r="K887" s="92"/>
      <c r="L887" s="92" t="s">
        <v>7955</v>
      </c>
      <c r="M887" s="92" t="s">
        <v>7956</v>
      </c>
      <c r="N887" s="93">
        <v>8412</v>
      </c>
      <c r="O887" s="94">
        <v>13000</v>
      </c>
      <c r="P887" s="94">
        <v>670</v>
      </c>
      <c r="Q887" s="92" t="s">
        <v>3957</v>
      </c>
      <c r="R887" s="92" t="s">
        <v>7957</v>
      </c>
      <c r="S887" s="91">
        <v>84110</v>
      </c>
      <c r="T887" s="89" t="s">
        <v>7958</v>
      </c>
    </row>
    <row r="888" spans="1:20" ht="30" customHeight="1" x14ac:dyDescent="0.35">
      <c r="A888" s="88">
        <v>841166</v>
      </c>
      <c r="B888" s="89" t="s">
        <v>7959</v>
      </c>
      <c r="C888" s="89" t="s">
        <v>7960</v>
      </c>
      <c r="D888" s="90" t="s">
        <v>3978</v>
      </c>
      <c r="E888" s="89" t="s">
        <v>7961</v>
      </c>
      <c r="F888" s="89"/>
      <c r="G888" s="89" t="s">
        <v>3657</v>
      </c>
      <c r="H888" s="91">
        <v>8414</v>
      </c>
      <c r="I888" s="89" t="s">
        <v>7962</v>
      </c>
      <c r="J888" s="92" t="s">
        <v>7830</v>
      </c>
      <c r="K888" s="92"/>
      <c r="L888" s="92" t="s">
        <v>7963</v>
      </c>
      <c r="M888" s="92" t="s">
        <v>7964</v>
      </c>
      <c r="N888" s="93">
        <v>8414</v>
      </c>
      <c r="O888" s="94">
        <v>8000</v>
      </c>
      <c r="P888" s="94">
        <v>440</v>
      </c>
      <c r="Q888" s="92" t="s">
        <v>3957</v>
      </c>
      <c r="R888" s="92" t="s">
        <v>7965</v>
      </c>
      <c r="S888" s="91">
        <v>84130</v>
      </c>
      <c r="T888" s="91">
        <v>84150</v>
      </c>
    </row>
    <row r="889" spans="1:20" ht="30" customHeight="1" x14ac:dyDescent="0.35">
      <c r="A889" s="88">
        <v>841169</v>
      </c>
      <c r="B889" s="89" t="s">
        <v>7966</v>
      </c>
      <c r="C889" s="89" t="s">
        <v>7967</v>
      </c>
      <c r="D889" s="90" t="s">
        <v>4077</v>
      </c>
      <c r="E889" s="89" t="s">
        <v>3659</v>
      </c>
      <c r="F889" s="89"/>
      <c r="G889" s="89" t="s">
        <v>3660</v>
      </c>
      <c r="H889" s="91">
        <v>8910</v>
      </c>
      <c r="I889" s="89" t="s">
        <v>7629</v>
      </c>
      <c r="J889" s="92" t="s">
        <v>883</v>
      </c>
      <c r="K889" s="92"/>
      <c r="L889" s="92" t="s">
        <v>7630</v>
      </c>
      <c r="M889" s="92" t="s">
        <v>5788</v>
      </c>
      <c r="N889" s="93">
        <v>8910</v>
      </c>
      <c r="O889" s="94">
        <v>150000</v>
      </c>
      <c r="P889" s="94">
        <v>1300</v>
      </c>
      <c r="Q889" s="92" t="s">
        <v>3957</v>
      </c>
      <c r="R889" s="92" t="s">
        <v>7968</v>
      </c>
      <c r="S889" s="89" t="s">
        <v>7969</v>
      </c>
      <c r="T889" s="89" t="s">
        <v>7970</v>
      </c>
    </row>
    <row r="890" spans="1:20" ht="30" customHeight="1" x14ac:dyDescent="0.35">
      <c r="A890" s="88">
        <v>841423</v>
      </c>
      <c r="B890" s="89" t="s">
        <v>7971</v>
      </c>
      <c r="C890" s="89" t="s">
        <v>7972</v>
      </c>
      <c r="D890" s="90" t="s">
        <v>3978</v>
      </c>
      <c r="E890" s="89" t="s">
        <v>3662</v>
      </c>
      <c r="F890" s="89"/>
      <c r="G890" s="89" t="s">
        <v>3663</v>
      </c>
      <c r="H890" s="91">
        <v>8713</v>
      </c>
      <c r="I890" s="89" t="s">
        <v>7973</v>
      </c>
      <c r="J890" s="92" t="s">
        <v>4058</v>
      </c>
      <c r="K890" s="92"/>
      <c r="L890" s="92" t="s">
        <v>7974</v>
      </c>
      <c r="M890" s="92" t="s">
        <v>7975</v>
      </c>
      <c r="N890" s="93">
        <v>8713</v>
      </c>
      <c r="O890" s="94">
        <v>1</v>
      </c>
      <c r="P890" s="94">
        <v>1</v>
      </c>
      <c r="Q890" s="92" t="s">
        <v>3957</v>
      </c>
      <c r="R890" s="92" t="s">
        <v>7976</v>
      </c>
      <c r="S890" s="91">
        <v>89270</v>
      </c>
      <c r="T890" s="89" t="s">
        <v>643</v>
      </c>
    </row>
    <row r="891" spans="1:20" ht="30" customHeight="1" x14ac:dyDescent="0.35">
      <c r="A891" s="88">
        <v>841425</v>
      </c>
      <c r="B891" s="89" t="s">
        <v>7977</v>
      </c>
      <c r="C891" s="89" t="s">
        <v>7978</v>
      </c>
      <c r="D891" s="90" t="s">
        <v>3978</v>
      </c>
      <c r="E891" s="89" t="s">
        <v>3665</v>
      </c>
      <c r="F891" s="89" t="s">
        <v>7979</v>
      </c>
      <c r="G891" s="89" t="s">
        <v>3666</v>
      </c>
      <c r="H891" s="91">
        <v>8443</v>
      </c>
      <c r="I891" s="89" t="s">
        <v>7980</v>
      </c>
      <c r="J891" s="92" t="s">
        <v>7981</v>
      </c>
      <c r="K891" s="92"/>
      <c r="L891" s="92" t="s">
        <v>4455</v>
      </c>
      <c r="M891" s="92" t="s">
        <v>4455</v>
      </c>
      <c r="N891" s="93">
        <v>8443</v>
      </c>
      <c r="O891" s="94">
        <v>90</v>
      </c>
      <c r="P891" s="94">
        <v>4</v>
      </c>
      <c r="Q891" s="92" t="s">
        <v>3957</v>
      </c>
      <c r="R891" s="92" t="s">
        <v>7982</v>
      </c>
      <c r="S891" s="89" t="s">
        <v>7983</v>
      </c>
      <c r="T891" s="89" t="s">
        <v>7984</v>
      </c>
    </row>
    <row r="892" spans="1:20" ht="30" customHeight="1" x14ac:dyDescent="0.35">
      <c r="A892" s="88">
        <v>841426</v>
      </c>
      <c r="B892" s="89" t="s">
        <v>7985</v>
      </c>
      <c r="C892" s="89" t="s">
        <v>7986</v>
      </c>
      <c r="D892" s="90" t="s">
        <v>3978</v>
      </c>
      <c r="E892" s="89" t="s">
        <v>7987</v>
      </c>
      <c r="F892" s="89" t="s">
        <v>7988</v>
      </c>
      <c r="G892" s="89" t="s">
        <v>909</v>
      </c>
      <c r="H892" s="91">
        <v>8715</v>
      </c>
      <c r="I892" s="89" t="s">
        <v>7989</v>
      </c>
      <c r="J892" s="92" t="s">
        <v>7981</v>
      </c>
      <c r="K892" s="92"/>
      <c r="L892" s="92" t="s">
        <v>7990</v>
      </c>
      <c r="M892" s="92" t="s">
        <v>7991</v>
      </c>
      <c r="N892" s="93">
        <v>8715</v>
      </c>
      <c r="O892" s="94">
        <v>210</v>
      </c>
      <c r="P892" s="94">
        <v>8</v>
      </c>
      <c r="Q892" s="92" t="s">
        <v>3957</v>
      </c>
      <c r="R892" s="92" t="s">
        <v>7992</v>
      </c>
      <c r="S892" s="89" t="s">
        <v>643</v>
      </c>
      <c r="T892" s="91">
        <v>87116</v>
      </c>
    </row>
    <row r="893" spans="1:20" ht="30" customHeight="1" x14ac:dyDescent="0.35">
      <c r="A893" s="88">
        <v>841427</v>
      </c>
      <c r="B893" s="89" t="s">
        <v>7993</v>
      </c>
      <c r="C893" s="89" t="s">
        <v>7994</v>
      </c>
      <c r="D893" s="90" t="s">
        <v>3978</v>
      </c>
      <c r="E893" s="89" t="s">
        <v>3670</v>
      </c>
      <c r="F893" s="89"/>
      <c r="G893" s="89" t="s">
        <v>3671</v>
      </c>
      <c r="H893" s="91">
        <v>8413</v>
      </c>
      <c r="I893" s="89" t="s">
        <v>7995</v>
      </c>
      <c r="J893" s="92" t="s">
        <v>4126</v>
      </c>
      <c r="K893" s="92"/>
      <c r="L893" s="92" t="s">
        <v>7996</v>
      </c>
      <c r="M893" s="92" t="s">
        <v>7997</v>
      </c>
      <c r="N893" s="93">
        <v>8413</v>
      </c>
      <c r="O893" s="94">
        <v>2000000</v>
      </c>
      <c r="P893" s="94">
        <v>270000</v>
      </c>
      <c r="Q893" s="92" t="s">
        <v>3957</v>
      </c>
      <c r="R893" s="92" t="s">
        <v>6386</v>
      </c>
      <c r="S893" s="91">
        <v>84610</v>
      </c>
      <c r="T893" s="89" t="s">
        <v>7998</v>
      </c>
    </row>
    <row r="894" spans="1:20" ht="30" customHeight="1" x14ac:dyDescent="0.35">
      <c r="A894" s="88">
        <v>842245</v>
      </c>
      <c r="B894" s="89" t="s">
        <v>7999</v>
      </c>
      <c r="C894" s="89" t="s">
        <v>8000</v>
      </c>
      <c r="D894" s="90" t="s">
        <v>3949</v>
      </c>
      <c r="E894" s="89" t="s">
        <v>8001</v>
      </c>
      <c r="F894" s="89" t="s">
        <v>8002</v>
      </c>
      <c r="G894" s="89" t="s">
        <v>3674</v>
      </c>
      <c r="H894" s="91">
        <v>8421</v>
      </c>
      <c r="I894" s="89" t="s">
        <v>3672</v>
      </c>
      <c r="J894" s="92" t="s">
        <v>3954</v>
      </c>
      <c r="K894" s="92"/>
      <c r="L894" s="92" t="s">
        <v>7941</v>
      </c>
      <c r="M894" s="92" t="s">
        <v>7942</v>
      </c>
      <c r="N894" s="93">
        <v>8421</v>
      </c>
      <c r="O894" s="94">
        <v>440000</v>
      </c>
      <c r="P894" s="94">
        <v>6700</v>
      </c>
      <c r="Q894" s="92" t="s">
        <v>765</v>
      </c>
      <c r="R894" s="92" t="s">
        <v>8003</v>
      </c>
      <c r="S894" s="91">
        <v>84210</v>
      </c>
      <c r="T894" s="91">
        <v>84210</v>
      </c>
    </row>
    <row r="895" spans="1:20" ht="30" customHeight="1" x14ac:dyDescent="0.35">
      <c r="A895" s="88">
        <v>842249</v>
      </c>
      <c r="B895" s="89" t="s">
        <v>8004</v>
      </c>
      <c r="C895" s="89" t="s">
        <v>8005</v>
      </c>
      <c r="D895" s="90" t="s">
        <v>3978</v>
      </c>
      <c r="E895" s="89" t="s">
        <v>3676</v>
      </c>
      <c r="F895" s="89" t="s">
        <v>8006</v>
      </c>
      <c r="G895" s="89" t="s">
        <v>3677</v>
      </c>
      <c r="H895" s="91">
        <v>8422</v>
      </c>
      <c r="I895" s="89" t="s">
        <v>8007</v>
      </c>
      <c r="J895" s="92" t="s">
        <v>7830</v>
      </c>
      <c r="K895" s="92"/>
      <c r="L895" s="92" t="s">
        <v>8008</v>
      </c>
      <c r="M895" s="92" t="s">
        <v>7367</v>
      </c>
      <c r="N895" s="93">
        <v>8422</v>
      </c>
      <c r="O895" s="94">
        <v>14000</v>
      </c>
      <c r="P895" s="94">
        <v>2000</v>
      </c>
      <c r="Q895" s="92" t="s">
        <v>3957</v>
      </c>
      <c r="R895" s="92" t="s">
        <v>8009</v>
      </c>
      <c r="S895" s="91">
        <v>84141</v>
      </c>
      <c r="T895" s="91">
        <v>84215</v>
      </c>
    </row>
    <row r="896" spans="1:20" ht="30" customHeight="1" x14ac:dyDescent="0.35">
      <c r="A896" s="88">
        <v>843101</v>
      </c>
      <c r="B896" s="89" t="s">
        <v>8010</v>
      </c>
      <c r="C896" s="89" t="s">
        <v>8011</v>
      </c>
      <c r="D896" s="90" t="s">
        <v>3978</v>
      </c>
      <c r="E896" s="89" t="s">
        <v>8012</v>
      </c>
      <c r="F896" s="89"/>
      <c r="G896" s="89" t="s">
        <v>909</v>
      </c>
      <c r="H896" s="91">
        <v>8431</v>
      </c>
      <c r="I896" s="89" t="s">
        <v>8013</v>
      </c>
      <c r="J896" s="92" t="s">
        <v>4089</v>
      </c>
      <c r="K896" s="92"/>
      <c r="L896" s="92" t="s">
        <v>8014</v>
      </c>
      <c r="M896" s="92" t="s">
        <v>8015</v>
      </c>
      <c r="N896" s="93">
        <v>8431</v>
      </c>
      <c r="O896" s="94">
        <v>1000</v>
      </c>
      <c r="P896" s="94">
        <v>1000</v>
      </c>
      <c r="Q896" s="92" t="s">
        <v>3957</v>
      </c>
      <c r="R896" s="92" t="s">
        <v>8016</v>
      </c>
      <c r="S896" s="89" t="s">
        <v>643</v>
      </c>
      <c r="T896" s="91">
        <v>84340</v>
      </c>
    </row>
    <row r="897" spans="1:20" ht="30" customHeight="1" x14ac:dyDescent="0.35">
      <c r="A897" s="88">
        <v>843301</v>
      </c>
      <c r="B897" s="89" t="s">
        <v>8017</v>
      </c>
      <c r="C897" s="89" t="s">
        <v>8018</v>
      </c>
      <c r="D897" s="90" t="s">
        <v>3978</v>
      </c>
      <c r="E897" s="97" t="s">
        <v>8019</v>
      </c>
      <c r="F897" s="89"/>
      <c r="G897" s="89" t="s">
        <v>909</v>
      </c>
      <c r="H897" s="91">
        <v>8433</v>
      </c>
      <c r="I897" s="89" t="s">
        <v>8020</v>
      </c>
      <c r="J897" s="92" t="s">
        <v>7981</v>
      </c>
      <c r="K897" s="92"/>
      <c r="L897" s="92" t="s">
        <v>4455</v>
      </c>
      <c r="M897" s="92" t="s">
        <v>4455</v>
      </c>
      <c r="N897" s="93">
        <v>8433</v>
      </c>
      <c r="O897" s="94">
        <v>2</v>
      </c>
      <c r="P897" s="94">
        <v>0.3</v>
      </c>
      <c r="Q897" s="92" t="s">
        <v>3957</v>
      </c>
      <c r="R897" s="92" t="s">
        <v>8021</v>
      </c>
      <c r="S897" s="91">
        <v>84730</v>
      </c>
      <c r="T897" s="91">
        <v>84335</v>
      </c>
    </row>
    <row r="898" spans="1:20" ht="30" customHeight="1" x14ac:dyDescent="0.35">
      <c r="A898" s="88">
        <v>843314</v>
      </c>
      <c r="B898" s="89" t="s">
        <v>8022</v>
      </c>
      <c r="C898" s="89" t="s">
        <v>8023</v>
      </c>
      <c r="D898" s="90" t="s">
        <v>3949</v>
      </c>
      <c r="E898" s="89" t="s">
        <v>3683</v>
      </c>
      <c r="F898" s="89"/>
      <c r="G898" s="89" t="s">
        <v>3684</v>
      </c>
      <c r="H898" s="91">
        <v>8432</v>
      </c>
      <c r="I898" s="89" t="s">
        <v>8024</v>
      </c>
      <c r="J898" s="92" t="s">
        <v>3954</v>
      </c>
      <c r="K898" s="92"/>
      <c r="L898" s="92" t="s">
        <v>8025</v>
      </c>
      <c r="M898" s="92" t="s">
        <v>7942</v>
      </c>
      <c r="N898" s="93">
        <v>8432</v>
      </c>
      <c r="O898" s="94">
        <v>76000</v>
      </c>
      <c r="P898" s="94">
        <v>2800</v>
      </c>
      <c r="Q898" s="92" t="s">
        <v>765</v>
      </c>
      <c r="R898" s="92" t="s">
        <v>8026</v>
      </c>
      <c r="S898" s="91">
        <v>84330</v>
      </c>
      <c r="T898" s="91">
        <v>84310</v>
      </c>
    </row>
    <row r="899" spans="1:20" ht="30" customHeight="1" x14ac:dyDescent="0.35">
      <c r="A899" s="88">
        <v>843316</v>
      </c>
      <c r="B899" s="89" t="s">
        <v>8027</v>
      </c>
      <c r="C899" s="89" t="s">
        <v>8028</v>
      </c>
      <c r="D899" s="90" t="s">
        <v>3978</v>
      </c>
      <c r="E899" s="89" t="s">
        <v>3686</v>
      </c>
      <c r="F899" s="89" t="s">
        <v>8029</v>
      </c>
      <c r="G899" s="89" t="s">
        <v>909</v>
      </c>
      <c r="H899" s="91">
        <v>8434</v>
      </c>
      <c r="I899" s="89" t="s">
        <v>8030</v>
      </c>
      <c r="J899" s="92" t="s">
        <v>7830</v>
      </c>
      <c r="K899" s="92"/>
      <c r="L899" s="92" t="s">
        <v>8031</v>
      </c>
      <c r="M899" s="92" t="s">
        <v>5003</v>
      </c>
      <c r="N899" s="93">
        <v>8434</v>
      </c>
      <c r="O899" s="94">
        <v>17000</v>
      </c>
      <c r="P899" s="94">
        <v>1900</v>
      </c>
      <c r="Q899" s="92" t="s">
        <v>3957</v>
      </c>
      <c r="R899" s="92" t="s">
        <v>8032</v>
      </c>
      <c r="S899" s="89" t="s">
        <v>643</v>
      </c>
      <c r="T899" s="91">
        <v>84320</v>
      </c>
    </row>
    <row r="900" spans="1:20" ht="30" customHeight="1" x14ac:dyDescent="0.35">
      <c r="A900" s="88">
        <v>843319</v>
      </c>
      <c r="B900" s="89" t="s">
        <v>8033</v>
      </c>
      <c r="C900" s="89" t="s">
        <v>8034</v>
      </c>
      <c r="D900" s="90" t="s">
        <v>3978</v>
      </c>
      <c r="E900" s="89" t="s">
        <v>3688</v>
      </c>
      <c r="F900" s="89"/>
      <c r="G900" s="89" t="s">
        <v>3689</v>
      </c>
      <c r="H900" s="91">
        <v>8435</v>
      </c>
      <c r="I900" s="89" t="s">
        <v>8035</v>
      </c>
      <c r="J900" s="92" t="s">
        <v>4126</v>
      </c>
      <c r="K900" s="92"/>
      <c r="L900" s="92" t="s">
        <v>8036</v>
      </c>
      <c r="M900" s="92" t="s">
        <v>7997</v>
      </c>
      <c r="N900" s="93">
        <v>8435</v>
      </c>
      <c r="O900" s="94">
        <v>1100000</v>
      </c>
      <c r="P900" s="94">
        <v>110000</v>
      </c>
      <c r="Q900" s="92" t="s">
        <v>3957</v>
      </c>
      <c r="R900" s="92" t="s">
        <v>8037</v>
      </c>
      <c r="S900" s="89" t="s">
        <v>643</v>
      </c>
      <c r="T900" s="91">
        <v>84330</v>
      </c>
    </row>
    <row r="901" spans="1:20" ht="30" customHeight="1" x14ac:dyDescent="0.35">
      <c r="A901" s="88">
        <v>844367</v>
      </c>
      <c r="B901" s="89" t="s">
        <v>8038</v>
      </c>
      <c r="C901" s="89" t="s">
        <v>8039</v>
      </c>
      <c r="D901" s="90" t="s">
        <v>3978</v>
      </c>
      <c r="E901" s="89" t="s">
        <v>3691</v>
      </c>
      <c r="F901" s="89"/>
      <c r="G901" s="89" t="s">
        <v>3692</v>
      </c>
      <c r="H901" s="91">
        <v>8442</v>
      </c>
      <c r="I901" s="89" t="s">
        <v>8040</v>
      </c>
      <c r="J901" s="92" t="s">
        <v>4126</v>
      </c>
      <c r="K901" s="92"/>
      <c r="L901" s="92" t="s">
        <v>8041</v>
      </c>
      <c r="M901" s="92" t="s">
        <v>7857</v>
      </c>
      <c r="N901" s="93">
        <v>8442</v>
      </c>
      <c r="O901" s="94">
        <v>2500000</v>
      </c>
      <c r="P901" s="94">
        <v>200000</v>
      </c>
      <c r="Q901" s="92" t="s">
        <v>3957</v>
      </c>
      <c r="R901" s="92" t="s">
        <v>8042</v>
      </c>
      <c r="S901" s="91">
        <v>84710</v>
      </c>
      <c r="T901" s="89" t="s">
        <v>8043</v>
      </c>
    </row>
    <row r="902" spans="1:20" ht="30" customHeight="1" x14ac:dyDescent="0.35">
      <c r="A902" s="88">
        <v>844368</v>
      </c>
      <c r="B902" s="89" t="s">
        <v>8044</v>
      </c>
      <c r="C902" s="89" t="s">
        <v>8045</v>
      </c>
      <c r="D902" s="90" t="s">
        <v>3978</v>
      </c>
      <c r="E902" s="89" t="s">
        <v>3694</v>
      </c>
      <c r="F902" s="89"/>
      <c r="G902" s="89" t="s">
        <v>3695</v>
      </c>
      <c r="H902" s="91">
        <v>8414</v>
      </c>
      <c r="I902" s="89" t="s">
        <v>7946</v>
      </c>
      <c r="J902" s="92" t="s">
        <v>7830</v>
      </c>
      <c r="K902" s="92"/>
      <c r="L902" s="33">
        <v>71.3</v>
      </c>
      <c r="M902" s="92" t="s">
        <v>7950</v>
      </c>
      <c r="N902" s="93">
        <v>8414</v>
      </c>
      <c r="O902" s="94">
        <v>8000</v>
      </c>
      <c r="P902" s="94">
        <v>440</v>
      </c>
      <c r="Q902" s="92" t="s">
        <v>3957</v>
      </c>
      <c r="R902" s="92" t="s">
        <v>8046</v>
      </c>
      <c r="S902" s="91">
        <v>84470</v>
      </c>
      <c r="T902" s="91">
        <v>84420</v>
      </c>
    </row>
    <row r="903" spans="1:20" ht="30" customHeight="1" x14ac:dyDescent="0.35">
      <c r="A903" s="92">
        <v>844400</v>
      </c>
      <c r="B903" s="89" t="s">
        <v>3696</v>
      </c>
      <c r="C903" s="89" t="s">
        <v>8047</v>
      </c>
      <c r="D903" s="90" t="s">
        <v>3978</v>
      </c>
      <c r="E903" s="89" t="s">
        <v>3697</v>
      </c>
      <c r="F903" s="89"/>
      <c r="G903" s="89" t="s">
        <v>909</v>
      </c>
      <c r="H903" s="89">
        <v>8716</v>
      </c>
      <c r="I903" s="89" t="s">
        <v>8048</v>
      </c>
      <c r="J903" s="92" t="s">
        <v>3953</v>
      </c>
      <c r="K903" s="92"/>
      <c r="L903" s="30">
        <v>0</v>
      </c>
      <c r="M903" s="30" t="s">
        <v>8049</v>
      </c>
      <c r="N903" s="31">
        <v>8716</v>
      </c>
      <c r="O903" s="31">
        <v>55000</v>
      </c>
      <c r="P903" s="31">
        <v>3500</v>
      </c>
      <c r="Q903" s="92" t="s">
        <v>3957</v>
      </c>
      <c r="R903" s="92" t="s">
        <v>8047</v>
      </c>
      <c r="S903" s="92" t="s">
        <v>3982</v>
      </c>
      <c r="T903" s="92" t="s">
        <v>3982</v>
      </c>
    </row>
    <row r="904" spans="1:20" ht="30" customHeight="1" x14ac:dyDescent="0.35">
      <c r="A904" s="92">
        <v>844410</v>
      </c>
      <c r="B904" s="89" t="s">
        <v>3698</v>
      </c>
      <c r="C904" s="89" t="s">
        <v>8050</v>
      </c>
      <c r="D904" s="90" t="s">
        <v>3978</v>
      </c>
      <c r="E904" s="89" t="s">
        <v>3699</v>
      </c>
      <c r="F904" s="89"/>
      <c r="G904" s="89" t="s">
        <v>909</v>
      </c>
      <c r="H904" s="89">
        <v>8716</v>
      </c>
      <c r="I904" s="89" t="s">
        <v>8048</v>
      </c>
      <c r="J904" s="92" t="s">
        <v>3953</v>
      </c>
      <c r="K904" s="92"/>
      <c r="L904" s="30">
        <v>0</v>
      </c>
      <c r="M904" s="30" t="s">
        <v>8049</v>
      </c>
      <c r="N904" s="31">
        <v>8716</v>
      </c>
      <c r="O904" s="31">
        <v>55000</v>
      </c>
      <c r="P904" s="31">
        <v>3500</v>
      </c>
      <c r="Q904" s="92" t="s">
        <v>3957</v>
      </c>
      <c r="R904" s="92" t="s">
        <v>8051</v>
      </c>
      <c r="S904" s="92" t="s">
        <v>3982</v>
      </c>
      <c r="T904" s="92" t="s">
        <v>3982</v>
      </c>
    </row>
    <row r="905" spans="1:20" ht="30" customHeight="1" x14ac:dyDescent="0.35">
      <c r="A905" s="92">
        <v>844500</v>
      </c>
      <c r="B905" s="89" t="s">
        <v>3700</v>
      </c>
      <c r="C905" s="89" t="s">
        <v>8052</v>
      </c>
      <c r="D905" s="90" t="s">
        <v>3978</v>
      </c>
      <c r="E905" s="89" t="s">
        <v>3701</v>
      </c>
      <c r="F905" s="89"/>
      <c r="G905" s="89" t="s">
        <v>909</v>
      </c>
      <c r="H905" s="89">
        <v>8442</v>
      </c>
      <c r="I905" s="89" t="s">
        <v>8040</v>
      </c>
      <c r="J905" s="92" t="s">
        <v>4126</v>
      </c>
      <c r="K905" s="92"/>
      <c r="L905" s="30">
        <v>1.9</v>
      </c>
      <c r="M905" s="30" t="s">
        <v>7857</v>
      </c>
      <c r="N905" s="31">
        <v>8442</v>
      </c>
      <c r="O905" s="31">
        <v>2500000</v>
      </c>
      <c r="P905" s="31">
        <v>200000</v>
      </c>
      <c r="Q905" s="92" t="s">
        <v>3957</v>
      </c>
      <c r="R905" s="92" t="s">
        <v>8053</v>
      </c>
      <c r="S905" s="92" t="s">
        <v>3982</v>
      </c>
      <c r="T905" s="92" t="s">
        <v>3982</v>
      </c>
    </row>
    <row r="906" spans="1:20" ht="30" customHeight="1" x14ac:dyDescent="0.35">
      <c r="A906" s="92">
        <v>844510</v>
      </c>
      <c r="B906" s="89" t="s">
        <v>3702</v>
      </c>
      <c r="C906" s="89" t="s">
        <v>8054</v>
      </c>
      <c r="D906" s="90" t="s">
        <v>3978</v>
      </c>
      <c r="E906" s="89" t="s">
        <v>3703</v>
      </c>
      <c r="F906" s="89"/>
      <c r="G906" s="89" t="s">
        <v>909</v>
      </c>
      <c r="H906" s="89">
        <v>8717</v>
      </c>
      <c r="I906" s="89" t="s">
        <v>3702</v>
      </c>
      <c r="J906" s="92" t="s">
        <v>4089</v>
      </c>
      <c r="K906" s="92"/>
      <c r="L906" s="30">
        <v>0</v>
      </c>
      <c r="M906" s="30" t="s">
        <v>8049</v>
      </c>
      <c r="N906" s="31">
        <v>8717</v>
      </c>
      <c r="O906" s="31">
        <v>1500</v>
      </c>
      <c r="P906" s="31">
        <v>150</v>
      </c>
      <c r="Q906" s="92" t="s">
        <v>3957</v>
      </c>
      <c r="R906" s="92" t="s">
        <v>8055</v>
      </c>
      <c r="S906" s="92" t="s">
        <v>3982</v>
      </c>
      <c r="T906" s="92" t="s">
        <v>3982</v>
      </c>
    </row>
    <row r="907" spans="1:20" ht="30" customHeight="1" x14ac:dyDescent="0.35">
      <c r="A907" s="88">
        <v>845362</v>
      </c>
      <c r="B907" s="89" t="s">
        <v>8056</v>
      </c>
      <c r="C907" s="89" t="s">
        <v>8057</v>
      </c>
      <c r="D907" s="90" t="s">
        <v>4077</v>
      </c>
      <c r="E907" s="89" t="s">
        <v>3705</v>
      </c>
      <c r="F907" s="89"/>
      <c r="G907" s="89" t="s">
        <v>909</v>
      </c>
      <c r="H907" s="91">
        <v>8910</v>
      </c>
      <c r="I907" s="89" t="s">
        <v>7629</v>
      </c>
      <c r="J907" s="92" t="s">
        <v>883</v>
      </c>
      <c r="K907" s="92"/>
      <c r="L907" s="92" t="s">
        <v>7630</v>
      </c>
      <c r="M907" s="92" t="s">
        <v>5788</v>
      </c>
      <c r="N907" s="93">
        <v>8910</v>
      </c>
      <c r="O907" s="94">
        <v>150000</v>
      </c>
      <c r="P907" s="94">
        <v>1300</v>
      </c>
      <c r="Q907" s="92" t="s">
        <v>3957</v>
      </c>
      <c r="R907" s="92" t="s">
        <v>8058</v>
      </c>
      <c r="S907" s="91">
        <v>89144</v>
      </c>
      <c r="T907" s="91">
        <v>84410</v>
      </c>
    </row>
    <row r="908" spans="1:20" ht="30" customHeight="1" x14ac:dyDescent="0.35">
      <c r="A908" s="88">
        <v>845363</v>
      </c>
      <c r="B908" s="89" t="s">
        <v>8059</v>
      </c>
      <c r="C908" s="89" t="s">
        <v>8060</v>
      </c>
      <c r="D908" s="90" t="s">
        <v>3949</v>
      </c>
      <c r="E908" s="89" t="s">
        <v>3707</v>
      </c>
      <c r="F908" s="89"/>
      <c r="G908" s="89" t="s">
        <v>909</v>
      </c>
      <c r="H908" s="91">
        <v>8451</v>
      </c>
      <c r="I908" s="89" t="s">
        <v>8061</v>
      </c>
      <c r="J908" s="92" t="s">
        <v>3954</v>
      </c>
      <c r="K908" s="92"/>
      <c r="L908" s="92" t="s">
        <v>7941</v>
      </c>
      <c r="M908" s="92" t="s">
        <v>7942</v>
      </c>
      <c r="N908" s="93">
        <v>8451</v>
      </c>
      <c r="O908" s="94">
        <v>300000</v>
      </c>
      <c r="P908" s="94">
        <v>12000</v>
      </c>
      <c r="Q908" s="92" t="s">
        <v>765</v>
      </c>
      <c r="R908" s="92" t="s">
        <v>8062</v>
      </c>
      <c r="S908" s="91">
        <v>84510</v>
      </c>
      <c r="T908" s="91">
        <v>84520</v>
      </c>
    </row>
    <row r="909" spans="1:20" ht="30" customHeight="1" x14ac:dyDescent="0.35">
      <c r="A909" s="88">
        <v>851142</v>
      </c>
      <c r="B909" s="89" t="s">
        <v>8063</v>
      </c>
      <c r="C909" s="89" t="s">
        <v>8063</v>
      </c>
      <c r="D909" s="90" t="s">
        <v>3978</v>
      </c>
      <c r="E909" s="89" t="s">
        <v>8064</v>
      </c>
      <c r="F909" s="89" t="s">
        <v>8065</v>
      </c>
      <c r="G909" s="89" t="s">
        <v>3710</v>
      </c>
      <c r="H909" s="91">
        <v>8513</v>
      </c>
      <c r="I909" s="89" t="s">
        <v>8066</v>
      </c>
      <c r="J909" s="92" t="s">
        <v>3953</v>
      </c>
      <c r="K909" s="92" t="s">
        <v>3954</v>
      </c>
      <c r="L909" s="92" t="s">
        <v>8067</v>
      </c>
      <c r="M909" s="92" t="s">
        <v>8068</v>
      </c>
      <c r="N909" s="93">
        <v>8513</v>
      </c>
      <c r="O909" s="94">
        <v>5900</v>
      </c>
      <c r="P909" s="94">
        <v>410</v>
      </c>
      <c r="Q909" s="92" t="s">
        <v>3957</v>
      </c>
      <c r="R909" s="92" t="s">
        <v>8069</v>
      </c>
      <c r="S909" s="89" t="s">
        <v>8070</v>
      </c>
      <c r="T909" s="91">
        <v>85120</v>
      </c>
    </row>
    <row r="910" spans="1:20" ht="30" customHeight="1" x14ac:dyDescent="0.35">
      <c r="A910" s="88">
        <v>851143</v>
      </c>
      <c r="B910" s="89" t="s">
        <v>8071</v>
      </c>
      <c r="C910" s="89" t="s">
        <v>8071</v>
      </c>
      <c r="D910" s="90" t="s">
        <v>3949</v>
      </c>
      <c r="E910" s="89" t="s">
        <v>3712</v>
      </c>
      <c r="F910" s="89" t="s">
        <v>8072</v>
      </c>
      <c r="G910" s="89" t="s">
        <v>3713</v>
      </c>
      <c r="H910" s="91">
        <v>8511</v>
      </c>
      <c r="I910" s="89" t="s">
        <v>8073</v>
      </c>
      <c r="J910" s="92" t="s">
        <v>3953</v>
      </c>
      <c r="K910" s="92"/>
      <c r="L910" s="92" t="s">
        <v>8074</v>
      </c>
      <c r="M910" s="92" t="s">
        <v>8075</v>
      </c>
      <c r="N910" s="93">
        <v>8511</v>
      </c>
      <c r="O910" s="94">
        <v>1900000</v>
      </c>
      <c r="P910" s="94">
        <v>9800</v>
      </c>
      <c r="Q910" s="92" t="s">
        <v>765</v>
      </c>
      <c r="R910" s="92" t="s">
        <v>8076</v>
      </c>
      <c r="S910" s="89" t="s">
        <v>643</v>
      </c>
      <c r="T910" s="89" t="s">
        <v>643</v>
      </c>
    </row>
    <row r="911" spans="1:20" ht="30" customHeight="1" x14ac:dyDescent="0.35">
      <c r="A911" s="88">
        <v>851145</v>
      </c>
      <c r="B911" s="89" t="s">
        <v>8077</v>
      </c>
      <c r="C911" s="89" t="s">
        <v>8077</v>
      </c>
      <c r="D911" s="90" t="s">
        <v>3949</v>
      </c>
      <c r="E911" s="89" t="s">
        <v>3715</v>
      </c>
      <c r="F911" s="89"/>
      <c r="G911" s="89" t="s">
        <v>3716</v>
      </c>
      <c r="H911" s="91">
        <v>8511</v>
      </c>
      <c r="I911" s="89" t="s">
        <v>8073</v>
      </c>
      <c r="J911" s="92" t="s">
        <v>3953</v>
      </c>
      <c r="K911" s="92" t="s">
        <v>3954</v>
      </c>
      <c r="L911" s="92" t="s">
        <v>8074</v>
      </c>
      <c r="M911" s="92" t="s">
        <v>8075</v>
      </c>
      <c r="N911" s="93">
        <v>8511</v>
      </c>
      <c r="O911" s="94">
        <v>1900000</v>
      </c>
      <c r="P911" s="94">
        <v>9800</v>
      </c>
      <c r="Q911" s="92" t="s">
        <v>765</v>
      </c>
      <c r="R911" s="92" t="s">
        <v>8078</v>
      </c>
      <c r="S911" s="89" t="s">
        <v>643</v>
      </c>
      <c r="T911" s="91">
        <v>85110</v>
      </c>
    </row>
    <row r="912" spans="1:20" ht="30" customHeight="1" x14ac:dyDescent="0.35">
      <c r="A912" s="88">
        <v>851147</v>
      </c>
      <c r="B912" s="89" t="s">
        <v>8079</v>
      </c>
      <c r="C912" s="89" t="s">
        <v>8079</v>
      </c>
      <c r="D912" s="90" t="s">
        <v>3949</v>
      </c>
      <c r="E912" s="89" t="s">
        <v>8080</v>
      </c>
      <c r="F912" s="89" t="s">
        <v>8081</v>
      </c>
      <c r="G912" s="89" t="s">
        <v>3719</v>
      </c>
      <c r="H912" s="91">
        <v>8511</v>
      </c>
      <c r="I912" s="89" t="s">
        <v>8073</v>
      </c>
      <c r="J912" s="92" t="s">
        <v>3953</v>
      </c>
      <c r="K912" s="92" t="s">
        <v>3954</v>
      </c>
      <c r="L912" s="92" t="s">
        <v>8074</v>
      </c>
      <c r="M912" s="92" t="s">
        <v>8075</v>
      </c>
      <c r="N912" s="93">
        <v>8511</v>
      </c>
      <c r="O912" s="94">
        <v>1900000</v>
      </c>
      <c r="P912" s="94">
        <v>9800</v>
      </c>
      <c r="Q912" s="92" t="s">
        <v>765</v>
      </c>
      <c r="R912" s="92" t="s">
        <v>8082</v>
      </c>
      <c r="S912" s="89" t="s">
        <v>8083</v>
      </c>
      <c r="T912" s="91">
        <v>85110</v>
      </c>
    </row>
    <row r="913" spans="1:20" ht="30" customHeight="1" x14ac:dyDescent="0.35">
      <c r="A913" s="88">
        <v>851201</v>
      </c>
      <c r="B913" s="89" t="s">
        <v>8084</v>
      </c>
      <c r="C913" s="89" t="s">
        <v>8085</v>
      </c>
      <c r="D913" s="90" t="s">
        <v>3949</v>
      </c>
      <c r="E913" s="89" t="s">
        <v>8086</v>
      </c>
      <c r="F913" s="89"/>
      <c r="G913" s="89" t="s">
        <v>3722</v>
      </c>
      <c r="H913" s="91">
        <v>8512</v>
      </c>
      <c r="I913" s="89" t="s">
        <v>8087</v>
      </c>
      <c r="J913" s="92" t="s">
        <v>3953</v>
      </c>
      <c r="K913" s="92" t="s">
        <v>3954</v>
      </c>
      <c r="L913" s="92" t="s">
        <v>8088</v>
      </c>
      <c r="M913" s="92" t="s">
        <v>8089</v>
      </c>
      <c r="N913" s="93">
        <v>8512</v>
      </c>
      <c r="O913" s="94">
        <v>5000000</v>
      </c>
      <c r="P913" s="94">
        <v>56000</v>
      </c>
      <c r="Q913" s="92" t="s">
        <v>765</v>
      </c>
      <c r="R913" s="92" t="s">
        <v>8090</v>
      </c>
      <c r="S913" s="89" t="s">
        <v>8091</v>
      </c>
      <c r="T913" s="91">
        <v>85111</v>
      </c>
    </row>
    <row r="914" spans="1:20" ht="30" customHeight="1" x14ac:dyDescent="0.35">
      <c r="A914" s="88">
        <v>851404</v>
      </c>
      <c r="B914" s="89" t="s">
        <v>8092</v>
      </c>
      <c r="C914" s="89" t="s">
        <v>8092</v>
      </c>
      <c r="D914" s="90" t="s">
        <v>3978</v>
      </c>
      <c r="E914" s="89" t="s">
        <v>8093</v>
      </c>
      <c r="F914" s="89"/>
      <c r="G914" s="89" t="s">
        <v>909</v>
      </c>
      <c r="H914" s="91">
        <v>8514</v>
      </c>
      <c r="I914" s="89" t="s">
        <v>1691</v>
      </c>
      <c r="J914" s="92" t="s">
        <v>3954</v>
      </c>
      <c r="K914" s="92"/>
      <c r="L914" s="92" t="s">
        <v>8094</v>
      </c>
      <c r="M914" s="92" t="s">
        <v>8095</v>
      </c>
      <c r="N914" s="93">
        <v>8514</v>
      </c>
      <c r="O914" s="94">
        <v>92000</v>
      </c>
      <c r="P914" s="94">
        <v>10800</v>
      </c>
      <c r="Q914" s="92" t="s">
        <v>3957</v>
      </c>
      <c r="R914" s="92" t="s">
        <v>8096</v>
      </c>
      <c r="S914" s="89" t="s">
        <v>643</v>
      </c>
      <c r="T914" s="91">
        <v>85125</v>
      </c>
    </row>
    <row r="915" spans="1:20" ht="30" customHeight="1" x14ac:dyDescent="0.35">
      <c r="A915" s="88">
        <v>852201</v>
      </c>
      <c r="B915" s="89" t="s">
        <v>8097</v>
      </c>
      <c r="C915" s="89" t="s">
        <v>8098</v>
      </c>
      <c r="D915" s="90" t="s">
        <v>3949</v>
      </c>
      <c r="E915" s="89" t="s">
        <v>8099</v>
      </c>
      <c r="F915" s="89"/>
      <c r="G915" s="89" t="s">
        <v>3727</v>
      </c>
      <c r="H915" s="91">
        <v>8521</v>
      </c>
      <c r="I915" s="89" t="s">
        <v>8100</v>
      </c>
      <c r="J915" s="92" t="s">
        <v>3953</v>
      </c>
      <c r="K915" s="92" t="s">
        <v>6776</v>
      </c>
      <c r="L915" s="92" t="s">
        <v>8101</v>
      </c>
      <c r="M915" s="92" t="s">
        <v>4350</v>
      </c>
      <c r="N915" s="93">
        <v>8521</v>
      </c>
      <c r="O915" s="94">
        <v>200000</v>
      </c>
      <c r="P915" s="94">
        <v>5100</v>
      </c>
      <c r="Q915" s="92" t="s">
        <v>3957</v>
      </c>
      <c r="R915" s="92" t="s">
        <v>8102</v>
      </c>
      <c r="S915" s="91">
        <v>85215</v>
      </c>
      <c r="T915" s="91">
        <v>85210</v>
      </c>
    </row>
    <row r="916" spans="1:20" ht="30" customHeight="1" x14ac:dyDescent="0.35">
      <c r="A916" s="88">
        <v>852220</v>
      </c>
      <c r="B916" s="89" t="s">
        <v>8103</v>
      </c>
      <c r="C916" s="89" t="s">
        <v>8104</v>
      </c>
      <c r="D916" s="90" t="s">
        <v>3978</v>
      </c>
      <c r="E916" s="89" t="s">
        <v>8105</v>
      </c>
      <c r="F916" s="89"/>
      <c r="G916" s="89" t="s">
        <v>909</v>
      </c>
      <c r="H916" s="91">
        <v>8514</v>
      </c>
      <c r="I916" s="89" t="s">
        <v>1691</v>
      </c>
      <c r="J916" s="92" t="s">
        <v>3954</v>
      </c>
      <c r="K916" s="92"/>
      <c r="L916" s="92" t="s">
        <v>8094</v>
      </c>
      <c r="M916" s="92" t="s">
        <v>8095</v>
      </c>
      <c r="N916" s="93">
        <v>8514</v>
      </c>
      <c r="O916" s="94">
        <v>92000</v>
      </c>
      <c r="P916" s="94">
        <v>10500</v>
      </c>
      <c r="Q916" s="92" t="s">
        <v>3957</v>
      </c>
      <c r="R916" s="92" t="s">
        <v>8106</v>
      </c>
      <c r="S916" s="89" t="s">
        <v>3982</v>
      </c>
      <c r="T916" s="89" t="s">
        <v>3982</v>
      </c>
    </row>
    <row r="917" spans="1:20" ht="30" customHeight="1" x14ac:dyDescent="0.35">
      <c r="A917" s="88">
        <v>852261</v>
      </c>
      <c r="B917" s="89" t="s">
        <v>8107</v>
      </c>
      <c r="C917" s="89" t="s">
        <v>8108</v>
      </c>
      <c r="D917" s="90" t="s">
        <v>3949</v>
      </c>
      <c r="E917" s="89" t="s">
        <v>8109</v>
      </c>
      <c r="F917" s="89"/>
      <c r="G917" s="89" t="s">
        <v>3732</v>
      </c>
      <c r="H917" s="91">
        <v>8521</v>
      </c>
      <c r="I917" s="89" t="s">
        <v>8100</v>
      </c>
      <c r="J917" s="92" t="s">
        <v>3953</v>
      </c>
      <c r="K917" s="92" t="s">
        <v>6776</v>
      </c>
      <c r="L917" s="92" t="s">
        <v>8101</v>
      </c>
      <c r="M917" s="92" t="s">
        <v>4350</v>
      </c>
      <c r="N917" s="93">
        <v>8521</v>
      </c>
      <c r="O917" s="94">
        <v>200000</v>
      </c>
      <c r="P917" s="94">
        <v>5100</v>
      </c>
      <c r="Q917" s="92" t="s">
        <v>3957</v>
      </c>
      <c r="R917" s="92" t="s">
        <v>8110</v>
      </c>
      <c r="S917" s="89" t="s">
        <v>643</v>
      </c>
      <c r="T917" s="91">
        <v>85210</v>
      </c>
    </row>
    <row r="918" spans="1:20" ht="30" customHeight="1" x14ac:dyDescent="0.35">
      <c r="A918" s="88">
        <v>852262</v>
      </c>
      <c r="B918" s="89" t="s">
        <v>8111</v>
      </c>
      <c r="C918" s="89" t="s">
        <v>8112</v>
      </c>
      <c r="D918" s="90" t="s">
        <v>3949</v>
      </c>
      <c r="E918" s="89" t="s">
        <v>8113</v>
      </c>
      <c r="F918" s="89"/>
      <c r="G918" s="89" t="s">
        <v>3735</v>
      </c>
      <c r="H918" s="91">
        <v>8521</v>
      </c>
      <c r="I918" s="89" t="s">
        <v>8100</v>
      </c>
      <c r="J918" s="92" t="s">
        <v>3953</v>
      </c>
      <c r="K918" s="92" t="s">
        <v>6776</v>
      </c>
      <c r="L918" s="92" t="s">
        <v>8101</v>
      </c>
      <c r="M918" s="92" t="s">
        <v>4350</v>
      </c>
      <c r="N918" s="93">
        <v>8521</v>
      </c>
      <c r="O918" s="94">
        <v>200000</v>
      </c>
      <c r="P918" s="94">
        <v>5100</v>
      </c>
      <c r="Q918" s="92" t="s">
        <v>3957</v>
      </c>
      <c r="R918" s="92" t="s">
        <v>8114</v>
      </c>
      <c r="S918" s="91">
        <v>85215</v>
      </c>
      <c r="T918" s="91">
        <v>85210</v>
      </c>
    </row>
    <row r="919" spans="1:20" ht="30" customHeight="1" x14ac:dyDescent="0.35">
      <c r="A919" s="88">
        <v>852263</v>
      </c>
      <c r="B919" s="89" t="s">
        <v>8115</v>
      </c>
      <c r="C919" s="89" t="s">
        <v>8116</v>
      </c>
      <c r="D919" s="90" t="s">
        <v>3949</v>
      </c>
      <c r="E919" s="89" t="s">
        <v>8117</v>
      </c>
      <c r="F919" s="89" t="s">
        <v>8118</v>
      </c>
      <c r="G919" s="89" t="s">
        <v>909</v>
      </c>
      <c r="H919" s="91">
        <v>8522</v>
      </c>
      <c r="I919" s="89" t="s">
        <v>8119</v>
      </c>
      <c r="J919" s="92" t="s">
        <v>3953</v>
      </c>
      <c r="K919" s="92" t="s">
        <v>6776</v>
      </c>
      <c r="L919" s="92" t="s">
        <v>8120</v>
      </c>
      <c r="M919" s="92" t="s">
        <v>8121</v>
      </c>
      <c r="N919" s="93">
        <v>8522</v>
      </c>
      <c r="O919" s="94">
        <v>200000</v>
      </c>
      <c r="P919" s="94">
        <v>8100</v>
      </c>
      <c r="Q919" s="92" t="s">
        <v>3957</v>
      </c>
      <c r="R919" s="92" t="s">
        <v>8122</v>
      </c>
      <c r="S919" s="89" t="s">
        <v>8123</v>
      </c>
      <c r="T919" s="91">
        <v>85121</v>
      </c>
    </row>
    <row r="920" spans="1:20" ht="30" customHeight="1" x14ac:dyDescent="0.35">
      <c r="A920" s="88">
        <v>852267</v>
      </c>
      <c r="B920" s="89" t="s">
        <v>8124</v>
      </c>
      <c r="C920" s="89" t="s">
        <v>8125</v>
      </c>
      <c r="D920" s="90" t="s">
        <v>3949</v>
      </c>
      <c r="E920" s="89" t="s">
        <v>3739</v>
      </c>
      <c r="F920" s="89"/>
      <c r="G920" s="89" t="s">
        <v>3740</v>
      </c>
      <c r="H920" s="91">
        <v>8521</v>
      </c>
      <c r="I920" s="89" t="s">
        <v>8100</v>
      </c>
      <c r="J920" s="92" t="s">
        <v>3953</v>
      </c>
      <c r="K920" s="92" t="s">
        <v>6776</v>
      </c>
      <c r="L920" s="92" t="s">
        <v>8101</v>
      </c>
      <c r="M920" s="92" t="s">
        <v>4350</v>
      </c>
      <c r="N920" s="93">
        <v>8521</v>
      </c>
      <c r="O920" s="94">
        <v>200000</v>
      </c>
      <c r="P920" s="94">
        <v>5100</v>
      </c>
      <c r="Q920" s="92" t="s">
        <v>3957</v>
      </c>
      <c r="R920" s="92" t="s">
        <v>8126</v>
      </c>
      <c r="S920" s="91">
        <v>85215</v>
      </c>
      <c r="T920" s="91">
        <v>85210</v>
      </c>
    </row>
    <row r="921" spans="1:20" ht="30" customHeight="1" x14ac:dyDescent="0.35">
      <c r="A921" s="88">
        <v>852269</v>
      </c>
      <c r="B921" s="89" t="s">
        <v>8127</v>
      </c>
      <c r="C921" s="89" t="s">
        <v>8128</v>
      </c>
      <c r="D921" s="90" t="s">
        <v>3949</v>
      </c>
      <c r="E921" s="89" t="s">
        <v>8129</v>
      </c>
      <c r="F921" s="89"/>
      <c r="G921" s="89" t="s">
        <v>3743</v>
      </c>
      <c r="H921" s="91">
        <v>1164</v>
      </c>
      <c r="I921" s="89" t="s">
        <v>4002</v>
      </c>
      <c r="J921" s="92" t="s">
        <v>3953</v>
      </c>
      <c r="K921" s="92"/>
      <c r="L921" s="92" t="s">
        <v>4003</v>
      </c>
      <c r="M921" s="92" t="s">
        <v>3965</v>
      </c>
      <c r="N921" s="93">
        <v>1164</v>
      </c>
      <c r="O921" s="94">
        <v>46000</v>
      </c>
      <c r="P921" s="94">
        <v>3200</v>
      </c>
      <c r="Q921" s="92" t="s">
        <v>3957</v>
      </c>
      <c r="R921" s="92" t="s">
        <v>8130</v>
      </c>
      <c r="S921" s="89" t="s">
        <v>643</v>
      </c>
      <c r="T921" s="91">
        <v>11645</v>
      </c>
    </row>
    <row r="922" spans="1:20" ht="30" customHeight="1" x14ac:dyDescent="0.35">
      <c r="A922" s="88">
        <v>852271</v>
      </c>
      <c r="B922" s="89" t="s">
        <v>8131</v>
      </c>
      <c r="C922" s="89" t="s">
        <v>8132</v>
      </c>
      <c r="D922" s="90" t="s">
        <v>3949</v>
      </c>
      <c r="E922" s="89" t="s">
        <v>8133</v>
      </c>
      <c r="F922" s="89" t="s">
        <v>8134</v>
      </c>
      <c r="G922" s="89" t="s">
        <v>3746</v>
      </c>
      <c r="H922" s="91">
        <v>8521</v>
      </c>
      <c r="I922" s="89" t="s">
        <v>8100</v>
      </c>
      <c r="J922" s="92" t="s">
        <v>3953</v>
      </c>
      <c r="K922" s="92" t="s">
        <v>6776</v>
      </c>
      <c r="L922" s="92" t="s">
        <v>8101</v>
      </c>
      <c r="M922" s="92" t="s">
        <v>4350</v>
      </c>
      <c r="N922" s="93">
        <v>8521</v>
      </c>
      <c r="O922" s="94">
        <v>200000</v>
      </c>
      <c r="P922" s="94">
        <v>5100</v>
      </c>
      <c r="Q922" s="92" t="s">
        <v>3957</v>
      </c>
      <c r="R922" s="92" t="s">
        <v>8135</v>
      </c>
      <c r="S922" s="91">
        <v>85215</v>
      </c>
      <c r="T922" s="91">
        <v>85210</v>
      </c>
    </row>
    <row r="923" spans="1:20" ht="30" customHeight="1" x14ac:dyDescent="0.35">
      <c r="A923" s="88">
        <v>852273</v>
      </c>
      <c r="B923" s="89" t="s">
        <v>8136</v>
      </c>
      <c r="C923" s="89" t="s">
        <v>8137</v>
      </c>
      <c r="D923" s="90" t="s">
        <v>3949</v>
      </c>
      <c r="E923" s="89" t="s">
        <v>3748</v>
      </c>
      <c r="F923" s="89"/>
      <c r="G923" s="89" t="s">
        <v>3749</v>
      </c>
      <c r="H923" s="91">
        <v>1164</v>
      </c>
      <c r="I923" s="89" t="s">
        <v>4002</v>
      </c>
      <c r="J923" s="92" t="s">
        <v>3953</v>
      </c>
      <c r="K923" s="92"/>
      <c r="L923" s="92" t="s">
        <v>4003</v>
      </c>
      <c r="M923" s="92" t="s">
        <v>3965</v>
      </c>
      <c r="N923" s="93">
        <v>1164</v>
      </c>
      <c r="O923" s="94">
        <v>46000</v>
      </c>
      <c r="P923" s="94">
        <v>3200</v>
      </c>
      <c r="Q923" s="92" t="s">
        <v>3957</v>
      </c>
      <c r="R923" s="92" t="s">
        <v>8138</v>
      </c>
      <c r="S923" s="89" t="s">
        <v>643</v>
      </c>
      <c r="T923" s="89" t="s">
        <v>8139</v>
      </c>
    </row>
    <row r="924" spans="1:20" ht="30" customHeight="1" x14ac:dyDescent="0.35">
      <c r="A924" s="88">
        <v>852282</v>
      </c>
      <c r="B924" s="89" t="s">
        <v>8140</v>
      </c>
      <c r="C924" s="89" t="s">
        <v>8141</v>
      </c>
      <c r="D924" s="90" t="s">
        <v>3949</v>
      </c>
      <c r="E924" s="89" t="s">
        <v>3751</v>
      </c>
      <c r="F924" s="89" t="s">
        <v>8142</v>
      </c>
      <c r="G924" s="89" t="s">
        <v>3752</v>
      </c>
      <c r="H924" s="91">
        <v>8525</v>
      </c>
      <c r="I924" s="89" t="s">
        <v>8143</v>
      </c>
      <c r="J924" s="92" t="s">
        <v>3953</v>
      </c>
      <c r="K924" s="92" t="s">
        <v>3954</v>
      </c>
      <c r="L924" s="92" t="s">
        <v>8144</v>
      </c>
      <c r="M924" s="92" t="s">
        <v>8145</v>
      </c>
      <c r="N924" s="93">
        <v>8525</v>
      </c>
      <c r="O924" s="94">
        <v>4200</v>
      </c>
      <c r="P924" s="94">
        <v>91</v>
      </c>
      <c r="Q924" s="92" t="s">
        <v>3957</v>
      </c>
      <c r="R924" s="92" t="s">
        <v>8146</v>
      </c>
      <c r="S924" s="91">
        <v>85230</v>
      </c>
      <c r="T924" s="91">
        <v>85230</v>
      </c>
    </row>
    <row r="925" spans="1:20" ht="30" customHeight="1" x14ac:dyDescent="0.35">
      <c r="A925" s="88">
        <v>852287</v>
      </c>
      <c r="B925" s="89" t="s">
        <v>8147</v>
      </c>
      <c r="C925" s="89" t="s">
        <v>8148</v>
      </c>
      <c r="D925" s="90" t="s">
        <v>3949</v>
      </c>
      <c r="E925" s="89" t="s">
        <v>3754</v>
      </c>
      <c r="F925" s="89"/>
      <c r="G925" s="89" t="s">
        <v>3755</v>
      </c>
      <c r="H925" s="91">
        <v>8524</v>
      </c>
      <c r="I925" s="89" t="s">
        <v>8149</v>
      </c>
      <c r="J925" s="92" t="s">
        <v>3953</v>
      </c>
      <c r="K925" s="92"/>
      <c r="L925" s="92" t="s">
        <v>8150</v>
      </c>
      <c r="M925" s="92" t="s">
        <v>8151</v>
      </c>
      <c r="N925" s="93">
        <v>8524</v>
      </c>
      <c r="O925" s="94">
        <v>200000</v>
      </c>
      <c r="P925" s="94">
        <v>1300</v>
      </c>
      <c r="Q925" s="92" t="s">
        <v>765</v>
      </c>
      <c r="R925" s="92" t="s">
        <v>8152</v>
      </c>
      <c r="S925" s="89" t="s">
        <v>8153</v>
      </c>
      <c r="T925" s="91">
        <v>85220</v>
      </c>
    </row>
    <row r="926" spans="1:20" ht="30" customHeight="1" x14ac:dyDescent="0.35">
      <c r="A926" s="88">
        <v>852289</v>
      </c>
      <c r="B926" s="89" t="s">
        <v>8154</v>
      </c>
      <c r="C926" s="89" t="s">
        <v>8154</v>
      </c>
      <c r="D926" s="90" t="s">
        <v>3949</v>
      </c>
      <c r="E926" s="89" t="s">
        <v>3757</v>
      </c>
      <c r="F926" s="89" t="s">
        <v>8155</v>
      </c>
      <c r="G926" s="89" t="s">
        <v>3758</v>
      </c>
      <c r="H926" s="91">
        <v>8524</v>
      </c>
      <c r="I926" s="89" t="s">
        <v>8149</v>
      </c>
      <c r="J926" s="92" t="s">
        <v>3953</v>
      </c>
      <c r="K926" s="92"/>
      <c r="L926" s="92" t="s">
        <v>8150</v>
      </c>
      <c r="M926" s="92" t="s">
        <v>8151</v>
      </c>
      <c r="N926" s="93">
        <v>8524</v>
      </c>
      <c r="O926" s="94">
        <v>200000</v>
      </c>
      <c r="P926" s="94">
        <v>1300</v>
      </c>
      <c r="Q926" s="92" t="s">
        <v>765</v>
      </c>
      <c r="R926" s="92" t="s">
        <v>8156</v>
      </c>
      <c r="S926" s="89" t="s">
        <v>8157</v>
      </c>
      <c r="T926" s="91">
        <v>85220</v>
      </c>
    </row>
    <row r="927" spans="1:20" ht="30" customHeight="1" x14ac:dyDescent="0.35">
      <c r="A927" s="88">
        <v>852301</v>
      </c>
      <c r="B927" s="89" t="s">
        <v>8158</v>
      </c>
      <c r="C927" s="89" t="s">
        <v>8159</v>
      </c>
      <c r="D927" s="90" t="s">
        <v>3949</v>
      </c>
      <c r="E927" s="89" t="s">
        <v>3724</v>
      </c>
      <c r="F927" s="89"/>
      <c r="G927" s="89" t="s">
        <v>3760</v>
      </c>
      <c r="H927" s="91">
        <v>8523</v>
      </c>
      <c r="I927" s="89" t="s">
        <v>8160</v>
      </c>
      <c r="J927" s="92" t="s">
        <v>3953</v>
      </c>
      <c r="K927" s="92" t="s">
        <v>6776</v>
      </c>
      <c r="L927" s="92" t="s">
        <v>8161</v>
      </c>
      <c r="M927" s="92" t="s">
        <v>4350</v>
      </c>
      <c r="N927" s="93">
        <v>8523</v>
      </c>
      <c r="O927" s="94">
        <v>400000</v>
      </c>
      <c r="P927" s="94">
        <v>10000</v>
      </c>
      <c r="Q927" s="92" t="s">
        <v>3957</v>
      </c>
      <c r="R927" s="92" t="s">
        <v>8162</v>
      </c>
      <c r="S927" s="89" t="s">
        <v>8163</v>
      </c>
      <c r="T927" s="91">
        <v>85122</v>
      </c>
    </row>
    <row r="928" spans="1:20" ht="30" customHeight="1" x14ac:dyDescent="0.35">
      <c r="A928" s="88">
        <v>852400</v>
      </c>
      <c r="B928" s="89" t="s">
        <v>8164</v>
      </c>
      <c r="C928" s="89" t="s">
        <v>6394</v>
      </c>
      <c r="D928" s="90" t="s">
        <v>3949</v>
      </c>
      <c r="E928" s="89" t="s">
        <v>8165</v>
      </c>
      <c r="F928" s="89"/>
      <c r="G928" s="89" t="s">
        <v>909</v>
      </c>
      <c r="H928" s="91">
        <v>8526</v>
      </c>
      <c r="I928" s="89" t="s">
        <v>4348</v>
      </c>
      <c r="J928" s="92" t="s">
        <v>3953</v>
      </c>
      <c r="K928" s="92"/>
      <c r="L928" s="92" t="s">
        <v>4349</v>
      </c>
      <c r="M928" s="92" t="s">
        <v>4350</v>
      </c>
      <c r="N928" s="93">
        <v>8526</v>
      </c>
      <c r="O928" s="94">
        <v>160000</v>
      </c>
      <c r="P928" s="94">
        <v>530</v>
      </c>
      <c r="Q928" s="92" t="s">
        <v>3957</v>
      </c>
      <c r="R928" s="92" t="s">
        <v>8166</v>
      </c>
      <c r="S928" s="89" t="s">
        <v>3982</v>
      </c>
      <c r="T928" s="91">
        <v>85240</v>
      </c>
    </row>
    <row r="929" spans="1:20" ht="30" customHeight="1" x14ac:dyDescent="0.35">
      <c r="A929" s="88">
        <v>853101</v>
      </c>
      <c r="B929" s="89" t="s">
        <v>8167</v>
      </c>
      <c r="C929" s="89" t="s">
        <v>8167</v>
      </c>
      <c r="D929" s="90" t="s">
        <v>3978</v>
      </c>
      <c r="E929" s="89" t="s">
        <v>8168</v>
      </c>
      <c r="F929" s="89" t="s">
        <v>8169</v>
      </c>
      <c r="G929" s="89" t="s">
        <v>3765</v>
      </c>
      <c r="H929" s="91">
        <v>8531</v>
      </c>
      <c r="I929" s="89" t="s">
        <v>8170</v>
      </c>
      <c r="J929" s="92" t="s">
        <v>883</v>
      </c>
      <c r="K929" s="92" t="s">
        <v>6776</v>
      </c>
      <c r="L929" s="92" t="s">
        <v>8171</v>
      </c>
      <c r="M929" s="92" t="s">
        <v>8172</v>
      </c>
      <c r="N929" s="93">
        <v>8531</v>
      </c>
      <c r="O929" s="94">
        <v>1000000</v>
      </c>
      <c r="P929" s="94">
        <v>34000</v>
      </c>
      <c r="Q929" s="92"/>
      <c r="R929" s="92" t="s">
        <v>8173</v>
      </c>
      <c r="S929" s="91">
        <v>85218</v>
      </c>
      <c r="T929" s="89" t="s">
        <v>8174</v>
      </c>
    </row>
    <row r="930" spans="1:20" ht="30" customHeight="1" x14ac:dyDescent="0.35">
      <c r="A930" s="88">
        <v>860612</v>
      </c>
      <c r="B930" s="89" t="s">
        <v>8175</v>
      </c>
      <c r="C930" s="89" t="s">
        <v>8176</v>
      </c>
      <c r="D930" s="90" t="s">
        <v>3949</v>
      </c>
      <c r="E930" s="89" t="s">
        <v>3767</v>
      </c>
      <c r="F930" s="89"/>
      <c r="G930" s="89" t="s">
        <v>3768</v>
      </c>
      <c r="H930" s="91">
        <v>8611</v>
      </c>
      <c r="I930" s="89" t="s">
        <v>3766</v>
      </c>
      <c r="J930" s="92" t="s">
        <v>3954</v>
      </c>
      <c r="K930" s="92"/>
      <c r="L930" s="92" t="s">
        <v>8177</v>
      </c>
      <c r="M930" s="92" t="s">
        <v>8178</v>
      </c>
      <c r="N930" s="93">
        <v>8611</v>
      </c>
      <c r="O930" s="94">
        <v>2300</v>
      </c>
      <c r="P930" s="94">
        <v>210</v>
      </c>
      <c r="Q930" s="92" t="s">
        <v>3957</v>
      </c>
      <c r="R930" s="92" t="s">
        <v>8179</v>
      </c>
      <c r="S930" s="91">
        <v>86110</v>
      </c>
      <c r="T930" s="91">
        <v>86030</v>
      </c>
    </row>
    <row r="931" spans="1:20" ht="30" customHeight="1" x14ac:dyDescent="0.35">
      <c r="A931" s="88">
        <v>860616</v>
      </c>
      <c r="B931" s="89" t="s">
        <v>8180</v>
      </c>
      <c r="C931" s="89" t="s">
        <v>8181</v>
      </c>
      <c r="D931" s="90" t="s">
        <v>3978</v>
      </c>
      <c r="E931" s="89" t="s">
        <v>3770</v>
      </c>
      <c r="F931" s="89"/>
      <c r="G931" s="89" t="s">
        <v>3771</v>
      </c>
      <c r="H931" s="91">
        <v>7384</v>
      </c>
      <c r="I931" s="89" t="s">
        <v>7000</v>
      </c>
      <c r="J931" s="92" t="s">
        <v>883</v>
      </c>
      <c r="K931" s="92"/>
      <c r="L931" s="92" t="s">
        <v>7001</v>
      </c>
      <c r="M931" s="92" t="s">
        <v>4778</v>
      </c>
      <c r="N931" s="93">
        <v>7384</v>
      </c>
      <c r="O931" s="94">
        <v>15000</v>
      </c>
      <c r="P931" s="94">
        <v>300</v>
      </c>
      <c r="Q931" s="92" t="s">
        <v>3957</v>
      </c>
      <c r="R931" s="92" t="s">
        <v>8182</v>
      </c>
      <c r="S931" s="91">
        <v>73070</v>
      </c>
      <c r="T931" s="91">
        <v>73066</v>
      </c>
    </row>
    <row r="932" spans="1:20" ht="30" customHeight="1" x14ac:dyDescent="0.35">
      <c r="A932" s="88">
        <v>860617</v>
      </c>
      <c r="B932" s="89" t="s">
        <v>8183</v>
      </c>
      <c r="C932" s="89" t="s">
        <v>8184</v>
      </c>
      <c r="D932" s="90" t="s">
        <v>3949</v>
      </c>
      <c r="E932" s="89" t="s">
        <v>3773</v>
      </c>
      <c r="F932" s="89"/>
      <c r="G932" s="89" t="s">
        <v>3774</v>
      </c>
      <c r="H932" s="91">
        <v>8601</v>
      </c>
      <c r="I932" s="89" t="s">
        <v>8185</v>
      </c>
      <c r="J932" s="92" t="s">
        <v>4453</v>
      </c>
      <c r="K932" s="92"/>
      <c r="L932" s="92" t="s">
        <v>8186</v>
      </c>
      <c r="M932" s="92" t="s">
        <v>8187</v>
      </c>
      <c r="N932" s="93">
        <v>8601</v>
      </c>
      <c r="O932" s="94">
        <v>105</v>
      </c>
      <c r="P932" s="94">
        <v>4</v>
      </c>
      <c r="Q932" s="92" t="s">
        <v>765</v>
      </c>
      <c r="R932" s="92" t="s">
        <v>8188</v>
      </c>
      <c r="S932" s="91">
        <v>86010</v>
      </c>
      <c r="T932" s="91">
        <v>86010</v>
      </c>
    </row>
    <row r="933" spans="1:20" ht="30" customHeight="1" x14ac:dyDescent="0.35">
      <c r="A933" s="88">
        <v>871101</v>
      </c>
      <c r="B933" s="89" t="s">
        <v>8189</v>
      </c>
      <c r="C933" s="89" t="s">
        <v>8189</v>
      </c>
      <c r="D933" s="90" t="s">
        <v>3949</v>
      </c>
      <c r="E933" s="89" t="s">
        <v>3776</v>
      </c>
      <c r="F933" s="89" t="s">
        <v>8190</v>
      </c>
      <c r="G933" s="89" t="s">
        <v>909</v>
      </c>
      <c r="H933" s="91">
        <v>8711</v>
      </c>
      <c r="I933" s="89" t="s">
        <v>8191</v>
      </c>
      <c r="J933" s="92" t="s">
        <v>3954</v>
      </c>
      <c r="K933" s="92"/>
      <c r="L933" s="92" t="s">
        <v>8192</v>
      </c>
      <c r="M933" s="92" t="s">
        <v>8193</v>
      </c>
      <c r="N933" s="93">
        <v>8711</v>
      </c>
      <c r="O933" s="94">
        <v>140000</v>
      </c>
      <c r="P933" s="94">
        <v>1700</v>
      </c>
      <c r="Q933" s="92" t="s">
        <v>765</v>
      </c>
      <c r="R933" s="92" t="s">
        <v>8194</v>
      </c>
      <c r="S933" s="91">
        <v>87120</v>
      </c>
      <c r="T933" s="91">
        <v>87120</v>
      </c>
    </row>
    <row r="934" spans="1:20" ht="30" customHeight="1" x14ac:dyDescent="0.35">
      <c r="A934" s="88">
        <v>871150</v>
      </c>
      <c r="B934" s="89" t="s">
        <v>8195</v>
      </c>
      <c r="C934" s="89" t="s">
        <v>8196</v>
      </c>
      <c r="D934" s="90" t="s">
        <v>3978</v>
      </c>
      <c r="E934" s="89" t="s">
        <v>3778</v>
      </c>
      <c r="F934" s="89"/>
      <c r="G934" s="89" t="s">
        <v>909</v>
      </c>
      <c r="H934" s="91">
        <v>8452</v>
      </c>
      <c r="I934" s="89" t="s">
        <v>8197</v>
      </c>
      <c r="J934" s="92" t="s">
        <v>7830</v>
      </c>
      <c r="K934" s="92"/>
      <c r="L934" s="92" t="s">
        <v>8198</v>
      </c>
      <c r="M934" s="92" t="s">
        <v>5003</v>
      </c>
      <c r="N934" s="93">
        <v>8452</v>
      </c>
      <c r="O934" s="94">
        <v>8000</v>
      </c>
      <c r="P934" s="94">
        <v>800</v>
      </c>
      <c r="Q934" s="92" t="s">
        <v>3957</v>
      </c>
      <c r="R934" s="92" t="s">
        <v>8199</v>
      </c>
      <c r="S934" s="89" t="s">
        <v>3982</v>
      </c>
      <c r="T934" s="91">
        <v>87115</v>
      </c>
    </row>
    <row r="935" spans="1:20" ht="30" customHeight="1" x14ac:dyDescent="0.35">
      <c r="A935" s="88">
        <v>871183</v>
      </c>
      <c r="B935" s="89" t="s">
        <v>8200</v>
      </c>
      <c r="C935" s="89" t="s">
        <v>8201</v>
      </c>
      <c r="D935" s="90" t="s">
        <v>3949</v>
      </c>
      <c r="E935" s="89" t="s">
        <v>3780</v>
      </c>
      <c r="F935" s="89"/>
      <c r="G935" s="89" t="s">
        <v>3781</v>
      </c>
      <c r="H935" s="91">
        <v>8321</v>
      </c>
      <c r="I935" s="89" t="s">
        <v>7883</v>
      </c>
      <c r="J935" s="92" t="s">
        <v>3954</v>
      </c>
      <c r="K935" s="92"/>
      <c r="L935" s="92" t="s">
        <v>7884</v>
      </c>
      <c r="M935" s="92" t="s">
        <v>7885</v>
      </c>
      <c r="N935" s="93">
        <v>8321</v>
      </c>
      <c r="O935" s="94">
        <v>500000</v>
      </c>
      <c r="P935" s="94">
        <v>4000</v>
      </c>
      <c r="Q935" s="92" t="s">
        <v>765</v>
      </c>
      <c r="R935" s="92" t="s">
        <v>8202</v>
      </c>
      <c r="S935" s="91">
        <v>87110</v>
      </c>
      <c r="T935" s="91">
        <v>87110</v>
      </c>
    </row>
    <row r="936" spans="1:20" ht="30" customHeight="1" x14ac:dyDescent="0.35">
      <c r="A936" s="88">
        <v>871185</v>
      </c>
      <c r="B936" s="89" t="s">
        <v>8203</v>
      </c>
      <c r="C936" s="89" t="s">
        <v>8204</v>
      </c>
      <c r="D936" s="90" t="s">
        <v>3978</v>
      </c>
      <c r="E936" s="89" t="s">
        <v>3783</v>
      </c>
      <c r="F936" s="89"/>
      <c r="G936" s="89" t="s">
        <v>3784</v>
      </c>
      <c r="H936" s="91">
        <v>8924</v>
      </c>
      <c r="I936" s="89" t="s">
        <v>7770</v>
      </c>
      <c r="J936" s="92" t="s">
        <v>4058</v>
      </c>
      <c r="K936" s="92"/>
      <c r="L936" s="92" t="s">
        <v>7771</v>
      </c>
      <c r="M936" s="92" t="s">
        <v>7772</v>
      </c>
      <c r="N936" s="93">
        <v>8924</v>
      </c>
      <c r="O936" s="94">
        <v>1</v>
      </c>
      <c r="P936" s="94">
        <v>1</v>
      </c>
      <c r="Q936" s="92" t="s">
        <v>3957</v>
      </c>
      <c r="R936" s="92" t="s">
        <v>8205</v>
      </c>
      <c r="S936" s="89" t="s">
        <v>643</v>
      </c>
      <c r="T936" s="89" t="s">
        <v>643</v>
      </c>
    </row>
    <row r="937" spans="1:20" ht="30" customHeight="1" x14ac:dyDescent="0.35">
      <c r="A937" s="88">
        <v>871187</v>
      </c>
      <c r="B937" s="89" t="s">
        <v>8206</v>
      </c>
      <c r="C937" s="89" t="s">
        <v>8206</v>
      </c>
      <c r="D937" s="90" t="s">
        <v>3978</v>
      </c>
      <c r="E937" s="89" t="s">
        <v>3786</v>
      </c>
      <c r="F937" s="89"/>
      <c r="G937" s="89" t="s">
        <v>3787</v>
      </c>
      <c r="H937" s="91">
        <v>8712</v>
      </c>
      <c r="I937" s="89" t="s">
        <v>8207</v>
      </c>
      <c r="J937" s="92" t="s">
        <v>3954</v>
      </c>
      <c r="K937" s="92"/>
      <c r="L937" s="92" t="s">
        <v>8208</v>
      </c>
      <c r="M937" s="92" t="s">
        <v>6785</v>
      </c>
      <c r="N937" s="93">
        <v>8712</v>
      </c>
      <c r="O937" s="94">
        <v>15000</v>
      </c>
      <c r="P937" s="94">
        <v>400</v>
      </c>
      <c r="Q937" s="92" t="s">
        <v>765</v>
      </c>
      <c r="R937" s="92" t="s">
        <v>8209</v>
      </c>
      <c r="S937" s="91">
        <v>87150</v>
      </c>
      <c r="T937" s="91">
        <v>87135</v>
      </c>
    </row>
    <row r="938" spans="1:20" ht="30" customHeight="1" x14ac:dyDescent="0.35">
      <c r="A938" s="88">
        <v>871401</v>
      </c>
      <c r="B938" s="89" t="s">
        <v>8210</v>
      </c>
      <c r="C938" s="89" t="s">
        <v>8210</v>
      </c>
      <c r="D938" s="90" t="s">
        <v>3949</v>
      </c>
      <c r="E938" s="89" t="s">
        <v>8211</v>
      </c>
      <c r="F938" s="89" t="s">
        <v>8212</v>
      </c>
      <c r="G938" s="89" t="s">
        <v>909</v>
      </c>
      <c r="H938" s="91">
        <v>8714</v>
      </c>
      <c r="I938" s="89" t="s">
        <v>8213</v>
      </c>
      <c r="J938" s="92" t="s">
        <v>3954</v>
      </c>
      <c r="K938" s="92"/>
      <c r="L938" s="92" t="s">
        <v>8214</v>
      </c>
      <c r="M938" s="92" t="s">
        <v>8215</v>
      </c>
      <c r="N938" s="93">
        <v>8714</v>
      </c>
      <c r="O938" s="94">
        <v>18000</v>
      </c>
      <c r="P938" s="94">
        <v>930</v>
      </c>
      <c r="Q938" s="92" t="s">
        <v>3957</v>
      </c>
      <c r="R938" s="92" t="s">
        <v>8216</v>
      </c>
      <c r="S938" s="91">
        <v>87140</v>
      </c>
      <c r="T938" s="91">
        <v>87125</v>
      </c>
    </row>
    <row r="939" spans="1:20" ht="30" customHeight="1" x14ac:dyDescent="0.35">
      <c r="A939" s="88">
        <v>871421</v>
      </c>
      <c r="B939" s="89" t="s">
        <v>8217</v>
      </c>
      <c r="C939" s="89" t="s">
        <v>8217</v>
      </c>
      <c r="D939" s="90" t="s">
        <v>3949</v>
      </c>
      <c r="E939" s="89" t="s">
        <v>3791</v>
      </c>
      <c r="F939" s="89"/>
      <c r="G939" s="89" t="s">
        <v>909</v>
      </c>
      <c r="H939" s="91">
        <v>8714</v>
      </c>
      <c r="I939" s="89" t="s">
        <v>8213</v>
      </c>
      <c r="J939" s="92" t="s">
        <v>3954</v>
      </c>
      <c r="K939" s="92"/>
      <c r="L939" s="92" t="s">
        <v>8214</v>
      </c>
      <c r="M939" s="92" t="s">
        <v>8215</v>
      </c>
      <c r="N939" s="93">
        <v>8714</v>
      </c>
      <c r="O939" s="94">
        <v>18000</v>
      </c>
      <c r="P939" s="94">
        <v>930</v>
      </c>
      <c r="Q939" s="92" t="s">
        <v>3957</v>
      </c>
      <c r="R939" s="92" t="s">
        <v>8218</v>
      </c>
      <c r="S939" s="91">
        <v>16430</v>
      </c>
      <c r="T939" s="89" t="s">
        <v>8219</v>
      </c>
    </row>
    <row r="940" spans="1:20" ht="30" customHeight="1" x14ac:dyDescent="0.35">
      <c r="A940" s="88">
        <v>872245</v>
      </c>
      <c r="B940" s="89" t="s">
        <v>8220</v>
      </c>
      <c r="C940" s="89" t="s">
        <v>8221</v>
      </c>
      <c r="D940" s="90" t="s">
        <v>3949</v>
      </c>
      <c r="E940" s="89" t="s">
        <v>3793</v>
      </c>
      <c r="F940" s="89" t="s">
        <v>8222</v>
      </c>
      <c r="G940" s="89" t="s">
        <v>3794</v>
      </c>
      <c r="H940" s="91">
        <v>8721</v>
      </c>
      <c r="I940" s="89" t="s">
        <v>8223</v>
      </c>
      <c r="J940" s="92" t="s">
        <v>3954</v>
      </c>
      <c r="K940" s="92"/>
      <c r="L940" s="92" t="s">
        <v>8224</v>
      </c>
      <c r="M940" s="92" t="s">
        <v>8225</v>
      </c>
      <c r="N940" s="93">
        <v>8721</v>
      </c>
      <c r="O940" s="94">
        <v>280000</v>
      </c>
      <c r="P940" s="94">
        <v>1700</v>
      </c>
      <c r="Q940" s="92" t="s">
        <v>765</v>
      </c>
      <c r="R940" s="92" t="s">
        <v>8226</v>
      </c>
      <c r="S940" s="89" t="s">
        <v>8227</v>
      </c>
      <c r="T940" s="91">
        <v>87210</v>
      </c>
    </row>
    <row r="941" spans="1:20" ht="30" customHeight="1" x14ac:dyDescent="0.35">
      <c r="A941" s="88">
        <v>872247</v>
      </c>
      <c r="B941" s="89" t="s">
        <v>8228</v>
      </c>
      <c r="C941" s="89" t="s">
        <v>8229</v>
      </c>
      <c r="D941" s="90" t="s">
        <v>3949</v>
      </c>
      <c r="E941" s="89" t="s">
        <v>3796</v>
      </c>
      <c r="F941" s="89" t="s">
        <v>8230</v>
      </c>
      <c r="G941" s="89" t="s">
        <v>3797</v>
      </c>
      <c r="H941" s="91">
        <v>8722</v>
      </c>
      <c r="I941" s="89" t="s">
        <v>8231</v>
      </c>
      <c r="J941" s="92" t="s">
        <v>3954</v>
      </c>
      <c r="K941" s="92"/>
      <c r="L941" s="92" t="s">
        <v>8232</v>
      </c>
      <c r="M941" s="92" t="s">
        <v>7406</v>
      </c>
      <c r="N941" s="93">
        <v>8722</v>
      </c>
      <c r="O941" s="94">
        <v>250000</v>
      </c>
      <c r="P941" s="94">
        <v>2100</v>
      </c>
      <c r="Q941" s="92" t="s">
        <v>765</v>
      </c>
      <c r="R941" s="92" t="s">
        <v>8233</v>
      </c>
      <c r="S941" s="91">
        <v>87224</v>
      </c>
      <c r="T941" s="91">
        <v>87211</v>
      </c>
    </row>
    <row r="942" spans="1:20" ht="30" customHeight="1" x14ac:dyDescent="0.35">
      <c r="A942" s="88">
        <v>872248</v>
      </c>
      <c r="B942" s="89" t="s">
        <v>8234</v>
      </c>
      <c r="C942" s="89" t="s">
        <v>8235</v>
      </c>
      <c r="D942" s="90" t="s">
        <v>3949</v>
      </c>
      <c r="E942" s="89" t="s">
        <v>3799</v>
      </c>
      <c r="F942" s="89" t="s">
        <v>8236</v>
      </c>
      <c r="G942" s="89" t="s">
        <v>3800</v>
      </c>
      <c r="H942" s="91">
        <v>8721</v>
      </c>
      <c r="I942" s="89" t="s">
        <v>8223</v>
      </c>
      <c r="J942" s="92" t="s">
        <v>3954</v>
      </c>
      <c r="K942" s="92"/>
      <c r="L942" s="92" t="s">
        <v>8224</v>
      </c>
      <c r="M942" s="92" t="s">
        <v>8225</v>
      </c>
      <c r="N942" s="93">
        <v>8721</v>
      </c>
      <c r="O942" s="94">
        <v>280000</v>
      </c>
      <c r="P942" s="94">
        <v>1700</v>
      </c>
      <c r="Q942" s="92" t="s">
        <v>765</v>
      </c>
      <c r="R942" s="92" t="s">
        <v>8237</v>
      </c>
      <c r="S942" s="89" t="s">
        <v>8227</v>
      </c>
      <c r="T942" s="91">
        <v>87215</v>
      </c>
    </row>
    <row r="943" spans="1:20" ht="30" customHeight="1" x14ac:dyDescent="0.35">
      <c r="A943" s="88">
        <v>872249</v>
      </c>
      <c r="B943" s="89" t="s">
        <v>8238</v>
      </c>
      <c r="C943" s="89" t="s">
        <v>8238</v>
      </c>
      <c r="D943" s="90" t="s">
        <v>3949</v>
      </c>
      <c r="E943" s="89" t="s">
        <v>3802</v>
      </c>
      <c r="F943" s="89"/>
      <c r="G943" s="89" t="s">
        <v>909</v>
      </c>
      <c r="H943" s="91">
        <v>8721</v>
      </c>
      <c r="I943" s="89" t="s">
        <v>8223</v>
      </c>
      <c r="J943" s="92" t="s">
        <v>3954</v>
      </c>
      <c r="K943" s="92"/>
      <c r="L943" s="92" t="s">
        <v>8224</v>
      </c>
      <c r="M943" s="92" t="s">
        <v>8225</v>
      </c>
      <c r="N943" s="93">
        <v>8721</v>
      </c>
      <c r="O943" s="94">
        <v>280000</v>
      </c>
      <c r="P943" s="94">
        <v>1700</v>
      </c>
      <c r="Q943" s="92" t="s">
        <v>765</v>
      </c>
      <c r="R943" s="92" t="s">
        <v>8238</v>
      </c>
      <c r="S943" s="89" t="s">
        <v>3982</v>
      </c>
      <c r="T943" s="89" t="s">
        <v>3982</v>
      </c>
    </row>
    <row r="944" spans="1:20" ht="30" customHeight="1" x14ac:dyDescent="0.35">
      <c r="A944" s="88">
        <v>872300</v>
      </c>
      <c r="B944" s="89" t="s">
        <v>8239</v>
      </c>
      <c r="C944" s="89" t="s">
        <v>8240</v>
      </c>
      <c r="D944" s="90" t="s">
        <v>3978</v>
      </c>
      <c r="E944" s="89" t="s">
        <v>8241</v>
      </c>
      <c r="F944" s="89" t="s">
        <v>8242</v>
      </c>
      <c r="G944" s="89" t="s">
        <v>909</v>
      </c>
      <c r="H944" s="91">
        <v>1458</v>
      </c>
      <c r="I944" s="89" t="s">
        <v>8243</v>
      </c>
      <c r="J944" s="92" t="s">
        <v>4058</v>
      </c>
      <c r="K944" s="92"/>
      <c r="L944" s="92" t="s">
        <v>8244</v>
      </c>
      <c r="M944" s="92" t="s">
        <v>8245</v>
      </c>
      <c r="N944" s="93">
        <v>1458</v>
      </c>
      <c r="O944" s="94">
        <v>22</v>
      </c>
      <c r="P944" s="94">
        <v>3</v>
      </c>
      <c r="Q944" s="92" t="s">
        <v>3957</v>
      </c>
      <c r="R944" s="92" t="s">
        <v>8246</v>
      </c>
      <c r="S944" s="91">
        <v>87230</v>
      </c>
      <c r="T944" s="91">
        <v>87230</v>
      </c>
    </row>
    <row r="945" spans="1:20" ht="30" customHeight="1" x14ac:dyDescent="0.35">
      <c r="A945" s="88">
        <v>872845</v>
      </c>
      <c r="B945" s="89" t="s">
        <v>8247</v>
      </c>
      <c r="C945" s="89" t="s">
        <v>8248</v>
      </c>
      <c r="D945" s="90" t="s">
        <v>3978</v>
      </c>
      <c r="E945" s="89" t="s">
        <v>8249</v>
      </c>
      <c r="F945" s="89"/>
      <c r="G945" s="89" t="s">
        <v>3807</v>
      </c>
      <c r="H945" s="91">
        <v>1499</v>
      </c>
      <c r="I945" s="89" t="s">
        <v>4798</v>
      </c>
      <c r="J945" s="92" t="s">
        <v>883</v>
      </c>
      <c r="K945" s="92"/>
      <c r="L945" s="92" t="s">
        <v>4799</v>
      </c>
      <c r="M945" s="92" t="s">
        <v>4800</v>
      </c>
      <c r="N945" s="93">
        <v>1499</v>
      </c>
      <c r="O945" s="94">
        <v>35</v>
      </c>
      <c r="P945" s="94">
        <v>1</v>
      </c>
      <c r="Q945" s="92" t="s">
        <v>3957</v>
      </c>
      <c r="R945" s="92" t="s">
        <v>8250</v>
      </c>
      <c r="S945" s="91">
        <v>14940</v>
      </c>
      <c r="T945" s="89" t="s">
        <v>643</v>
      </c>
    </row>
    <row r="946" spans="1:20" ht="30" customHeight="1" x14ac:dyDescent="0.35">
      <c r="A946" s="88">
        <v>872911</v>
      </c>
      <c r="B946" s="89" t="s">
        <v>8251</v>
      </c>
      <c r="C946" s="89" t="s">
        <v>8252</v>
      </c>
      <c r="D946" s="90" t="s">
        <v>3978</v>
      </c>
      <c r="E946" s="89" t="s">
        <v>3809</v>
      </c>
      <c r="F946" s="89"/>
      <c r="G946" s="89" t="s">
        <v>3810</v>
      </c>
      <c r="H946" s="91">
        <v>1495</v>
      </c>
      <c r="I946" s="89" t="s">
        <v>8253</v>
      </c>
      <c r="J946" s="92" t="s">
        <v>4058</v>
      </c>
      <c r="K946" s="92"/>
      <c r="L946" s="92" t="s">
        <v>8254</v>
      </c>
      <c r="M946" s="92" t="s">
        <v>8255</v>
      </c>
      <c r="N946" s="93">
        <v>1495</v>
      </c>
      <c r="O946" s="94">
        <v>220</v>
      </c>
      <c r="P946" s="94">
        <v>13</v>
      </c>
      <c r="Q946" s="92" t="s">
        <v>765</v>
      </c>
      <c r="R946" s="92" t="s">
        <v>8256</v>
      </c>
      <c r="S946" s="91">
        <v>14915</v>
      </c>
      <c r="T946" s="91">
        <v>14910</v>
      </c>
    </row>
    <row r="947" spans="1:20" ht="30" customHeight="1" x14ac:dyDescent="0.35">
      <c r="A947" s="88">
        <v>881310</v>
      </c>
      <c r="B947" s="89" t="s">
        <v>8257</v>
      </c>
      <c r="C947" s="89"/>
      <c r="D947" s="90" t="s">
        <v>3949</v>
      </c>
      <c r="E947" s="89" t="s">
        <v>3812</v>
      </c>
      <c r="F947" s="89"/>
      <c r="G947" s="89" t="s">
        <v>909</v>
      </c>
      <c r="H947" s="91">
        <v>8813</v>
      </c>
      <c r="I947" s="89" t="s">
        <v>8258</v>
      </c>
      <c r="J947" s="92"/>
      <c r="K947" s="92"/>
      <c r="L947" s="92"/>
      <c r="M947" s="92"/>
      <c r="N947" s="93"/>
      <c r="O947" s="94"/>
      <c r="P947" s="94"/>
      <c r="Q947" s="92"/>
      <c r="R947" s="92"/>
      <c r="S947" s="91"/>
      <c r="T947" s="91"/>
    </row>
    <row r="948" spans="1:20" ht="30" customHeight="1" x14ac:dyDescent="0.35">
      <c r="A948" s="88">
        <v>882110</v>
      </c>
      <c r="B948" s="89" t="s">
        <v>8259</v>
      </c>
      <c r="C948" s="89"/>
      <c r="D948" s="90" t="s">
        <v>3978</v>
      </c>
      <c r="E948" s="89" t="s">
        <v>8260</v>
      </c>
      <c r="F948" s="89"/>
      <c r="G948" s="89" t="s">
        <v>909</v>
      </c>
      <c r="H948" s="91">
        <v>8821</v>
      </c>
      <c r="I948" s="89" t="s">
        <v>8261</v>
      </c>
      <c r="J948" s="92"/>
      <c r="K948" s="92"/>
      <c r="L948" s="92"/>
      <c r="M948" s="92"/>
      <c r="N948" s="93"/>
      <c r="O948" s="94"/>
      <c r="P948" s="94"/>
      <c r="Q948" s="92"/>
      <c r="R948" s="92"/>
      <c r="S948" s="91"/>
      <c r="T948" s="91"/>
    </row>
    <row r="949" spans="1:20" ht="30" customHeight="1" x14ac:dyDescent="0.35">
      <c r="A949" s="88">
        <v>882210</v>
      </c>
      <c r="B949" s="89" t="s">
        <v>8262</v>
      </c>
      <c r="C949" s="89"/>
      <c r="D949" s="90" t="s">
        <v>3949</v>
      </c>
      <c r="E949" s="89" t="s">
        <v>8263</v>
      </c>
      <c r="F949" s="89"/>
      <c r="G949" s="89" t="s">
        <v>909</v>
      </c>
      <c r="H949" s="91">
        <v>8822</v>
      </c>
      <c r="I949" s="89" t="s">
        <v>3815</v>
      </c>
      <c r="J949" s="92"/>
      <c r="K949" s="92"/>
      <c r="L949" s="92"/>
      <c r="M949" s="92"/>
      <c r="N949" s="93"/>
      <c r="O949" s="94"/>
      <c r="P949" s="94"/>
      <c r="Q949" s="92"/>
      <c r="R949" s="92"/>
      <c r="S949" s="91"/>
      <c r="T949" s="91"/>
    </row>
    <row r="950" spans="1:20" ht="30" customHeight="1" x14ac:dyDescent="0.35">
      <c r="A950" s="88">
        <v>890123</v>
      </c>
      <c r="B950" s="89" t="s">
        <v>8264</v>
      </c>
      <c r="C950" s="89" t="s">
        <v>8265</v>
      </c>
      <c r="D950" s="90" t="s">
        <v>4077</v>
      </c>
      <c r="E950" s="89" t="s">
        <v>3818</v>
      </c>
      <c r="F950" s="89"/>
      <c r="G950" s="89" t="s">
        <v>3819</v>
      </c>
      <c r="H950" s="91">
        <v>8910</v>
      </c>
      <c r="I950" s="89" t="s">
        <v>7629</v>
      </c>
      <c r="J950" s="92" t="s">
        <v>883</v>
      </c>
      <c r="K950" s="92"/>
      <c r="L950" s="92" t="s">
        <v>7630</v>
      </c>
      <c r="M950" s="92" t="s">
        <v>5788</v>
      </c>
      <c r="N950" s="93">
        <v>8910</v>
      </c>
      <c r="O950" s="94">
        <v>150000</v>
      </c>
      <c r="P950" s="94">
        <v>1300</v>
      </c>
      <c r="Q950" s="92" t="s">
        <v>3957</v>
      </c>
      <c r="R950" s="92" t="s">
        <v>8266</v>
      </c>
      <c r="S950" s="91">
        <v>89126</v>
      </c>
      <c r="T950" s="91">
        <v>82610</v>
      </c>
    </row>
    <row r="951" spans="1:20" ht="30" customHeight="1" x14ac:dyDescent="0.35">
      <c r="A951" s="88">
        <v>890127</v>
      </c>
      <c r="B951" s="89" t="s">
        <v>8267</v>
      </c>
      <c r="C951" s="89" t="s">
        <v>8268</v>
      </c>
      <c r="D951" s="90" t="s">
        <v>3978</v>
      </c>
      <c r="E951" s="89" t="s">
        <v>3821</v>
      </c>
      <c r="F951" s="89" t="s">
        <v>8269</v>
      </c>
      <c r="G951" s="89" t="s">
        <v>3822</v>
      </c>
      <c r="H951" s="91">
        <v>8115</v>
      </c>
      <c r="I951" s="89" t="s">
        <v>7622</v>
      </c>
      <c r="J951" s="92" t="s">
        <v>7623</v>
      </c>
      <c r="K951" s="92"/>
      <c r="L951" s="92" t="s">
        <v>7624</v>
      </c>
      <c r="M951" s="92" t="s">
        <v>7625</v>
      </c>
      <c r="N951" s="93">
        <v>8115</v>
      </c>
      <c r="O951" s="94">
        <v>16000</v>
      </c>
      <c r="P951" s="94">
        <v>400</v>
      </c>
      <c r="Q951" s="92" t="s">
        <v>3957</v>
      </c>
      <c r="R951" s="92" t="s">
        <v>8270</v>
      </c>
      <c r="S951" s="89" t="s">
        <v>643</v>
      </c>
      <c r="T951" s="91">
        <v>81150</v>
      </c>
    </row>
    <row r="952" spans="1:20" ht="30" customHeight="1" x14ac:dyDescent="0.35">
      <c r="A952" s="88">
        <v>890134</v>
      </c>
      <c r="B952" s="89" t="s">
        <v>8271</v>
      </c>
      <c r="C952" s="89" t="s">
        <v>8272</v>
      </c>
      <c r="D952" s="90" t="s">
        <v>3978</v>
      </c>
      <c r="E952" s="89" t="s">
        <v>3824</v>
      </c>
      <c r="F952" s="89"/>
      <c r="G952" s="89" t="s">
        <v>3825</v>
      </c>
      <c r="H952" s="91">
        <v>8921</v>
      </c>
      <c r="I952" s="89" t="s">
        <v>5883</v>
      </c>
      <c r="J952" s="92" t="s">
        <v>4058</v>
      </c>
      <c r="K952" s="92"/>
      <c r="L952" s="92" t="s">
        <v>5884</v>
      </c>
      <c r="M952" s="92" t="s">
        <v>5885</v>
      </c>
      <c r="N952" s="93">
        <v>8921</v>
      </c>
      <c r="O952" s="94">
        <v>1</v>
      </c>
      <c r="P952" s="94">
        <v>1</v>
      </c>
      <c r="Q952" s="92" t="s">
        <v>3957</v>
      </c>
      <c r="R952" s="92" t="s">
        <v>8273</v>
      </c>
      <c r="S952" s="91">
        <v>89123</v>
      </c>
      <c r="T952" s="91">
        <v>89020</v>
      </c>
    </row>
    <row r="953" spans="1:20" ht="30" customHeight="1" x14ac:dyDescent="0.35">
      <c r="A953" s="88">
        <v>890136</v>
      </c>
      <c r="B953" s="89" t="s">
        <v>7649</v>
      </c>
      <c r="C953" s="89" t="s">
        <v>8274</v>
      </c>
      <c r="D953" s="90" t="s">
        <v>4077</v>
      </c>
      <c r="E953" s="89" t="s">
        <v>3827</v>
      </c>
      <c r="F953" s="89"/>
      <c r="G953" s="89" t="s">
        <v>3828</v>
      </c>
      <c r="H953" s="91">
        <v>8910</v>
      </c>
      <c r="I953" s="89" t="s">
        <v>7629</v>
      </c>
      <c r="J953" s="92" t="s">
        <v>883</v>
      </c>
      <c r="K953" s="92"/>
      <c r="L953" s="92" t="s">
        <v>7630</v>
      </c>
      <c r="M953" s="92" t="s">
        <v>5788</v>
      </c>
      <c r="N953" s="93">
        <v>8910</v>
      </c>
      <c r="O953" s="94">
        <v>150000</v>
      </c>
      <c r="P953" s="94">
        <v>1300</v>
      </c>
      <c r="Q953" s="92" t="s">
        <v>3957</v>
      </c>
      <c r="R953" s="92" t="s">
        <v>8275</v>
      </c>
      <c r="S953" s="89" t="s">
        <v>643</v>
      </c>
      <c r="T953" s="91">
        <v>82309</v>
      </c>
    </row>
    <row r="954" spans="1:20" ht="30" customHeight="1" x14ac:dyDescent="0.35">
      <c r="A954" s="88">
        <v>890144</v>
      </c>
      <c r="B954" s="89" t="s">
        <v>8276</v>
      </c>
      <c r="C954" s="89" t="s">
        <v>8277</v>
      </c>
      <c r="D954" s="90" t="s">
        <v>3949</v>
      </c>
      <c r="E954" s="89" t="s">
        <v>3830</v>
      </c>
      <c r="F954" s="89"/>
      <c r="G954" s="89" t="s">
        <v>3831</v>
      </c>
      <c r="H954" s="91">
        <v>8930</v>
      </c>
      <c r="I954" s="89" t="s">
        <v>8278</v>
      </c>
      <c r="J954" s="85" t="s">
        <v>3954</v>
      </c>
      <c r="K954" s="92"/>
      <c r="L954" s="92" t="s">
        <v>7802</v>
      </c>
      <c r="M954" s="92" t="s">
        <v>8279</v>
      </c>
      <c r="N954" s="93">
        <v>8930</v>
      </c>
      <c r="O954" s="94">
        <v>78000</v>
      </c>
      <c r="P954" s="94">
        <v>1300</v>
      </c>
      <c r="Q954" s="92" t="s">
        <v>765</v>
      </c>
      <c r="R954" s="92" t="s">
        <v>8280</v>
      </c>
      <c r="S954" s="91">
        <v>89320</v>
      </c>
      <c r="T954" s="91">
        <v>89021</v>
      </c>
    </row>
    <row r="955" spans="1:20" s="29" customFormat="1" ht="30" customHeight="1" x14ac:dyDescent="0.35">
      <c r="A955" s="88">
        <v>890151</v>
      </c>
      <c r="B955" s="89" t="s">
        <v>8281</v>
      </c>
      <c r="C955" s="89" t="s">
        <v>8281</v>
      </c>
      <c r="D955" s="90" t="s">
        <v>3978</v>
      </c>
      <c r="E955" s="89" t="s">
        <v>3833</v>
      </c>
      <c r="F955" s="89"/>
      <c r="G955" s="89" t="s">
        <v>3834</v>
      </c>
      <c r="H955" s="91">
        <v>1499</v>
      </c>
      <c r="I955" s="89" t="s">
        <v>4798</v>
      </c>
      <c r="J955" s="92" t="s">
        <v>883</v>
      </c>
      <c r="K955" s="92"/>
      <c r="L955" s="92" t="s">
        <v>4799</v>
      </c>
      <c r="M955" s="92" t="s">
        <v>4800</v>
      </c>
      <c r="N955" s="93">
        <v>1499</v>
      </c>
      <c r="O955" s="94">
        <v>35</v>
      </c>
      <c r="P955" s="94">
        <v>1</v>
      </c>
      <c r="Q955" s="92" t="s">
        <v>3957</v>
      </c>
      <c r="R955" s="92" t="s">
        <v>8282</v>
      </c>
      <c r="S955" s="89" t="s">
        <v>643</v>
      </c>
      <c r="T955" s="89" t="s">
        <v>643</v>
      </c>
    </row>
    <row r="956" spans="1:20" s="29" customFormat="1" ht="30" customHeight="1" x14ac:dyDescent="0.35">
      <c r="A956" s="88">
        <v>890152</v>
      </c>
      <c r="B956" s="89" t="s">
        <v>8283</v>
      </c>
      <c r="C956" s="89" t="s">
        <v>8284</v>
      </c>
      <c r="D956" s="90" t="s">
        <v>3949</v>
      </c>
      <c r="E956" s="89" t="s">
        <v>3836</v>
      </c>
      <c r="F956" s="89"/>
      <c r="G956" s="89" t="s">
        <v>3837</v>
      </c>
      <c r="H956" s="91">
        <v>8526</v>
      </c>
      <c r="I956" s="89" t="s">
        <v>4348</v>
      </c>
      <c r="J956" s="92" t="s">
        <v>3953</v>
      </c>
      <c r="K956" s="92"/>
      <c r="L956" s="92" t="s">
        <v>4349</v>
      </c>
      <c r="M956" s="92" t="s">
        <v>4350</v>
      </c>
      <c r="N956" s="93">
        <v>8526</v>
      </c>
      <c r="O956" s="94">
        <v>160000</v>
      </c>
      <c r="P956" s="94">
        <v>530</v>
      </c>
      <c r="Q956" s="92" t="s">
        <v>3957</v>
      </c>
      <c r="R956" s="92" t="s">
        <v>8285</v>
      </c>
      <c r="S956" s="89" t="s">
        <v>643</v>
      </c>
      <c r="T956" s="91">
        <v>85240</v>
      </c>
    </row>
    <row r="957" spans="1:20" s="29" customFormat="1" ht="30" customHeight="1" x14ac:dyDescent="0.35">
      <c r="A957" s="88">
        <v>890154</v>
      </c>
      <c r="B957" s="89" t="s">
        <v>8286</v>
      </c>
      <c r="C957" s="89" t="s">
        <v>8287</v>
      </c>
      <c r="D957" s="90" t="s">
        <v>3978</v>
      </c>
      <c r="E957" s="89" t="s">
        <v>3839</v>
      </c>
      <c r="F957" s="89" t="s">
        <v>8288</v>
      </c>
      <c r="G957" s="89" t="s">
        <v>3840</v>
      </c>
      <c r="H957" s="91">
        <v>2137</v>
      </c>
      <c r="I957" s="89" t="s">
        <v>8289</v>
      </c>
      <c r="J957" s="92" t="s">
        <v>883</v>
      </c>
      <c r="K957" s="92" t="s">
        <v>8290</v>
      </c>
      <c r="L957" s="92" t="s">
        <v>8291</v>
      </c>
      <c r="M957" s="92" t="s">
        <v>8292</v>
      </c>
      <c r="N957" s="93">
        <v>2137</v>
      </c>
      <c r="O957" s="94">
        <v>10</v>
      </c>
      <c r="P957" s="94">
        <v>1</v>
      </c>
      <c r="Q957" s="92" t="s">
        <v>3957</v>
      </c>
      <c r="R957" s="92" t="s">
        <v>8293</v>
      </c>
      <c r="S957" s="91">
        <v>21340</v>
      </c>
      <c r="T957" s="91">
        <v>21340</v>
      </c>
    </row>
    <row r="958" spans="1:20" s="29" customFormat="1" ht="30" customHeight="1" x14ac:dyDescent="0.35">
      <c r="A958" s="88">
        <v>890156</v>
      </c>
      <c r="B958" s="89" t="s">
        <v>8294</v>
      </c>
      <c r="C958" s="89" t="s">
        <v>8295</v>
      </c>
      <c r="D958" s="90" t="s">
        <v>3978</v>
      </c>
      <c r="E958" s="89" t="s">
        <v>3842</v>
      </c>
      <c r="F958" s="89"/>
      <c r="G958" s="89" t="s">
        <v>3843</v>
      </c>
      <c r="H958" s="91">
        <v>8928</v>
      </c>
      <c r="I958" s="89" t="s">
        <v>8296</v>
      </c>
      <c r="J958" s="92" t="s">
        <v>4058</v>
      </c>
      <c r="K958" s="92"/>
      <c r="L958" s="92" t="s">
        <v>8297</v>
      </c>
      <c r="M958" s="92" t="s">
        <v>8298</v>
      </c>
      <c r="N958" s="93">
        <v>8928</v>
      </c>
      <c r="O958" s="94">
        <v>10</v>
      </c>
      <c r="P958" s="94">
        <v>1</v>
      </c>
      <c r="Q958" s="92" t="s">
        <v>3957</v>
      </c>
      <c r="R958" s="92" t="s">
        <v>8299</v>
      </c>
      <c r="S958" s="91">
        <v>14970</v>
      </c>
      <c r="T958" s="91">
        <v>85115</v>
      </c>
    </row>
    <row r="959" spans="1:20" s="29" customFormat="1" ht="30" customHeight="1" x14ac:dyDescent="0.35">
      <c r="A959" s="88">
        <v>890158</v>
      </c>
      <c r="B959" s="89" t="s">
        <v>8300</v>
      </c>
      <c r="C959" s="89" t="s">
        <v>8301</v>
      </c>
      <c r="D959" s="90" t="s">
        <v>3978</v>
      </c>
      <c r="E959" s="89" t="s">
        <v>3845</v>
      </c>
      <c r="F959" s="89"/>
      <c r="G959" s="89" t="s">
        <v>3846</v>
      </c>
      <c r="H959" s="91">
        <v>8928</v>
      </c>
      <c r="I959" s="89" t="s">
        <v>8296</v>
      </c>
      <c r="J959" s="92" t="s">
        <v>4058</v>
      </c>
      <c r="K959" s="92"/>
      <c r="L959" s="92" t="s">
        <v>8297</v>
      </c>
      <c r="M959" s="92" t="s">
        <v>8298</v>
      </c>
      <c r="N959" s="93">
        <v>8928</v>
      </c>
      <c r="O959" s="94">
        <v>10</v>
      </c>
      <c r="P959" s="94">
        <v>1</v>
      </c>
      <c r="Q959" s="92" t="s">
        <v>3957</v>
      </c>
      <c r="R959" s="92" t="s">
        <v>8302</v>
      </c>
      <c r="S959" s="91">
        <v>14970</v>
      </c>
      <c r="T959" s="91">
        <v>85115</v>
      </c>
    </row>
    <row r="960" spans="1:20" s="29" customFormat="1" ht="30" customHeight="1" x14ac:dyDescent="0.35">
      <c r="A960" s="88">
        <v>890171</v>
      </c>
      <c r="B960" s="89" t="s">
        <v>8303</v>
      </c>
      <c r="C960" s="89" t="s">
        <v>8304</v>
      </c>
      <c r="D960" s="90" t="s">
        <v>3978</v>
      </c>
      <c r="E960" s="89" t="s">
        <v>8305</v>
      </c>
      <c r="F960" s="89"/>
      <c r="G960" s="89" t="s">
        <v>3849</v>
      </c>
      <c r="H960" s="91">
        <v>8951</v>
      </c>
      <c r="I960" s="89" t="s">
        <v>8306</v>
      </c>
      <c r="J960" s="92" t="s">
        <v>4126</v>
      </c>
      <c r="K960" s="92"/>
      <c r="L960" s="92" t="s">
        <v>8307</v>
      </c>
      <c r="M960" s="92" t="s">
        <v>8151</v>
      </c>
      <c r="N960" s="93">
        <v>8951</v>
      </c>
      <c r="O960" s="94">
        <v>10000000</v>
      </c>
      <c r="P960" s="94">
        <v>410000</v>
      </c>
      <c r="Q960" s="92" t="s">
        <v>3957</v>
      </c>
      <c r="R960" s="92" t="s">
        <v>8308</v>
      </c>
      <c r="S960" s="89" t="s">
        <v>8309</v>
      </c>
      <c r="T960" s="89" t="s">
        <v>643</v>
      </c>
    </row>
    <row r="961" spans="1:20" s="29" customFormat="1" ht="30" customHeight="1" x14ac:dyDescent="0.35">
      <c r="A961" s="88">
        <v>890172</v>
      </c>
      <c r="B961" s="89" t="s">
        <v>8310</v>
      </c>
      <c r="C961" s="89" t="s">
        <v>8311</v>
      </c>
      <c r="D961" s="90" t="s">
        <v>3978</v>
      </c>
      <c r="E961" s="89" t="s">
        <v>8312</v>
      </c>
      <c r="F961" s="89"/>
      <c r="G961" s="89" t="s">
        <v>909</v>
      </c>
      <c r="H961" s="91">
        <v>8951</v>
      </c>
      <c r="I961" s="89" t="s">
        <v>8306</v>
      </c>
      <c r="J961" s="92" t="s">
        <v>4126</v>
      </c>
      <c r="K961" s="92"/>
      <c r="L961" s="92" t="s">
        <v>8307</v>
      </c>
      <c r="M961" s="92" t="s">
        <v>8151</v>
      </c>
      <c r="N961" s="93">
        <v>8951</v>
      </c>
      <c r="O961" s="94">
        <v>10000000</v>
      </c>
      <c r="P961" s="94">
        <v>410000</v>
      </c>
      <c r="Q961" s="92" t="s">
        <v>3957</v>
      </c>
      <c r="R961" s="92" t="s">
        <v>8313</v>
      </c>
      <c r="S961" s="89" t="s">
        <v>3982</v>
      </c>
      <c r="T961" s="89" t="s">
        <v>3982</v>
      </c>
    </row>
    <row r="962" spans="1:20" s="29" customFormat="1" ht="30" customHeight="1" x14ac:dyDescent="0.35">
      <c r="A962" s="88">
        <v>890181</v>
      </c>
      <c r="B962" s="89" t="s">
        <v>8314</v>
      </c>
      <c r="C962" s="89" t="s">
        <v>8315</v>
      </c>
      <c r="D962" s="90" t="s">
        <v>3949</v>
      </c>
      <c r="E962" s="89" t="s">
        <v>3853</v>
      </c>
      <c r="F962" s="89" t="s">
        <v>8316</v>
      </c>
      <c r="G962" s="89" t="s">
        <v>3854</v>
      </c>
      <c r="H962" s="91">
        <v>8932</v>
      </c>
      <c r="I962" s="89" t="s">
        <v>8317</v>
      </c>
      <c r="J962" s="92" t="s">
        <v>3954</v>
      </c>
      <c r="K962" s="92"/>
      <c r="L962" s="92" t="s">
        <v>8318</v>
      </c>
      <c r="M962" s="92" t="s">
        <v>4455</v>
      </c>
      <c r="N962" s="93">
        <v>8932</v>
      </c>
      <c r="O962" s="94">
        <v>110000</v>
      </c>
      <c r="P962" s="94">
        <v>7500</v>
      </c>
      <c r="Q962" s="92" t="s">
        <v>765</v>
      </c>
      <c r="R962" s="92" t="s">
        <v>8319</v>
      </c>
      <c r="S962" s="91">
        <v>89321</v>
      </c>
      <c r="T962" s="91">
        <v>89320</v>
      </c>
    </row>
    <row r="963" spans="1:20" s="29" customFormat="1" ht="30" customHeight="1" x14ac:dyDescent="0.35">
      <c r="A963" s="88">
        <v>890185</v>
      </c>
      <c r="B963" s="89" t="s">
        <v>8320</v>
      </c>
      <c r="C963" s="89" t="s">
        <v>8321</v>
      </c>
      <c r="D963" s="90" t="s">
        <v>3949</v>
      </c>
      <c r="E963" s="89" t="s">
        <v>3856</v>
      </c>
      <c r="F963" s="89"/>
      <c r="G963" s="89" t="s">
        <v>3857</v>
      </c>
      <c r="H963" s="91">
        <v>8931</v>
      </c>
      <c r="I963" s="89" t="s">
        <v>8322</v>
      </c>
      <c r="J963" s="92" t="s">
        <v>3954</v>
      </c>
      <c r="K963" s="92"/>
      <c r="L963" s="92" t="s">
        <v>8323</v>
      </c>
      <c r="M963" s="92" t="s">
        <v>6340</v>
      </c>
      <c r="N963" s="93">
        <v>8931</v>
      </c>
      <c r="O963" s="94">
        <v>48000</v>
      </c>
      <c r="P963" s="94">
        <v>2000</v>
      </c>
      <c r="Q963" s="92" t="s">
        <v>765</v>
      </c>
      <c r="R963" s="92" t="s">
        <v>8324</v>
      </c>
      <c r="S963" s="91">
        <v>89340</v>
      </c>
      <c r="T963" s="91">
        <v>89046</v>
      </c>
    </row>
    <row r="964" spans="1:20" s="29" customFormat="1" ht="30" customHeight="1" x14ac:dyDescent="0.35">
      <c r="A964" s="88">
        <v>890187</v>
      </c>
      <c r="B964" s="89" t="s">
        <v>8325</v>
      </c>
      <c r="C964" s="89" t="s">
        <v>8326</v>
      </c>
      <c r="D964" s="90" t="s">
        <v>3978</v>
      </c>
      <c r="E964" s="89" t="s">
        <v>3859</v>
      </c>
      <c r="F964" s="89"/>
      <c r="G964" s="89" t="s">
        <v>3860</v>
      </c>
      <c r="H964" s="91">
        <v>8927</v>
      </c>
      <c r="I964" s="89" t="s">
        <v>4395</v>
      </c>
      <c r="J964" s="92" t="s">
        <v>4058</v>
      </c>
      <c r="K964" s="92"/>
      <c r="L964" s="92" t="s">
        <v>4396</v>
      </c>
      <c r="M964" s="92" t="s">
        <v>4397</v>
      </c>
      <c r="N964" s="93">
        <v>8927</v>
      </c>
      <c r="O964" s="94">
        <v>200</v>
      </c>
      <c r="P964" s="94">
        <v>3</v>
      </c>
      <c r="Q964" s="92" t="s">
        <v>3957</v>
      </c>
      <c r="R964" s="92" t="s">
        <v>8327</v>
      </c>
      <c r="S964" s="91">
        <v>13252</v>
      </c>
      <c r="T964" s="91">
        <v>89018</v>
      </c>
    </row>
    <row r="965" spans="1:20" s="29" customFormat="1" ht="30" customHeight="1" x14ac:dyDescent="0.35">
      <c r="A965" s="88">
        <v>890197</v>
      </c>
      <c r="B965" s="89" t="s">
        <v>8328</v>
      </c>
      <c r="C965" s="89" t="s">
        <v>8329</v>
      </c>
      <c r="D965" s="90" t="s">
        <v>3978</v>
      </c>
      <c r="E965" s="89" t="s">
        <v>3862</v>
      </c>
      <c r="F965" s="89" t="s">
        <v>8330</v>
      </c>
      <c r="G965" s="89" t="s">
        <v>3863</v>
      </c>
      <c r="H965" s="91">
        <v>8923</v>
      </c>
      <c r="I965" s="89" t="s">
        <v>8331</v>
      </c>
      <c r="J965" s="92" t="s">
        <v>4058</v>
      </c>
      <c r="K965" s="92"/>
      <c r="L965" s="92" t="s">
        <v>8332</v>
      </c>
      <c r="M965" s="92" t="s">
        <v>8333</v>
      </c>
      <c r="N965" s="93">
        <v>8923</v>
      </c>
      <c r="O965" s="94">
        <v>6</v>
      </c>
      <c r="P965" s="94">
        <v>1</v>
      </c>
      <c r="Q965" s="92" t="s">
        <v>3957</v>
      </c>
      <c r="R965" s="92" t="s">
        <v>8334</v>
      </c>
      <c r="S965" s="91">
        <v>14971</v>
      </c>
      <c r="T965" s="91">
        <v>89056</v>
      </c>
    </row>
    <row r="966" spans="1:20" s="29" customFormat="1" ht="30" customHeight="1" x14ac:dyDescent="0.35">
      <c r="A966" s="88">
        <v>891021</v>
      </c>
      <c r="B966" s="89" t="s">
        <v>8335</v>
      </c>
      <c r="C966" s="89" t="s">
        <v>8336</v>
      </c>
      <c r="D966" s="90" t="s">
        <v>4077</v>
      </c>
      <c r="E966" s="89" t="s">
        <v>8337</v>
      </c>
      <c r="F966" s="89"/>
      <c r="G966" s="89" t="s">
        <v>909</v>
      </c>
      <c r="H966" s="91">
        <v>8910</v>
      </c>
      <c r="I966" s="89" t="s">
        <v>7629</v>
      </c>
      <c r="J966" s="92" t="s">
        <v>883</v>
      </c>
      <c r="K966" s="92"/>
      <c r="L966" s="92" t="s">
        <v>7630</v>
      </c>
      <c r="M966" s="92" t="s">
        <v>5788</v>
      </c>
      <c r="N966" s="93">
        <v>8910</v>
      </c>
      <c r="O966" s="94">
        <v>150000</v>
      </c>
      <c r="P966" s="94">
        <v>1300</v>
      </c>
      <c r="Q966" s="92" t="s">
        <v>3957</v>
      </c>
      <c r="R966" s="92" t="s">
        <v>8338</v>
      </c>
      <c r="S966" s="91">
        <v>89133</v>
      </c>
      <c r="T966" s="91">
        <v>83340</v>
      </c>
    </row>
    <row r="967" spans="1:20" s="29" customFormat="1" ht="30" customHeight="1" x14ac:dyDescent="0.35">
      <c r="A967" s="88">
        <v>891022</v>
      </c>
      <c r="B967" s="89" t="s">
        <v>8339</v>
      </c>
      <c r="C967" s="89" t="s">
        <v>8340</v>
      </c>
      <c r="D967" s="90" t="s">
        <v>4077</v>
      </c>
      <c r="E967" s="89" t="s">
        <v>3867</v>
      </c>
      <c r="F967" s="89"/>
      <c r="G967" s="89" t="s">
        <v>909</v>
      </c>
      <c r="H967" s="91">
        <v>8910</v>
      </c>
      <c r="I967" s="89" t="s">
        <v>7629</v>
      </c>
      <c r="J967" s="92" t="s">
        <v>883</v>
      </c>
      <c r="K967" s="92"/>
      <c r="L967" s="92" t="s">
        <v>7630</v>
      </c>
      <c r="M967" s="92" t="s">
        <v>5788</v>
      </c>
      <c r="N967" s="93">
        <v>8910</v>
      </c>
      <c r="O967" s="94">
        <v>150000</v>
      </c>
      <c r="P967" s="94">
        <v>1300</v>
      </c>
      <c r="Q967" s="92" t="s">
        <v>3957</v>
      </c>
      <c r="R967" s="92" t="s">
        <v>8341</v>
      </c>
      <c r="S967" s="91">
        <v>89150</v>
      </c>
      <c r="T967" s="89" t="s">
        <v>643</v>
      </c>
    </row>
    <row r="968" spans="1:20" s="29" customFormat="1" ht="30" customHeight="1" x14ac:dyDescent="0.35">
      <c r="A968" s="88">
        <v>891023</v>
      </c>
      <c r="B968" s="89" t="s">
        <v>8342</v>
      </c>
      <c r="C968" s="89" t="s">
        <v>8343</v>
      </c>
      <c r="D968" s="90" t="s">
        <v>4077</v>
      </c>
      <c r="E968" s="89" t="s">
        <v>3869</v>
      </c>
      <c r="F968" s="89"/>
      <c r="G968" s="89" t="s">
        <v>909</v>
      </c>
      <c r="H968" s="91">
        <v>8910</v>
      </c>
      <c r="I968" s="89" t="s">
        <v>7629</v>
      </c>
      <c r="J968" s="92" t="s">
        <v>883</v>
      </c>
      <c r="K968" s="92"/>
      <c r="L968" s="92" t="s">
        <v>7630</v>
      </c>
      <c r="M968" s="92" t="s">
        <v>5788</v>
      </c>
      <c r="N968" s="93">
        <v>8910</v>
      </c>
      <c r="O968" s="94">
        <v>150000</v>
      </c>
      <c r="P968" s="94">
        <v>1300</v>
      </c>
      <c r="Q968" s="92" t="s">
        <v>3957</v>
      </c>
      <c r="R968" s="92" t="s">
        <v>8344</v>
      </c>
      <c r="S968" s="91">
        <v>89131</v>
      </c>
      <c r="T968" s="91">
        <v>83109</v>
      </c>
    </row>
    <row r="969" spans="1:20" s="29" customFormat="1" ht="30" customHeight="1" x14ac:dyDescent="0.35">
      <c r="A969" s="88">
        <v>891024</v>
      </c>
      <c r="B969" s="89" t="s">
        <v>8345</v>
      </c>
      <c r="C969" s="89" t="s">
        <v>8346</v>
      </c>
      <c r="D969" s="90" t="s">
        <v>4077</v>
      </c>
      <c r="E969" s="89" t="s">
        <v>3871</v>
      </c>
      <c r="F969" s="89" t="s">
        <v>7651</v>
      </c>
      <c r="G969" s="89" t="s">
        <v>909</v>
      </c>
      <c r="H969" s="91">
        <v>8910</v>
      </c>
      <c r="I969" s="89" t="s">
        <v>7629</v>
      </c>
      <c r="J969" s="92" t="s">
        <v>883</v>
      </c>
      <c r="K969" s="92"/>
      <c r="L969" s="92" t="s">
        <v>7630</v>
      </c>
      <c r="M969" s="92" t="s">
        <v>5788</v>
      </c>
      <c r="N969" s="93">
        <v>8910</v>
      </c>
      <c r="O969" s="94">
        <v>150000</v>
      </c>
      <c r="P969" s="94">
        <v>1300</v>
      </c>
      <c r="Q969" s="92" t="s">
        <v>3957</v>
      </c>
      <c r="R969" s="92" t="s">
        <v>8347</v>
      </c>
      <c r="S969" s="91">
        <v>89120</v>
      </c>
      <c r="T969" s="91">
        <v>89009</v>
      </c>
    </row>
    <row r="970" spans="1:20" ht="30" customHeight="1" x14ac:dyDescent="0.35">
      <c r="A970" s="88">
        <v>892921</v>
      </c>
      <c r="B970" s="89" t="s">
        <v>8348</v>
      </c>
      <c r="C970" s="89" t="s">
        <v>8349</v>
      </c>
      <c r="D970" s="90" t="s">
        <v>3978</v>
      </c>
      <c r="E970" s="89" t="s">
        <v>3873</v>
      </c>
      <c r="F970" s="89"/>
      <c r="G970" s="89" t="s">
        <v>909</v>
      </c>
      <c r="H970" s="91">
        <v>8840</v>
      </c>
      <c r="I970" s="89" t="s">
        <v>8350</v>
      </c>
      <c r="J970" s="92" t="s">
        <v>4058</v>
      </c>
      <c r="K970" s="92"/>
      <c r="L970" s="92" t="s">
        <v>8351</v>
      </c>
      <c r="M970" s="92" t="s">
        <v>4800</v>
      </c>
      <c r="N970" s="93">
        <v>8840</v>
      </c>
      <c r="O970" s="94">
        <v>100</v>
      </c>
      <c r="P970" s="94">
        <v>1</v>
      </c>
      <c r="Q970" s="92" t="s">
        <v>3957</v>
      </c>
      <c r="R970" s="92" t="s">
        <v>8352</v>
      </c>
      <c r="S970" s="91">
        <v>89210</v>
      </c>
      <c r="T970" s="89" t="s">
        <v>643</v>
      </c>
    </row>
    <row r="971" spans="1:20" ht="30" customHeight="1" x14ac:dyDescent="0.35">
      <c r="A971" s="88">
        <v>892922</v>
      </c>
      <c r="B971" s="89" t="s">
        <v>8353</v>
      </c>
      <c r="C971" s="89" t="s">
        <v>8354</v>
      </c>
      <c r="D971" s="90" t="s">
        <v>3978</v>
      </c>
      <c r="E971" s="89" t="s">
        <v>3875</v>
      </c>
      <c r="F971" s="89"/>
      <c r="G971" s="89" t="s">
        <v>909</v>
      </c>
      <c r="H971" s="91">
        <v>8452</v>
      </c>
      <c r="I971" s="89" t="s">
        <v>8197</v>
      </c>
      <c r="J971" s="92" t="s">
        <v>7830</v>
      </c>
      <c r="K971" s="92"/>
      <c r="L971" s="92" t="s">
        <v>8198</v>
      </c>
      <c r="M971" s="92" t="s">
        <v>5003</v>
      </c>
      <c r="N971" s="93">
        <v>8452</v>
      </c>
      <c r="O971" s="94">
        <v>8000</v>
      </c>
      <c r="P971" s="94">
        <v>800</v>
      </c>
      <c r="Q971" s="92" t="s">
        <v>3957</v>
      </c>
      <c r="R971" s="92" t="s">
        <v>8355</v>
      </c>
      <c r="S971" s="91">
        <v>89260</v>
      </c>
      <c r="T971" s="89" t="s">
        <v>643</v>
      </c>
    </row>
    <row r="972" spans="1:20" ht="30" customHeight="1" x14ac:dyDescent="0.35">
      <c r="A972" s="88">
        <v>892923</v>
      </c>
      <c r="B972" s="89" t="s">
        <v>8356</v>
      </c>
      <c r="C972" s="89" t="s">
        <v>8357</v>
      </c>
      <c r="D972" s="90" t="s">
        <v>3978</v>
      </c>
      <c r="E972" s="89" t="s">
        <v>3877</v>
      </c>
      <c r="F972" s="89"/>
      <c r="G972" s="89" t="s">
        <v>909</v>
      </c>
      <c r="H972" s="91">
        <v>1499</v>
      </c>
      <c r="I972" s="89" t="s">
        <v>4798</v>
      </c>
      <c r="J972" s="92" t="s">
        <v>883</v>
      </c>
      <c r="K972" s="92"/>
      <c r="L972" s="92" t="s">
        <v>4799</v>
      </c>
      <c r="M972" s="92" t="s">
        <v>4800</v>
      </c>
      <c r="N972" s="93">
        <v>1499</v>
      </c>
      <c r="O972" s="94">
        <v>35</v>
      </c>
      <c r="P972" s="94">
        <v>1</v>
      </c>
      <c r="Q972" s="92" t="s">
        <v>3957</v>
      </c>
      <c r="R972" s="92" t="s">
        <v>8358</v>
      </c>
      <c r="S972" s="91">
        <v>89215</v>
      </c>
      <c r="T972" s="89" t="s">
        <v>643</v>
      </c>
    </row>
    <row r="973" spans="1:20" ht="30" customHeight="1" x14ac:dyDescent="0.35">
      <c r="A973" s="88">
        <v>892924</v>
      </c>
      <c r="B973" s="89" t="s">
        <v>8359</v>
      </c>
      <c r="C973" s="89" t="s">
        <v>8359</v>
      </c>
      <c r="D973" s="90" t="s">
        <v>3978</v>
      </c>
      <c r="E973" s="89" t="s">
        <v>8360</v>
      </c>
      <c r="F973" s="89"/>
      <c r="G973" s="89" t="s">
        <v>909</v>
      </c>
      <c r="H973" s="91">
        <v>8261</v>
      </c>
      <c r="I973" s="89" t="s">
        <v>7813</v>
      </c>
      <c r="J973" s="92" t="s">
        <v>6163</v>
      </c>
      <c r="K973" s="92"/>
      <c r="L973" s="92" t="s">
        <v>7814</v>
      </c>
      <c r="M973" s="92" t="s">
        <v>7815</v>
      </c>
      <c r="N973" s="93">
        <v>8261</v>
      </c>
      <c r="O973" s="94">
        <v>4600</v>
      </c>
      <c r="P973" s="94">
        <v>260</v>
      </c>
      <c r="Q973" s="92" t="s">
        <v>3957</v>
      </c>
      <c r="R973" s="92" t="s">
        <v>8361</v>
      </c>
      <c r="S973" s="91">
        <v>89410</v>
      </c>
      <c r="T973" s="91">
        <v>82620</v>
      </c>
    </row>
    <row r="974" spans="1:20" ht="30" customHeight="1" x14ac:dyDescent="0.35">
      <c r="A974" s="88">
        <v>895200</v>
      </c>
      <c r="B974" s="89" t="s">
        <v>8362</v>
      </c>
      <c r="C974" s="89" t="s">
        <v>8363</v>
      </c>
      <c r="D974" s="90" t="s">
        <v>3978</v>
      </c>
      <c r="E974" s="89" t="s">
        <v>3881</v>
      </c>
      <c r="F974" s="89"/>
      <c r="G974" s="89" t="s">
        <v>909</v>
      </c>
      <c r="H974" s="91">
        <v>8951</v>
      </c>
      <c r="I974" s="89" t="s">
        <v>8306</v>
      </c>
      <c r="J974" s="92" t="s">
        <v>4126</v>
      </c>
      <c r="K974" s="92"/>
      <c r="L974" s="92" t="s">
        <v>8307</v>
      </c>
      <c r="M974" s="92" t="s">
        <v>8151</v>
      </c>
      <c r="N974" s="93">
        <v>8951</v>
      </c>
      <c r="O974" s="94">
        <v>10000000</v>
      </c>
      <c r="P974" s="94">
        <v>410000</v>
      </c>
      <c r="Q974" s="92" t="s">
        <v>3957</v>
      </c>
      <c r="R974" s="92" t="s">
        <v>8364</v>
      </c>
      <c r="S974" s="89" t="s">
        <v>3982</v>
      </c>
      <c r="T974" s="91">
        <v>89520</v>
      </c>
    </row>
    <row r="975" spans="1:20" ht="30" customHeight="1" x14ac:dyDescent="0.35">
      <c r="A975" s="92">
        <v>911125</v>
      </c>
      <c r="B975" s="89" t="s">
        <v>8365</v>
      </c>
      <c r="C975" s="89" t="e">
        <f>VLOOKUP(A975,#REF!,7,FALSE)</f>
        <v>#REF!</v>
      </c>
      <c r="D975" s="90"/>
      <c r="E975" s="89" t="s">
        <v>3883</v>
      </c>
      <c r="F975" s="92"/>
      <c r="G975" s="89" t="s">
        <v>909</v>
      </c>
      <c r="H975" s="91" t="e">
        <v>#REF!</v>
      </c>
      <c r="I975" s="88" t="e">
        <f>VLOOKUP(A975,#REF!,8,FALSE)</f>
        <v>#REF!</v>
      </c>
      <c r="J975" s="92"/>
      <c r="K975" s="92"/>
      <c r="L975" s="92"/>
      <c r="M975" s="92"/>
      <c r="N975" s="90"/>
      <c r="O975" s="92"/>
      <c r="P975" s="92"/>
      <c r="Q975" s="92"/>
      <c r="R975" s="92"/>
      <c r="S975" s="89"/>
      <c r="T975" s="89"/>
    </row>
    <row r="976" spans="1:20" ht="30" customHeight="1" x14ac:dyDescent="0.35">
      <c r="A976" s="88">
        <v>911127</v>
      </c>
      <c r="B976" s="89" t="s">
        <v>8366</v>
      </c>
      <c r="C976" s="89" t="s">
        <v>8367</v>
      </c>
      <c r="D976" s="90" t="s">
        <v>8368</v>
      </c>
      <c r="E976" s="89" t="s">
        <v>3885</v>
      </c>
      <c r="F976" s="89"/>
      <c r="G976" s="89" t="s">
        <v>909</v>
      </c>
      <c r="H976" s="91">
        <v>9110</v>
      </c>
      <c r="I976" s="89" t="s">
        <v>3888</v>
      </c>
      <c r="J976" s="92" t="s">
        <v>5157</v>
      </c>
      <c r="K976" s="92"/>
      <c r="L976" s="92" t="s">
        <v>4455</v>
      </c>
      <c r="M976" s="92" t="s">
        <v>4455</v>
      </c>
      <c r="N976" s="93">
        <v>9110</v>
      </c>
      <c r="O976" s="94"/>
      <c r="P976" s="94"/>
      <c r="Q976" s="92" t="s">
        <v>3957</v>
      </c>
      <c r="R976" s="92" t="s">
        <v>8369</v>
      </c>
      <c r="S976" s="91">
        <v>91120</v>
      </c>
      <c r="T976" s="91">
        <v>91120</v>
      </c>
    </row>
    <row r="977" spans="1:20" ht="30" customHeight="1" x14ac:dyDescent="0.35">
      <c r="A977" s="100">
        <v>911142</v>
      </c>
      <c r="B977" s="89" t="s">
        <v>8370</v>
      </c>
      <c r="C977" s="89" t="s">
        <v>8371</v>
      </c>
      <c r="D977" s="90" t="s">
        <v>8368</v>
      </c>
      <c r="E977" s="89" t="s">
        <v>3887</v>
      </c>
      <c r="F977" s="89"/>
      <c r="G977" s="89" t="s">
        <v>909</v>
      </c>
      <c r="H977" s="91">
        <v>9110</v>
      </c>
      <c r="I977" s="89" t="s">
        <v>3888</v>
      </c>
      <c r="J977" s="92" t="s">
        <v>5157</v>
      </c>
      <c r="K977" s="92"/>
      <c r="L977" s="92" t="s">
        <v>4455</v>
      </c>
      <c r="M977" s="92" t="s">
        <v>4455</v>
      </c>
      <c r="N977" s="93">
        <v>9110</v>
      </c>
      <c r="O977" s="94"/>
      <c r="P977" s="94"/>
      <c r="Q977" s="92" t="s">
        <v>3957</v>
      </c>
      <c r="R977" s="92" t="s">
        <v>8372</v>
      </c>
      <c r="S977" s="91">
        <v>91110</v>
      </c>
      <c r="T977" s="91">
        <v>91140</v>
      </c>
    </row>
    <row r="978" spans="1:20" ht="30" customHeight="1" x14ac:dyDescent="0.35">
      <c r="A978" s="101">
        <v>911146</v>
      </c>
      <c r="B978" s="102" t="s">
        <v>8373</v>
      </c>
      <c r="C978" s="102" t="s">
        <v>8374</v>
      </c>
      <c r="D978" s="103" t="s">
        <v>8368</v>
      </c>
      <c r="E978" s="102" t="s">
        <v>3889</v>
      </c>
      <c r="F978" s="102"/>
      <c r="G978" s="89" t="s">
        <v>909</v>
      </c>
      <c r="H978" s="104">
        <v>9110</v>
      </c>
      <c r="I978" s="102" t="s">
        <v>3888</v>
      </c>
      <c r="J978" s="105" t="s">
        <v>5157</v>
      </c>
      <c r="K978" s="105"/>
      <c r="L978" s="105" t="s">
        <v>4455</v>
      </c>
      <c r="M978" s="105" t="s">
        <v>4455</v>
      </c>
      <c r="N978" s="106">
        <v>9110</v>
      </c>
      <c r="O978" s="107"/>
      <c r="P978" s="107"/>
      <c r="Q978" s="105" t="s">
        <v>3957</v>
      </c>
      <c r="R978" s="105" t="s">
        <v>8375</v>
      </c>
      <c r="S978" s="104">
        <v>91110</v>
      </c>
      <c r="T978" s="104">
        <v>91110</v>
      </c>
    </row>
    <row r="979" spans="1:20" ht="30" customHeight="1" x14ac:dyDescent="0.35">
      <c r="A979" s="88">
        <v>912262</v>
      </c>
      <c r="B979" s="89" t="s">
        <v>8376</v>
      </c>
      <c r="C979" s="89" t="s">
        <v>8376</v>
      </c>
      <c r="D979" s="90" t="s">
        <v>8368</v>
      </c>
      <c r="E979" s="89" t="s">
        <v>3891</v>
      </c>
      <c r="F979" s="89"/>
      <c r="G979" s="89" t="s">
        <v>909</v>
      </c>
      <c r="H979" s="91">
        <v>9110</v>
      </c>
      <c r="I979" s="89" t="s">
        <v>3888</v>
      </c>
      <c r="J979" s="92" t="s">
        <v>5157</v>
      </c>
      <c r="K979" s="92"/>
      <c r="L979" s="92" t="s">
        <v>4455</v>
      </c>
      <c r="M979" s="92" t="s">
        <v>4455</v>
      </c>
      <c r="N979" s="93">
        <v>9120</v>
      </c>
      <c r="O979" s="94"/>
      <c r="P979" s="94"/>
      <c r="Q979" s="92" t="s">
        <v>3957</v>
      </c>
      <c r="R979" s="92" t="s">
        <v>8377</v>
      </c>
      <c r="S979" s="91">
        <v>91210</v>
      </c>
      <c r="T979" s="89" t="s">
        <v>8378</v>
      </c>
    </row>
    <row r="980" spans="1:20" ht="30" customHeight="1" x14ac:dyDescent="0.35">
      <c r="A980" s="88">
        <v>913384</v>
      </c>
      <c r="B980" s="89" t="s">
        <v>8379</v>
      </c>
      <c r="C980" s="89" t="s">
        <v>8380</v>
      </c>
      <c r="D980" s="90" t="s">
        <v>8368</v>
      </c>
      <c r="E980" s="89" t="s">
        <v>3893</v>
      </c>
      <c r="F980" s="89" t="s">
        <v>8381</v>
      </c>
      <c r="G980" s="89" t="s">
        <v>909</v>
      </c>
      <c r="H980" s="91">
        <v>9110</v>
      </c>
      <c r="I980" s="89" t="s">
        <v>3888</v>
      </c>
      <c r="J980" s="92" t="s">
        <v>5157</v>
      </c>
      <c r="K980" s="92"/>
      <c r="L980" s="92" t="s">
        <v>4455</v>
      </c>
      <c r="M980" s="92" t="s">
        <v>4455</v>
      </c>
      <c r="N980" s="93">
        <v>9110</v>
      </c>
      <c r="O980" s="94"/>
      <c r="P980" s="94"/>
      <c r="Q980" s="92" t="s">
        <v>3957</v>
      </c>
      <c r="R980" s="92" t="s">
        <v>8382</v>
      </c>
      <c r="S980" s="89" t="s">
        <v>8383</v>
      </c>
      <c r="T980" s="89" t="s">
        <v>8384</v>
      </c>
    </row>
    <row r="981" spans="1:20" ht="30" customHeight="1" x14ac:dyDescent="0.35">
      <c r="A981" s="88">
        <v>913393</v>
      </c>
      <c r="B981" s="89" t="s">
        <v>8385</v>
      </c>
      <c r="C981" s="89" t="s">
        <v>8386</v>
      </c>
      <c r="D981" s="90" t="s">
        <v>8368</v>
      </c>
      <c r="E981" s="89" t="s">
        <v>3895</v>
      </c>
      <c r="F981" s="89"/>
      <c r="G981" s="89" t="s">
        <v>909</v>
      </c>
      <c r="H981" s="91">
        <v>9130</v>
      </c>
      <c r="I981" s="89" t="s">
        <v>8387</v>
      </c>
      <c r="J981" s="92" t="s">
        <v>5157</v>
      </c>
      <c r="K981" s="92"/>
      <c r="L981" s="92" t="s">
        <v>4455</v>
      </c>
      <c r="M981" s="92" t="s">
        <v>4455</v>
      </c>
      <c r="N981" s="93">
        <v>9130</v>
      </c>
      <c r="O981" s="94"/>
      <c r="P981" s="94"/>
      <c r="Q981" s="92" t="s">
        <v>3957</v>
      </c>
      <c r="R981" s="92" t="s">
        <v>8388</v>
      </c>
      <c r="S981" s="89" t="s">
        <v>8389</v>
      </c>
      <c r="T981" s="89" t="s">
        <v>8384</v>
      </c>
    </row>
    <row r="982" spans="1:20" ht="30" customHeight="1" x14ac:dyDescent="0.35">
      <c r="A982" s="88">
        <v>914263</v>
      </c>
      <c r="B982" s="89" t="s">
        <v>8390</v>
      </c>
      <c r="C982" s="89" t="s">
        <v>8391</v>
      </c>
      <c r="D982" s="90" t="s">
        <v>8368</v>
      </c>
      <c r="E982" s="89" t="s">
        <v>3897</v>
      </c>
      <c r="F982" s="89"/>
      <c r="G982" s="89" t="s">
        <v>909</v>
      </c>
      <c r="H982" s="91">
        <v>9110</v>
      </c>
      <c r="I982" s="89" t="s">
        <v>3888</v>
      </c>
      <c r="J982" s="92" t="s">
        <v>5157</v>
      </c>
      <c r="K982" s="92"/>
      <c r="L982" s="92" t="s">
        <v>4455</v>
      </c>
      <c r="M982" s="92" t="s">
        <v>4455</v>
      </c>
      <c r="N982" s="93">
        <v>9110</v>
      </c>
      <c r="O982" s="94"/>
      <c r="P982" s="94"/>
      <c r="Q982" s="92" t="s">
        <v>3957</v>
      </c>
      <c r="R982" s="92" t="s">
        <v>8392</v>
      </c>
      <c r="S982" s="91">
        <v>91410</v>
      </c>
      <c r="T982" s="89" t="s">
        <v>643</v>
      </c>
    </row>
    <row r="983" spans="1:20" ht="30" customHeight="1" x14ac:dyDescent="0.35">
      <c r="A983" s="88">
        <v>921164</v>
      </c>
      <c r="B983" s="89" t="s">
        <v>8393</v>
      </c>
      <c r="C983" s="89" t="s">
        <v>8394</v>
      </c>
      <c r="D983" s="90" t="s">
        <v>8368</v>
      </c>
      <c r="E983" s="89" t="s">
        <v>3899</v>
      </c>
      <c r="F983" s="89"/>
      <c r="G983" s="89" t="s">
        <v>909</v>
      </c>
      <c r="H983" s="91">
        <v>9900</v>
      </c>
      <c r="I983" s="89" t="s">
        <v>8395</v>
      </c>
      <c r="J983" s="92" t="s">
        <v>5157</v>
      </c>
      <c r="K983" s="92"/>
      <c r="L983" s="92" t="s">
        <v>4455</v>
      </c>
      <c r="M983" s="92" t="s">
        <v>4455</v>
      </c>
      <c r="N983" s="93">
        <v>9900</v>
      </c>
      <c r="O983" s="94"/>
      <c r="P983" s="94"/>
      <c r="Q983" s="92" t="s">
        <v>3957</v>
      </c>
      <c r="R983" s="92" t="s">
        <v>8396</v>
      </c>
      <c r="S983" s="89" t="s">
        <v>3982</v>
      </c>
      <c r="T983" s="89" t="s">
        <v>3982</v>
      </c>
    </row>
    <row r="984" spans="1:20" ht="30" customHeight="1" x14ac:dyDescent="0.35">
      <c r="A984" s="88">
        <v>921167</v>
      </c>
      <c r="B984" s="89" t="s">
        <v>8397</v>
      </c>
      <c r="C984" s="89" t="s">
        <v>8398</v>
      </c>
      <c r="D984" s="90" t="s">
        <v>8368</v>
      </c>
      <c r="E984" s="89" t="s">
        <v>3901</v>
      </c>
      <c r="F984" s="89"/>
      <c r="G984" s="89" t="s">
        <v>909</v>
      </c>
      <c r="H984" s="91">
        <v>9900</v>
      </c>
      <c r="I984" s="89" t="s">
        <v>8395</v>
      </c>
      <c r="J984" s="92" t="s">
        <v>5157</v>
      </c>
      <c r="K984" s="92"/>
      <c r="L984" s="92" t="s">
        <v>4455</v>
      </c>
      <c r="M984" s="92" t="s">
        <v>4455</v>
      </c>
      <c r="N984" s="93">
        <v>9900</v>
      </c>
      <c r="O984" s="94"/>
      <c r="P984" s="94"/>
      <c r="Q984" s="92" t="s">
        <v>3957</v>
      </c>
      <c r="R984" s="92" t="s">
        <v>8399</v>
      </c>
      <c r="S984" s="89" t="s">
        <v>3982</v>
      </c>
      <c r="T984" s="89" t="s">
        <v>3982</v>
      </c>
    </row>
    <row r="985" spans="1:20" ht="30" customHeight="1" x14ac:dyDescent="0.35">
      <c r="A985" s="88">
        <v>921168</v>
      </c>
      <c r="B985" s="89" t="s">
        <v>8400</v>
      </c>
      <c r="C985" s="89" t="s">
        <v>8401</v>
      </c>
      <c r="D985" s="90" t="s">
        <v>8368</v>
      </c>
      <c r="E985" s="89" t="s">
        <v>8402</v>
      </c>
      <c r="F985" s="89" t="s">
        <v>8381</v>
      </c>
      <c r="G985" s="89" t="s">
        <v>909</v>
      </c>
      <c r="H985" s="91">
        <v>9210</v>
      </c>
      <c r="I985" s="89" t="s">
        <v>8403</v>
      </c>
      <c r="J985" s="92" t="s">
        <v>5157</v>
      </c>
      <c r="K985" s="92"/>
      <c r="L985" s="92" t="s">
        <v>4455</v>
      </c>
      <c r="M985" s="92" t="s">
        <v>4455</v>
      </c>
      <c r="N985" s="93">
        <v>9210</v>
      </c>
      <c r="O985" s="94"/>
      <c r="P985" s="94"/>
      <c r="Q985" s="92" t="s">
        <v>3957</v>
      </c>
      <c r="R985" s="92" t="s">
        <v>8404</v>
      </c>
      <c r="S985" s="89" t="s">
        <v>8405</v>
      </c>
      <c r="T985" s="89" t="s">
        <v>8406</v>
      </c>
    </row>
    <row r="986" spans="1:20" ht="30" customHeight="1" x14ac:dyDescent="0.35">
      <c r="A986" s="88">
        <v>921174</v>
      </c>
      <c r="B986" s="89" t="s">
        <v>8407</v>
      </c>
      <c r="C986" s="89" t="s">
        <v>8408</v>
      </c>
      <c r="D986" s="90" t="s">
        <v>8368</v>
      </c>
      <c r="E986" s="89" t="s">
        <v>3905</v>
      </c>
      <c r="F986" s="89" t="s">
        <v>8381</v>
      </c>
      <c r="G986" s="89" t="s">
        <v>909</v>
      </c>
      <c r="H986" s="91">
        <v>9900</v>
      </c>
      <c r="I986" s="89" t="s">
        <v>8395</v>
      </c>
      <c r="J986" s="92" t="s">
        <v>5157</v>
      </c>
      <c r="K986" s="92"/>
      <c r="L986" s="92" t="s">
        <v>4455</v>
      </c>
      <c r="M986" s="92" t="s">
        <v>4455</v>
      </c>
      <c r="N986" s="93">
        <v>9900</v>
      </c>
      <c r="O986" s="94"/>
      <c r="P986" s="94"/>
      <c r="Q986" s="92" t="s">
        <v>3957</v>
      </c>
      <c r="R986" s="92" t="s">
        <v>8409</v>
      </c>
      <c r="S986" s="89" t="s">
        <v>8405</v>
      </c>
      <c r="T986" s="89" t="s">
        <v>8406</v>
      </c>
    </row>
    <row r="987" spans="1:20" ht="30" customHeight="1" x14ac:dyDescent="0.35">
      <c r="A987" s="88">
        <v>921177</v>
      </c>
      <c r="B987" s="89" t="s">
        <v>8410</v>
      </c>
      <c r="C987" s="89" t="s">
        <v>8411</v>
      </c>
      <c r="D987" s="90" t="s">
        <v>8368</v>
      </c>
      <c r="E987" s="89" t="s">
        <v>3907</v>
      </c>
      <c r="F987" s="89" t="s">
        <v>8412</v>
      </c>
      <c r="G987" s="89" t="s">
        <v>909</v>
      </c>
      <c r="H987" s="91">
        <v>9900</v>
      </c>
      <c r="I987" s="89" t="s">
        <v>8395</v>
      </c>
      <c r="J987" s="92" t="s">
        <v>5157</v>
      </c>
      <c r="K987" s="92"/>
      <c r="L987" s="92" t="s">
        <v>4455</v>
      </c>
      <c r="M987" s="92" t="s">
        <v>4455</v>
      </c>
      <c r="N987" s="93">
        <v>9900</v>
      </c>
      <c r="O987" s="94"/>
      <c r="P987" s="94"/>
      <c r="Q987" s="92" t="s">
        <v>3957</v>
      </c>
      <c r="R987" s="92" t="s">
        <v>8413</v>
      </c>
      <c r="S987" s="89" t="s">
        <v>3982</v>
      </c>
      <c r="T987" s="89" t="s">
        <v>3982</v>
      </c>
    </row>
    <row r="988" spans="1:20" ht="30" customHeight="1" x14ac:dyDescent="0.35">
      <c r="A988" s="88">
        <v>921178</v>
      </c>
      <c r="B988" s="89" t="s">
        <v>8414</v>
      </c>
      <c r="C988" s="89" t="s">
        <v>8415</v>
      </c>
      <c r="D988" s="90" t="s">
        <v>8368</v>
      </c>
      <c r="E988" s="89" t="s">
        <v>8416</v>
      </c>
      <c r="F988" s="89"/>
      <c r="G988" s="89" t="s">
        <v>909</v>
      </c>
      <c r="H988" s="91">
        <v>9210</v>
      </c>
      <c r="I988" s="89" t="s">
        <v>8403</v>
      </c>
      <c r="J988" s="92" t="s">
        <v>5157</v>
      </c>
      <c r="K988" s="92"/>
      <c r="L988" s="92" t="s">
        <v>4455</v>
      </c>
      <c r="M988" s="92" t="s">
        <v>4455</v>
      </c>
      <c r="N988" s="93">
        <v>9210</v>
      </c>
      <c r="O988" s="94"/>
      <c r="P988" s="94"/>
      <c r="Q988" s="92" t="s">
        <v>3957</v>
      </c>
      <c r="R988" s="92" t="s">
        <v>8417</v>
      </c>
      <c r="S988" s="89" t="s">
        <v>8405</v>
      </c>
      <c r="T988" s="89" t="s">
        <v>8406</v>
      </c>
    </row>
    <row r="989" spans="1:20" ht="30" customHeight="1" x14ac:dyDescent="0.35">
      <c r="A989" s="88">
        <v>922274</v>
      </c>
      <c r="B989" s="89" t="s">
        <v>8418</v>
      </c>
      <c r="C989" s="89" t="s">
        <v>8419</v>
      </c>
      <c r="D989" s="90" t="s">
        <v>8368</v>
      </c>
      <c r="E989" s="89" t="s">
        <v>3911</v>
      </c>
      <c r="F989" s="89"/>
      <c r="G989" s="89" t="s">
        <v>909</v>
      </c>
      <c r="H989" s="91">
        <v>9110</v>
      </c>
      <c r="I989" s="89" t="s">
        <v>3888</v>
      </c>
      <c r="J989" s="92" t="s">
        <v>5157</v>
      </c>
      <c r="K989" s="92"/>
      <c r="L989" s="92" t="s">
        <v>4455</v>
      </c>
      <c r="M989" s="92" t="s">
        <v>4455</v>
      </c>
      <c r="N989" s="93">
        <v>9110</v>
      </c>
      <c r="O989" s="94"/>
      <c r="P989" s="94"/>
      <c r="Q989" s="92" t="s">
        <v>3957</v>
      </c>
      <c r="R989" s="92" t="s">
        <v>8420</v>
      </c>
      <c r="S989" s="91">
        <v>92212</v>
      </c>
      <c r="T989" s="91">
        <v>92220</v>
      </c>
    </row>
    <row r="990" spans="1:20" ht="30" customHeight="1" x14ac:dyDescent="0.35">
      <c r="A990" s="88">
        <v>922276</v>
      </c>
      <c r="B990" s="89" t="s">
        <v>8421</v>
      </c>
      <c r="C990" s="89" t="s">
        <v>8422</v>
      </c>
      <c r="D990" s="90" t="s">
        <v>8368</v>
      </c>
      <c r="E990" s="89" t="s">
        <v>3913</v>
      </c>
      <c r="F990" s="89"/>
      <c r="G990" s="89" t="s">
        <v>909</v>
      </c>
      <c r="H990" s="91">
        <v>9110</v>
      </c>
      <c r="I990" s="89" t="s">
        <v>3888</v>
      </c>
      <c r="J990" s="92" t="s">
        <v>5157</v>
      </c>
      <c r="K990" s="92"/>
      <c r="L990" s="92" t="s">
        <v>4455</v>
      </c>
      <c r="M990" s="92" t="s">
        <v>4455</v>
      </c>
      <c r="N990" s="93">
        <v>9110</v>
      </c>
      <c r="O990" s="94"/>
      <c r="P990" s="94"/>
      <c r="Q990" s="92" t="s">
        <v>3957</v>
      </c>
      <c r="R990" s="92" t="s">
        <v>8423</v>
      </c>
      <c r="S990" s="91">
        <v>92210</v>
      </c>
      <c r="T990" s="89" t="s">
        <v>8424</v>
      </c>
    </row>
    <row r="991" spans="1:20" ht="30" customHeight="1" x14ac:dyDescent="0.35">
      <c r="A991" s="88">
        <v>922278</v>
      </c>
      <c r="B991" s="89" t="s">
        <v>8425</v>
      </c>
      <c r="C991" s="89" t="s">
        <v>8426</v>
      </c>
      <c r="D991" s="90" t="s">
        <v>8368</v>
      </c>
      <c r="E991" s="89" t="s">
        <v>3915</v>
      </c>
      <c r="F991" s="89"/>
      <c r="G991" s="89" t="s">
        <v>909</v>
      </c>
      <c r="H991" s="91">
        <v>9110</v>
      </c>
      <c r="I991" s="89" t="s">
        <v>3888</v>
      </c>
      <c r="J991" s="92" t="s">
        <v>5157</v>
      </c>
      <c r="K991" s="92"/>
      <c r="L991" s="92" t="s">
        <v>4455</v>
      </c>
      <c r="M991" s="92" t="s">
        <v>4455</v>
      </c>
      <c r="N991" s="93">
        <v>9110</v>
      </c>
      <c r="O991" s="94"/>
      <c r="P991" s="94"/>
      <c r="Q991" s="92" t="s">
        <v>3957</v>
      </c>
      <c r="R991" s="92" t="s">
        <v>8427</v>
      </c>
      <c r="S991" s="91">
        <v>92210</v>
      </c>
      <c r="T991" s="91">
        <v>92210</v>
      </c>
    </row>
    <row r="992" spans="1:20" ht="30" customHeight="1" x14ac:dyDescent="0.35">
      <c r="A992" s="88">
        <v>922292</v>
      </c>
      <c r="B992" s="89" t="s">
        <v>8428</v>
      </c>
      <c r="C992" s="89" t="s">
        <v>8429</v>
      </c>
      <c r="D992" s="90" t="s">
        <v>8368</v>
      </c>
      <c r="E992" s="89" t="s">
        <v>8430</v>
      </c>
      <c r="F992" s="89"/>
      <c r="G992" s="89" t="s">
        <v>909</v>
      </c>
      <c r="H992" s="91">
        <v>9220</v>
      </c>
      <c r="I992" s="89" t="s">
        <v>8431</v>
      </c>
      <c r="J992" s="92" t="s">
        <v>5157</v>
      </c>
      <c r="K992" s="92"/>
      <c r="L992" s="92" t="s">
        <v>4455</v>
      </c>
      <c r="M992" s="92" t="s">
        <v>4455</v>
      </c>
      <c r="N992" s="93">
        <v>9220</v>
      </c>
      <c r="O992" s="94"/>
      <c r="P992" s="94"/>
      <c r="Q992" s="92" t="s">
        <v>3957</v>
      </c>
      <c r="R992" s="92" t="s">
        <v>8432</v>
      </c>
      <c r="S992" s="91">
        <v>92210</v>
      </c>
      <c r="T992" s="89" t="s">
        <v>8424</v>
      </c>
    </row>
    <row r="993" spans="1:20" ht="30" customHeight="1" x14ac:dyDescent="0.35">
      <c r="A993" s="88">
        <v>922294</v>
      </c>
      <c r="B993" s="89" t="s">
        <v>8433</v>
      </c>
      <c r="C993" s="89" t="s">
        <v>8434</v>
      </c>
      <c r="D993" s="90" t="s">
        <v>8368</v>
      </c>
      <c r="E993" s="89" t="s">
        <v>3919</v>
      </c>
      <c r="F993" s="89"/>
      <c r="G993" s="89" t="s">
        <v>909</v>
      </c>
      <c r="H993" s="91">
        <v>9110</v>
      </c>
      <c r="I993" s="89" t="s">
        <v>3888</v>
      </c>
      <c r="J993" s="92" t="s">
        <v>5157</v>
      </c>
      <c r="K993" s="92"/>
      <c r="L993" s="92" t="s">
        <v>4455</v>
      </c>
      <c r="M993" s="92" t="s">
        <v>4455</v>
      </c>
      <c r="N993" s="93">
        <v>9110</v>
      </c>
      <c r="O993" s="94"/>
      <c r="P993" s="94"/>
      <c r="Q993" s="92" t="s">
        <v>3957</v>
      </c>
      <c r="R993" s="92" t="s">
        <v>8435</v>
      </c>
      <c r="S993" s="91">
        <v>92210</v>
      </c>
      <c r="T993" s="89" t="s">
        <v>643</v>
      </c>
    </row>
    <row r="994" spans="1:20" ht="30" customHeight="1" x14ac:dyDescent="0.35">
      <c r="A994" s="88">
        <v>922298</v>
      </c>
      <c r="B994" s="89" t="s">
        <v>8436</v>
      </c>
      <c r="C994" s="89" t="s">
        <v>8437</v>
      </c>
      <c r="D994" s="90" t="s">
        <v>8368</v>
      </c>
      <c r="E994" s="89" t="s">
        <v>8438</v>
      </c>
      <c r="F994" s="89"/>
      <c r="G994" s="89" t="s">
        <v>909</v>
      </c>
      <c r="H994" s="108">
        <v>9110</v>
      </c>
      <c r="I994" s="109" t="s">
        <v>3888</v>
      </c>
      <c r="J994" s="92" t="s">
        <v>5157</v>
      </c>
      <c r="K994" s="92"/>
      <c r="L994" s="92" t="s">
        <v>4455</v>
      </c>
      <c r="M994" s="92" t="s">
        <v>4455</v>
      </c>
      <c r="N994" s="93">
        <v>9110</v>
      </c>
      <c r="O994" s="94"/>
      <c r="P994" s="94"/>
      <c r="Q994" s="92" t="s">
        <v>3957</v>
      </c>
      <c r="R994" s="92" t="s">
        <v>8439</v>
      </c>
      <c r="S994" s="91">
        <v>92210</v>
      </c>
      <c r="T994" s="89" t="s">
        <v>643</v>
      </c>
    </row>
    <row r="995" spans="1:20" ht="30" customHeight="1" x14ac:dyDescent="0.35">
      <c r="A995" s="88">
        <v>922355</v>
      </c>
      <c r="B995" s="89" t="s">
        <v>8440</v>
      </c>
      <c r="C995" s="89" t="s">
        <v>8441</v>
      </c>
      <c r="D995" s="90" t="s">
        <v>8368</v>
      </c>
      <c r="E995" s="89" t="s">
        <v>3923</v>
      </c>
      <c r="F995" s="89"/>
      <c r="G995" s="89" t="s">
        <v>909</v>
      </c>
      <c r="H995" s="91">
        <v>9110</v>
      </c>
      <c r="I995" s="89" t="s">
        <v>3888</v>
      </c>
      <c r="J995" s="92" t="s">
        <v>5157</v>
      </c>
      <c r="K995" s="92"/>
      <c r="L995" s="92" t="s">
        <v>4455</v>
      </c>
      <c r="M995" s="92" t="s">
        <v>4455</v>
      </c>
      <c r="N995" s="93">
        <v>9110</v>
      </c>
      <c r="O995" s="94"/>
      <c r="P995" s="94"/>
      <c r="Q995" s="92" t="s">
        <v>3957</v>
      </c>
      <c r="R995" s="92" t="s">
        <v>8442</v>
      </c>
      <c r="S995" s="91">
        <v>92210</v>
      </c>
      <c r="T995" s="91">
        <v>92230</v>
      </c>
    </row>
    <row r="996" spans="1:20" ht="30" customHeight="1" x14ac:dyDescent="0.35">
      <c r="A996" s="88">
        <v>922357</v>
      </c>
      <c r="B996" s="89" t="s">
        <v>8443</v>
      </c>
      <c r="C996" s="89" t="s">
        <v>8444</v>
      </c>
      <c r="D996" s="90" t="s">
        <v>8368</v>
      </c>
      <c r="E996" s="89" t="s">
        <v>3925</v>
      </c>
      <c r="F996" s="89"/>
      <c r="G996" s="89" t="s">
        <v>909</v>
      </c>
      <c r="H996" s="91">
        <v>9110</v>
      </c>
      <c r="I996" s="89" t="s">
        <v>3888</v>
      </c>
      <c r="J996" s="92" t="s">
        <v>5157</v>
      </c>
      <c r="K996" s="92"/>
      <c r="L996" s="92" t="s">
        <v>4455</v>
      </c>
      <c r="M996" s="92" t="s">
        <v>4455</v>
      </c>
      <c r="N996" s="93">
        <v>9110</v>
      </c>
      <c r="O996" s="94"/>
      <c r="P996" s="94"/>
      <c r="Q996" s="92" t="s">
        <v>3957</v>
      </c>
      <c r="R996" s="92" t="s">
        <v>8445</v>
      </c>
      <c r="S996" s="91">
        <v>92210</v>
      </c>
      <c r="T996" s="91">
        <v>92310</v>
      </c>
    </row>
    <row r="997" spans="1:20" ht="30" customHeight="1" x14ac:dyDescent="0.35">
      <c r="A997" s="88">
        <v>923322</v>
      </c>
      <c r="B997" s="89" t="s">
        <v>8446</v>
      </c>
      <c r="C997" s="89" t="s">
        <v>8447</v>
      </c>
      <c r="D997" s="90" t="s">
        <v>8368</v>
      </c>
      <c r="E997" s="89" t="s">
        <v>3927</v>
      </c>
      <c r="F997" s="89"/>
      <c r="G997" s="89" t="s">
        <v>909</v>
      </c>
      <c r="H997" s="91">
        <v>9110</v>
      </c>
      <c r="I997" s="89" t="s">
        <v>3888</v>
      </c>
      <c r="J997" s="92" t="s">
        <v>5157</v>
      </c>
      <c r="K997" s="92"/>
      <c r="L997" s="92" t="s">
        <v>4455</v>
      </c>
      <c r="M997" s="92" t="s">
        <v>4455</v>
      </c>
      <c r="N997" s="93">
        <v>9110</v>
      </c>
      <c r="O997" s="94"/>
      <c r="P997" s="94"/>
      <c r="Q997" s="92" t="s">
        <v>3957</v>
      </c>
      <c r="R997" s="92" t="s">
        <v>8448</v>
      </c>
      <c r="S997" s="91">
        <v>92310</v>
      </c>
      <c r="T997" s="91">
        <v>92340</v>
      </c>
    </row>
    <row r="998" spans="1:20" ht="30" customHeight="1" x14ac:dyDescent="0.35">
      <c r="A998" s="88">
        <v>923366</v>
      </c>
      <c r="B998" s="89" t="s">
        <v>8449</v>
      </c>
      <c r="C998" s="89" t="s">
        <v>8450</v>
      </c>
      <c r="D998" s="90" t="s">
        <v>8368</v>
      </c>
      <c r="E998" s="89" t="s">
        <v>3929</v>
      </c>
      <c r="F998" s="89"/>
      <c r="G998" s="89" t="s">
        <v>909</v>
      </c>
      <c r="H998" s="91">
        <v>9110</v>
      </c>
      <c r="I998" s="89" t="s">
        <v>3888</v>
      </c>
      <c r="J998" s="92" t="s">
        <v>5157</v>
      </c>
      <c r="K998" s="92"/>
      <c r="L998" s="92" t="s">
        <v>4455</v>
      </c>
      <c r="M998" s="92" t="s">
        <v>4455</v>
      </c>
      <c r="N998" s="93">
        <v>9110</v>
      </c>
      <c r="O998" s="94"/>
      <c r="P998" s="94"/>
      <c r="Q998" s="92" t="s">
        <v>3957</v>
      </c>
      <c r="R998" s="92" t="s">
        <v>8451</v>
      </c>
      <c r="S998" s="91">
        <v>92310</v>
      </c>
      <c r="T998" s="89" t="s">
        <v>643</v>
      </c>
    </row>
    <row r="999" spans="1:20" ht="30" customHeight="1" x14ac:dyDescent="0.35">
      <c r="A999" s="88">
        <v>923376</v>
      </c>
      <c r="B999" s="89" t="s">
        <v>8452</v>
      </c>
      <c r="C999" s="89" t="s">
        <v>8453</v>
      </c>
      <c r="D999" s="90" t="s">
        <v>8368</v>
      </c>
      <c r="E999" s="89" t="s">
        <v>3931</v>
      </c>
      <c r="F999" s="89"/>
      <c r="G999" s="89" t="s">
        <v>909</v>
      </c>
      <c r="H999" s="91">
        <v>9110</v>
      </c>
      <c r="I999" s="89" t="s">
        <v>3888</v>
      </c>
      <c r="J999" s="92" t="s">
        <v>5157</v>
      </c>
      <c r="K999" s="92"/>
      <c r="L999" s="92" t="s">
        <v>4455</v>
      </c>
      <c r="M999" s="92" t="s">
        <v>4455</v>
      </c>
      <c r="N999" s="93">
        <v>9110</v>
      </c>
      <c r="O999" s="94"/>
      <c r="P999" s="94"/>
      <c r="Q999" s="92" t="s">
        <v>3957</v>
      </c>
      <c r="R999" s="92" t="s">
        <v>8454</v>
      </c>
      <c r="S999" s="91">
        <v>92310</v>
      </c>
      <c r="T999" s="91">
        <v>92360</v>
      </c>
    </row>
  </sheetData>
  <autoFilter ref="A1:W999" xr:uid="{ECB2BCEA-BEB8-45A0-B714-9ADEDD6666CF}">
    <sortState xmlns:xlrd2="http://schemas.microsoft.com/office/spreadsheetml/2017/richdata2" ref="A2:W999">
      <sortCondition ref="A1:A975"/>
    </sortState>
  </autoFilter>
  <conditionalFormatting sqref="A201:A1048576 A1:A199">
    <cfRule type="duplicateValues" dxfId="1" priority="1"/>
    <cfRule type="duplicateValues" dxfId="0" priority="2"/>
  </conditionalFormatting>
  <hyperlinks>
    <hyperlink ref="G141" r:id="rId1" xr:uid="{36A5C564-4155-444C-9379-D99304F42E65}"/>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09147-CE1F-4E7C-8D32-8B2946C40E2B}">
  <sheetPr>
    <tabColor rgb="FFFFFF99"/>
    <pageSetUpPr fitToPage="1"/>
  </sheetPr>
  <dimension ref="A1:P25"/>
  <sheetViews>
    <sheetView zoomScaleNormal="100" workbookViewId="0">
      <selection activeCell="A20" sqref="A20:C25"/>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441100</v>
      </c>
      <c r="F1" s="38"/>
      <c r="G1" s="38"/>
      <c r="H1" s="38"/>
    </row>
    <row r="2" spans="1:8" ht="21" customHeight="1" x14ac:dyDescent="0.35">
      <c r="A2" s="676" t="s">
        <v>21</v>
      </c>
      <c r="B2" s="676"/>
      <c r="C2" s="38"/>
      <c r="D2" s="36" t="s">
        <v>107</v>
      </c>
      <c r="E2" s="37" t="str">
        <f>VLOOKUP(E1,'Sheet References'!L:M,2,FALSE)</f>
        <v>General Purpose Warehouse</v>
      </c>
      <c r="F2" s="38"/>
      <c r="G2" s="38"/>
      <c r="H2" s="38"/>
    </row>
    <row r="3" spans="1:8" ht="21" customHeight="1" x14ac:dyDescent="0.35">
      <c r="A3" s="676" t="s">
        <v>22</v>
      </c>
      <c r="B3" s="676"/>
      <c r="C3" s="36"/>
      <c r="D3" s="36" t="s">
        <v>108</v>
      </c>
      <c r="E3" s="37" t="str">
        <f>VLOOKUP(CATCode,'Sheet References'!L:O,4,FALSE)</f>
        <v>No Standards/Criteria available</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248</v>
      </c>
      <c r="B8" s="743"/>
      <c r="C8" s="743"/>
      <c r="D8" s="743"/>
      <c r="E8" s="42"/>
      <c r="F8" s="68"/>
      <c r="G8" s="45">
        <f>E8*F8</f>
        <v>0</v>
      </c>
      <c r="H8" s="35"/>
    </row>
    <row r="9" spans="1:8" x14ac:dyDescent="0.35">
      <c r="A9" s="753" t="s">
        <v>257</v>
      </c>
      <c r="B9" s="743"/>
      <c r="C9" s="743"/>
      <c r="D9" s="743"/>
      <c r="E9" s="42"/>
      <c r="F9" s="68"/>
      <c r="G9" s="45">
        <f>E9*F9</f>
        <v>0</v>
      </c>
      <c r="H9" s="46"/>
    </row>
    <row r="10" spans="1:8" x14ac:dyDescent="0.35">
      <c r="A10" s="753" t="s">
        <v>257</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x14ac:dyDescent="0.35">
      <c r="A17" s="746" t="s">
        <v>253</v>
      </c>
      <c r="B17" s="753"/>
      <c r="C17" s="753"/>
      <c r="D17" s="753"/>
      <c r="E17" s="50">
        <v>0</v>
      </c>
      <c r="F17" s="43"/>
      <c r="G17" s="45">
        <f>G16*E17</f>
        <v>0</v>
      </c>
      <c r="H17" s="35" t="s">
        <v>176</v>
      </c>
    </row>
    <row r="18" spans="1:8" ht="15" thickBot="1" x14ac:dyDescent="0.4">
      <c r="E18" s="48" t="s">
        <v>254</v>
      </c>
      <c r="F18" s="71"/>
      <c r="G18" s="51">
        <f>SUM(G16:G17)</f>
        <v>0</v>
      </c>
    </row>
    <row r="19" spans="1:8" ht="16" thickBot="1" x14ac:dyDescent="0.4">
      <c r="A19" s="747" t="s">
        <v>255</v>
      </c>
      <c r="B19" s="748"/>
      <c r="C19" s="749"/>
    </row>
    <row r="20" spans="1:8" ht="11.5" customHeight="1" x14ac:dyDescent="0.35">
      <c r="A20" s="760" t="s">
        <v>258</v>
      </c>
      <c r="B20" s="761"/>
      <c r="C20" s="762"/>
    </row>
    <row r="21" spans="1:8" ht="12" customHeight="1" x14ac:dyDescent="0.35">
      <c r="A21" s="763"/>
      <c r="B21" s="764"/>
      <c r="C21" s="765"/>
    </row>
    <row r="22" spans="1:8" ht="12.65" customHeight="1" x14ac:dyDescent="0.35">
      <c r="A22" s="763"/>
      <c r="B22" s="764"/>
      <c r="C22" s="765"/>
    </row>
    <row r="23" spans="1:8" ht="12" customHeight="1" x14ac:dyDescent="0.35">
      <c r="A23" s="763"/>
      <c r="B23" s="764"/>
      <c r="C23" s="765"/>
    </row>
    <row r="24" spans="1:8" ht="11.15" customHeight="1" x14ac:dyDescent="0.35">
      <c r="A24" s="763"/>
      <c r="B24" s="764"/>
      <c r="C24" s="765"/>
    </row>
    <row r="25" spans="1:8" ht="12" customHeight="1" thickBot="1" x14ac:dyDescent="0.4">
      <c r="A25" s="766"/>
      <c r="B25" s="767"/>
      <c r="C25" s="768"/>
    </row>
  </sheetData>
  <mergeCells count="19">
    <mergeCell ref="A12:D12"/>
    <mergeCell ref="A13:D13"/>
    <mergeCell ref="A7:G7"/>
    <mergeCell ref="A8:D8"/>
    <mergeCell ref="A9:D9"/>
    <mergeCell ref="A10:D10"/>
    <mergeCell ref="A11:D11"/>
    <mergeCell ref="A6:D6"/>
    <mergeCell ref="A1:B1"/>
    <mergeCell ref="A2:B2"/>
    <mergeCell ref="A3:B3"/>
    <mergeCell ref="A4:B4"/>
    <mergeCell ref="A5:B5"/>
    <mergeCell ref="A14:H14"/>
    <mergeCell ref="A15:H15"/>
    <mergeCell ref="A16:D16"/>
    <mergeCell ref="A19:C19"/>
    <mergeCell ref="A20:C25"/>
    <mergeCell ref="A17:D17"/>
  </mergeCells>
  <hyperlinks>
    <hyperlink ref="H6" r:id="rId1" display="WBDG - AFMAN 32-1084" xr:uid="{0F6F0FDC-24E2-4DFD-9584-395B6BD3D9BA}"/>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68719AE-D02A-44D2-912F-CC68F21F5650}">
          <x14:formula1>
            <xm:f>'Sheet References'!$L$1:$L$978</xm:f>
          </x14:formula1>
          <xm:sqref>E1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C6FED-2136-42E1-82F2-EA1F5E796058}">
  <sheetPr>
    <tabColor rgb="FFFFFF99"/>
    <pageSetUpPr fitToPage="1"/>
  </sheetPr>
  <dimension ref="A1:P25"/>
  <sheetViews>
    <sheetView zoomScaleNormal="100" workbookViewId="0">
      <selection activeCell="A19" sqref="A19:C19"/>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675" t="s">
        <v>20</v>
      </c>
      <c r="B1" s="675"/>
      <c r="C1" s="36"/>
      <c r="D1" s="36" t="s">
        <v>106</v>
      </c>
      <c r="E1" s="37">
        <v>442765</v>
      </c>
      <c r="F1" s="38"/>
      <c r="G1" s="38"/>
      <c r="H1" s="38"/>
    </row>
    <row r="2" spans="1:8" ht="21" customHeight="1" x14ac:dyDescent="0.35">
      <c r="A2" s="676" t="s">
        <v>21</v>
      </c>
      <c r="B2" s="676"/>
      <c r="C2" s="38"/>
      <c r="D2" s="36" t="s">
        <v>107</v>
      </c>
      <c r="E2" s="37" t="str">
        <f>VLOOKUP(E1,'Sheet References'!L:M,2,FALSE)</f>
        <v>Warehouse, Troop Subsistence</v>
      </c>
      <c r="F2" s="38"/>
      <c r="G2" s="38"/>
      <c r="H2" s="38"/>
    </row>
    <row r="3" spans="1:8" ht="21" customHeight="1" x14ac:dyDescent="0.35">
      <c r="A3" s="676" t="s">
        <v>22</v>
      </c>
      <c r="B3" s="676"/>
      <c r="C3" s="36"/>
      <c r="D3" s="36" t="s">
        <v>108</v>
      </c>
      <c r="E3" s="37" t="str">
        <f>VLOOKUP(CATCode,'Sheet References'!L:O,4,FALSE)</f>
        <v>https://www.wbdg.org/FFC/AF/AFMAN/442765_Warehouse_Troop_Subsistence.pdf</v>
      </c>
      <c r="F3" s="38"/>
      <c r="G3" s="38"/>
      <c r="H3" s="38"/>
    </row>
    <row r="4" spans="1:8" ht="21" customHeight="1" x14ac:dyDescent="0.35">
      <c r="A4" s="676" t="s">
        <v>23</v>
      </c>
      <c r="B4" s="676"/>
      <c r="C4" s="24"/>
      <c r="D4" s="24"/>
      <c r="E4" s="370" t="str">
        <f>'Customer Summary'!A2</f>
        <v>## Force Support Squadron (## FSS)</v>
      </c>
      <c r="F4" s="24"/>
      <c r="G4" s="24"/>
      <c r="H4" s="24"/>
    </row>
    <row r="5" spans="1:8" ht="21" customHeight="1" x14ac:dyDescent="0.35">
      <c r="A5" s="677" t="str">
        <f>'Customer Summary'!B61</f>
        <v>POC:</v>
      </c>
      <c r="B5" s="677"/>
      <c r="C5" s="24"/>
      <c r="D5" s="24"/>
      <c r="E5" s="370" t="s">
        <v>109</v>
      </c>
      <c r="F5" s="24"/>
      <c r="G5" s="24"/>
      <c r="H5" s="24"/>
    </row>
    <row r="6" spans="1:8" s="4" customFormat="1" ht="46.5" customHeight="1" x14ac:dyDescent="0.35">
      <c r="A6" s="750" t="s">
        <v>243</v>
      </c>
      <c r="B6" s="751"/>
      <c r="C6" s="751"/>
      <c r="D6" s="752"/>
      <c r="E6" s="39" t="s">
        <v>244</v>
      </c>
      <c r="F6" s="39" t="s">
        <v>115</v>
      </c>
      <c r="G6" s="40" t="s">
        <v>116</v>
      </c>
      <c r="H6" s="81" t="s">
        <v>245</v>
      </c>
    </row>
    <row r="7" spans="1:8" s="4" customFormat="1" ht="43.5" customHeight="1" x14ac:dyDescent="0.35">
      <c r="A7" s="754" t="s">
        <v>246</v>
      </c>
      <c r="B7" s="678"/>
      <c r="C7" s="678"/>
      <c r="D7" s="678"/>
      <c r="E7" s="678"/>
      <c r="F7" s="678"/>
      <c r="G7" s="755"/>
      <c r="H7" s="75" t="s">
        <v>247</v>
      </c>
    </row>
    <row r="8" spans="1:8" x14ac:dyDescent="0.35">
      <c r="A8" s="756" t="s">
        <v>248</v>
      </c>
      <c r="B8" s="743"/>
      <c r="C8" s="743"/>
      <c r="D8" s="743"/>
      <c r="E8" s="42"/>
      <c r="F8" s="68"/>
      <c r="G8" s="45">
        <f>E8*F8</f>
        <v>0</v>
      </c>
      <c r="H8" s="35"/>
    </row>
    <row r="9" spans="1:8" x14ac:dyDescent="0.35">
      <c r="A9" s="756" t="s">
        <v>248</v>
      </c>
      <c r="B9" s="743"/>
      <c r="C9" s="743"/>
      <c r="D9" s="743"/>
      <c r="E9" s="42"/>
      <c r="F9" s="68"/>
      <c r="G9" s="45">
        <f>E9*F9</f>
        <v>0</v>
      </c>
      <c r="H9" s="46"/>
    </row>
    <row r="10" spans="1:8" x14ac:dyDescent="0.35">
      <c r="A10" s="756" t="s">
        <v>248</v>
      </c>
      <c r="B10" s="743"/>
      <c r="C10" s="743"/>
      <c r="D10" s="743"/>
      <c r="E10" s="42"/>
      <c r="F10" s="68"/>
      <c r="G10" s="45">
        <f>E10*F10</f>
        <v>0</v>
      </c>
      <c r="H10" s="46"/>
    </row>
    <row r="11" spans="1:8" x14ac:dyDescent="0.35">
      <c r="A11" s="757" t="s">
        <v>180</v>
      </c>
      <c r="B11" s="757"/>
      <c r="C11" s="757"/>
      <c r="D11" s="757"/>
      <c r="E11" s="48" t="s">
        <v>126</v>
      </c>
      <c r="F11" s="65"/>
      <c r="G11" s="51">
        <f>SUM(G8:G10)</f>
        <v>0</v>
      </c>
      <c r="H11" s="35"/>
    </row>
    <row r="12" spans="1:8" x14ac:dyDescent="0.35">
      <c r="A12" s="758" t="s">
        <v>249</v>
      </c>
      <c r="B12" s="759"/>
      <c r="C12" s="759"/>
      <c r="D12" s="759"/>
      <c r="E12" s="50">
        <v>0</v>
      </c>
      <c r="F12" s="42"/>
      <c r="G12" s="66">
        <f>E12*G11</f>
        <v>0</v>
      </c>
      <c r="H12" s="35" t="s">
        <v>176</v>
      </c>
    </row>
    <row r="13" spans="1:8" x14ac:dyDescent="0.35">
      <c r="A13" s="757" t="s">
        <v>182</v>
      </c>
      <c r="B13" s="743"/>
      <c r="C13" s="743"/>
      <c r="D13" s="743"/>
      <c r="E13" s="47" t="s">
        <v>126</v>
      </c>
      <c r="F13" s="67"/>
      <c r="G13" s="51">
        <f>SUM(G11:G12)</f>
        <v>0</v>
      </c>
      <c r="H13" s="35"/>
    </row>
    <row r="14" spans="1:8" x14ac:dyDescent="0.35">
      <c r="A14" s="743"/>
      <c r="B14" s="743"/>
      <c r="C14" s="743"/>
      <c r="D14" s="743"/>
      <c r="E14" s="743"/>
      <c r="F14" s="743"/>
      <c r="G14" s="743"/>
      <c r="H14" s="743"/>
    </row>
    <row r="15" spans="1:8" s="4" customFormat="1" ht="15.5" x14ac:dyDescent="0.35">
      <c r="A15" s="744" t="s">
        <v>250</v>
      </c>
      <c r="B15" s="745"/>
      <c r="C15" s="745"/>
      <c r="D15" s="745"/>
      <c r="E15" s="745"/>
      <c r="F15" s="745"/>
      <c r="G15" s="745"/>
      <c r="H15" s="745"/>
    </row>
    <row r="16" spans="1:8" x14ac:dyDescent="0.35">
      <c r="A16" s="746" t="s">
        <v>251</v>
      </c>
      <c r="B16" s="743"/>
      <c r="C16" s="743"/>
      <c r="D16" s="743"/>
      <c r="E16" s="69" t="s">
        <v>252</v>
      </c>
      <c r="F16" s="70"/>
      <c r="G16" s="66">
        <f>G13</f>
        <v>0</v>
      </c>
      <c r="H16" s="46"/>
    </row>
    <row r="17" spans="1:8" x14ac:dyDescent="0.35">
      <c r="A17" s="746" t="s">
        <v>253</v>
      </c>
      <c r="B17" s="753"/>
      <c r="C17" s="753"/>
      <c r="D17" s="753"/>
      <c r="E17" s="50">
        <v>0</v>
      </c>
      <c r="F17" s="43"/>
      <c r="G17" s="45">
        <f>G16*E17</f>
        <v>0</v>
      </c>
      <c r="H17" s="35" t="s">
        <v>176</v>
      </c>
    </row>
    <row r="18" spans="1:8" ht="15" thickBot="1" x14ac:dyDescent="0.4">
      <c r="E18" s="48" t="s">
        <v>254</v>
      </c>
      <c r="F18" s="71"/>
      <c r="G18" s="51">
        <f>SUM(G16:G17)</f>
        <v>0</v>
      </c>
    </row>
    <row r="19" spans="1:8" ht="16" thickBot="1" x14ac:dyDescent="0.4">
      <c r="A19" s="747" t="s">
        <v>259</v>
      </c>
      <c r="B19" s="748"/>
      <c r="C19" s="749"/>
    </row>
    <row r="20" spans="1:8" x14ac:dyDescent="0.35">
      <c r="A20" s="760" t="s">
        <v>260</v>
      </c>
      <c r="B20" s="761"/>
      <c r="C20" s="762"/>
    </row>
    <row r="21" spans="1:8" ht="15" thickBot="1" x14ac:dyDescent="0.4">
      <c r="A21" s="766"/>
      <c r="B21" s="767"/>
      <c r="C21" s="768"/>
    </row>
    <row r="22" spans="1:8" ht="12.65" customHeight="1" x14ac:dyDescent="0.35">
      <c r="A22" s="383"/>
      <c r="B22" s="383"/>
      <c r="C22" s="383"/>
    </row>
    <row r="23" spans="1:8" ht="12" customHeight="1" x14ac:dyDescent="0.35">
      <c r="A23" s="383"/>
      <c r="B23" s="383"/>
      <c r="C23" s="383"/>
    </row>
    <row r="24" spans="1:8" ht="11.15" customHeight="1" x14ac:dyDescent="0.35">
      <c r="A24" s="383"/>
      <c r="B24" s="383"/>
      <c r="C24" s="383"/>
    </row>
    <row r="25" spans="1:8" ht="12" customHeight="1" x14ac:dyDescent="0.35">
      <c r="A25" s="383"/>
      <c r="B25" s="383"/>
      <c r="C25" s="383"/>
    </row>
  </sheetData>
  <mergeCells count="19">
    <mergeCell ref="A20:C21"/>
    <mergeCell ref="A13:D13"/>
    <mergeCell ref="A14:H14"/>
    <mergeCell ref="A15:H15"/>
    <mergeCell ref="A16:D16"/>
    <mergeCell ref="A17:D17"/>
    <mergeCell ref="A19:C19"/>
    <mergeCell ref="A12:D12"/>
    <mergeCell ref="A1:B1"/>
    <mergeCell ref="A2:B2"/>
    <mergeCell ref="A3:B3"/>
    <mergeCell ref="A4:B4"/>
    <mergeCell ref="A5:B5"/>
    <mergeCell ref="A6:D6"/>
    <mergeCell ref="A7:G7"/>
    <mergeCell ref="A8:D8"/>
    <mergeCell ref="A9:D9"/>
    <mergeCell ref="A10:D10"/>
    <mergeCell ref="A11:D11"/>
  </mergeCells>
  <hyperlinks>
    <hyperlink ref="H6" r:id="rId1" display="WBDG - AFMAN 32-1084" xr:uid="{74206247-3FB5-4826-8AE4-4740F2F8F92E}"/>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EAFC7B1-461A-40EA-8F34-E4D13B2AA5DA}">
          <x14:formula1>
            <xm:f>'Sheet References'!$L$1:$L$978</xm:f>
          </x14:formula1>
          <xm:sqref>E1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99"/>
    <pageSetUpPr fitToPage="1"/>
  </sheetPr>
  <dimension ref="A1:P48"/>
  <sheetViews>
    <sheetView zoomScaleNormal="100" workbookViewId="0">
      <selection activeCell="E14" sqref="E14"/>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0" customWidth="1"/>
    <col min="8" max="8" width="66.7265625" style="1" customWidth="1"/>
    <col min="9" max="9" width="39" customWidth="1"/>
    <col min="17" max="16384" width="9.26953125" style="1"/>
  </cols>
  <sheetData>
    <row r="1" spans="1:8" s="5" customFormat="1" ht="21" customHeight="1" x14ac:dyDescent="0.35">
      <c r="A1" s="769" t="s">
        <v>20</v>
      </c>
      <c r="B1" s="770"/>
      <c r="C1" s="36"/>
      <c r="D1" s="36" t="s">
        <v>106</v>
      </c>
      <c r="E1" s="37">
        <v>730801</v>
      </c>
      <c r="F1" s="38"/>
      <c r="G1" s="38"/>
      <c r="H1" s="38"/>
    </row>
    <row r="2" spans="1:8" ht="21" customHeight="1" x14ac:dyDescent="0.35">
      <c r="A2" s="771" t="s">
        <v>21</v>
      </c>
      <c r="B2" s="772"/>
      <c r="C2" s="38"/>
      <c r="D2" s="36" t="s">
        <v>107</v>
      </c>
      <c r="E2" s="37" t="str">
        <f>VLOOKUP(E1,'Sheet References'!L:M,2,FALSE)</f>
        <v>Honor Guard</v>
      </c>
      <c r="F2" s="38"/>
      <c r="G2" s="38"/>
      <c r="H2" s="38"/>
    </row>
    <row r="3" spans="1:8" ht="21" customHeight="1" x14ac:dyDescent="0.35">
      <c r="A3" s="771" t="s">
        <v>22</v>
      </c>
      <c r="B3" s="772"/>
      <c r="C3" s="36"/>
      <c r="D3" s="36" t="s">
        <v>108</v>
      </c>
      <c r="E3" s="37" t="str">
        <f>VLOOKUP(CATCode,'Sheet References'!L:O,4,FALSE)</f>
        <v>No Standards/Criteria available</v>
      </c>
      <c r="F3" s="38"/>
      <c r="G3" s="38"/>
      <c r="H3" s="38"/>
    </row>
    <row r="4" spans="1:8" ht="21" customHeight="1" x14ac:dyDescent="0.35">
      <c r="A4" s="771" t="s">
        <v>23</v>
      </c>
      <c r="B4" s="772"/>
      <c r="C4" s="24"/>
      <c r="D4" s="24"/>
      <c r="E4" s="37" t="str">
        <f>'Customer Summary'!A2</f>
        <v>## Force Support Squadron (## FSS)</v>
      </c>
      <c r="F4" s="24"/>
      <c r="G4" s="24"/>
      <c r="H4" s="24"/>
    </row>
    <row r="5" spans="1:8" ht="21" customHeight="1" x14ac:dyDescent="0.35">
      <c r="A5" s="773" t="str">
        <f>'Customer Summary'!B61</f>
        <v>POC:</v>
      </c>
      <c r="B5" s="774"/>
      <c r="C5" s="24"/>
      <c r="D5" s="24"/>
      <c r="E5" s="37" t="s">
        <v>109</v>
      </c>
      <c r="F5" s="24"/>
      <c r="G5" s="24"/>
      <c r="H5" s="24"/>
    </row>
    <row r="6" spans="1:8" s="4" customFormat="1" ht="46.5" x14ac:dyDescent="0.35">
      <c r="A6" s="554" t="s">
        <v>110</v>
      </c>
      <c r="B6" s="509" t="s">
        <v>261</v>
      </c>
      <c r="C6" s="39" t="s">
        <v>262</v>
      </c>
      <c r="D6" s="39" t="s">
        <v>263</v>
      </c>
      <c r="E6" s="39" t="s">
        <v>264</v>
      </c>
      <c r="F6" s="39" t="s">
        <v>115</v>
      </c>
      <c r="G6" s="40" t="s">
        <v>116</v>
      </c>
      <c r="H6" s="41" t="s">
        <v>265</v>
      </c>
    </row>
    <row r="7" spans="1:8" s="4" customFormat="1" ht="39" customHeight="1" x14ac:dyDescent="0.35">
      <c r="A7" s="744" t="s">
        <v>118</v>
      </c>
      <c r="B7" s="744"/>
      <c r="C7" s="744"/>
      <c r="D7" s="744"/>
      <c r="E7" s="744"/>
      <c r="F7" s="744"/>
      <c r="G7" s="744"/>
      <c r="H7" s="74" t="s">
        <v>266</v>
      </c>
    </row>
    <row r="8" spans="1:8" x14ac:dyDescent="0.35">
      <c r="A8" s="490" t="s">
        <v>267</v>
      </c>
      <c r="B8" s="490"/>
      <c r="C8" s="490"/>
      <c r="D8" s="491"/>
      <c r="E8" s="490"/>
      <c r="F8" s="490"/>
      <c r="G8" s="492"/>
      <c r="H8" s="46"/>
    </row>
    <row r="9" spans="1:8" x14ac:dyDescent="0.35">
      <c r="A9" s="757" t="s">
        <v>125</v>
      </c>
      <c r="B9" s="775"/>
      <c r="C9" s="775"/>
      <c r="D9" s="775"/>
      <c r="E9" s="47" t="s">
        <v>126</v>
      </c>
      <c r="F9" s="48">
        <f>SUM(F14:F14)</f>
        <v>0</v>
      </c>
      <c r="G9" s="49">
        <f>SUM(G14:G14)</f>
        <v>0</v>
      </c>
      <c r="H9" s="46"/>
    </row>
    <row r="10" spans="1:8" ht="14.5" customHeight="1" x14ac:dyDescent="0.35">
      <c r="A10" s="753" t="s">
        <v>268</v>
      </c>
      <c r="B10" s="753"/>
      <c r="C10" s="753"/>
      <c r="D10" s="753"/>
      <c r="E10" s="50">
        <v>0.4</v>
      </c>
      <c r="F10" s="42"/>
      <c r="G10" s="45">
        <f>G9*E10</f>
        <v>0</v>
      </c>
      <c r="H10" s="35" t="s">
        <v>269</v>
      </c>
    </row>
    <row r="11" spans="1:8" x14ac:dyDescent="0.35">
      <c r="A11" s="757" t="s">
        <v>129</v>
      </c>
      <c r="B11" s="775"/>
      <c r="C11" s="775"/>
      <c r="D11" s="775"/>
      <c r="E11" s="47" t="s">
        <v>126</v>
      </c>
      <c r="F11" s="47"/>
      <c r="G11" s="51">
        <f>G10+G9</f>
        <v>0</v>
      </c>
      <c r="H11" s="46"/>
    </row>
    <row r="12" spans="1:8" x14ac:dyDescent="0.35">
      <c r="A12" s="778"/>
      <c r="B12" s="779"/>
      <c r="C12" s="780"/>
      <c r="D12" s="780"/>
      <c r="E12" s="780"/>
      <c r="F12" s="780"/>
      <c r="G12" s="780"/>
      <c r="H12" s="781"/>
    </row>
    <row r="13" spans="1:8" s="15" customFormat="1" ht="39" x14ac:dyDescent="0.35">
      <c r="A13" s="669" t="s">
        <v>130</v>
      </c>
      <c r="B13" s="670"/>
      <c r="C13" s="670"/>
      <c r="D13" s="670"/>
      <c r="E13" s="670"/>
      <c r="F13" s="670"/>
      <c r="G13" s="671"/>
      <c r="H13" s="74" t="s">
        <v>266</v>
      </c>
    </row>
    <row r="14" spans="1:8" s="15" customFormat="1" x14ac:dyDescent="0.35">
      <c r="A14" s="42" t="s">
        <v>270</v>
      </c>
      <c r="B14" s="43" t="s">
        <v>271</v>
      </c>
      <c r="C14" s="43" t="str">
        <f>VLOOKUP(B14,'Sheet References'!$A$14:$B$57,2,FALSE)</f>
        <v>Office Type D (Private)</v>
      </c>
      <c r="D14" s="42" t="s">
        <v>272</v>
      </c>
      <c r="E14" s="44">
        <f>VLOOKUP(C14,OfficeTypeSF[],2,FALSE)</f>
        <v>100</v>
      </c>
      <c r="F14" s="42">
        <v>0</v>
      </c>
      <c r="G14" s="45">
        <f t="shared" ref="G14" si="0">E14*F14</f>
        <v>0</v>
      </c>
      <c r="H14" s="57"/>
    </row>
    <row r="15" spans="1:8" s="15" customFormat="1" x14ac:dyDescent="0.35">
      <c r="A15" s="52" t="s">
        <v>273</v>
      </c>
      <c r="B15" s="53" t="s">
        <v>274</v>
      </c>
      <c r="C15" s="54" t="str">
        <f>VLOOKUP(B15,OpenOffices[],2,FALSE)</f>
        <v>Office Type E (Open)</v>
      </c>
      <c r="D15" s="52" t="s">
        <v>272</v>
      </c>
      <c r="E15" s="55">
        <f>VLOOKUP(C15,OfficeTypeSF[],2,FALSE)</f>
        <v>65</v>
      </c>
      <c r="F15" s="52">
        <v>0</v>
      </c>
      <c r="G15" s="56">
        <f>E15*F15</f>
        <v>0</v>
      </c>
      <c r="H15" s="57"/>
    </row>
    <row r="16" spans="1:8" s="15" customFormat="1" x14ac:dyDescent="0.35">
      <c r="A16" s="52" t="s">
        <v>275</v>
      </c>
      <c r="B16" s="53" t="s">
        <v>274</v>
      </c>
      <c r="C16" s="54" t="str">
        <f>VLOOKUP(B16,OpenOffices[],2,FALSE)</f>
        <v>Office Type E (Open)</v>
      </c>
      <c r="D16" s="52" t="s">
        <v>272</v>
      </c>
      <c r="E16" s="55">
        <f>VLOOKUP(C16,OfficeTypeSF[],2,FALSE)</f>
        <v>65</v>
      </c>
      <c r="F16" s="52">
        <v>0</v>
      </c>
      <c r="G16" s="56">
        <f>E16*F16</f>
        <v>0</v>
      </c>
      <c r="H16" s="57"/>
    </row>
    <row r="17" spans="1:8" s="15" customFormat="1" x14ac:dyDescent="0.35">
      <c r="A17" s="52" t="s">
        <v>276</v>
      </c>
      <c r="B17" s="53" t="s">
        <v>277</v>
      </c>
      <c r="C17" s="54" t="str">
        <f>VLOOKUP(B17,OpenOffices[],2,FALSE)</f>
        <v>Office Type F (Open)</v>
      </c>
      <c r="D17" s="52" t="s">
        <v>272</v>
      </c>
      <c r="E17" s="55">
        <f>VLOOKUP(C17,OfficeTypeSF[],2,FALSE)</f>
        <v>36</v>
      </c>
      <c r="F17" s="52">
        <v>0</v>
      </c>
      <c r="G17" s="56">
        <f t="shared" ref="G17" si="1">E17*F17</f>
        <v>0</v>
      </c>
      <c r="H17" s="57"/>
    </row>
    <row r="18" spans="1:8" s="15" customFormat="1" x14ac:dyDescent="0.35">
      <c r="A18" s="681" t="s">
        <v>136</v>
      </c>
      <c r="B18" s="776"/>
      <c r="C18" s="776"/>
      <c r="D18" s="776"/>
      <c r="E18" s="58" t="s">
        <v>126</v>
      </c>
      <c r="F18" s="48">
        <f>SUM(F15:F17)</f>
        <v>0</v>
      </c>
      <c r="G18" s="59">
        <f>SUM(G15:G17)</f>
        <v>0</v>
      </c>
      <c r="H18" s="57"/>
    </row>
    <row r="19" spans="1:8" s="15" customFormat="1" ht="14.5" customHeight="1" x14ac:dyDescent="0.35">
      <c r="A19" s="777" t="s">
        <v>278</v>
      </c>
      <c r="B19" s="777"/>
      <c r="C19" s="777"/>
      <c r="D19" s="777"/>
      <c r="E19" s="60">
        <v>0.6</v>
      </c>
      <c r="F19" s="52"/>
      <c r="G19" s="61">
        <f>G18*E19</f>
        <v>0</v>
      </c>
      <c r="H19" s="57" t="s">
        <v>279</v>
      </c>
    </row>
    <row r="20" spans="1:8" s="16" customFormat="1" ht="15.5" x14ac:dyDescent="0.35">
      <c r="A20" s="681" t="s">
        <v>138</v>
      </c>
      <c r="B20" s="776"/>
      <c r="C20" s="776"/>
      <c r="D20" s="776"/>
      <c r="E20" s="58" t="s">
        <v>126</v>
      </c>
      <c r="F20" s="58"/>
      <c r="G20" s="59">
        <f>G19+G18</f>
        <v>0</v>
      </c>
      <c r="H20" s="62"/>
    </row>
    <row r="21" spans="1:8" x14ac:dyDescent="0.35">
      <c r="A21" s="778"/>
      <c r="B21" s="779"/>
      <c r="C21" s="780"/>
      <c r="D21" s="780"/>
      <c r="E21" s="780"/>
      <c r="F21" s="780"/>
      <c r="G21" s="780"/>
      <c r="H21" s="781"/>
    </row>
    <row r="22" spans="1:8" s="4" customFormat="1" ht="39" x14ac:dyDescent="0.35">
      <c r="A22" s="754" t="s">
        <v>139</v>
      </c>
      <c r="B22" s="678"/>
      <c r="C22" s="678"/>
      <c r="D22" s="678"/>
      <c r="E22" s="678"/>
      <c r="F22" s="678"/>
      <c r="G22" s="755"/>
      <c r="H22" s="73" t="s">
        <v>280</v>
      </c>
    </row>
    <row r="23" spans="1:8" s="4" customFormat="1" ht="87" x14ac:dyDescent="0.35">
      <c r="A23" s="753" t="s">
        <v>281</v>
      </c>
      <c r="B23" s="753"/>
      <c r="C23" s="753"/>
      <c r="D23" s="753"/>
      <c r="E23" s="77">
        <f>VLOOKUP(A23,AdminSpecialPurpose[#All],2,FALSE)</f>
        <v>8</v>
      </c>
      <c r="F23" s="63">
        <f>F9+F18</f>
        <v>0</v>
      </c>
      <c r="G23" s="45">
        <f>E23*F23</f>
        <v>0</v>
      </c>
      <c r="H23" s="35" t="s">
        <v>282</v>
      </c>
    </row>
    <row r="24" spans="1:8" s="4" customFormat="1" ht="58" x14ac:dyDescent="0.35">
      <c r="A24" s="753" t="s">
        <v>283</v>
      </c>
      <c r="B24" s="753"/>
      <c r="C24" s="753"/>
      <c r="D24" s="753"/>
      <c r="E24" s="45" t="str">
        <f>VLOOKUP(A24,AdminSpecialPurpose[#All],2,FALSE)</f>
        <v>Table 6</v>
      </c>
      <c r="F24" s="63">
        <f>F9+F18</f>
        <v>0</v>
      </c>
      <c r="G24" s="45">
        <f>VLOOKUP(F24,MeetingSpace[#All],6,TRUE)</f>
        <v>0</v>
      </c>
      <c r="H24" s="35" t="s">
        <v>284</v>
      </c>
    </row>
    <row r="25" spans="1:8" s="4" customFormat="1" ht="43.5" x14ac:dyDescent="0.35">
      <c r="A25" s="753" t="s">
        <v>285</v>
      </c>
      <c r="B25" s="743"/>
      <c r="C25" s="743"/>
      <c r="D25" s="743"/>
      <c r="E25" s="45">
        <f>VLOOKUP(A25,AdminSpecialPurpose[#All],2,FALSE)</f>
        <v>3</v>
      </c>
      <c r="F25" s="64">
        <f>(F9+F18)</f>
        <v>0</v>
      </c>
      <c r="G25" s="45">
        <f>IF(F25&gt;0,MAX(E25*F25,50),0)</f>
        <v>0</v>
      </c>
      <c r="H25" s="35" t="s">
        <v>286</v>
      </c>
    </row>
    <row r="26" spans="1:8" x14ac:dyDescent="0.35">
      <c r="A26" s="753" t="s">
        <v>287</v>
      </c>
      <c r="B26" s="743"/>
      <c r="C26" s="743"/>
      <c r="D26" s="743"/>
      <c r="E26" s="45">
        <f>VLOOKUP(A26,AdminSpecialPurpose[#All],2,FALSE)</f>
        <v>20</v>
      </c>
      <c r="F26" s="64">
        <v>0</v>
      </c>
      <c r="G26" s="45">
        <f>IFERROR(E26*F26,0)</f>
        <v>0</v>
      </c>
      <c r="H26" s="35" t="s">
        <v>288</v>
      </c>
    </row>
    <row r="27" spans="1:8" x14ac:dyDescent="0.35">
      <c r="A27" s="753" t="s">
        <v>289</v>
      </c>
      <c r="B27" s="743"/>
      <c r="C27" s="743"/>
      <c r="D27" s="743"/>
      <c r="E27" s="45" t="str">
        <f>VLOOKUP(A27,AdminSpecialPurpose[#All],2,FALSE)</f>
        <v>SF</v>
      </c>
      <c r="F27" s="64">
        <v>0</v>
      </c>
      <c r="G27" s="45">
        <f>IFERROR(E27*F27,0)</f>
        <v>0</v>
      </c>
      <c r="H27" s="35" t="s">
        <v>290</v>
      </c>
    </row>
    <row r="28" spans="1:8" x14ac:dyDescent="0.35">
      <c r="A28" s="753" t="s">
        <v>289</v>
      </c>
      <c r="B28" s="743"/>
      <c r="C28" s="743"/>
      <c r="D28" s="743"/>
      <c r="E28" s="45" t="str">
        <f>VLOOKUP(A28,AdminSpecialPurpose[#All],2,FALSE)</f>
        <v>SF</v>
      </c>
      <c r="F28" s="64">
        <v>0</v>
      </c>
      <c r="G28" s="45">
        <f>IFERROR(E28*F28,0)</f>
        <v>0</v>
      </c>
      <c r="H28" s="35" t="s">
        <v>290</v>
      </c>
    </row>
    <row r="29" spans="1:8" x14ac:dyDescent="0.35">
      <c r="A29" s="753" t="s">
        <v>289</v>
      </c>
      <c r="B29" s="743"/>
      <c r="C29" s="743"/>
      <c r="D29" s="743"/>
      <c r="E29" s="45" t="str">
        <f>VLOOKUP(A29,AdminSpecialPurpose[#All],2,FALSE)</f>
        <v>SF</v>
      </c>
      <c r="F29" s="64">
        <v>0</v>
      </c>
      <c r="G29" s="45">
        <f>IFERROR(E29*F29,0)</f>
        <v>0</v>
      </c>
      <c r="H29" s="35" t="s">
        <v>290</v>
      </c>
    </row>
    <row r="30" spans="1:8" x14ac:dyDescent="0.35">
      <c r="A30" s="753" t="s">
        <v>289</v>
      </c>
      <c r="B30" s="743"/>
      <c r="C30" s="743"/>
      <c r="D30" s="743"/>
      <c r="E30" s="45" t="str">
        <f>VLOOKUP(A30,AdminSpecialPurpose[#All],2,FALSE)</f>
        <v>SF</v>
      </c>
      <c r="F30" s="64">
        <v>0</v>
      </c>
      <c r="G30" s="45">
        <f>IFERROR(E30*F30,0)</f>
        <v>0</v>
      </c>
      <c r="H30" s="35" t="s">
        <v>290</v>
      </c>
    </row>
    <row r="31" spans="1:8" x14ac:dyDescent="0.35">
      <c r="A31" s="757" t="s">
        <v>174</v>
      </c>
      <c r="B31" s="757"/>
      <c r="C31" s="757"/>
      <c r="D31" s="757"/>
      <c r="E31" s="48" t="s">
        <v>126</v>
      </c>
      <c r="F31" s="65"/>
      <c r="G31" s="51">
        <f>SUM(G23:G30)</f>
        <v>0</v>
      </c>
      <c r="H31" s="35"/>
    </row>
    <row r="32" spans="1:8" x14ac:dyDescent="0.35">
      <c r="A32" s="759" t="s">
        <v>291</v>
      </c>
      <c r="B32" s="759"/>
      <c r="C32" s="759"/>
      <c r="D32" s="759"/>
      <c r="E32" s="50">
        <v>0.4</v>
      </c>
      <c r="F32" s="42"/>
      <c r="G32" s="66">
        <f>E32*G31</f>
        <v>0</v>
      </c>
      <c r="H32" s="35" t="s">
        <v>292</v>
      </c>
    </row>
    <row r="33" spans="1:8" x14ac:dyDescent="0.35">
      <c r="A33" s="757" t="s">
        <v>177</v>
      </c>
      <c r="B33" s="775"/>
      <c r="C33" s="775"/>
      <c r="D33" s="775"/>
      <c r="E33" s="47" t="s">
        <v>126</v>
      </c>
      <c r="F33" s="67"/>
      <c r="G33" s="51">
        <f>SUM(G31:G32)</f>
        <v>0</v>
      </c>
      <c r="H33" s="35"/>
    </row>
    <row r="34" spans="1:8" x14ac:dyDescent="0.35">
      <c r="A34" s="743"/>
      <c r="B34" s="743"/>
      <c r="C34" s="743"/>
      <c r="D34" s="743"/>
      <c r="E34" s="743"/>
      <c r="F34" s="743"/>
      <c r="G34" s="743"/>
      <c r="H34" s="743"/>
    </row>
    <row r="35" spans="1:8" s="4" customFormat="1" ht="15.5" x14ac:dyDescent="0.35">
      <c r="A35" s="744" t="s">
        <v>178</v>
      </c>
      <c r="B35" s="744"/>
      <c r="C35" s="744"/>
      <c r="D35" s="744"/>
      <c r="E35" s="744"/>
      <c r="F35" s="744"/>
      <c r="G35" s="744"/>
      <c r="H35" s="744"/>
    </row>
    <row r="36" spans="1:8" ht="14.5" customHeight="1" x14ac:dyDescent="0.35">
      <c r="A36" s="782" t="s">
        <v>293</v>
      </c>
      <c r="B36" s="783"/>
      <c r="C36" s="783"/>
      <c r="D36" s="784"/>
      <c r="E36" s="295">
        <v>0</v>
      </c>
      <c r="F36" s="68">
        <v>0</v>
      </c>
      <c r="G36" s="45">
        <f>E36*F36</f>
        <v>0</v>
      </c>
      <c r="H36" s="35" t="s">
        <v>294</v>
      </c>
    </row>
    <row r="37" spans="1:8" ht="14.5" customHeight="1" x14ac:dyDescent="0.35">
      <c r="A37" s="782" t="s">
        <v>295</v>
      </c>
      <c r="B37" s="783"/>
      <c r="C37" s="783"/>
      <c r="D37" s="784"/>
      <c r="E37" s="295">
        <v>0</v>
      </c>
      <c r="F37" s="68">
        <v>0</v>
      </c>
      <c r="G37" s="45">
        <f>E37*F37</f>
        <v>0</v>
      </c>
      <c r="H37" s="35" t="s">
        <v>296</v>
      </c>
    </row>
    <row r="38" spans="1:8" ht="14.5" customHeight="1" x14ac:dyDescent="0.35">
      <c r="A38" s="782" t="s">
        <v>297</v>
      </c>
      <c r="B38" s="783"/>
      <c r="C38" s="783"/>
      <c r="D38" s="784"/>
      <c r="E38" s="295">
        <v>120</v>
      </c>
      <c r="F38" s="68">
        <v>0</v>
      </c>
      <c r="G38" s="45">
        <f>E38*F38</f>
        <v>0</v>
      </c>
      <c r="H38" s="35" t="s">
        <v>298</v>
      </c>
    </row>
    <row r="39" spans="1:8" ht="14.5" customHeight="1" x14ac:dyDescent="0.35">
      <c r="A39" s="782" t="s">
        <v>299</v>
      </c>
      <c r="B39" s="783"/>
      <c r="C39" s="783"/>
      <c r="D39" s="784"/>
      <c r="E39" s="295">
        <v>50</v>
      </c>
      <c r="F39" s="68">
        <v>0</v>
      </c>
      <c r="G39" s="45">
        <f>E39*F39</f>
        <v>0</v>
      </c>
      <c r="H39" s="35" t="s">
        <v>300</v>
      </c>
    </row>
    <row r="40" spans="1:8" x14ac:dyDescent="0.35">
      <c r="A40" s="753" t="s">
        <v>301</v>
      </c>
      <c r="B40" s="743"/>
      <c r="C40" s="743"/>
      <c r="D40" s="743"/>
      <c r="E40" s="42">
        <v>100</v>
      </c>
      <c r="F40" s="68">
        <v>0</v>
      </c>
      <c r="G40" s="45">
        <f>E40*F40</f>
        <v>0</v>
      </c>
      <c r="H40" s="35" t="s">
        <v>302</v>
      </c>
    </row>
    <row r="41" spans="1:8" x14ac:dyDescent="0.35">
      <c r="A41" s="757" t="s">
        <v>180</v>
      </c>
      <c r="B41" s="757"/>
      <c r="C41" s="757"/>
      <c r="D41" s="757"/>
      <c r="E41" s="48" t="s">
        <v>126</v>
      </c>
      <c r="F41" s="65"/>
      <c r="G41" s="51">
        <f>SUM(G36:G40)</f>
        <v>0</v>
      </c>
      <c r="H41" s="35"/>
    </row>
    <row r="42" spans="1:8" x14ac:dyDescent="0.35">
      <c r="A42" s="759" t="s">
        <v>249</v>
      </c>
      <c r="B42" s="759"/>
      <c r="C42" s="759"/>
      <c r="D42" s="759"/>
      <c r="E42" s="50">
        <v>0.4</v>
      </c>
      <c r="F42" s="42"/>
      <c r="G42" s="66">
        <f>E42*G41</f>
        <v>0</v>
      </c>
      <c r="H42" s="35" t="s">
        <v>292</v>
      </c>
    </row>
    <row r="43" spans="1:8" x14ac:dyDescent="0.35">
      <c r="A43" s="757" t="s">
        <v>182</v>
      </c>
      <c r="B43" s="775"/>
      <c r="C43" s="775"/>
      <c r="D43" s="775"/>
      <c r="E43" s="47" t="s">
        <v>126</v>
      </c>
      <c r="F43" s="67"/>
      <c r="G43" s="51">
        <f>SUM(G41:G42)</f>
        <v>0</v>
      </c>
      <c r="H43" s="35"/>
    </row>
    <row r="44" spans="1:8" x14ac:dyDescent="0.35">
      <c r="A44" s="743"/>
      <c r="B44" s="743"/>
      <c r="C44" s="743"/>
      <c r="D44" s="743"/>
      <c r="E44" s="743"/>
      <c r="F44" s="743"/>
      <c r="G44" s="743"/>
      <c r="H44" s="743"/>
    </row>
    <row r="45" spans="1:8" s="4" customFormat="1" ht="15.5" x14ac:dyDescent="0.35">
      <c r="A45" s="744" t="s">
        <v>250</v>
      </c>
      <c r="B45" s="744"/>
      <c r="C45" s="744"/>
      <c r="D45" s="744"/>
      <c r="E45" s="744"/>
      <c r="F45" s="744"/>
      <c r="G45" s="744"/>
      <c r="H45" s="744"/>
    </row>
    <row r="46" spans="1:8" x14ac:dyDescent="0.35">
      <c r="A46" s="753" t="s">
        <v>251</v>
      </c>
      <c r="B46" s="743"/>
      <c r="C46" s="743"/>
      <c r="D46" s="743"/>
      <c r="E46" s="69" t="s">
        <v>252</v>
      </c>
      <c r="F46" s="70"/>
      <c r="G46" s="66">
        <f>G43+G33+G11+G20</f>
        <v>0</v>
      </c>
      <c r="H46" s="46"/>
    </row>
    <row r="47" spans="1:8" ht="14.5" customHeight="1" x14ac:dyDescent="0.35">
      <c r="A47" s="753" t="s">
        <v>303</v>
      </c>
      <c r="B47" s="753"/>
      <c r="C47" s="753"/>
      <c r="D47" s="753"/>
      <c r="E47" s="50">
        <v>0.42</v>
      </c>
      <c r="F47" s="43"/>
      <c r="G47" s="45">
        <f>G46*E47</f>
        <v>0</v>
      </c>
      <c r="H47" s="35" t="s">
        <v>304</v>
      </c>
    </row>
    <row r="48" spans="1:8" x14ac:dyDescent="0.35">
      <c r="E48" s="48" t="s">
        <v>254</v>
      </c>
      <c r="F48" s="71"/>
      <c r="G48" s="51">
        <f>SUM(G46:G47)</f>
        <v>0</v>
      </c>
    </row>
  </sheetData>
  <mergeCells count="41">
    <mergeCell ref="A39:D39"/>
    <mergeCell ref="A34:H34"/>
    <mergeCell ref="A23:D23"/>
    <mergeCell ref="A35:H35"/>
    <mergeCell ref="A31:D31"/>
    <mergeCell ref="A32:D32"/>
    <mergeCell ref="A33:D33"/>
    <mergeCell ref="A30:D30"/>
    <mergeCell ref="A25:D25"/>
    <mergeCell ref="A36:D36"/>
    <mergeCell ref="A37:D37"/>
    <mergeCell ref="A38:D38"/>
    <mergeCell ref="A29:D29"/>
    <mergeCell ref="A28:D28"/>
    <mergeCell ref="A26:D26"/>
    <mergeCell ref="A27:D27"/>
    <mergeCell ref="A45:H45"/>
    <mergeCell ref="A46:D46"/>
    <mergeCell ref="A47:D47"/>
    <mergeCell ref="A44:H44"/>
    <mergeCell ref="A40:D40"/>
    <mergeCell ref="A41:D41"/>
    <mergeCell ref="A42:D42"/>
    <mergeCell ref="A43:D43"/>
    <mergeCell ref="A7:G7"/>
    <mergeCell ref="A24:D24"/>
    <mergeCell ref="A10:D10"/>
    <mergeCell ref="A11:D11"/>
    <mergeCell ref="A9:D9"/>
    <mergeCell ref="A18:D18"/>
    <mergeCell ref="A19:D19"/>
    <mergeCell ref="A20:D20"/>
    <mergeCell ref="A12:H12"/>
    <mergeCell ref="A21:H21"/>
    <mergeCell ref="A13:G13"/>
    <mergeCell ref="A22:G22"/>
    <mergeCell ref="A1:B1"/>
    <mergeCell ref="A2:B2"/>
    <mergeCell ref="A3:B3"/>
    <mergeCell ref="A4:B4"/>
    <mergeCell ref="A5:B5"/>
  </mergeCells>
  <phoneticPr fontId="24" type="noConversion"/>
  <hyperlinks>
    <hyperlink ref="H6" r:id="rId1" display="WBDG - AFMAN 32-1084" xr:uid="{72B04FA6-BE83-44CC-B93E-832175A8CB0A}"/>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2000000}">
          <x14:formula1>
            <xm:f>'Sheet References'!$L$1:$L$978</xm:f>
          </x14:formula1>
          <xm:sqref>E1</xm:sqref>
        </x14:dataValidation>
        <x14:dataValidation type="list" allowBlank="1" showInputMessage="1" showErrorMessage="1" xr:uid="{00000000-0002-0000-0100-000001000000}">
          <x14:formula1>
            <xm:f>'Sheet References'!$E$1:$E$112</xm:f>
          </x14:formula1>
          <xm:sqref>D14 D15:D17</xm:sqref>
        </x14:dataValidation>
        <x14:dataValidation type="list" allowBlank="1" showInputMessage="1" showErrorMessage="1" xr:uid="{00000000-0002-0000-0100-000003000000}">
          <x14:formula1>
            <xm:f>'Sheet References'!$H$1:$H$48</xm:f>
          </x14:formula1>
          <xm:sqref>A23:D30</xm:sqref>
        </x14:dataValidation>
        <x14:dataValidation type="list" allowBlank="1" showInputMessage="1" showErrorMessage="1" xr:uid="{5C2A0FBC-CCFC-4F7D-92C2-7ABA534798F2}">
          <x14:formula1>
            <xm:f>'Sheet References'!$A$14:$A$57</xm:f>
          </x14:formula1>
          <xm:sqref>B14</xm:sqref>
        </x14:dataValidation>
        <x14:dataValidation type="list" allowBlank="1" showInputMessage="1" showErrorMessage="1" xr:uid="{C8C3F0B9-7EED-4F10-9110-155CBD1D9085}">
          <x14:formula1>
            <xm:f>'Sheet References'!$A$62:$A$85</xm:f>
          </x14:formula1>
          <xm:sqref>B15:B17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ECF3F-9ECE-43F3-94A9-142275380B14}">
  <sheetPr>
    <tabColor rgb="FFFFFF99"/>
    <pageSetUpPr fitToPage="1"/>
  </sheetPr>
  <dimension ref="A1:H60"/>
  <sheetViews>
    <sheetView zoomScaleNormal="100" workbookViewId="0">
      <selection activeCell="D22" sqref="D22"/>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78" customWidth="1"/>
    <col min="8" max="8" width="66.7265625" style="1" customWidth="1"/>
    <col min="9" max="9" width="39" style="1" customWidth="1"/>
    <col min="10" max="16384" width="9.26953125" style="1"/>
  </cols>
  <sheetData>
    <row r="1" spans="1:8" s="5" customFormat="1" ht="21" customHeight="1" x14ac:dyDescent="0.35">
      <c r="A1" s="675" t="s">
        <v>20</v>
      </c>
      <c r="B1" s="675"/>
      <c r="C1" s="36"/>
      <c r="D1" s="36" t="s">
        <v>106</v>
      </c>
      <c r="E1" s="37">
        <v>610124</v>
      </c>
      <c r="F1" s="38"/>
      <c r="G1" s="38"/>
      <c r="H1" s="38"/>
    </row>
    <row r="2" spans="1:8" ht="21" customHeight="1" x14ac:dyDescent="0.35">
      <c r="A2" s="676" t="s">
        <v>21</v>
      </c>
      <c r="B2" s="676"/>
      <c r="C2" s="38"/>
      <c r="D2" s="36" t="s">
        <v>107</v>
      </c>
      <c r="E2" s="37" t="str">
        <f>VLOOKUP(E1,'Sheet References'!L:M,2,FALSE)</f>
        <v>Squadron / Company Headquarters Building</v>
      </c>
      <c r="F2" s="38"/>
      <c r="G2" s="38"/>
      <c r="H2" s="38"/>
    </row>
    <row r="3" spans="1:8" ht="21" customHeight="1" x14ac:dyDescent="0.35">
      <c r="A3" s="676" t="s">
        <v>22</v>
      </c>
      <c r="B3" s="676"/>
      <c r="C3" s="36"/>
      <c r="D3" s="36" t="s">
        <v>108</v>
      </c>
      <c r="E3" s="37" t="str">
        <f>VLOOKUP(CATCode,'Sheet References'!L:O,4,FALSE)</f>
        <v>https://www.wbdg.org/FFC/AF/AFMAN/610124_Squadron_Company_Headquarters_Bldg.pdf</v>
      </c>
      <c r="F3" s="38"/>
      <c r="G3" s="38"/>
      <c r="H3" s="38"/>
    </row>
    <row r="4" spans="1:8" ht="21" customHeight="1" x14ac:dyDescent="0.35">
      <c r="A4" s="676" t="s">
        <v>23</v>
      </c>
      <c r="B4" s="676"/>
      <c r="C4" s="24"/>
      <c r="D4" s="24"/>
      <c r="E4" s="37" t="str">
        <f>'Customer Summary'!A2</f>
        <v>## Force Support Squadron (## FSS)</v>
      </c>
      <c r="F4" s="24"/>
      <c r="G4" s="24"/>
      <c r="H4" s="24"/>
    </row>
    <row r="5" spans="1:8" ht="21" customHeight="1" x14ac:dyDescent="0.35">
      <c r="A5" s="677" t="str">
        <f>'Customer Summary'!B61</f>
        <v>POC:</v>
      </c>
      <c r="B5" s="677"/>
      <c r="C5" s="24"/>
      <c r="D5" s="24"/>
      <c r="E5" s="37" t="s">
        <v>109</v>
      </c>
      <c r="F5" s="24"/>
      <c r="G5" s="24"/>
      <c r="H5" s="24"/>
    </row>
    <row r="6" spans="1:8" s="4" customFormat="1" ht="46.5" x14ac:dyDescent="0.35">
      <c r="A6" s="39" t="s">
        <v>110</v>
      </c>
      <c r="B6" s="39" t="s">
        <v>261</v>
      </c>
      <c r="C6" s="39" t="s">
        <v>262</v>
      </c>
      <c r="D6" s="39" t="s">
        <v>263</v>
      </c>
      <c r="E6" s="39" t="s">
        <v>264</v>
      </c>
      <c r="F6" s="39" t="s">
        <v>115</v>
      </c>
      <c r="G6" s="40" t="s">
        <v>116</v>
      </c>
      <c r="H6" s="41" t="s">
        <v>265</v>
      </c>
    </row>
    <row r="7" spans="1:8" s="4" customFormat="1" ht="39" customHeight="1" x14ac:dyDescent="0.35">
      <c r="A7" s="744" t="s">
        <v>118</v>
      </c>
      <c r="B7" s="744"/>
      <c r="C7" s="744"/>
      <c r="D7" s="744"/>
      <c r="E7" s="744"/>
      <c r="F7" s="744"/>
      <c r="G7" s="744"/>
      <c r="H7" s="74" t="s">
        <v>266</v>
      </c>
    </row>
    <row r="8" spans="1:8" x14ac:dyDescent="0.35">
      <c r="A8" s="42" t="s">
        <v>276</v>
      </c>
      <c r="B8" s="43" t="s">
        <v>305</v>
      </c>
      <c r="C8" s="43" t="str">
        <f>VLOOKUP(B8,'Sheet References'!$A$14:$B$57,2,FALSE)</f>
        <v>Office Type A (Private)</v>
      </c>
      <c r="D8" s="42" t="s">
        <v>272</v>
      </c>
      <c r="E8" s="44">
        <f>VLOOKUP(C8,OfficeTypeSF[],2,FALSE)</f>
        <v>300</v>
      </c>
      <c r="F8" s="42">
        <v>0</v>
      </c>
      <c r="G8" s="45">
        <f t="shared" ref="G8:G14" si="0">E8*F8</f>
        <v>0</v>
      </c>
      <c r="H8" s="35"/>
    </row>
    <row r="9" spans="1:8" x14ac:dyDescent="0.35">
      <c r="A9" s="42" t="s">
        <v>276</v>
      </c>
      <c r="B9" s="43" t="s">
        <v>306</v>
      </c>
      <c r="C9" s="43" t="str">
        <f>VLOOKUP(B9,'Sheet References'!$A$14:$B$57,2,FALSE)</f>
        <v>Office Type B (Private)</v>
      </c>
      <c r="D9" s="42" t="s">
        <v>272</v>
      </c>
      <c r="E9" s="44">
        <f>VLOOKUP(C9,OfficeTypeSF[],2,FALSE)</f>
        <v>160</v>
      </c>
      <c r="F9" s="42">
        <v>0</v>
      </c>
      <c r="G9" s="45">
        <f t="shared" si="0"/>
        <v>0</v>
      </c>
      <c r="H9" s="46"/>
    </row>
    <row r="10" spans="1:8" x14ac:dyDescent="0.35">
      <c r="A10" s="42" t="s">
        <v>276</v>
      </c>
      <c r="B10" s="43" t="s">
        <v>307</v>
      </c>
      <c r="C10" s="43" t="str">
        <f>VLOOKUP(B10,'Sheet References'!$A$14:$B$57,2,FALSE)</f>
        <v>Office Type C (Private)</v>
      </c>
      <c r="D10" s="42" t="s">
        <v>272</v>
      </c>
      <c r="E10" s="44">
        <f>VLOOKUP(C10,OfficeTypeSF[],2,FALSE)</f>
        <v>140</v>
      </c>
      <c r="F10" s="42">
        <v>0</v>
      </c>
      <c r="G10" s="45">
        <f t="shared" si="0"/>
        <v>0</v>
      </c>
      <c r="H10" s="46"/>
    </row>
    <row r="11" spans="1:8" x14ac:dyDescent="0.35">
      <c r="A11" s="42" t="s">
        <v>276</v>
      </c>
      <c r="B11" s="43" t="s">
        <v>308</v>
      </c>
      <c r="C11" s="43" t="str">
        <f>VLOOKUP(B11,'Sheet References'!$A$14:$B$57,2,FALSE)</f>
        <v>Office Type D (Private)</v>
      </c>
      <c r="D11" s="42" t="s">
        <v>272</v>
      </c>
      <c r="E11" s="44">
        <f>VLOOKUP(C11,OfficeTypeSF[],2,FALSE)</f>
        <v>100</v>
      </c>
      <c r="F11" s="42">
        <v>0</v>
      </c>
      <c r="G11" s="45">
        <f t="shared" si="0"/>
        <v>0</v>
      </c>
      <c r="H11" s="46"/>
    </row>
    <row r="12" spans="1:8" x14ac:dyDescent="0.35">
      <c r="A12" s="42" t="s">
        <v>276</v>
      </c>
      <c r="B12" s="43" t="s">
        <v>271</v>
      </c>
      <c r="C12" s="43" t="str">
        <f>VLOOKUP(B12,'Sheet References'!$A$14:$B$57,2,FALSE)</f>
        <v>Office Type D (Private)</v>
      </c>
      <c r="D12" s="42" t="s">
        <v>272</v>
      </c>
      <c r="E12" s="44">
        <f>VLOOKUP(C12,OfficeTypeSF[],2,FALSE)</f>
        <v>100</v>
      </c>
      <c r="F12" s="42">
        <v>0</v>
      </c>
      <c r="G12" s="45">
        <f t="shared" si="0"/>
        <v>0</v>
      </c>
      <c r="H12" s="46"/>
    </row>
    <row r="13" spans="1:8" x14ac:dyDescent="0.35">
      <c r="A13" s="42" t="s">
        <v>276</v>
      </c>
      <c r="B13" s="43" t="s">
        <v>271</v>
      </c>
      <c r="C13" s="43" t="str">
        <f>VLOOKUP(B13,'Sheet References'!$A$14:$B$57,2,FALSE)</f>
        <v>Office Type D (Private)</v>
      </c>
      <c r="D13" s="42" t="s">
        <v>272</v>
      </c>
      <c r="E13" s="44">
        <f>VLOOKUP(C13,OfficeTypeSF[],2,FALSE)</f>
        <v>100</v>
      </c>
      <c r="F13" s="42">
        <v>0</v>
      </c>
      <c r="G13" s="45">
        <f t="shared" si="0"/>
        <v>0</v>
      </c>
      <c r="H13" s="46"/>
    </row>
    <row r="14" spans="1:8" x14ac:dyDescent="0.35">
      <c r="A14" s="42" t="s">
        <v>276</v>
      </c>
      <c r="B14" s="43" t="s">
        <v>271</v>
      </c>
      <c r="C14" s="43" t="str">
        <f>VLOOKUP(B14,'Sheet References'!$A$14:$B$57,2,FALSE)</f>
        <v>Office Type D (Private)</v>
      </c>
      <c r="D14" s="42" t="s">
        <v>272</v>
      </c>
      <c r="E14" s="44">
        <f>VLOOKUP(C14,OfficeTypeSF[],2,FALSE)</f>
        <v>100</v>
      </c>
      <c r="F14" s="42">
        <v>0</v>
      </c>
      <c r="G14" s="45">
        <f t="shared" si="0"/>
        <v>0</v>
      </c>
      <c r="H14" s="46"/>
    </row>
    <row r="15" spans="1:8" x14ac:dyDescent="0.35">
      <c r="A15" s="757" t="s">
        <v>125</v>
      </c>
      <c r="B15" s="743"/>
      <c r="C15" s="743"/>
      <c r="D15" s="743"/>
      <c r="E15" s="47" t="s">
        <v>126</v>
      </c>
      <c r="F15" s="48">
        <f>SUM(F8:F14)</f>
        <v>0</v>
      </c>
      <c r="G15" s="49">
        <f>SUM(G8:G14)</f>
        <v>0</v>
      </c>
      <c r="H15" s="46"/>
    </row>
    <row r="16" spans="1:8" ht="14.5" customHeight="1" x14ac:dyDescent="0.35">
      <c r="A16" s="746" t="s">
        <v>268</v>
      </c>
      <c r="B16" s="753"/>
      <c r="C16" s="753"/>
      <c r="D16" s="753"/>
      <c r="E16" s="50">
        <v>0.4</v>
      </c>
      <c r="F16" s="42"/>
      <c r="G16" s="45">
        <f>G15*E16</f>
        <v>0</v>
      </c>
      <c r="H16" s="35" t="s">
        <v>269</v>
      </c>
    </row>
    <row r="17" spans="1:8" x14ac:dyDescent="0.35">
      <c r="A17" s="757" t="s">
        <v>129</v>
      </c>
      <c r="B17" s="743"/>
      <c r="C17" s="743"/>
      <c r="D17" s="743"/>
      <c r="E17" s="47" t="s">
        <v>126</v>
      </c>
      <c r="F17" s="47"/>
      <c r="G17" s="51">
        <f>G16+G15</f>
        <v>0</v>
      </c>
      <c r="H17" s="46"/>
    </row>
    <row r="18" spans="1:8" x14ac:dyDescent="0.35">
      <c r="A18" s="786"/>
      <c r="B18" s="780"/>
      <c r="C18" s="780"/>
      <c r="D18" s="780"/>
      <c r="E18" s="780"/>
      <c r="F18" s="780"/>
      <c r="G18" s="780"/>
      <c r="H18" s="781"/>
    </row>
    <row r="19" spans="1:8" s="15" customFormat="1" ht="39" customHeight="1" x14ac:dyDescent="0.35">
      <c r="A19" s="669" t="s">
        <v>130</v>
      </c>
      <c r="B19" s="670"/>
      <c r="C19" s="670"/>
      <c r="D19" s="670"/>
      <c r="E19" s="670"/>
      <c r="F19" s="670"/>
      <c r="G19" s="671"/>
      <c r="H19" s="74" t="s">
        <v>266</v>
      </c>
    </row>
    <row r="20" spans="1:8" s="15" customFormat="1" x14ac:dyDescent="0.35">
      <c r="A20" s="52" t="s">
        <v>276</v>
      </c>
      <c r="B20" s="53" t="s">
        <v>309</v>
      </c>
      <c r="C20" s="54" t="str">
        <f>VLOOKUP(B20,OpenOffices[],2,FALSE)</f>
        <v>Office Type E (Open)</v>
      </c>
      <c r="D20" s="52" t="s">
        <v>272</v>
      </c>
      <c r="E20" s="55">
        <f>VLOOKUP(C20,OfficeTypeSF[],2,FALSE)</f>
        <v>65</v>
      </c>
      <c r="F20" s="52">
        <v>0</v>
      </c>
      <c r="G20" s="45">
        <f t="shared" ref="G20:G29" si="1">E20*F20</f>
        <v>0</v>
      </c>
      <c r="H20" s="57"/>
    </row>
    <row r="21" spans="1:8" s="15" customFormat="1" x14ac:dyDescent="0.35">
      <c r="A21" s="52" t="s">
        <v>276</v>
      </c>
      <c r="B21" s="53" t="s">
        <v>310</v>
      </c>
      <c r="C21" s="54" t="str">
        <f>VLOOKUP(B21,OpenOffices[],2,FALSE)</f>
        <v>Office Type E (Open)</v>
      </c>
      <c r="D21" s="52" t="s">
        <v>272</v>
      </c>
      <c r="E21" s="55">
        <f>VLOOKUP(C21,OfficeTypeSF[],2,FALSE)</f>
        <v>65</v>
      </c>
      <c r="F21" s="52">
        <v>0</v>
      </c>
      <c r="G21" s="45">
        <f t="shared" si="1"/>
        <v>0</v>
      </c>
      <c r="H21" s="57"/>
    </row>
    <row r="22" spans="1:8" s="15" customFormat="1" x14ac:dyDescent="0.35">
      <c r="A22" s="52" t="s">
        <v>276</v>
      </c>
      <c r="B22" s="53" t="s">
        <v>311</v>
      </c>
      <c r="C22" s="54" t="str">
        <f>VLOOKUP(B22,OpenOffices[],2,FALSE)</f>
        <v>Office Type E (Open)</v>
      </c>
      <c r="D22" s="52" t="s">
        <v>272</v>
      </c>
      <c r="E22" s="55">
        <f>VLOOKUP(C22,OfficeTypeSF[],2,FALSE)</f>
        <v>65</v>
      </c>
      <c r="F22" s="52">
        <v>0</v>
      </c>
      <c r="G22" s="45">
        <f t="shared" si="1"/>
        <v>0</v>
      </c>
      <c r="H22" s="57"/>
    </row>
    <row r="23" spans="1:8" s="15" customFormat="1" x14ac:dyDescent="0.35">
      <c r="A23" s="52" t="s">
        <v>276</v>
      </c>
      <c r="B23" s="53" t="s">
        <v>277</v>
      </c>
      <c r="C23" s="54" t="str">
        <f>VLOOKUP(B23,OpenOffices[],2,FALSE)</f>
        <v>Office Type F (Open)</v>
      </c>
      <c r="D23" s="52" t="s">
        <v>272</v>
      </c>
      <c r="E23" s="55">
        <f>VLOOKUP(C23,OfficeTypeSF[],2,FALSE)</f>
        <v>36</v>
      </c>
      <c r="F23" s="52">
        <v>0</v>
      </c>
      <c r="G23" s="45">
        <f t="shared" si="1"/>
        <v>0</v>
      </c>
      <c r="H23" s="57"/>
    </row>
    <row r="24" spans="1:8" s="15" customFormat="1" x14ac:dyDescent="0.35">
      <c r="A24" s="52" t="s">
        <v>276</v>
      </c>
      <c r="B24" s="53" t="s">
        <v>277</v>
      </c>
      <c r="C24" s="54" t="str">
        <f>VLOOKUP(B24,OpenOffices[],2,FALSE)</f>
        <v>Office Type F (Open)</v>
      </c>
      <c r="D24" s="52" t="s">
        <v>272</v>
      </c>
      <c r="E24" s="55">
        <f>VLOOKUP(C24,OfficeTypeSF[],2,FALSE)</f>
        <v>36</v>
      </c>
      <c r="F24" s="52">
        <v>0</v>
      </c>
      <c r="G24" s="45">
        <f t="shared" si="1"/>
        <v>0</v>
      </c>
      <c r="H24" s="57"/>
    </row>
    <row r="25" spans="1:8" s="15" customFormat="1" x14ac:dyDescent="0.35">
      <c r="A25" s="52" t="s">
        <v>276</v>
      </c>
      <c r="B25" s="53" t="s">
        <v>277</v>
      </c>
      <c r="C25" s="54" t="str">
        <f>VLOOKUP(B25,OpenOffices[],2,FALSE)</f>
        <v>Office Type F (Open)</v>
      </c>
      <c r="D25" s="52" t="s">
        <v>272</v>
      </c>
      <c r="E25" s="55">
        <f>VLOOKUP(C25,OfficeTypeSF[],2,FALSE)</f>
        <v>36</v>
      </c>
      <c r="F25" s="52">
        <v>0</v>
      </c>
      <c r="G25" s="45">
        <f t="shared" si="1"/>
        <v>0</v>
      </c>
      <c r="H25" s="57"/>
    </row>
    <row r="26" spans="1:8" s="15" customFormat="1" x14ac:dyDescent="0.35">
      <c r="A26" s="52" t="s">
        <v>276</v>
      </c>
      <c r="B26" s="53" t="s">
        <v>277</v>
      </c>
      <c r="C26" s="54" t="str">
        <f>VLOOKUP(B26,OpenOffices[],2,FALSE)</f>
        <v>Office Type F (Open)</v>
      </c>
      <c r="D26" s="52" t="s">
        <v>272</v>
      </c>
      <c r="E26" s="55">
        <f>VLOOKUP(C26,OfficeTypeSF[],2,FALSE)</f>
        <v>36</v>
      </c>
      <c r="F26" s="52">
        <v>0</v>
      </c>
      <c r="G26" s="45">
        <f t="shared" si="1"/>
        <v>0</v>
      </c>
      <c r="H26" s="57"/>
    </row>
    <row r="27" spans="1:8" s="15" customFormat="1" x14ac:dyDescent="0.35">
      <c r="A27" s="52" t="s">
        <v>276</v>
      </c>
      <c r="B27" s="53" t="s">
        <v>277</v>
      </c>
      <c r="C27" s="54" t="str">
        <f>VLOOKUP(B27,OpenOffices[],2,FALSE)</f>
        <v>Office Type F (Open)</v>
      </c>
      <c r="D27" s="52" t="s">
        <v>272</v>
      </c>
      <c r="E27" s="55">
        <f>VLOOKUP(C27,OfficeTypeSF[],2,FALSE)</f>
        <v>36</v>
      </c>
      <c r="F27" s="52">
        <v>0</v>
      </c>
      <c r="G27" s="45">
        <f t="shared" si="1"/>
        <v>0</v>
      </c>
      <c r="H27" s="57"/>
    </row>
    <row r="28" spans="1:8" s="15" customFormat="1" x14ac:dyDescent="0.35">
      <c r="A28" s="52" t="s">
        <v>276</v>
      </c>
      <c r="B28" s="53" t="s">
        <v>277</v>
      </c>
      <c r="C28" s="54" t="str">
        <f>VLOOKUP(B28,OpenOffices[],2,FALSE)</f>
        <v>Office Type F (Open)</v>
      </c>
      <c r="D28" s="52" t="s">
        <v>272</v>
      </c>
      <c r="E28" s="55">
        <f>VLOOKUP(C28,OfficeTypeSF[],2,FALSE)</f>
        <v>36</v>
      </c>
      <c r="F28" s="52">
        <v>0</v>
      </c>
      <c r="G28" s="45">
        <f t="shared" si="1"/>
        <v>0</v>
      </c>
      <c r="H28" s="57"/>
    </row>
    <row r="29" spans="1:8" s="15" customFormat="1" x14ac:dyDescent="0.35">
      <c r="A29" s="52" t="s">
        <v>276</v>
      </c>
      <c r="B29" s="53" t="s">
        <v>277</v>
      </c>
      <c r="C29" s="54" t="str">
        <f>VLOOKUP(B29,OpenOffices[],2,FALSE)</f>
        <v>Office Type F (Open)</v>
      </c>
      <c r="D29" s="52" t="s">
        <v>272</v>
      </c>
      <c r="E29" s="55">
        <f>VLOOKUP(C29,OfficeTypeSF[],2,FALSE)</f>
        <v>36</v>
      </c>
      <c r="F29" s="52">
        <v>0</v>
      </c>
      <c r="G29" s="45">
        <f t="shared" si="1"/>
        <v>0</v>
      </c>
      <c r="H29" s="57"/>
    </row>
    <row r="30" spans="1:8" s="15" customFormat="1" x14ac:dyDescent="0.35">
      <c r="A30" s="681" t="s">
        <v>136</v>
      </c>
      <c r="B30" s="682"/>
      <c r="C30" s="682"/>
      <c r="D30" s="682"/>
      <c r="E30" s="58" t="s">
        <v>126</v>
      </c>
      <c r="F30" s="48">
        <f>SUM(F20:F29)</f>
        <v>0</v>
      </c>
      <c r="G30" s="59">
        <f>SUM(G20:G29)</f>
        <v>0</v>
      </c>
      <c r="H30" s="57"/>
    </row>
    <row r="31" spans="1:8" s="15" customFormat="1" ht="14.5" customHeight="1" x14ac:dyDescent="0.35">
      <c r="A31" s="785" t="s">
        <v>278</v>
      </c>
      <c r="B31" s="777"/>
      <c r="C31" s="777"/>
      <c r="D31" s="777"/>
      <c r="E31" s="60">
        <v>0.6</v>
      </c>
      <c r="F31" s="52"/>
      <c r="G31" s="61">
        <f>G30*E31</f>
        <v>0</v>
      </c>
      <c r="H31" s="57" t="s">
        <v>279</v>
      </c>
    </row>
    <row r="32" spans="1:8" s="16" customFormat="1" ht="15.65" customHeight="1" x14ac:dyDescent="0.35">
      <c r="A32" s="681" t="s">
        <v>138</v>
      </c>
      <c r="B32" s="682"/>
      <c r="C32" s="682"/>
      <c r="D32" s="682"/>
      <c r="E32" s="58" t="s">
        <v>126</v>
      </c>
      <c r="F32" s="58"/>
      <c r="G32" s="59">
        <f>G31+G30</f>
        <v>0</v>
      </c>
      <c r="H32" s="62"/>
    </row>
    <row r="33" spans="1:8" x14ac:dyDescent="0.35">
      <c r="A33" s="786"/>
      <c r="B33" s="780"/>
      <c r="C33" s="780"/>
      <c r="D33" s="780"/>
      <c r="E33" s="780"/>
      <c r="F33" s="780"/>
      <c r="G33" s="780"/>
      <c r="H33" s="781"/>
    </row>
    <row r="34" spans="1:8" s="4" customFormat="1" ht="39" customHeight="1" x14ac:dyDescent="0.35">
      <c r="A34" s="754" t="s">
        <v>139</v>
      </c>
      <c r="B34" s="678"/>
      <c r="C34" s="678"/>
      <c r="D34" s="678"/>
      <c r="E34" s="678"/>
      <c r="F34" s="678"/>
      <c r="G34" s="755"/>
      <c r="H34" s="73" t="s">
        <v>280</v>
      </c>
    </row>
    <row r="35" spans="1:8" s="4" customFormat="1" ht="87" customHeight="1" x14ac:dyDescent="0.35">
      <c r="A35" s="753" t="s">
        <v>281</v>
      </c>
      <c r="B35" s="753"/>
      <c r="C35" s="753"/>
      <c r="D35" s="753"/>
      <c r="E35" s="77">
        <f>VLOOKUP(A35,AdminSpecialPurpose[#All],2,FALSE)</f>
        <v>8</v>
      </c>
      <c r="F35" s="64">
        <f>F15+F30</f>
        <v>0</v>
      </c>
      <c r="G35" s="45">
        <f>E35*F35</f>
        <v>0</v>
      </c>
      <c r="H35" s="35" t="s">
        <v>282</v>
      </c>
    </row>
    <row r="36" spans="1:8" s="4" customFormat="1" ht="58" x14ac:dyDescent="0.35">
      <c r="A36" s="753" t="s">
        <v>283</v>
      </c>
      <c r="B36" s="753"/>
      <c r="C36" s="753"/>
      <c r="D36" s="753"/>
      <c r="E36" s="45" t="str">
        <f>VLOOKUP(A36,AdminSpecialPurpose[#All],2,FALSE)</f>
        <v>Table 6</v>
      </c>
      <c r="F36" s="64">
        <f>F15+F30</f>
        <v>0</v>
      </c>
      <c r="G36" s="45">
        <f>VLOOKUP(F36,MeetingSpace[#All],6,TRUE)</f>
        <v>0</v>
      </c>
      <c r="H36" s="35" t="s">
        <v>284</v>
      </c>
    </row>
    <row r="37" spans="1:8" s="4" customFormat="1" ht="43.5" x14ac:dyDescent="0.35">
      <c r="A37" s="753" t="s">
        <v>285</v>
      </c>
      <c r="B37" s="743"/>
      <c r="C37" s="743"/>
      <c r="D37" s="743"/>
      <c r="E37" s="45">
        <f>VLOOKUP(A37,AdminSpecialPurpose[#All],2,FALSE)</f>
        <v>3</v>
      </c>
      <c r="F37" s="64">
        <f>(F15+F30)</f>
        <v>0</v>
      </c>
      <c r="G37" s="45">
        <f>IF(F37&gt;0,MAX(E37*F37,50),0)</f>
        <v>0</v>
      </c>
      <c r="H37" s="35" t="s">
        <v>286</v>
      </c>
    </row>
    <row r="38" spans="1:8" x14ac:dyDescent="0.35">
      <c r="A38" s="753" t="s">
        <v>289</v>
      </c>
      <c r="B38" s="743"/>
      <c r="C38" s="743"/>
      <c r="D38" s="743"/>
      <c r="E38" s="45" t="str">
        <f>VLOOKUP(A38,AdminSpecialPurpose[#All],2,FALSE)</f>
        <v>SF</v>
      </c>
      <c r="F38" s="64">
        <v>0</v>
      </c>
      <c r="G38" s="45">
        <f>IFERROR(E38*F38,0)</f>
        <v>0</v>
      </c>
      <c r="H38" s="35" t="s">
        <v>290</v>
      </c>
    </row>
    <row r="39" spans="1:8" x14ac:dyDescent="0.35">
      <c r="A39" s="753" t="s">
        <v>289</v>
      </c>
      <c r="B39" s="743"/>
      <c r="C39" s="743"/>
      <c r="D39" s="743"/>
      <c r="E39" s="45" t="str">
        <f>VLOOKUP(A39,AdminSpecialPurpose[#All],2,FALSE)</f>
        <v>SF</v>
      </c>
      <c r="F39" s="64">
        <v>0</v>
      </c>
      <c r="G39" s="45">
        <f>IFERROR(E39*F39,0)</f>
        <v>0</v>
      </c>
      <c r="H39" s="35" t="s">
        <v>290</v>
      </c>
    </row>
    <row r="40" spans="1:8" x14ac:dyDescent="0.35">
      <c r="A40" s="753" t="s">
        <v>289</v>
      </c>
      <c r="B40" s="743"/>
      <c r="C40" s="743"/>
      <c r="D40" s="743"/>
      <c r="E40" s="45" t="str">
        <f>VLOOKUP(A40,AdminSpecialPurpose[#All],2,FALSE)</f>
        <v>SF</v>
      </c>
      <c r="F40" s="64">
        <v>0</v>
      </c>
      <c r="G40" s="45">
        <f>IFERROR(E40*F40,0)</f>
        <v>0</v>
      </c>
      <c r="H40" s="35" t="s">
        <v>290</v>
      </c>
    </row>
    <row r="41" spans="1:8" x14ac:dyDescent="0.35">
      <c r="A41" s="753" t="s">
        <v>289</v>
      </c>
      <c r="B41" s="743"/>
      <c r="C41" s="743"/>
      <c r="D41" s="743"/>
      <c r="E41" s="45" t="str">
        <f>VLOOKUP(A41,AdminSpecialPurpose[#All],2,FALSE)</f>
        <v>SF</v>
      </c>
      <c r="F41" s="64">
        <v>0</v>
      </c>
      <c r="G41" s="45">
        <f>IFERROR(E41*F41,0)</f>
        <v>0</v>
      </c>
      <c r="H41" s="35" t="s">
        <v>290</v>
      </c>
    </row>
    <row r="42" spans="1:8" x14ac:dyDescent="0.35">
      <c r="A42" s="753" t="s">
        <v>289</v>
      </c>
      <c r="B42" s="743"/>
      <c r="C42" s="743"/>
      <c r="D42" s="743"/>
      <c r="E42" s="45" t="str">
        <f>VLOOKUP(A42,AdminSpecialPurpose[#All],2,FALSE)</f>
        <v>SF</v>
      </c>
      <c r="F42" s="64">
        <v>0</v>
      </c>
      <c r="G42" s="45">
        <f>IFERROR(E42*F42,0)</f>
        <v>0</v>
      </c>
      <c r="H42" s="35" t="s">
        <v>290</v>
      </c>
    </row>
    <row r="43" spans="1:8" x14ac:dyDescent="0.35">
      <c r="A43" s="757" t="s">
        <v>174</v>
      </c>
      <c r="B43" s="757"/>
      <c r="C43" s="757"/>
      <c r="D43" s="757"/>
      <c r="E43" s="48" t="s">
        <v>126</v>
      </c>
      <c r="F43" s="65"/>
      <c r="G43" s="51">
        <f>SUM(G35:G42)</f>
        <v>0</v>
      </c>
      <c r="H43" s="35"/>
    </row>
    <row r="44" spans="1:8" x14ac:dyDescent="0.35">
      <c r="A44" s="758" t="s">
        <v>291</v>
      </c>
      <c r="B44" s="759"/>
      <c r="C44" s="759"/>
      <c r="D44" s="759"/>
      <c r="E44" s="50">
        <v>0.4</v>
      </c>
      <c r="F44" s="42"/>
      <c r="G44" s="66">
        <f>E44*G43</f>
        <v>0</v>
      </c>
      <c r="H44" s="35" t="s">
        <v>292</v>
      </c>
    </row>
    <row r="45" spans="1:8" x14ac:dyDescent="0.35">
      <c r="A45" s="757" t="s">
        <v>177</v>
      </c>
      <c r="B45" s="743"/>
      <c r="C45" s="743"/>
      <c r="D45" s="743"/>
      <c r="E45" s="47" t="s">
        <v>126</v>
      </c>
      <c r="F45" s="67"/>
      <c r="G45" s="51">
        <f>SUM(G43:G44)</f>
        <v>0</v>
      </c>
      <c r="H45" s="35"/>
    </row>
    <row r="46" spans="1:8" x14ac:dyDescent="0.35">
      <c r="A46" s="743"/>
      <c r="B46" s="743"/>
      <c r="C46" s="743"/>
      <c r="D46" s="743"/>
      <c r="E46" s="743"/>
      <c r="F46" s="743"/>
      <c r="G46" s="743"/>
      <c r="H46" s="743"/>
    </row>
    <row r="47" spans="1:8" s="4" customFormat="1" ht="15.65" customHeight="1" x14ac:dyDescent="0.35">
      <c r="A47" s="744" t="s">
        <v>178</v>
      </c>
      <c r="B47" s="745"/>
      <c r="C47" s="745"/>
      <c r="D47" s="745"/>
      <c r="E47" s="745"/>
      <c r="F47" s="745"/>
      <c r="G47" s="745"/>
      <c r="H47" s="745"/>
    </row>
    <row r="48" spans="1:8" x14ac:dyDescent="0.35">
      <c r="A48" s="753" t="s">
        <v>312</v>
      </c>
      <c r="B48" s="743"/>
      <c r="C48" s="743"/>
      <c r="D48" s="743"/>
      <c r="E48" s="42"/>
      <c r="F48" s="68"/>
      <c r="G48" s="45">
        <f>E48*F48</f>
        <v>0</v>
      </c>
      <c r="H48" s="35" t="s">
        <v>313</v>
      </c>
    </row>
    <row r="49" spans="1:8" x14ac:dyDescent="0.35">
      <c r="A49" s="753" t="s">
        <v>312</v>
      </c>
      <c r="B49" s="743"/>
      <c r="C49" s="743"/>
      <c r="D49" s="743"/>
      <c r="E49" s="42"/>
      <c r="F49" s="68"/>
      <c r="G49" s="45">
        <f>E49*F49</f>
        <v>0</v>
      </c>
      <c r="H49" s="35" t="s">
        <v>313</v>
      </c>
    </row>
    <row r="50" spans="1:8" x14ac:dyDescent="0.35">
      <c r="A50" s="753" t="s">
        <v>312</v>
      </c>
      <c r="B50" s="743"/>
      <c r="C50" s="743"/>
      <c r="D50" s="743"/>
      <c r="E50" s="42"/>
      <c r="F50" s="68"/>
      <c r="G50" s="45">
        <f>E50*F50</f>
        <v>0</v>
      </c>
      <c r="H50" s="35" t="s">
        <v>313</v>
      </c>
    </row>
    <row r="51" spans="1:8" x14ac:dyDescent="0.35">
      <c r="A51" s="753" t="s">
        <v>312</v>
      </c>
      <c r="B51" s="743"/>
      <c r="C51" s="743"/>
      <c r="D51" s="743"/>
      <c r="E51" s="42"/>
      <c r="F51" s="68"/>
      <c r="G51" s="45">
        <f>E51*F51</f>
        <v>0</v>
      </c>
      <c r="H51" s="35" t="s">
        <v>313</v>
      </c>
    </row>
    <row r="52" spans="1:8" x14ac:dyDescent="0.35">
      <c r="A52" s="753" t="s">
        <v>312</v>
      </c>
      <c r="B52" s="743"/>
      <c r="C52" s="743"/>
      <c r="D52" s="743"/>
      <c r="E52" s="42"/>
      <c r="F52" s="68"/>
      <c r="G52" s="45">
        <f>E52*F52</f>
        <v>0</v>
      </c>
      <c r="H52" s="35" t="s">
        <v>313</v>
      </c>
    </row>
    <row r="53" spans="1:8" x14ac:dyDescent="0.35">
      <c r="A53" s="757" t="s">
        <v>180</v>
      </c>
      <c r="B53" s="757"/>
      <c r="C53" s="757"/>
      <c r="D53" s="757"/>
      <c r="E53" s="48" t="s">
        <v>126</v>
      </c>
      <c r="F53" s="65"/>
      <c r="G53" s="51">
        <f>SUM(G48:G52)</f>
        <v>0</v>
      </c>
      <c r="H53" s="35"/>
    </row>
    <row r="54" spans="1:8" x14ac:dyDescent="0.35">
      <c r="A54" s="758" t="s">
        <v>249</v>
      </c>
      <c r="B54" s="759"/>
      <c r="C54" s="759"/>
      <c r="D54" s="759"/>
      <c r="E54" s="50">
        <v>0.4</v>
      </c>
      <c r="F54" s="42"/>
      <c r="G54" s="66">
        <f>E54*G53</f>
        <v>0</v>
      </c>
      <c r="H54" s="35" t="s">
        <v>292</v>
      </c>
    </row>
    <row r="55" spans="1:8" x14ac:dyDescent="0.35">
      <c r="A55" s="757" t="s">
        <v>182</v>
      </c>
      <c r="B55" s="743"/>
      <c r="C55" s="743"/>
      <c r="D55" s="743"/>
      <c r="E55" s="47" t="s">
        <v>126</v>
      </c>
      <c r="F55" s="67"/>
      <c r="G55" s="51">
        <f>SUM(G53:G54)</f>
        <v>0</v>
      </c>
      <c r="H55" s="35"/>
    </row>
    <row r="56" spans="1:8" x14ac:dyDescent="0.35">
      <c r="A56" s="743"/>
      <c r="B56" s="743"/>
      <c r="C56" s="743"/>
      <c r="D56" s="743"/>
      <c r="E56" s="743"/>
      <c r="F56" s="743"/>
      <c r="G56" s="743"/>
      <c r="H56" s="743"/>
    </row>
    <row r="57" spans="1:8" s="4" customFormat="1" ht="15.65" customHeight="1" x14ac:dyDescent="0.35">
      <c r="A57" s="744" t="s">
        <v>250</v>
      </c>
      <c r="B57" s="745"/>
      <c r="C57" s="745"/>
      <c r="D57" s="745"/>
      <c r="E57" s="745"/>
      <c r="F57" s="745"/>
      <c r="G57" s="745"/>
      <c r="H57" s="745"/>
    </row>
    <row r="58" spans="1:8" x14ac:dyDescent="0.35">
      <c r="A58" s="746" t="s">
        <v>251</v>
      </c>
      <c r="B58" s="743"/>
      <c r="C58" s="743"/>
      <c r="D58" s="743"/>
      <c r="E58" s="69" t="s">
        <v>252</v>
      </c>
      <c r="F58" s="70"/>
      <c r="G58" s="66">
        <f>G55+G45+G17+G32</f>
        <v>0</v>
      </c>
      <c r="H58" s="46"/>
    </row>
    <row r="59" spans="1:8" ht="14.5" customHeight="1" x14ac:dyDescent="0.35">
      <c r="A59" s="746" t="s">
        <v>303</v>
      </c>
      <c r="B59" s="753"/>
      <c r="C59" s="753"/>
      <c r="D59" s="753"/>
      <c r="E59" s="50">
        <v>0.42</v>
      </c>
      <c r="F59" s="43"/>
      <c r="G59" s="45">
        <f>G58*E59</f>
        <v>0</v>
      </c>
      <c r="H59" s="35" t="s">
        <v>304</v>
      </c>
    </row>
    <row r="60" spans="1:8" x14ac:dyDescent="0.35">
      <c r="E60" s="48" t="s">
        <v>254</v>
      </c>
      <c r="F60" s="71"/>
      <c r="G60" s="51">
        <f>SUM(G58:G59)</f>
        <v>0</v>
      </c>
    </row>
  </sheetData>
  <mergeCells count="41">
    <mergeCell ref="A30:D30"/>
    <mergeCell ref="A1:B1"/>
    <mergeCell ref="A2:B2"/>
    <mergeCell ref="A3:B3"/>
    <mergeCell ref="A4:B4"/>
    <mergeCell ref="A5:B5"/>
    <mergeCell ref="A7:G7"/>
    <mergeCell ref="A15:D15"/>
    <mergeCell ref="A16:D16"/>
    <mergeCell ref="A17:D17"/>
    <mergeCell ref="A18:H18"/>
    <mergeCell ref="A19:G19"/>
    <mergeCell ref="A42:D42"/>
    <mergeCell ref="A31:D31"/>
    <mergeCell ref="A32:D32"/>
    <mergeCell ref="A33:H33"/>
    <mergeCell ref="A34:G34"/>
    <mergeCell ref="A35:D35"/>
    <mergeCell ref="A36:D36"/>
    <mergeCell ref="A37:D37"/>
    <mergeCell ref="A38:D38"/>
    <mergeCell ref="A39:D39"/>
    <mergeCell ref="A40:D40"/>
    <mergeCell ref="A41:D41"/>
    <mergeCell ref="A54:D54"/>
    <mergeCell ref="A43:D43"/>
    <mergeCell ref="A44:D44"/>
    <mergeCell ref="A45:D45"/>
    <mergeCell ref="A46:H46"/>
    <mergeCell ref="A47:H47"/>
    <mergeCell ref="A48:D48"/>
    <mergeCell ref="A49:D49"/>
    <mergeCell ref="A50:D50"/>
    <mergeCell ref="A51:D51"/>
    <mergeCell ref="A52:D52"/>
    <mergeCell ref="A53:D53"/>
    <mergeCell ref="A55:D55"/>
    <mergeCell ref="A56:H56"/>
    <mergeCell ref="A57:H57"/>
    <mergeCell ref="A58:D58"/>
    <mergeCell ref="A59:D59"/>
  </mergeCells>
  <hyperlinks>
    <hyperlink ref="H6" r:id="rId1" display="WBDG - AFMAN 32-1084" xr:uid="{3CDF2FA1-2AC1-4550-81A7-A6A6FD20CAA2}"/>
  </hyperlinks>
  <printOptions horizontalCentered="1"/>
  <pageMargins left="0.25" right="0.25" top="0.75" bottom="0.75" header="0.3" footer="0.3"/>
  <pageSetup paperSize="17"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145D154A-5344-4DD4-8B63-7C4D400BCD56}">
          <x14:formula1>
            <xm:f>'Sheet References'!$H$1:$H$48</xm:f>
          </x14:formula1>
          <xm:sqref>A35:D42</xm:sqref>
        </x14:dataValidation>
        <x14:dataValidation type="list" allowBlank="1" showInputMessage="1" showErrorMessage="1" xr:uid="{C3DC544C-B289-46BF-992F-12FB6AD7F067}">
          <x14:formula1>
            <xm:f>'Sheet References'!$E$1:$E$112</xm:f>
          </x14:formula1>
          <xm:sqref>D8:D14 D20:D29</xm:sqref>
        </x14:dataValidation>
        <x14:dataValidation type="list" allowBlank="1" showInputMessage="1" showErrorMessage="1" xr:uid="{F8C2825E-0D86-4416-8F70-7E2EE8AA3B7A}">
          <x14:formula1>
            <xm:f>'Sheet References'!$A$14:$A$57</xm:f>
          </x14:formula1>
          <xm:sqref>B8:B14</xm:sqref>
        </x14:dataValidation>
        <x14:dataValidation type="list" allowBlank="1" showInputMessage="1" showErrorMessage="1" xr:uid="{FBC43A96-3DB0-4DD0-BC3A-F187C561DD75}">
          <x14:formula1>
            <xm:f>'Sheet References'!$L$1:$L$978</xm:f>
          </x14:formula1>
          <xm:sqref>E1</xm:sqref>
        </x14:dataValidation>
        <x14:dataValidation type="list" allowBlank="1" showInputMessage="1" showErrorMessage="1" xr:uid="{F6842C63-706F-4DCA-A6E1-1A5CAB546E3E}">
          <x14:formula1>
            <xm:f>'Sheet References'!$A$62:$A$85</xm:f>
          </x14:formula1>
          <xm:sqref>B20:B29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5C257-05BB-4D3C-983A-A5264A827E92}">
  <sheetPr>
    <tabColor rgb="FFFFFF99"/>
    <pageSetUpPr fitToPage="1"/>
  </sheetPr>
  <dimension ref="A1:H60"/>
  <sheetViews>
    <sheetView topLeftCell="A35" zoomScaleNormal="100" workbookViewId="0">
      <selection activeCell="A35" sqref="A35:D35"/>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78" customWidth="1"/>
    <col min="8" max="8" width="66.7265625" style="1" customWidth="1"/>
    <col min="9" max="9" width="39" style="1" customWidth="1"/>
    <col min="10" max="16384" width="9.26953125" style="1"/>
  </cols>
  <sheetData>
    <row r="1" spans="1:8" s="5" customFormat="1" ht="21" customHeight="1" x14ac:dyDescent="0.35">
      <c r="A1" s="675" t="s">
        <v>20</v>
      </c>
      <c r="B1" s="675"/>
      <c r="C1" s="36"/>
      <c r="D1" s="36" t="s">
        <v>106</v>
      </c>
      <c r="E1" s="37">
        <v>610128</v>
      </c>
      <c r="F1" s="38"/>
      <c r="G1" s="38"/>
      <c r="H1" s="38"/>
    </row>
    <row r="2" spans="1:8" ht="21" customHeight="1" x14ac:dyDescent="0.35">
      <c r="A2" s="676" t="s">
        <v>21</v>
      </c>
      <c r="B2" s="676"/>
      <c r="C2" s="38"/>
      <c r="D2" s="36" t="s">
        <v>107</v>
      </c>
      <c r="E2" s="37" t="str">
        <f>VLOOKUP(E1,'Sheet References'!L:M,2,FALSE)</f>
        <v>Base Personnel Office</v>
      </c>
      <c r="F2" s="38"/>
      <c r="G2" s="38"/>
      <c r="H2" s="38"/>
    </row>
    <row r="3" spans="1:8" ht="21" customHeight="1" x14ac:dyDescent="0.35">
      <c r="A3" s="676" t="s">
        <v>22</v>
      </c>
      <c r="B3" s="676"/>
      <c r="C3" s="36"/>
      <c r="D3" s="36" t="s">
        <v>108</v>
      </c>
      <c r="E3" s="37" t="str">
        <f>VLOOKUP(CATCode,'Sheet References'!L:O,4,FALSE)</f>
        <v>https://www.wbdg.org/FFC/AF/AFMAN/610128_Base_Personnel_Off.pdf</v>
      </c>
      <c r="F3" s="38"/>
      <c r="G3" s="38"/>
      <c r="H3" s="38"/>
    </row>
    <row r="4" spans="1:8" ht="21" customHeight="1" x14ac:dyDescent="0.35">
      <c r="A4" s="676" t="s">
        <v>23</v>
      </c>
      <c r="B4" s="676"/>
      <c r="C4" s="24"/>
      <c r="D4" s="24"/>
      <c r="E4" s="37" t="str">
        <f>'Customer Summary'!A2</f>
        <v>## Force Support Squadron (## FSS)</v>
      </c>
      <c r="F4" s="24"/>
      <c r="G4" s="24"/>
      <c r="H4" s="24"/>
    </row>
    <row r="5" spans="1:8" ht="21" customHeight="1" x14ac:dyDescent="0.35">
      <c r="A5" s="677" t="str">
        <f>'Customer Summary'!B61</f>
        <v>POC:</v>
      </c>
      <c r="B5" s="677"/>
      <c r="C5" s="24"/>
      <c r="D5" s="24"/>
      <c r="E5" s="37" t="s">
        <v>109</v>
      </c>
      <c r="F5" s="24"/>
      <c r="G5" s="24"/>
      <c r="H5" s="24"/>
    </row>
    <row r="6" spans="1:8" s="4" customFormat="1" ht="46.5" x14ac:dyDescent="0.35">
      <c r="A6" s="39" t="s">
        <v>110</v>
      </c>
      <c r="B6" s="39" t="s">
        <v>261</v>
      </c>
      <c r="C6" s="39" t="s">
        <v>262</v>
      </c>
      <c r="D6" s="39" t="s">
        <v>263</v>
      </c>
      <c r="E6" s="39" t="s">
        <v>264</v>
      </c>
      <c r="F6" s="39" t="s">
        <v>115</v>
      </c>
      <c r="G6" s="40" t="s">
        <v>116</v>
      </c>
      <c r="H6" s="41" t="s">
        <v>265</v>
      </c>
    </row>
    <row r="7" spans="1:8" s="4" customFormat="1" ht="39" customHeight="1" x14ac:dyDescent="0.35">
      <c r="A7" s="744" t="s">
        <v>118</v>
      </c>
      <c r="B7" s="744"/>
      <c r="C7" s="744"/>
      <c r="D7" s="744"/>
      <c r="E7" s="744"/>
      <c r="F7" s="744"/>
      <c r="G7" s="744"/>
      <c r="H7" s="74" t="s">
        <v>266</v>
      </c>
    </row>
    <row r="8" spans="1:8" x14ac:dyDescent="0.35">
      <c r="A8" s="42" t="s">
        <v>276</v>
      </c>
      <c r="B8" s="43" t="s">
        <v>305</v>
      </c>
      <c r="C8" s="43" t="str">
        <f>VLOOKUP(B8,'Sheet References'!$A$14:$B$57,2,FALSE)</f>
        <v>Office Type A (Private)</v>
      </c>
      <c r="D8" s="42" t="s">
        <v>272</v>
      </c>
      <c r="E8" s="44">
        <f>VLOOKUP(C8,OfficeTypeSF[],2,FALSE)</f>
        <v>300</v>
      </c>
      <c r="F8" s="42">
        <v>0</v>
      </c>
      <c r="G8" s="45">
        <f t="shared" ref="G8:G14" si="0">E8*F8</f>
        <v>0</v>
      </c>
      <c r="H8" s="35"/>
    </row>
    <row r="9" spans="1:8" x14ac:dyDescent="0.35">
      <c r="A9" s="42" t="s">
        <v>276</v>
      </c>
      <c r="B9" s="43" t="s">
        <v>306</v>
      </c>
      <c r="C9" s="43" t="str">
        <f>VLOOKUP(B9,'Sheet References'!$A$14:$B$57,2,FALSE)</f>
        <v>Office Type B (Private)</v>
      </c>
      <c r="D9" s="42" t="s">
        <v>272</v>
      </c>
      <c r="E9" s="44">
        <f>VLOOKUP(C9,OfficeTypeSF[],2,FALSE)</f>
        <v>160</v>
      </c>
      <c r="F9" s="42">
        <v>0</v>
      </c>
      <c r="G9" s="45">
        <f t="shared" si="0"/>
        <v>0</v>
      </c>
      <c r="H9" s="46"/>
    </row>
    <row r="10" spans="1:8" x14ac:dyDescent="0.35">
      <c r="A10" s="42" t="s">
        <v>276</v>
      </c>
      <c r="B10" s="43" t="s">
        <v>307</v>
      </c>
      <c r="C10" s="43" t="str">
        <f>VLOOKUP(B10,'Sheet References'!$A$14:$B$57,2,FALSE)</f>
        <v>Office Type C (Private)</v>
      </c>
      <c r="D10" s="42" t="s">
        <v>272</v>
      </c>
      <c r="E10" s="44">
        <f>VLOOKUP(C10,OfficeTypeSF[],2,FALSE)</f>
        <v>140</v>
      </c>
      <c r="F10" s="42">
        <v>0</v>
      </c>
      <c r="G10" s="45">
        <f t="shared" si="0"/>
        <v>0</v>
      </c>
      <c r="H10" s="46"/>
    </row>
    <row r="11" spans="1:8" x14ac:dyDescent="0.35">
      <c r="A11" s="42" t="s">
        <v>276</v>
      </c>
      <c r="B11" s="43" t="s">
        <v>308</v>
      </c>
      <c r="C11" s="43" t="str">
        <f>VLOOKUP(B11,'Sheet References'!$A$14:$B$57,2,FALSE)</f>
        <v>Office Type D (Private)</v>
      </c>
      <c r="D11" s="42" t="s">
        <v>272</v>
      </c>
      <c r="E11" s="44">
        <f>VLOOKUP(C11,OfficeTypeSF[],2,FALSE)</f>
        <v>100</v>
      </c>
      <c r="F11" s="42">
        <v>0</v>
      </c>
      <c r="G11" s="45">
        <f t="shared" si="0"/>
        <v>0</v>
      </c>
      <c r="H11" s="46"/>
    </row>
    <row r="12" spans="1:8" x14ac:dyDescent="0.35">
      <c r="A12" s="42" t="s">
        <v>276</v>
      </c>
      <c r="B12" s="43" t="s">
        <v>271</v>
      </c>
      <c r="C12" s="43" t="str">
        <f>VLOOKUP(B12,'Sheet References'!$A$14:$B$57,2,FALSE)</f>
        <v>Office Type D (Private)</v>
      </c>
      <c r="D12" s="42" t="s">
        <v>272</v>
      </c>
      <c r="E12" s="44">
        <f>VLOOKUP(C12,OfficeTypeSF[],2,FALSE)</f>
        <v>100</v>
      </c>
      <c r="F12" s="42">
        <v>0</v>
      </c>
      <c r="G12" s="45">
        <f t="shared" si="0"/>
        <v>0</v>
      </c>
      <c r="H12" s="46"/>
    </row>
    <row r="13" spans="1:8" x14ac:dyDescent="0.35">
      <c r="A13" s="42" t="s">
        <v>276</v>
      </c>
      <c r="B13" s="43" t="s">
        <v>271</v>
      </c>
      <c r="C13" s="43" t="str">
        <f>VLOOKUP(B13,'Sheet References'!$A$14:$B$57,2,FALSE)</f>
        <v>Office Type D (Private)</v>
      </c>
      <c r="D13" s="42" t="s">
        <v>272</v>
      </c>
      <c r="E13" s="44">
        <f>VLOOKUP(C13,OfficeTypeSF[],2,FALSE)</f>
        <v>100</v>
      </c>
      <c r="F13" s="42">
        <v>0</v>
      </c>
      <c r="G13" s="45">
        <f t="shared" si="0"/>
        <v>0</v>
      </c>
      <c r="H13" s="46"/>
    </row>
    <row r="14" spans="1:8" x14ac:dyDescent="0.35">
      <c r="A14" s="42" t="s">
        <v>276</v>
      </c>
      <c r="B14" s="43" t="s">
        <v>271</v>
      </c>
      <c r="C14" s="43" t="str">
        <f>VLOOKUP(B14,'Sheet References'!$A$14:$B$57,2,FALSE)</f>
        <v>Office Type D (Private)</v>
      </c>
      <c r="D14" s="42" t="s">
        <v>272</v>
      </c>
      <c r="E14" s="44">
        <f>VLOOKUP(C14,OfficeTypeSF[],2,FALSE)</f>
        <v>100</v>
      </c>
      <c r="F14" s="42">
        <v>0</v>
      </c>
      <c r="G14" s="45">
        <f t="shared" si="0"/>
        <v>0</v>
      </c>
      <c r="H14" s="46"/>
    </row>
    <row r="15" spans="1:8" x14ac:dyDescent="0.35">
      <c r="A15" s="757" t="s">
        <v>125</v>
      </c>
      <c r="B15" s="743"/>
      <c r="C15" s="743"/>
      <c r="D15" s="743"/>
      <c r="E15" s="47" t="s">
        <v>126</v>
      </c>
      <c r="F15" s="48">
        <f>SUM(F8:F14)</f>
        <v>0</v>
      </c>
      <c r="G15" s="49">
        <f>SUM(G8:G14)</f>
        <v>0</v>
      </c>
      <c r="H15" s="46"/>
    </row>
    <row r="16" spans="1:8" ht="14.5" customHeight="1" x14ac:dyDescent="0.35">
      <c r="A16" s="746" t="s">
        <v>268</v>
      </c>
      <c r="B16" s="753"/>
      <c r="C16" s="753"/>
      <c r="D16" s="753"/>
      <c r="E16" s="50">
        <v>0.4</v>
      </c>
      <c r="F16" s="42"/>
      <c r="G16" s="45">
        <f>G15*E16</f>
        <v>0</v>
      </c>
      <c r="H16" s="35" t="s">
        <v>269</v>
      </c>
    </row>
    <row r="17" spans="1:8" x14ac:dyDescent="0.35">
      <c r="A17" s="757" t="s">
        <v>129</v>
      </c>
      <c r="B17" s="743"/>
      <c r="C17" s="743"/>
      <c r="D17" s="743"/>
      <c r="E17" s="47" t="s">
        <v>126</v>
      </c>
      <c r="F17" s="47"/>
      <c r="G17" s="51">
        <f>G16+G15</f>
        <v>0</v>
      </c>
      <c r="H17" s="46"/>
    </row>
    <row r="18" spans="1:8" x14ac:dyDescent="0.35">
      <c r="A18" s="786"/>
      <c r="B18" s="780"/>
      <c r="C18" s="780"/>
      <c r="D18" s="780"/>
      <c r="E18" s="780"/>
      <c r="F18" s="780"/>
      <c r="G18" s="780"/>
      <c r="H18" s="781"/>
    </row>
    <row r="19" spans="1:8" s="15" customFormat="1" ht="39.65" customHeight="1" x14ac:dyDescent="0.35">
      <c r="A19" s="669" t="s">
        <v>130</v>
      </c>
      <c r="B19" s="670"/>
      <c r="C19" s="670"/>
      <c r="D19" s="670"/>
      <c r="E19" s="670"/>
      <c r="F19" s="670"/>
      <c r="G19" s="671"/>
      <c r="H19" s="74" t="s">
        <v>266</v>
      </c>
    </row>
    <row r="20" spans="1:8" s="15" customFormat="1" x14ac:dyDescent="0.35">
      <c r="A20" s="52" t="s">
        <v>276</v>
      </c>
      <c r="B20" s="53" t="s">
        <v>309</v>
      </c>
      <c r="C20" s="54" t="str">
        <f>VLOOKUP(B20,OpenOffices[],2,FALSE)</f>
        <v>Office Type E (Open)</v>
      </c>
      <c r="D20" s="52" t="s">
        <v>272</v>
      </c>
      <c r="E20" s="55">
        <f>VLOOKUP(C20,OfficeTypeSF[],2,FALSE)</f>
        <v>65</v>
      </c>
      <c r="F20" s="52">
        <v>0</v>
      </c>
      <c r="G20" s="45">
        <f t="shared" ref="G20:G29" si="1">E20*F20</f>
        <v>0</v>
      </c>
      <c r="H20" s="57"/>
    </row>
    <row r="21" spans="1:8" s="15" customFormat="1" x14ac:dyDescent="0.35">
      <c r="A21" s="52" t="s">
        <v>276</v>
      </c>
      <c r="B21" s="53" t="s">
        <v>310</v>
      </c>
      <c r="C21" s="54" t="str">
        <f>VLOOKUP(B21,OpenOffices[],2,FALSE)</f>
        <v>Office Type E (Open)</v>
      </c>
      <c r="D21" s="52" t="s">
        <v>272</v>
      </c>
      <c r="E21" s="55">
        <f>VLOOKUP(C21,OfficeTypeSF[],2,FALSE)</f>
        <v>65</v>
      </c>
      <c r="F21" s="52">
        <v>0</v>
      </c>
      <c r="G21" s="45">
        <f t="shared" si="1"/>
        <v>0</v>
      </c>
      <c r="H21" s="57"/>
    </row>
    <row r="22" spans="1:8" s="15" customFormat="1" x14ac:dyDescent="0.35">
      <c r="A22" s="52" t="s">
        <v>276</v>
      </c>
      <c r="B22" s="53" t="s">
        <v>311</v>
      </c>
      <c r="C22" s="54" t="str">
        <f>VLOOKUP(B22,OpenOffices[],2,FALSE)</f>
        <v>Office Type E (Open)</v>
      </c>
      <c r="D22" s="52" t="s">
        <v>272</v>
      </c>
      <c r="E22" s="55">
        <f>VLOOKUP(C22,OfficeTypeSF[],2,FALSE)</f>
        <v>65</v>
      </c>
      <c r="F22" s="52">
        <v>0</v>
      </c>
      <c r="G22" s="45">
        <f t="shared" si="1"/>
        <v>0</v>
      </c>
      <c r="H22" s="57"/>
    </row>
    <row r="23" spans="1:8" s="15" customFormat="1" x14ac:dyDescent="0.35">
      <c r="A23" s="52" t="s">
        <v>276</v>
      </c>
      <c r="B23" s="53" t="s">
        <v>277</v>
      </c>
      <c r="C23" s="54" t="str">
        <f>VLOOKUP(B23,OpenOffices[],2,FALSE)</f>
        <v>Office Type F (Open)</v>
      </c>
      <c r="D23" s="52" t="s">
        <v>272</v>
      </c>
      <c r="E23" s="55">
        <f>VLOOKUP(C23,OfficeTypeSF[],2,FALSE)</f>
        <v>36</v>
      </c>
      <c r="F23" s="52">
        <v>0</v>
      </c>
      <c r="G23" s="45">
        <f t="shared" si="1"/>
        <v>0</v>
      </c>
      <c r="H23" s="57"/>
    </row>
    <row r="24" spans="1:8" s="15" customFormat="1" x14ac:dyDescent="0.35">
      <c r="A24" s="52" t="s">
        <v>276</v>
      </c>
      <c r="B24" s="53" t="s">
        <v>277</v>
      </c>
      <c r="C24" s="54" t="str">
        <f>VLOOKUP(B24,OpenOffices[],2,FALSE)</f>
        <v>Office Type F (Open)</v>
      </c>
      <c r="D24" s="52" t="s">
        <v>272</v>
      </c>
      <c r="E24" s="55">
        <f>VLOOKUP(C24,OfficeTypeSF[],2,FALSE)</f>
        <v>36</v>
      </c>
      <c r="F24" s="52">
        <v>0</v>
      </c>
      <c r="G24" s="45">
        <f t="shared" si="1"/>
        <v>0</v>
      </c>
      <c r="H24" s="57"/>
    </row>
    <row r="25" spans="1:8" s="15" customFormat="1" x14ac:dyDescent="0.35">
      <c r="A25" s="52" t="s">
        <v>276</v>
      </c>
      <c r="B25" s="53" t="s">
        <v>277</v>
      </c>
      <c r="C25" s="54" t="str">
        <f>VLOOKUP(B25,OpenOffices[],2,FALSE)</f>
        <v>Office Type F (Open)</v>
      </c>
      <c r="D25" s="52" t="s">
        <v>272</v>
      </c>
      <c r="E25" s="55">
        <f>VLOOKUP(C25,OfficeTypeSF[],2,FALSE)</f>
        <v>36</v>
      </c>
      <c r="F25" s="52">
        <v>0</v>
      </c>
      <c r="G25" s="45">
        <f t="shared" si="1"/>
        <v>0</v>
      </c>
      <c r="H25" s="57"/>
    </row>
    <row r="26" spans="1:8" s="15" customFormat="1" x14ac:dyDescent="0.35">
      <c r="A26" s="52" t="s">
        <v>276</v>
      </c>
      <c r="B26" s="53" t="s">
        <v>277</v>
      </c>
      <c r="C26" s="54" t="str">
        <f>VLOOKUP(B26,OpenOffices[],2,FALSE)</f>
        <v>Office Type F (Open)</v>
      </c>
      <c r="D26" s="52" t="s">
        <v>272</v>
      </c>
      <c r="E26" s="55">
        <f>VLOOKUP(C26,OfficeTypeSF[],2,FALSE)</f>
        <v>36</v>
      </c>
      <c r="F26" s="52">
        <v>0</v>
      </c>
      <c r="G26" s="45">
        <f t="shared" si="1"/>
        <v>0</v>
      </c>
      <c r="H26" s="57"/>
    </row>
    <row r="27" spans="1:8" s="15" customFormat="1" x14ac:dyDescent="0.35">
      <c r="A27" s="52" t="s">
        <v>276</v>
      </c>
      <c r="B27" s="53" t="s">
        <v>277</v>
      </c>
      <c r="C27" s="54" t="str">
        <f>VLOOKUP(B27,OpenOffices[],2,FALSE)</f>
        <v>Office Type F (Open)</v>
      </c>
      <c r="D27" s="52" t="s">
        <v>272</v>
      </c>
      <c r="E27" s="55">
        <f>VLOOKUP(C27,OfficeTypeSF[],2,FALSE)</f>
        <v>36</v>
      </c>
      <c r="F27" s="52">
        <v>0</v>
      </c>
      <c r="G27" s="45">
        <f t="shared" si="1"/>
        <v>0</v>
      </c>
      <c r="H27" s="57"/>
    </row>
    <row r="28" spans="1:8" s="15" customFormat="1" x14ac:dyDescent="0.35">
      <c r="A28" s="52" t="s">
        <v>276</v>
      </c>
      <c r="B28" s="53" t="s">
        <v>277</v>
      </c>
      <c r="C28" s="54" t="str">
        <f>VLOOKUP(B28,OpenOffices[],2,FALSE)</f>
        <v>Office Type F (Open)</v>
      </c>
      <c r="D28" s="52" t="s">
        <v>272</v>
      </c>
      <c r="E28" s="55">
        <f>VLOOKUP(C28,OfficeTypeSF[],2,FALSE)</f>
        <v>36</v>
      </c>
      <c r="F28" s="52">
        <v>0</v>
      </c>
      <c r="G28" s="45">
        <f t="shared" si="1"/>
        <v>0</v>
      </c>
      <c r="H28" s="57"/>
    </row>
    <row r="29" spans="1:8" s="15" customFormat="1" x14ac:dyDescent="0.35">
      <c r="A29" s="52" t="s">
        <v>276</v>
      </c>
      <c r="B29" s="53" t="s">
        <v>277</v>
      </c>
      <c r="C29" s="54" t="str">
        <f>VLOOKUP(B29,OpenOffices[],2,FALSE)</f>
        <v>Office Type F (Open)</v>
      </c>
      <c r="D29" s="52" t="s">
        <v>272</v>
      </c>
      <c r="E29" s="55">
        <f>VLOOKUP(C29,OfficeTypeSF[],2,FALSE)</f>
        <v>36</v>
      </c>
      <c r="F29" s="52">
        <v>0</v>
      </c>
      <c r="G29" s="45">
        <f t="shared" si="1"/>
        <v>0</v>
      </c>
      <c r="H29" s="57"/>
    </row>
    <row r="30" spans="1:8" s="15" customFormat="1" x14ac:dyDescent="0.35">
      <c r="A30" s="681" t="s">
        <v>136</v>
      </c>
      <c r="B30" s="682"/>
      <c r="C30" s="682"/>
      <c r="D30" s="682"/>
      <c r="E30" s="58" t="s">
        <v>126</v>
      </c>
      <c r="F30" s="48">
        <f>SUM(F20:F29)</f>
        <v>0</v>
      </c>
      <c r="G30" s="59">
        <f>SUM(G20:G29)</f>
        <v>0</v>
      </c>
      <c r="H30" s="57"/>
    </row>
    <row r="31" spans="1:8" s="15" customFormat="1" ht="14.5" customHeight="1" x14ac:dyDescent="0.35">
      <c r="A31" s="785" t="s">
        <v>278</v>
      </c>
      <c r="B31" s="777"/>
      <c r="C31" s="777"/>
      <c r="D31" s="777"/>
      <c r="E31" s="60">
        <v>0.6</v>
      </c>
      <c r="F31" s="52"/>
      <c r="G31" s="61">
        <f>G30*E31</f>
        <v>0</v>
      </c>
      <c r="H31" s="57" t="s">
        <v>279</v>
      </c>
    </row>
    <row r="32" spans="1:8" s="16" customFormat="1" ht="15.65" customHeight="1" x14ac:dyDescent="0.35">
      <c r="A32" s="681" t="s">
        <v>138</v>
      </c>
      <c r="B32" s="682"/>
      <c r="C32" s="682"/>
      <c r="D32" s="682"/>
      <c r="E32" s="58" t="s">
        <v>126</v>
      </c>
      <c r="F32" s="58"/>
      <c r="G32" s="59">
        <f>G31+G30</f>
        <v>0</v>
      </c>
      <c r="H32" s="62"/>
    </row>
    <row r="33" spans="1:8" x14ac:dyDescent="0.35">
      <c r="A33" s="786"/>
      <c r="B33" s="780"/>
      <c r="C33" s="780"/>
      <c r="D33" s="780"/>
      <c r="E33" s="780"/>
      <c r="F33" s="780"/>
      <c r="G33" s="780"/>
      <c r="H33" s="781"/>
    </row>
    <row r="34" spans="1:8" s="4" customFormat="1" ht="39" customHeight="1" x14ac:dyDescent="0.35">
      <c r="A34" s="754" t="s">
        <v>139</v>
      </c>
      <c r="B34" s="678"/>
      <c r="C34" s="678"/>
      <c r="D34" s="678"/>
      <c r="E34" s="678"/>
      <c r="F34" s="678"/>
      <c r="G34" s="755"/>
      <c r="H34" s="73" t="s">
        <v>280</v>
      </c>
    </row>
    <row r="35" spans="1:8" s="4" customFormat="1" ht="87" customHeight="1" x14ac:dyDescent="0.35">
      <c r="A35" s="753" t="s">
        <v>281</v>
      </c>
      <c r="B35" s="753"/>
      <c r="C35" s="753"/>
      <c r="D35" s="753"/>
      <c r="E35" s="77">
        <f>VLOOKUP(A35,AdminSpecialPurpose[#All],2,FALSE)</f>
        <v>8</v>
      </c>
      <c r="F35" s="64">
        <f>F15+F30</f>
        <v>0</v>
      </c>
      <c r="G35" s="45">
        <f>E35*F35</f>
        <v>0</v>
      </c>
      <c r="H35" s="35" t="s">
        <v>282</v>
      </c>
    </row>
    <row r="36" spans="1:8" s="4" customFormat="1" ht="58" x14ac:dyDescent="0.35">
      <c r="A36" s="753" t="s">
        <v>283</v>
      </c>
      <c r="B36" s="753"/>
      <c r="C36" s="753"/>
      <c r="D36" s="753"/>
      <c r="E36" s="45" t="str">
        <f>VLOOKUP(A36,AdminSpecialPurpose[#All],2,FALSE)</f>
        <v>Table 6</v>
      </c>
      <c r="F36" s="64">
        <f>F15+F30</f>
        <v>0</v>
      </c>
      <c r="G36" s="45">
        <f>VLOOKUP(F36,MeetingSpace[#All],6,TRUE)</f>
        <v>0</v>
      </c>
      <c r="H36" s="35" t="s">
        <v>284</v>
      </c>
    </row>
    <row r="37" spans="1:8" s="4" customFormat="1" ht="43.5" x14ac:dyDescent="0.35">
      <c r="A37" s="753" t="s">
        <v>285</v>
      </c>
      <c r="B37" s="743"/>
      <c r="C37" s="743"/>
      <c r="D37" s="743"/>
      <c r="E37" s="45">
        <f>VLOOKUP(A37,AdminSpecialPurpose[#All],2,FALSE)</f>
        <v>3</v>
      </c>
      <c r="F37" s="64">
        <f>(F15+F30)</f>
        <v>0</v>
      </c>
      <c r="G37" s="45">
        <f>IF(F37&gt;0,MAX(E37*F37,50),0)</f>
        <v>0</v>
      </c>
      <c r="H37" s="35" t="s">
        <v>286</v>
      </c>
    </row>
    <row r="38" spans="1:8" x14ac:dyDescent="0.35">
      <c r="A38" s="753" t="s">
        <v>289</v>
      </c>
      <c r="B38" s="743"/>
      <c r="C38" s="743"/>
      <c r="D38" s="743"/>
      <c r="E38" s="45" t="str">
        <f>VLOOKUP(A38,AdminSpecialPurpose[#All],2,FALSE)</f>
        <v>SF</v>
      </c>
      <c r="F38" s="64">
        <v>0</v>
      </c>
      <c r="G38" s="45">
        <f>IFERROR(E38*F38,0)</f>
        <v>0</v>
      </c>
      <c r="H38" s="35" t="s">
        <v>290</v>
      </c>
    </row>
    <row r="39" spans="1:8" x14ac:dyDescent="0.35">
      <c r="A39" s="753" t="s">
        <v>289</v>
      </c>
      <c r="B39" s="743"/>
      <c r="C39" s="743"/>
      <c r="D39" s="743"/>
      <c r="E39" s="45" t="str">
        <f>VLOOKUP(A39,AdminSpecialPurpose[#All],2,FALSE)</f>
        <v>SF</v>
      </c>
      <c r="F39" s="64">
        <v>0</v>
      </c>
      <c r="G39" s="45">
        <f>IFERROR(E39*F39,0)</f>
        <v>0</v>
      </c>
      <c r="H39" s="35" t="s">
        <v>290</v>
      </c>
    </row>
    <row r="40" spans="1:8" x14ac:dyDescent="0.35">
      <c r="A40" s="753" t="s">
        <v>289</v>
      </c>
      <c r="B40" s="743"/>
      <c r="C40" s="743"/>
      <c r="D40" s="743"/>
      <c r="E40" s="45" t="str">
        <f>VLOOKUP(A40,AdminSpecialPurpose[#All],2,FALSE)</f>
        <v>SF</v>
      </c>
      <c r="F40" s="64">
        <v>0</v>
      </c>
      <c r="G40" s="45">
        <f>IFERROR(E40*F40,0)</f>
        <v>0</v>
      </c>
      <c r="H40" s="35" t="s">
        <v>290</v>
      </c>
    </row>
    <row r="41" spans="1:8" x14ac:dyDescent="0.35">
      <c r="A41" s="753" t="s">
        <v>289</v>
      </c>
      <c r="B41" s="743"/>
      <c r="C41" s="743"/>
      <c r="D41" s="743"/>
      <c r="E41" s="45" t="str">
        <f>VLOOKUP(A41,AdminSpecialPurpose[#All],2,FALSE)</f>
        <v>SF</v>
      </c>
      <c r="F41" s="64">
        <v>0</v>
      </c>
      <c r="G41" s="45">
        <f>IFERROR(E41*F41,0)</f>
        <v>0</v>
      </c>
      <c r="H41" s="35" t="s">
        <v>290</v>
      </c>
    </row>
    <row r="42" spans="1:8" x14ac:dyDescent="0.35">
      <c r="A42" s="753" t="s">
        <v>289</v>
      </c>
      <c r="B42" s="743"/>
      <c r="C42" s="743"/>
      <c r="D42" s="743"/>
      <c r="E42" s="45" t="str">
        <f>VLOOKUP(A42,AdminSpecialPurpose[#All],2,FALSE)</f>
        <v>SF</v>
      </c>
      <c r="F42" s="64">
        <v>0</v>
      </c>
      <c r="G42" s="45">
        <f>IFERROR(E42*F42,0)</f>
        <v>0</v>
      </c>
      <c r="H42" s="35" t="s">
        <v>290</v>
      </c>
    </row>
    <row r="43" spans="1:8" x14ac:dyDescent="0.35">
      <c r="A43" s="757" t="s">
        <v>174</v>
      </c>
      <c r="B43" s="757"/>
      <c r="C43" s="757"/>
      <c r="D43" s="757"/>
      <c r="E43" s="48" t="s">
        <v>126</v>
      </c>
      <c r="F43" s="65"/>
      <c r="G43" s="51">
        <f>SUM(G35:G42)</f>
        <v>0</v>
      </c>
      <c r="H43" s="35"/>
    </row>
    <row r="44" spans="1:8" x14ac:dyDescent="0.35">
      <c r="A44" s="758" t="s">
        <v>291</v>
      </c>
      <c r="B44" s="759"/>
      <c r="C44" s="759"/>
      <c r="D44" s="759"/>
      <c r="E44" s="50">
        <v>0.4</v>
      </c>
      <c r="F44" s="42"/>
      <c r="G44" s="66">
        <f>E44*G43</f>
        <v>0</v>
      </c>
      <c r="H44" s="35" t="s">
        <v>292</v>
      </c>
    </row>
    <row r="45" spans="1:8" x14ac:dyDescent="0.35">
      <c r="A45" s="757" t="s">
        <v>177</v>
      </c>
      <c r="B45" s="743"/>
      <c r="C45" s="743"/>
      <c r="D45" s="743"/>
      <c r="E45" s="47" t="s">
        <v>126</v>
      </c>
      <c r="F45" s="67"/>
      <c r="G45" s="51">
        <f>SUM(G43:G44)</f>
        <v>0</v>
      </c>
      <c r="H45" s="35"/>
    </row>
    <row r="46" spans="1:8" x14ac:dyDescent="0.35">
      <c r="A46" s="743"/>
      <c r="B46" s="743"/>
      <c r="C46" s="743"/>
      <c r="D46" s="743"/>
      <c r="E46" s="743"/>
      <c r="F46" s="743"/>
      <c r="G46" s="743"/>
      <c r="H46" s="743"/>
    </row>
    <row r="47" spans="1:8" s="4" customFormat="1" ht="15.65" customHeight="1" x14ac:dyDescent="0.35">
      <c r="A47" s="744" t="s">
        <v>178</v>
      </c>
      <c r="B47" s="745"/>
      <c r="C47" s="745"/>
      <c r="D47" s="745"/>
      <c r="E47" s="745"/>
      <c r="F47" s="745"/>
      <c r="G47" s="745"/>
      <c r="H47" s="745"/>
    </row>
    <row r="48" spans="1:8" x14ac:dyDescent="0.35">
      <c r="A48" s="753" t="s">
        <v>312</v>
      </c>
      <c r="B48" s="743"/>
      <c r="C48" s="743"/>
      <c r="D48" s="743"/>
      <c r="E48" s="42"/>
      <c r="F48" s="68"/>
      <c r="G48" s="45">
        <f>E48*F48</f>
        <v>0</v>
      </c>
      <c r="H48" s="35" t="s">
        <v>313</v>
      </c>
    </row>
    <row r="49" spans="1:8" x14ac:dyDescent="0.35">
      <c r="A49" s="753" t="s">
        <v>312</v>
      </c>
      <c r="B49" s="743"/>
      <c r="C49" s="743"/>
      <c r="D49" s="743"/>
      <c r="E49" s="42"/>
      <c r="F49" s="68"/>
      <c r="G49" s="45">
        <f>E49*F49</f>
        <v>0</v>
      </c>
      <c r="H49" s="35" t="s">
        <v>313</v>
      </c>
    </row>
    <row r="50" spans="1:8" x14ac:dyDescent="0.35">
      <c r="A50" s="753" t="s">
        <v>312</v>
      </c>
      <c r="B50" s="743"/>
      <c r="C50" s="743"/>
      <c r="D50" s="743"/>
      <c r="E50" s="42"/>
      <c r="F50" s="68"/>
      <c r="G50" s="45">
        <f>E50*F50</f>
        <v>0</v>
      </c>
      <c r="H50" s="35" t="s">
        <v>313</v>
      </c>
    </row>
    <row r="51" spans="1:8" x14ac:dyDescent="0.35">
      <c r="A51" s="753" t="s">
        <v>312</v>
      </c>
      <c r="B51" s="743"/>
      <c r="C51" s="743"/>
      <c r="D51" s="743"/>
      <c r="E51" s="42"/>
      <c r="F51" s="68"/>
      <c r="G51" s="45">
        <f>E51*F51</f>
        <v>0</v>
      </c>
      <c r="H51" s="35" t="s">
        <v>313</v>
      </c>
    </row>
    <row r="52" spans="1:8" x14ac:dyDescent="0.35">
      <c r="A52" s="753" t="s">
        <v>312</v>
      </c>
      <c r="B52" s="743"/>
      <c r="C52" s="743"/>
      <c r="D52" s="743"/>
      <c r="E52" s="42"/>
      <c r="F52" s="68"/>
      <c r="G52" s="45">
        <f>E52*F52</f>
        <v>0</v>
      </c>
      <c r="H52" s="35" t="s">
        <v>313</v>
      </c>
    </row>
    <row r="53" spans="1:8" x14ac:dyDescent="0.35">
      <c r="A53" s="757" t="s">
        <v>180</v>
      </c>
      <c r="B53" s="757"/>
      <c r="C53" s="757"/>
      <c r="D53" s="757"/>
      <c r="E53" s="48" t="s">
        <v>126</v>
      </c>
      <c r="F53" s="65"/>
      <c r="G53" s="51">
        <f>SUM(G48:G52)</f>
        <v>0</v>
      </c>
      <c r="H53" s="35"/>
    </row>
    <row r="54" spans="1:8" x14ac:dyDescent="0.35">
      <c r="A54" s="758" t="s">
        <v>249</v>
      </c>
      <c r="B54" s="759"/>
      <c r="C54" s="759"/>
      <c r="D54" s="759"/>
      <c r="E54" s="50">
        <v>0.4</v>
      </c>
      <c r="F54" s="42"/>
      <c r="G54" s="66">
        <f>E54*G53</f>
        <v>0</v>
      </c>
      <c r="H54" s="35" t="s">
        <v>292</v>
      </c>
    </row>
    <row r="55" spans="1:8" x14ac:dyDescent="0.35">
      <c r="A55" s="757" t="s">
        <v>182</v>
      </c>
      <c r="B55" s="743"/>
      <c r="C55" s="743"/>
      <c r="D55" s="743"/>
      <c r="E55" s="47" t="s">
        <v>126</v>
      </c>
      <c r="F55" s="67"/>
      <c r="G55" s="51">
        <f>SUM(G53:G54)</f>
        <v>0</v>
      </c>
      <c r="H55" s="35"/>
    </row>
    <row r="56" spans="1:8" x14ac:dyDescent="0.35">
      <c r="A56" s="743"/>
      <c r="B56" s="743"/>
      <c r="C56" s="743"/>
      <c r="D56" s="743"/>
      <c r="E56" s="743"/>
      <c r="F56" s="743"/>
      <c r="G56" s="743"/>
      <c r="H56" s="743"/>
    </row>
    <row r="57" spans="1:8" s="4" customFormat="1" ht="15.65" customHeight="1" x14ac:dyDescent="0.35">
      <c r="A57" s="744" t="s">
        <v>250</v>
      </c>
      <c r="B57" s="745"/>
      <c r="C57" s="745"/>
      <c r="D57" s="745"/>
      <c r="E57" s="745"/>
      <c r="F57" s="745"/>
      <c r="G57" s="745"/>
      <c r="H57" s="745"/>
    </row>
    <row r="58" spans="1:8" x14ac:dyDescent="0.35">
      <c r="A58" s="746" t="s">
        <v>251</v>
      </c>
      <c r="B58" s="743"/>
      <c r="C58" s="743"/>
      <c r="D58" s="743"/>
      <c r="E58" s="69" t="s">
        <v>252</v>
      </c>
      <c r="F58" s="70"/>
      <c r="G58" s="66">
        <f>G55+G45+G17+G32</f>
        <v>0</v>
      </c>
      <c r="H58" s="46"/>
    </row>
    <row r="59" spans="1:8" ht="14.5" customHeight="1" x14ac:dyDescent="0.35">
      <c r="A59" s="746" t="s">
        <v>303</v>
      </c>
      <c r="B59" s="753"/>
      <c r="C59" s="753"/>
      <c r="D59" s="753"/>
      <c r="E59" s="50">
        <v>0.42</v>
      </c>
      <c r="F59" s="43"/>
      <c r="G59" s="45">
        <f>G58*E59</f>
        <v>0</v>
      </c>
      <c r="H59" s="35" t="s">
        <v>304</v>
      </c>
    </row>
    <row r="60" spans="1:8" x14ac:dyDescent="0.35">
      <c r="E60" s="48" t="s">
        <v>254</v>
      </c>
      <c r="F60" s="71"/>
      <c r="G60" s="51">
        <f>SUM(G58:G59)</f>
        <v>0</v>
      </c>
    </row>
  </sheetData>
  <mergeCells count="41">
    <mergeCell ref="A30:D30"/>
    <mergeCell ref="A1:B1"/>
    <mergeCell ref="A2:B2"/>
    <mergeCell ref="A3:B3"/>
    <mergeCell ref="A4:B4"/>
    <mergeCell ref="A5:B5"/>
    <mergeCell ref="A7:G7"/>
    <mergeCell ref="A15:D15"/>
    <mergeCell ref="A16:D16"/>
    <mergeCell ref="A17:D17"/>
    <mergeCell ref="A18:H18"/>
    <mergeCell ref="A19:G19"/>
    <mergeCell ref="A42:D42"/>
    <mergeCell ref="A31:D31"/>
    <mergeCell ref="A32:D32"/>
    <mergeCell ref="A33:H33"/>
    <mergeCell ref="A34:G34"/>
    <mergeCell ref="A35:D35"/>
    <mergeCell ref="A36:D36"/>
    <mergeCell ref="A37:D37"/>
    <mergeCell ref="A38:D38"/>
    <mergeCell ref="A39:D39"/>
    <mergeCell ref="A40:D40"/>
    <mergeCell ref="A41:D41"/>
    <mergeCell ref="A54:D54"/>
    <mergeCell ref="A43:D43"/>
    <mergeCell ref="A44:D44"/>
    <mergeCell ref="A45:D45"/>
    <mergeCell ref="A46:H46"/>
    <mergeCell ref="A47:H47"/>
    <mergeCell ref="A48:D48"/>
    <mergeCell ref="A49:D49"/>
    <mergeCell ref="A50:D50"/>
    <mergeCell ref="A51:D51"/>
    <mergeCell ref="A52:D52"/>
    <mergeCell ref="A53:D53"/>
    <mergeCell ref="A55:D55"/>
    <mergeCell ref="A56:H56"/>
    <mergeCell ref="A57:H57"/>
    <mergeCell ref="A58:D58"/>
    <mergeCell ref="A59:D59"/>
  </mergeCells>
  <hyperlinks>
    <hyperlink ref="H6" r:id="rId1" display="WBDG - AFMAN 32-1084" xr:uid="{FB75C2F1-1735-4AD2-B583-5567BA58B295}"/>
  </hyperlinks>
  <printOptions horizontalCentered="1"/>
  <pageMargins left="0.25" right="0.25" top="0.75" bottom="0.75" header="0.3" footer="0.3"/>
  <pageSetup paperSize="17"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9B5AF458-A87C-49A4-8FF3-8B64A230CC78}">
          <x14:formula1>
            <xm:f>'Sheet References'!$H$1:$H$48</xm:f>
          </x14:formula1>
          <xm:sqref>A35:D42</xm:sqref>
        </x14:dataValidation>
        <x14:dataValidation type="list" allowBlank="1" showInputMessage="1" showErrorMessage="1" xr:uid="{3ACE7AFB-3AE3-4434-BB66-C36B3B9BA2F7}">
          <x14:formula1>
            <xm:f>'Sheet References'!$E$1:$E$112</xm:f>
          </x14:formula1>
          <xm:sqref>D8:D14 D20:D29</xm:sqref>
        </x14:dataValidation>
        <x14:dataValidation type="list" allowBlank="1" showInputMessage="1" showErrorMessage="1" xr:uid="{CD11DC8C-C505-4CBA-944B-4DFF8D75A17C}">
          <x14:formula1>
            <xm:f>'Sheet References'!$A$14:$A$57</xm:f>
          </x14:formula1>
          <xm:sqref>B8:B14</xm:sqref>
        </x14:dataValidation>
        <x14:dataValidation type="list" allowBlank="1" showInputMessage="1" showErrorMessage="1" xr:uid="{1AFB8DC6-BB77-4783-993A-9DA3D55A8D36}">
          <x14:formula1>
            <xm:f>'Sheet References'!$L$1:$L$978</xm:f>
          </x14:formula1>
          <xm:sqref>E1</xm:sqref>
        </x14:dataValidation>
        <x14:dataValidation type="list" allowBlank="1" showInputMessage="1" showErrorMessage="1" xr:uid="{97CE20B0-DAFD-446E-94CF-BBCFE3018C0E}">
          <x14:formula1>
            <xm:f>'Sheet References'!$A$62:$A$85</xm:f>
          </x14:formula1>
          <xm:sqref>B20:B29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lcf76f155ced4ddcb4097134ff3c332f xmlns="0d4aba3b-f4a8-4eb5-8d62-63f2924fdfe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bc53fa20b18044cb193c464230d65901">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3ac294d8b823eb7c459658b8f081d40c"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149127-D6C0-4438-9AB3-8CA98F963B63}">
  <ds:schemaRefs>
    <ds:schemaRef ds:uri="http://schemas.openxmlformats.org/package/2006/metadata/core-properties"/>
    <ds:schemaRef ds:uri="http://purl.org/dc/dcmitype/"/>
    <ds:schemaRef ds:uri="41c80e78-f10c-43d3-bcd5-e6d28d72c088"/>
    <ds:schemaRef ds:uri="http://purl.org/dc/elements/1.1/"/>
    <ds:schemaRef ds:uri="http://schemas.microsoft.com/office/2006/documentManagement/types"/>
    <ds:schemaRef ds:uri="http://schemas.microsoft.com/office/2006/metadata/properties"/>
    <ds:schemaRef ds:uri="http://purl.org/dc/terms/"/>
    <ds:schemaRef ds:uri="http://www.w3.org/XML/1998/namespace"/>
    <ds:schemaRef ds:uri="0d4aba3b-f4a8-4eb5-8d62-63f2924fdfe5"/>
    <ds:schemaRef ds:uri="http://schemas.microsoft.com/office/infopath/2007/PartnerControls"/>
  </ds:schemaRefs>
</ds:datastoreItem>
</file>

<file path=customXml/itemProps2.xml><?xml version="1.0" encoding="utf-8"?>
<ds:datastoreItem xmlns:ds="http://schemas.openxmlformats.org/officeDocument/2006/customXml" ds:itemID="{3F991EB9-3F53-47B9-8DA5-DA92F1AF0B54}">
  <ds:schemaRefs>
    <ds:schemaRef ds:uri="http://schemas.microsoft.com/sharepoint/v3/contenttype/forms"/>
  </ds:schemaRefs>
</ds:datastoreItem>
</file>

<file path=customXml/itemProps3.xml><?xml version="1.0" encoding="utf-8"?>
<ds:datastoreItem xmlns:ds="http://schemas.openxmlformats.org/officeDocument/2006/customXml" ds:itemID="{ECABA51E-F608-40CD-B3AC-E7907C59FE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1d9dc18-15ea-424b-b24d-55ab4d4e7519}" enabled="1" method="Privileged" siteId="{d5fe813e-0caa-432a-b2ac-d555aa91bd1c}" removed="0"/>
  <clbl:label id="{9d0511ce-945c-4305-a6dc-f355d0c324b0}" enabled="1" method="Privileged" siteId="{66d73691-ea97-48b1-95d5-e94f0a46b87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86</vt:i4>
      </vt:variant>
    </vt:vector>
  </HeadingPairs>
  <TitlesOfParts>
    <vt:vector size="133" baseType="lpstr">
      <vt:lpstr>Customer Summary</vt:lpstr>
      <vt:lpstr>Instructions &amp; Pop Data</vt:lpstr>
      <vt:lpstr>171815_PME</vt:lpstr>
      <vt:lpstr>432283_Cold Storage</vt:lpstr>
      <vt:lpstr>441100_Gen Storage</vt:lpstr>
      <vt:lpstr>442765_Subsistence Whse</vt:lpstr>
      <vt:lpstr>730801_HG_Admin</vt:lpstr>
      <vt:lpstr>610124_Sq HQ</vt:lpstr>
      <vt:lpstr>610128(FSP)</vt:lpstr>
      <vt:lpstr>610128(FSC)</vt:lpstr>
      <vt:lpstr>721215_DFAC(Dorm)</vt:lpstr>
      <vt:lpstr>722351_DFAC</vt:lpstr>
      <vt:lpstr>722345_Fast Food</vt:lpstr>
      <vt:lpstr>723385_Prep Kitchen</vt:lpstr>
      <vt:lpstr>723388_Flt Kitchen</vt:lpstr>
      <vt:lpstr>730441_Ed Ctr</vt:lpstr>
      <vt:lpstr>730443_Postal</vt:lpstr>
      <vt:lpstr>738521_Toilet</vt:lpstr>
      <vt:lpstr>740253_MFRC</vt:lpstr>
      <vt:lpstr>740255_Thrift Shop</vt:lpstr>
      <vt:lpstr>740315_Rod&amp;Gun Club</vt:lpstr>
      <vt:lpstr>740316_Rec Ctr</vt:lpstr>
      <vt:lpstr>740317_Aero Club</vt:lpstr>
      <vt:lpstr>740370_ODR Ctr </vt:lpstr>
      <vt:lpstr>740615_Club</vt:lpstr>
      <vt:lpstr>740664_A&amp;C Ctr</vt:lpstr>
      <vt:lpstr>740665_Auto Hobby</vt:lpstr>
      <vt:lpstr>740668_Misc Rec</vt:lpstr>
      <vt:lpstr>740671_Bowling Ctr</vt:lpstr>
      <vt:lpstr>740672_ODR Storage</vt:lpstr>
      <vt:lpstr>740674_Gym</vt:lpstr>
      <vt:lpstr>740675_Library</vt:lpstr>
      <vt:lpstr>740677_Indoor Pool</vt:lpstr>
      <vt:lpstr>740735_Restaurant</vt:lpstr>
      <vt:lpstr>740873_Theatre</vt:lpstr>
      <vt:lpstr>740874_Cmty Ctr</vt:lpstr>
      <vt:lpstr>740883_Youth Ctr</vt:lpstr>
      <vt:lpstr>740884_CDC</vt:lpstr>
      <vt:lpstr>750422_Clubhouse</vt:lpstr>
      <vt:lpstr>750423_Golf Eqpt</vt:lpstr>
      <vt:lpstr>750583_Stables</vt:lpstr>
      <vt:lpstr>750612_Camp Spt</vt:lpstr>
      <vt:lpstr>750811_Bath House</vt:lpstr>
      <vt:lpstr>UMD</vt:lpstr>
      <vt:lpstr>Support Agreement</vt:lpstr>
      <vt:lpstr>Sheet References</vt:lpstr>
      <vt:lpstr>CatCodes FY24</vt:lpstr>
      <vt:lpstr>'171815_PME'!CATCode</vt:lpstr>
      <vt:lpstr>'432283_Cold Storage'!CATCode</vt:lpstr>
      <vt:lpstr>'441100_Gen Storage'!CATCode</vt:lpstr>
      <vt:lpstr>'442765_Subsistence Whse'!CATCode</vt:lpstr>
      <vt:lpstr>'610124_Sq HQ'!CATCode</vt:lpstr>
      <vt:lpstr>'610128(FSC)'!CATCode</vt:lpstr>
      <vt:lpstr>'610128(FSP)'!CATCode</vt:lpstr>
      <vt:lpstr>'721215_DFAC(Dorm)'!CATCode</vt:lpstr>
      <vt:lpstr>'722345_Fast Food'!CATCode</vt:lpstr>
      <vt:lpstr>'722351_DFAC'!CATCode</vt:lpstr>
      <vt:lpstr>'723385_Prep Kitchen'!CATCode</vt:lpstr>
      <vt:lpstr>'723388_Flt Kitchen'!CATCode</vt:lpstr>
      <vt:lpstr>'730441_Ed Ctr'!CATCode</vt:lpstr>
      <vt:lpstr>'730443_Postal'!CATCode</vt:lpstr>
      <vt:lpstr>'738521_Toilet'!CATCode</vt:lpstr>
      <vt:lpstr>'740253_MFRC'!CATCode</vt:lpstr>
      <vt:lpstr>'740255_Thrift Shop'!CATCode</vt:lpstr>
      <vt:lpstr>'740315_Rod&amp;Gun Club'!CATCode</vt:lpstr>
      <vt:lpstr>'740316_Rec Ctr'!CATCode</vt:lpstr>
      <vt:lpstr>'740317_Aero Club'!CATCode</vt:lpstr>
      <vt:lpstr>'740370_ODR Ctr '!CATCode</vt:lpstr>
      <vt:lpstr>'740615_Club'!CATCode</vt:lpstr>
      <vt:lpstr>'740664_A&amp;C Ctr'!CATCode</vt:lpstr>
      <vt:lpstr>'740665_Auto Hobby'!CATCode</vt:lpstr>
      <vt:lpstr>'740668_Misc Rec'!CATCode</vt:lpstr>
      <vt:lpstr>'740671_Bowling Ctr'!CATCode</vt:lpstr>
      <vt:lpstr>'740672_ODR Storage'!CATCode</vt:lpstr>
      <vt:lpstr>'740674_Gym'!CATCode</vt:lpstr>
      <vt:lpstr>'740675_Library'!CATCode</vt:lpstr>
      <vt:lpstr>'740677_Indoor Pool'!CATCode</vt:lpstr>
      <vt:lpstr>'740735_Restaurant'!CATCode</vt:lpstr>
      <vt:lpstr>'740873_Theatre'!CATCode</vt:lpstr>
      <vt:lpstr>'740874_Cmty Ctr'!CATCode</vt:lpstr>
      <vt:lpstr>'740883_Youth Ctr'!CATCode</vt:lpstr>
      <vt:lpstr>'740884_CDC'!CATCode</vt:lpstr>
      <vt:lpstr>'750422_Clubhouse'!CATCode</vt:lpstr>
      <vt:lpstr>'750423_Golf Eqpt'!CATCode</vt:lpstr>
      <vt:lpstr>'750583_Stables'!CATCode</vt:lpstr>
      <vt:lpstr>'750612_Camp Spt'!CATCode</vt:lpstr>
      <vt:lpstr>'750811_Bath House'!CATCode</vt:lpstr>
      <vt:lpstr>'Support Agreement'!CATCode</vt:lpstr>
      <vt:lpstr>CATCode</vt:lpstr>
      <vt:lpstr>'171815_PME'!Print_Area</vt:lpstr>
      <vt:lpstr>'432283_Cold Storage'!Print_Area</vt:lpstr>
      <vt:lpstr>'441100_Gen Storage'!Print_Area</vt:lpstr>
      <vt:lpstr>'442765_Subsistence Whse'!Print_Area</vt:lpstr>
      <vt:lpstr>'610124_Sq HQ'!Print_Area</vt:lpstr>
      <vt:lpstr>'610128(FSC)'!Print_Area</vt:lpstr>
      <vt:lpstr>'610128(FSP)'!Print_Area</vt:lpstr>
      <vt:lpstr>'721215_DFAC(Dorm)'!Print_Area</vt:lpstr>
      <vt:lpstr>'722345_Fast Food'!Print_Area</vt:lpstr>
      <vt:lpstr>'722351_DFAC'!Print_Area</vt:lpstr>
      <vt:lpstr>'723385_Prep Kitchen'!Print_Area</vt:lpstr>
      <vt:lpstr>'723388_Flt Kitchen'!Print_Area</vt:lpstr>
      <vt:lpstr>'730441_Ed Ctr'!Print_Area</vt:lpstr>
      <vt:lpstr>'730443_Postal'!Print_Area</vt:lpstr>
      <vt:lpstr>'730801_HG_Admin'!Print_Area</vt:lpstr>
      <vt:lpstr>'738521_Toilet'!Print_Area</vt:lpstr>
      <vt:lpstr>'740253_MFRC'!Print_Area</vt:lpstr>
      <vt:lpstr>'740255_Thrift Shop'!Print_Area</vt:lpstr>
      <vt:lpstr>'740315_Rod&amp;Gun Club'!Print_Area</vt:lpstr>
      <vt:lpstr>'740316_Rec Ctr'!Print_Area</vt:lpstr>
      <vt:lpstr>'740317_Aero Club'!Print_Area</vt:lpstr>
      <vt:lpstr>'740370_ODR Ctr '!Print_Area</vt:lpstr>
      <vt:lpstr>'740615_Club'!Print_Area</vt:lpstr>
      <vt:lpstr>'740664_A&amp;C Ctr'!Print_Area</vt:lpstr>
      <vt:lpstr>'740665_Auto Hobby'!Print_Area</vt:lpstr>
      <vt:lpstr>'740668_Misc Rec'!Print_Area</vt:lpstr>
      <vt:lpstr>'740671_Bowling Ctr'!Print_Area</vt:lpstr>
      <vt:lpstr>'740672_ODR Storage'!Print_Area</vt:lpstr>
      <vt:lpstr>'740674_Gym'!Print_Area</vt:lpstr>
      <vt:lpstr>'740675_Library'!Print_Area</vt:lpstr>
      <vt:lpstr>'740677_Indoor Pool'!Print_Area</vt:lpstr>
      <vt:lpstr>'740735_Restaurant'!Print_Area</vt:lpstr>
      <vt:lpstr>'740873_Theatre'!Print_Area</vt:lpstr>
      <vt:lpstr>'740874_Cmty Ctr'!Print_Area</vt:lpstr>
      <vt:lpstr>'740883_Youth Ctr'!Print_Area</vt:lpstr>
      <vt:lpstr>'740884_CDC'!Print_Area</vt:lpstr>
      <vt:lpstr>'750422_Clubhouse'!Print_Area</vt:lpstr>
      <vt:lpstr>'750423_Golf Eqpt'!Print_Area</vt:lpstr>
      <vt:lpstr>'750583_Stables'!Print_Area</vt:lpstr>
      <vt:lpstr>'750612_Camp Spt'!Print_Area</vt:lpstr>
      <vt:lpstr>'750811_Bath House'!Print_Area</vt:lpstr>
      <vt:lpstr>'Support Agreement'!Print_Area</vt:lpstr>
      <vt:lpstr>UMD!Print_Area</vt:lpstr>
      <vt:lpstr>UMD!Print_Titles</vt:lpstr>
    </vt:vector>
  </TitlesOfParts>
  <Manager/>
  <Company>Booz Allen Hamilton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Baker, Travis [USA]</cp:lastModifiedBy>
  <cp:revision/>
  <dcterms:created xsi:type="dcterms:W3CDTF">2011-07-25T14:00:24Z</dcterms:created>
  <dcterms:modified xsi:type="dcterms:W3CDTF">2026-04-15T14:46:33Z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ies>
</file>